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harts/chartEx1.xml" ContentType="application/vnd.ms-office.chartex+xml"/>
  <Override PartName="/xl/charts/colors70.xml" ContentType="application/vnd.ms-office.chartcolorstyle+xml"/>
  <Override PartName="/xl/charts/style7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hidePivotFieldList="1"/>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5th cycle/Team 04 (Miguel Wever)/"/>
    </mc:Choice>
  </mc:AlternateContent>
  <xr:revisionPtr revIDLastSave="634" documentId="14_{DC8939FB-428C-4CC7-A57B-FC887C5BBA3F}" xr6:coauthVersionLast="47" xr6:coauthVersionMax="47" xr10:uidLastSave="{F9EED8F7-FA7E-405E-86BF-3E0BAB1A3323}"/>
  <bookViews>
    <workbookView minimized="1" xWindow="770" yWindow="280" windowWidth="9780" windowHeight="10080" tabRatio="777" firstSheet="2" activeTab="2" xr2:uid="{00000000-000D-0000-FFFF-FFFF00000000}"/>
  </bookViews>
  <sheets>
    <sheet name="Summary" sheetId="19" r:id="rId1"/>
    <sheet name="Segments" sheetId="4" r:id="rId2"/>
    <sheet name="Industry" sheetId="3" r:id="rId3"/>
    <sheet name="Peers" sheetId="17" r:id="rId4"/>
    <sheet name="Peers (2)" sheetId="48" state="hidden" r:id="rId5"/>
    <sheet name="ESG" sheetId="2" r:id="rId6"/>
    <sheet name="ESG Inputs" sheetId="28" r:id="rId7"/>
    <sheet name="IESG" sheetId="44" state="hidden" r:id="rId8"/>
    <sheet name="DCF (2)" sheetId="46" state="hidden" r:id="rId9"/>
    <sheet name="DCF" sheetId="8" r:id="rId10"/>
    <sheet name="DCF (3)" sheetId="51" r:id="rId11"/>
    <sheet name="WACC" sheetId="6" r:id="rId12"/>
    <sheet name="Multiples" sheetId="11" r:id="rId13"/>
    <sheet name="Sensitivity" sheetId="27" r:id="rId14"/>
    <sheet name="Inputs" sheetId="9" r:id="rId15"/>
    <sheet name="Income - GAAP" sheetId="30" r:id="rId16"/>
    <sheet name="IPEERS" sheetId="43" r:id="rId17"/>
    <sheet name="Income - Adjusted" sheetId="29" r:id="rId18"/>
    <sheet name="Bal Sheet - Standardized" sheetId="31" r:id="rId19"/>
    <sheet name="Cash Flow - Standardized" sheetId="32" r:id="rId20"/>
    <sheet name="Profitability" sheetId="33" r:id="rId21"/>
    <sheet name="By Measure" sheetId="34" r:id="rId22"/>
    <sheet name="By Geography" sheetId="35" r:id="rId23"/>
    <sheet name="ESG - Overview" sheetId="36" r:id="rId24"/>
    <sheet name="Environmental" sheetId="37" r:id="rId25"/>
    <sheet name="Social" sheetId="38" r:id="rId26"/>
    <sheet name="Governance" sheetId="39" r:id="rId27"/>
    <sheet name="Exec &amp; Dir Comp" sheetId="40" r:id="rId28"/>
    <sheet name="ESG Ratios" sheetId="41" r:id="rId29"/>
    <sheet name="CDP" sheetId="42" r:id="rId30"/>
  </sheets>
  <definedNames>
    <definedName name="_xlchart.v1.0" hidden="1">Sensitivity!$B$56:$B$10055</definedName>
    <definedName name="_xlchart.v5.0" hidden="1">Segments!$AB$5</definedName>
    <definedName name="_xlchart.v5.1" hidden="1">Segments!$AB$6:$AB$21</definedName>
    <definedName name="_xlchart.v5.2" hidden="1">Segments!$AC$6:$AC$21</definedName>
    <definedName name="blablabla" comment="No description available" localSheetId="10">_xlfn.LAMBDA(_xldudf_BOARDFLARE_EXEC("workbook-settings:coolfucntion"))</definedName>
    <definedName name="blablabla" comment="No description available" localSheetId="4">_xlfn.LAMBDA(_xldudf_BOARDFLARE_EXEC("workbook-settings:coolfucntion"))</definedName>
    <definedName name="blablabla" comment="No description available">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10">_xlfn.LAMBDA(_xldudf_BOARDFLARE_EXEC("workbook-settings:coolfucntion"))</definedName>
    <definedName name="COOLFUCNTION" comment="No description available" localSheetId="5">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12">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1">_xlfn.LAMBDA(_xldudf_BOARDFLARE_EXEC("workbook-settings:coolfucntion"))</definedName>
    <definedName name="COOLFUCNTION" comment="No description available" localSheetId="0">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_xlfn.LAMBDA(_xldudf_BOARDFLARE_EXEC("workbook-settings:coolfucntion"))</definedName>
    <definedName name="DCF_2" comment="No description available" localSheetId="8">_xlfn.LAMBDA(_xldudf_BOARDFLARE_EXEC("workbook-settings:coolfucntion"))</definedName>
    <definedName name="DCF_2" comment="No description available" localSheetId="10">_xlfn.LAMBDA(_xldudf_BOARDFLARE_EXEC("workbook-settings:coolfucntion"))</definedName>
    <definedName name="DCF_2" comment="No description available" localSheetId="4">_xlfn.LAMBDA(_xldudf_BOARDFLARE_EXEC("workbook-settings:coolfucntion"))</definedName>
    <definedName name="DCF_2" comment="No description available">_xlfn.LAMBDA(_xldudf_BOARDFLARE_EXEC("workbook-settings:coolfucntion"))</definedName>
    <definedName name="HTML_CodePage" hidden="1">1252</definedName>
    <definedName name="HTML_Control" localSheetId="9" hidden="1">{"'Sheet1'!$A$1:$H$145"}</definedName>
    <definedName name="HTML_Control" localSheetId="8" hidden="1">{"'Sheet1'!$A$1:$H$145"}</definedName>
    <definedName name="HTML_Control" localSheetId="10" hidden="1">{"'Sheet1'!$A$1:$H$145"}</definedName>
    <definedName name="HTML_Control" localSheetId="5" hidden="1">{"'Sheet1'!$A$1:$H$145"}</definedName>
    <definedName name="HTML_Control" localSheetId="2" hidden="1">{"'Sheet1'!$A$1:$H$145"}</definedName>
    <definedName name="HTML_Control" localSheetId="14" hidden="1">{"'Sheet1'!$A$1:$H$145"}</definedName>
    <definedName name="HTML_Control" localSheetId="12" hidden="1">{"'Sheet1'!$A$1:$H$145"}</definedName>
    <definedName name="HTML_Control" localSheetId="3" hidden="1">{"'Sheet1'!$A$1:$H$145"}</definedName>
    <definedName name="HTML_Control" localSheetId="4" hidden="1">{"'Sheet1'!$A$1:$H$145"}</definedName>
    <definedName name="HTML_Control" localSheetId="1" hidden="1">{"'Sheet1'!$A$1:$H$145"}</definedName>
    <definedName name="HTML_Control" localSheetId="11"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5">#REF!</definedName>
    <definedName name="Sectors" localSheetId="3">#REF!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Q11" i="17" a="1"/>
  <c r="Q11" i="17" s="1"/>
  <c r="O11" i="17" s="1" a="1"/>
  <c r="O11" i="17" s="1"/>
  <c r="B11" i="17" a="1"/>
  <c r="B11" i="17" s="1"/>
  <c r="AL44" i="51"/>
  <c r="AM44" i="51" s="1"/>
  <c r="AN44" i="51" s="1"/>
  <c r="AO44" i="51" s="1"/>
  <c r="AP44" i="51" s="1"/>
  <c r="AQ44" i="51" s="1"/>
  <c r="AR44" i="51" s="1"/>
  <c r="AS44" i="51" s="1"/>
  <c r="AN310" i="51"/>
  <c r="AN300" i="51"/>
  <c r="Q276" i="51"/>
  <c r="Q277" i="51" s="1"/>
  <c r="P276" i="51"/>
  <c r="P277" i="51" s="1"/>
  <c r="O276" i="51"/>
  <c r="O277" i="51" s="1"/>
  <c r="N276" i="51"/>
  <c r="N277" i="51" s="1"/>
  <c r="M276" i="51"/>
  <c r="M277" i="51" s="1"/>
  <c r="L276" i="51"/>
  <c r="L277" i="51" s="1"/>
  <c r="K276" i="51"/>
  <c r="K277" i="51" s="1"/>
  <c r="J276" i="51"/>
  <c r="J277" i="51" s="1"/>
  <c r="I276" i="51"/>
  <c r="I277" i="51" s="1"/>
  <c r="H276" i="51"/>
  <c r="H277" i="51" s="1"/>
  <c r="E246" i="51"/>
  <c r="E273" i="51" s="1"/>
  <c r="Q228" i="51" a="1"/>
  <c r="Q228" i="51" s="1"/>
  <c r="Q225" i="51" a="1"/>
  <c r="Q225" i="51" s="1"/>
  <c r="S221" i="51"/>
  <c r="R221" i="51"/>
  <c r="S220" i="51"/>
  <c r="R220" i="51"/>
  <c r="P214" i="51"/>
  <c r="H214" i="51" s="1"/>
  <c r="H213" i="51" s="1"/>
  <c r="I213" i="51" s="1"/>
  <c r="J213" i="51" s="1"/>
  <c r="K213" i="51" s="1"/>
  <c r="L213" i="51" s="1"/>
  <c r="M213" i="51" s="1"/>
  <c r="N213" i="51" s="1"/>
  <c r="O213" i="51" s="1"/>
  <c r="P213" i="51" s="1"/>
  <c r="Q213" i="51" s="1"/>
  <c r="E186" i="51"/>
  <c r="E231" i="51" s="1"/>
  <c r="G183" i="51"/>
  <c r="F183" i="51"/>
  <c r="E183" i="51"/>
  <c r="G181" i="51"/>
  <c r="F181" i="51"/>
  <c r="E181" i="51"/>
  <c r="G179" i="51"/>
  <c r="F179" i="51"/>
  <c r="E179" i="51"/>
  <c r="G176" i="51"/>
  <c r="F176" i="51"/>
  <c r="E176" i="51"/>
  <c r="G174" i="51"/>
  <c r="F174" i="51"/>
  <c r="E174" i="51"/>
  <c r="I172" i="51"/>
  <c r="J172" i="51" s="1"/>
  <c r="G171" i="51"/>
  <c r="F171" i="51"/>
  <c r="E171" i="51"/>
  <c r="G168" i="51"/>
  <c r="F168" i="51"/>
  <c r="E168" i="51"/>
  <c r="G165" i="51"/>
  <c r="F165" i="51"/>
  <c r="E165" i="51"/>
  <c r="G163" i="51"/>
  <c r="F163" i="51"/>
  <c r="E163" i="51"/>
  <c r="G161" i="51"/>
  <c r="F161" i="51"/>
  <c r="E161" i="51"/>
  <c r="G159" i="51"/>
  <c r="F159" i="51"/>
  <c r="E159" i="51"/>
  <c r="G156" i="51"/>
  <c r="F156" i="51"/>
  <c r="E156" i="51"/>
  <c r="G154" i="51"/>
  <c r="H154" i="51" s="1"/>
  <c r="I154" i="51" s="1"/>
  <c r="F154" i="51"/>
  <c r="E154" i="51"/>
  <c r="G152" i="51"/>
  <c r="F152" i="51"/>
  <c r="F208" i="51" s="1"/>
  <c r="E152" i="51"/>
  <c r="G150" i="51"/>
  <c r="F150" i="51"/>
  <c r="E150" i="51"/>
  <c r="G148" i="51"/>
  <c r="F148" i="51"/>
  <c r="E148" i="51"/>
  <c r="G146" i="51"/>
  <c r="G206" i="51" s="1"/>
  <c r="G256" i="51" s="1"/>
  <c r="F146" i="51"/>
  <c r="F206" i="51" s="1"/>
  <c r="F256" i="51" s="1"/>
  <c r="E146" i="51"/>
  <c r="E206" i="51" s="1"/>
  <c r="E256" i="51" s="1"/>
  <c r="G143" i="51"/>
  <c r="G204" i="51" s="1"/>
  <c r="F143" i="51"/>
  <c r="F204" i="51" s="1"/>
  <c r="E143" i="51"/>
  <c r="E204" i="51" s="1"/>
  <c r="E139" i="51"/>
  <c r="G136" i="51"/>
  <c r="F136" i="51"/>
  <c r="E136" i="51"/>
  <c r="G134" i="51"/>
  <c r="F134" i="51"/>
  <c r="E134" i="51"/>
  <c r="G131" i="51"/>
  <c r="F131" i="51"/>
  <c r="E131" i="51"/>
  <c r="G128" i="51"/>
  <c r="F128" i="51"/>
  <c r="E128" i="51"/>
  <c r="G123" i="51"/>
  <c r="H74" i="51" s="1"/>
  <c r="F123" i="51"/>
  <c r="E123" i="51"/>
  <c r="G121" i="51"/>
  <c r="F121" i="51"/>
  <c r="E121" i="51"/>
  <c r="G119" i="51"/>
  <c r="F119" i="51"/>
  <c r="E119" i="51"/>
  <c r="G118" i="51"/>
  <c r="F118" i="51"/>
  <c r="E118" i="51"/>
  <c r="G114" i="51"/>
  <c r="F114" i="51"/>
  <c r="E114" i="51"/>
  <c r="G111" i="51"/>
  <c r="F111" i="51"/>
  <c r="E111" i="51"/>
  <c r="G108" i="51"/>
  <c r="F108" i="51"/>
  <c r="E108" i="51"/>
  <c r="G106" i="51"/>
  <c r="AD9" i="51" s="1"/>
  <c r="F106" i="51"/>
  <c r="AD8" i="51" s="1"/>
  <c r="E106" i="51"/>
  <c r="AD7" i="51" s="1"/>
  <c r="E102" i="51"/>
  <c r="G99" i="51"/>
  <c r="F99" i="51"/>
  <c r="E99" i="51"/>
  <c r="E250" i="51" s="1"/>
  <c r="G96" i="51"/>
  <c r="F96" i="51"/>
  <c r="E96" i="51"/>
  <c r="G94" i="51"/>
  <c r="F94" i="51"/>
  <c r="E94" i="51"/>
  <c r="G92" i="51"/>
  <c r="F92" i="51"/>
  <c r="E92" i="51"/>
  <c r="Q89" i="51"/>
  <c r="P89" i="51"/>
  <c r="O89" i="51"/>
  <c r="H89" i="51"/>
  <c r="G89" i="51"/>
  <c r="F89" i="51"/>
  <c r="E89" i="51"/>
  <c r="G86" i="51"/>
  <c r="G87" i="51" s="1"/>
  <c r="F86" i="51"/>
  <c r="F87" i="51" s="1"/>
  <c r="E86" i="51"/>
  <c r="E87" i="51" s="1"/>
  <c r="L84" i="51"/>
  <c r="M84" i="51" s="1"/>
  <c r="N84" i="51" s="1"/>
  <c r="O84" i="51" s="1"/>
  <c r="P84" i="51" s="1"/>
  <c r="I84" i="51"/>
  <c r="J84" i="51" s="1"/>
  <c r="G83" i="51"/>
  <c r="G84" i="51" s="1"/>
  <c r="F83" i="51"/>
  <c r="F84" i="51" s="1"/>
  <c r="E83" i="51"/>
  <c r="E84" i="51" s="1"/>
  <c r="G80" i="51"/>
  <c r="G81" i="51" s="1"/>
  <c r="F80" i="51"/>
  <c r="F81" i="51" s="1"/>
  <c r="E80" i="51"/>
  <c r="E81" i="51" s="1"/>
  <c r="G77" i="51"/>
  <c r="F77" i="51"/>
  <c r="E77" i="51"/>
  <c r="G74" i="51"/>
  <c r="G75" i="51" s="1"/>
  <c r="F74" i="51"/>
  <c r="F75" i="51" s="1"/>
  <c r="E74" i="51"/>
  <c r="E75" i="51" s="1"/>
  <c r="G71" i="51"/>
  <c r="G72" i="51" s="1"/>
  <c r="F71" i="51"/>
  <c r="F72" i="51" s="1"/>
  <c r="E71" i="51"/>
  <c r="E72" i="51" s="1"/>
  <c r="I69" i="51"/>
  <c r="J69" i="51" s="1"/>
  <c r="K69" i="51" s="1"/>
  <c r="L69" i="51" s="1"/>
  <c r="M69" i="51" s="1"/>
  <c r="G68" i="51"/>
  <c r="G69" i="51" s="1"/>
  <c r="F68" i="51"/>
  <c r="E68" i="51"/>
  <c r="E141" i="51" s="1"/>
  <c r="G65" i="51"/>
  <c r="F65" i="51"/>
  <c r="E65" i="51"/>
  <c r="G63" i="51"/>
  <c r="F63" i="51"/>
  <c r="E63" i="51"/>
  <c r="H60" i="51"/>
  <c r="G60" i="51"/>
  <c r="F60" i="51"/>
  <c r="E60" i="51"/>
  <c r="G57" i="51"/>
  <c r="F57" i="51"/>
  <c r="E57" i="51"/>
  <c r="G54" i="51"/>
  <c r="F54" i="51"/>
  <c r="E54" i="51"/>
  <c r="I52" i="51"/>
  <c r="J52" i="51" s="1"/>
  <c r="K52" i="51" s="1"/>
  <c r="L52" i="51" s="1"/>
  <c r="H51" i="51"/>
  <c r="H54" i="51" s="1"/>
  <c r="H55" i="51" s="1"/>
  <c r="G51" i="51"/>
  <c r="F51" i="51"/>
  <c r="E51" i="51"/>
  <c r="G48" i="51"/>
  <c r="G188" i="51" s="1"/>
  <c r="F48" i="51"/>
  <c r="E48" i="51"/>
  <c r="E188" i="51" s="1"/>
  <c r="D48" i="51"/>
  <c r="F46" i="51"/>
  <c r="G46" i="51" s="1"/>
  <c r="H46" i="51" s="1"/>
  <c r="G43" i="51"/>
  <c r="G44" i="51" s="1"/>
  <c r="F43" i="51"/>
  <c r="F44" i="51" s="1"/>
  <c r="E43" i="51"/>
  <c r="E44" i="51" s="1"/>
  <c r="G37" i="51"/>
  <c r="F37" i="51"/>
  <c r="E37" i="51"/>
  <c r="Q33" i="51"/>
  <c r="P33" i="51"/>
  <c r="O33" i="51"/>
  <c r="N33" i="51"/>
  <c r="M33" i="51"/>
  <c r="L33" i="51"/>
  <c r="K33" i="51"/>
  <c r="J33" i="51"/>
  <c r="I33" i="51"/>
  <c r="H32" i="51"/>
  <c r="H31" i="51"/>
  <c r="G31" i="51"/>
  <c r="F31" i="51"/>
  <c r="AO45" i="51"/>
  <c r="Q23" i="51"/>
  <c r="P23" i="51"/>
  <c r="N23" i="51"/>
  <c r="M23" i="51"/>
  <c r="L23" i="51"/>
  <c r="K23" i="51"/>
  <c r="J23" i="51"/>
  <c r="I23" i="51"/>
  <c r="G22" i="51"/>
  <c r="F22" i="51"/>
  <c r="E22" i="51"/>
  <c r="G21" i="51"/>
  <c r="F21" i="51"/>
  <c r="AN19" i="51"/>
  <c r="H19" i="51"/>
  <c r="H23" i="51" s="1"/>
  <c r="P18" i="51"/>
  <c r="N18" i="51"/>
  <c r="N89" i="51" s="1"/>
  <c r="C13" i="51"/>
  <c r="L10" i="51"/>
  <c r="F10" i="51"/>
  <c r="AI9" i="51"/>
  <c r="AH9" i="51"/>
  <c r="AF9" i="51"/>
  <c r="AE9" i="51"/>
  <c r="W8" i="51"/>
  <c r="W9" i="51" s="1"/>
  <c r="W10" i="51" s="1"/>
  <c r="W11" i="51" s="1"/>
  <c r="W12" i="51" s="1"/>
  <c r="W13" i="51" s="1"/>
  <c r="W14" i="51" s="1"/>
  <c r="K11" i="17" l="1" a="1"/>
  <c r="K11" i="17" s="1"/>
  <c r="L11" i="17" a="1"/>
  <c r="L11" i="17" s="1"/>
  <c r="M11" i="17" a="1"/>
  <c r="M11" i="17" s="1"/>
  <c r="N11" i="17" a="1"/>
  <c r="N11" i="17" s="1"/>
  <c r="J11" i="17" a="1"/>
  <c r="J11" i="17" s="1"/>
  <c r="F109" i="51"/>
  <c r="G97" i="51"/>
  <c r="G144" i="51"/>
  <c r="G260" i="51"/>
  <c r="AC9" i="51" s="1"/>
  <c r="G55" i="51"/>
  <c r="AG9" i="51"/>
  <c r="E157" i="51"/>
  <c r="F112" i="51"/>
  <c r="G117" i="51"/>
  <c r="G38" i="51"/>
  <c r="E117" i="51"/>
  <c r="F157" i="51"/>
  <c r="F275" i="51"/>
  <c r="AA8" i="51" s="1"/>
  <c r="H123" i="51"/>
  <c r="E66" i="51"/>
  <c r="H49" i="51"/>
  <c r="H148" i="51" s="1"/>
  <c r="G66" i="51"/>
  <c r="G141" i="51"/>
  <c r="G202" i="51" s="1"/>
  <c r="G275" i="51"/>
  <c r="AA9" i="51" s="1"/>
  <c r="F129" i="51"/>
  <c r="E55" i="51"/>
  <c r="G120" i="51"/>
  <c r="G52" i="51"/>
  <c r="F115" i="51"/>
  <c r="F260" i="51"/>
  <c r="AC8" i="51" s="1"/>
  <c r="G78" i="51"/>
  <c r="G195" i="51" s="1"/>
  <c r="G100" i="51"/>
  <c r="E115" i="51"/>
  <c r="F120" i="51"/>
  <c r="G129" i="51"/>
  <c r="F38" i="51"/>
  <c r="G115" i="51"/>
  <c r="F132" i="51"/>
  <c r="G132" i="51"/>
  <c r="E24" i="51"/>
  <c r="E52" i="51"/>
  <c r="E109" i="51"/>
  <c r="F24" i="51"/>
  <c r="G109" i="51"/>
  <c r="F254" i="51"/>
  <c r="F49" i="51"/>
  <c r="F189" i="51" s="1"/>
  <c r="E39" i="51"/>
  <c r="F61" i="51"/>
  <c r="E34" i="51"/>
  <c r="G61" i="51"/>
  <c r="E120" i="51"/>
  <c r="E260" i="51"/>
  <c r="AC7" i="51" s="1"/>
  <c r="E144" i="51"/>
  <c r="G24" i="51"/>
  <c r="F34" i="51"/>
  <c r="E69" i="51"/>
  <c r="G112" i="51"/>
  <c r="E129" i="51"/>
  <c r="F258" i="51"/>
  <c r="E61" i="51"/>
  <c r="H34" i="51"/>
  <c r="G39" i="51"/>
  <c r="N69" i="51"/>
  <c r="M52" i="51"/>
  <c r="F246" i="51"/>
  <c r="F273" i="51" s="1"/>
  <c r="F139" i="51"/>
  <c r="F186" i="51"/>
  <c r="F231" i="51" s="1"/>
  <c r="F188" i="51"/>
  <c r="F137" i="51"/>
  <c r="F55" i="51"/>
  <c r="F52" i="51"/>
  <c r="H72" i="51"/>
  <c r="O19" i="51"/>
  <c r="O23" i="51" s="1"/>
  <c r="G34" i="51"/>
  <c r="G246" i="51"/>
  <c r="G139" i="51"/>
  <c r="G186" i="51"/>
  <c r="G231" i="51" s="1"/>
  <c r="F66" i="51"/>
  <c r="F100" i="51"/>
  <c r="Q18" i="51"/>
  <c r="H22" i="51"/>
  <c r="AO19" i="51"/>
  <c r="AP19" i="51" s="1"/>
  <c r="AQ19" i="51" s="1"/>
  <c r="AR19" i="51" s="1"/>
  <c r="AS19" i="51" s="1"/>
  <c r="H186" i="51"/>
  <c r="H231" i="51" s="1"/>
  <c r="H139" i="51"/>
  <c r="I46" i="51"/>
  <c r="H102" i="51"/>
  <c r="F117" i="51"/>
  <c r="E208" i="51"/>
  <c r="E258" i="51"/>
  <c r="E248" i="51"/>
  <c r="E194" i="51"/>
  <c r="E78" i="51"/>
  <c r="E195" i="51" s="1"/>
  <c r="E124" i="51"/>
  <c r="F124" i="51"/>
  <c r="E97" i="51"/>
  <c r="F97" i="51"/>
  <c r="F39" i="51"/>
  <c r="F58" i="51"/>
  <c r="F102" i="51"/>
  <c r="M18" i="51"/>
  <c r="I32" i="51"/>
  <c r="AP45" i="51"/>
  <c r="G58" i="51"/>
  <c r="F141" i="51"/>
  <c r="F69" i="51"/>
  <c r="G250" i="51"/>
  <c r="G169" i="51"/>
  <c r="G102" i="51"/>
  <c r="G124" i="51"/>
  <c r="J154" i="51"/>
  <c r="E49" i="51"/>
  <c r="E189" i="51" s="1"/>
  <c r="E252" i="51"/>
  <c r="E202" i="51"/>
  <c r="G208" i="51"/>
  <c r="G258" i="51"/>
  <c r="G157" i="51"/>
  <c r="G49" i="51"/>
  <c r="G189" i="51" s="1"/>
  <c r="E166" i="51"/>
  <c r="E58" i="51"/>
  <c r="G166" i="51"/>
  <c r="F172" i="51"/>
  <c r="G172" i="51"/>
  <c r="E137" i="51"/>
  <c r="F248" i="51"/>
  <c r="F194" i="51"/>
  <c r="G248" i="51"/>
  <c r="G194" i="51"/>
  <c r="F78" i="51"/>
  <c r="F195" i="51" s="1"/>
  <c r="F250" i="51"/>
  <c r="F166" i="51"/>
  <c r="F169" i="51"/>
  <c r="E100" i="51"/>
  <c r="E132" i="51"/>
  <c r="G137" i="51"/>
  <c r="E169" i="51"/>
  <c r="E275" i="51"/>
  <c r="AA7" i="51" s="1"/>
  <c r="E172" i="51"/>
  <c r="E112" i="51"/>
  <c r="K172" i="51"/>
  <c r="E254" i="51"/>
  <c r="G254" i="51"/>
  <c r="F144" i="51"/>
  <c r="P126" i="48"/>
  <c r="P125" i="48"/>
  <c r="P124" i="48"/>
  <c r="P123" i="48"/>
  <c r="P122" i="48"/>
  <c r="P121" i="48"/>
  <c r="P120" i="48"/>
  <c r="P116" i="48"/>
  <c r="P115" i="48"/>
  <c r="P114" i="48"/>
  <c r="P113" i="48"/>
  <c r="P112" i="48"/>
  <c r="P111" i="48"/>
  <c r="P110" i="48"/>
  <c r="P109" i="48"/>
  <c r="P108" i="48"/>
  <c r="P107" i="48"/>
  <c r="P106" i="48"/>
  <c r="P105" i="48"/>
  <c r="P101" i="48"/>
  <c r="P100" i="48"/>
  <c r="P99" i="48"/>
  <c r="P98" i="48"/>
  <c r="P97" i="48"/>
  <c r="P96" i="48"/>
  <c r="P95" i="48"/>
  <c r="P94" i="48"/>
  <c r="H93" i="48"/>
  <c r="G93" i="48"/>
  <c r="F93" i="48"/>
  <c r="E93" i="48"/>
  <c r="Q93" i="48"/>
  <c r="P93" i="48"/>
  <c r="P92" i="48"/>
  <c r="P91" i="48"/>
  <c r="B91" i="48"/>
  <c r="P90" i="48"/>
  <c r="P89" i="48"/>
  <c r="P88" i="48"/>
  <c r="B88" i="48"/>
  <c r="P87" i="48"/>
  <c r="B87" i="48"/>
  <c r="U85" i="48"/>
  <c r="U68" i="48" s="1" a="1"/>
  <c r="U68" i="48" s="1"/>
  <c r="U69" i="48" s="1"/>
  <c r="T85" i="48"/>
  <c r="T68" i="48" s="1" a="1"/>
  <c r="T68" i="48" s="1"/>
  <c r="T69" i="48" s="1"/>
  <c r="S85" i="48"/>
  <c r="R85" i="48"/>
  <c r="Q85" i="48"/>
  <c r="Q79" i="48" s="1" a="1"/>
  <c r="Q79" i="48" s="1"/>
  <c r="P85" i="48"/>
  <c r="A5" i="48" s="1"/>
  <c r="H79" i="48" a="1"/>
  <c r="H79" i="48" s="1"/>
  <c r="G79" i="48" a="1"/>
  <c r="G79" i="48" s="1"/>
  <c r="F79" i="48" a="1"/>
  <c r="F79" i="48" s="1"/>
  <c r="E79" i="48" a="1"/>
  <c r="E79" i="48" s="1"/>
  <c r="D79" i="48" a="1"/>
  <c r="D79" i="48" s="1"/>
  <c r="I74" i="48"/>
  <c r="E74" i="48"/>
  <c r="I72" i="48"/>
  <c r="I71" i="48"/>
  <c r="I70" i="48"/>
  <c r="H68" i="48" a="1"/>
  <c r="H68" i="48" s="1"/>
  <c r="H69" i="48" s="1"/>
  <c r="G68" i="48" a="1"/>
  <c r="G68" i="48" s="1"/>
  <c r="G69" i="48" s="1"/>
  <c r="F68" i="48" a="1"/>
  <c r="F68" i="48" s="1"/>
  <c r="F69" i="48" s="1"/>
  <c r="E68" i="48" a="1"/>
  <c r="E68" i="48" s="1"/>
  <c r="E69" i="48" s="1"/>
  <c r="D68" i="48" a="1"/>
  <c r="D68" i="48" s="1"/>
  <c r="D69" i="48" s="1"/>
  <c r="D67" i="48"/>
  <c r="I67" i="48" s="1"/>
  <c r="U67" i="48"/>
  <c r="T67" i="48"/>
  <c r="S67" i="48"/>
  <c r="R67" i="48"/>
  <c r="Q67" i="48"/>
  <c r="P67" i="48"/>
  <c r="I65" i="48"/>
  <c r="E65" i="48"/>
  <c r="I63" i="48"/>
  <c r="H62" i="48"/>
  <c r="G62" i="48"/>
  <c r="F62" i="48"/>
  <c r="E62" i="48"/>
  <c r="D62" i="48"/>
  <c r="U62" i="48"/>
  <c r="T62" i="48"/>
  <c r="S62" i="48"/>
  <c r="R62" i="48"/>
  <c r="Q62" i="48"/>
  <c r="H61" i="48"/>
  <c r="G61" i="48"/>
  <c r="F61" i="48"/>
  <c r="E61" i="48"/>
  <c r="D61" i="48"/>
  <c r="U61" i="48"/>
  <c r="T61" i="48"/>
  <c r="S61" i="48"/>
  <c r="R61" i="48"/>
  <c r="Q61" i="48"/>
  <c r="H60" i="48"/>
  <c r="G60" i="48"/>
  <c r="F60" i="48"/>
  <c r="E60" i="48"/>
  <c r="D60" i="48"/>
  <c r="U60" i="48"/>
  <c r="T60" i="48"/>
  <c r="S60" i="48"/>
  <c r="R60" i="48"/>
  <c r="Q60" i="48"/>
  <c r="H59" i="48"/>
  <c r="G59" i="48"/>
  <c r="F59" i="48"/>
  <c r="E59" i="48"/>
  <c r="D59" i="48"/>
  <c r="U59" i="48"/>
  <c r="T59" i="48"/>
  <c r="S59" i="48"/>
  <c r="R59" i="48"/>
  <c r="Q59" i="48"/>
  <c r="H58" i="48"/>
  <c r="G58" i="48"/>
  <c r="F58" i="48"/>
  <c r="E58" i="48"/>
  <c r="D58" i="48"/>
  <c r="U58" i="48"/>
  <c r="T58" i="48"/>
  <c r="S58" i="48"/>
  <c r="R58" i="48"/>
  <c r="Q58" i="48"/>
  <c r="H57" i="48"/>
  <c r="G57" i="48"/>
  <c r="F57" i="48"/>
  <c r="E57" i="48"/>
  <c r="D57" i="48"/>
  <c r="U57" i="48"/>
  <c r="T57" i="48"/>
  <c r="S57" i="48"/>
  <c r="R57" i="48"/>
  <c r="Q57" i="48"/>
  <c r="H56" i="48"/>
  <c r="G56" i="48"/>
  <c r="F56" i="48"/>
  <c r="E56" i="48"/>
  <c r="D56" i="48"/>
  <c r="U56" i="48"/>
  <c r="T56" i="48"/>
  <c r="S56" i="48"/>
  <c r="R56" i="48"/>
  <c r="Q56" i="48"/>
  <c r="H55" i="48"/>
  <c r="G55" i="48"/>
  <c r="F55" i="48"/>
  <c r="E55" i="48"/>
  <c r="D55" i="48"/>
  <c r="U55" i="48"/>
  <c r="T55" i="48"/>
  <c r="S55" i="48"/>
  <c r="I55" i="48" s="1"/>
  <c r="R55" i="48"/>
  <c r="Q55" i="48"/>
  <c r="H50" i="48"/>
  <c r="G50" i="48"/>
  <c r="F50" i="48"/>
  <c r="E50" i="48"/>
  <c r="D50" i="48"/>
  <c r="U50" i="48"/>
  <c r="T50" i="48"/>
  <c r="S50" i="48"/>
  <c r="R50" i="48"/>
  <c r="Q50" i="48"/>
  <c r="H49" i="48"/>
  <c r="G49" i="48"/>
  <c r="F49" i="48"/>
  <c r="E49" i="48"/>
  <c r="D49" i="48"/>
  <c r="U49" i="48"/>
  <c r="T49" i="48"/>
  <c r="S49" i="48"/>
  <c r="R49" i="48"/>
  <c r="Q49" i="48"/>
  <c r="H48" i="48"/>
  <c r="G48" i="48"/>
  <c r="F48" i="48"/>
  <c r="E48" i="48"/>
  <c r="D48" i="48"/>
  <c r="U48" i="48"/>
  <c r="T48" i="48"/>
  <c r="S48" i="48"/>
  <c r="R48" i="48"/>
  <c r="R51" i="48" s="1"/>
  <c r="Q48" i="48"/>
  <c r="Q51" i="48" s="1"/>
  <c r="H47" i="48"/>
  <c r="G47" i="48"/>
  <c r="F47" i="48"/>
  <c r="E47" i="48"/>
  <c r="D47" i="48"/>
  <c r="U47" i="48"/>
  <c r="T47" i="48"/>
  <c r="S47" i="48"/>
  <c r="R47" i="48"/>
  <c r="Q47" i="48"/>
  <c r="H46" i="48"/>
  <c r="G46" i="48"/>
  <c r="F46" i="48"/>
  <c r="E46" i="48"/>
  <c r="D46" i="48"/>
  <c r="I46" i="48" s="1"/>
  <c r="U46" i="48"/>
  <c r="T46" i="48"/>
  <c r="S46" i="48"/>
  <c r="R46" i="48"/>
  <c r="Q46" i="48"/>
  <c r="I44" i="48"/>
  <c r="E44" i="48"/>
  <c r="H42" i="48"/>
  <c r="G42" i="48"/>
  <c r="F42" i="48"/>
  <c r="E42" i="48"/>
  <c r="D42" i="48"/>
  <c r="U42" i="48"/>
  <c r="T42" i="48"/>
  <c r="S42" i="48"/>
  <c r="R42" i="48"/>
  <c r="Q42" i="48"/>
  <c r="H41" i="48"/>
  <c r="G41" i="48"/>
  <c r="F41" i="48"/>
  <c r="E41" i="48"/>
  <c r="D41" i="48"/>
  <c r="I41" i="48" s="1"/>
  <c r="U41" i="48"/>
  <c r="T41" i="48"/>
  <c r="S41" i="48"/>
  <c r="R41" i="48"/>
  <c r="Q41" i="48"/>
  <c r="H40" i="48"/>
  <c r="G40" i="48"/>
  <c r="F40" i="48"/>
  <c r="E40" i="48"/>
  <c r="D40" i="48"/>
  <c r="U40" i="48"/>
  <c r="T40" i="48"/>
  <c r="S40" i="48"/>
  <c r="R40" i="48"/>
  <c r="Q40" i="48"/>
  <c r="I38" i="48"/>
  <c r="E38" i="48"/>
  <c r="T38" i="48"/>
  <c r="S38" i="48"/>
  <c r="H36" i="48"/>
  <c r="G36" i="48"/>
  <c r="F36" i="48"/>
  <c r="E36" i="48"/>
  <c r="D36" i="48"/>
  <c r="U36" i="48"/>
  <c r="T36" i="48"/>
  <c r="S36" i="48"/>
  <c r="R36" i="48"/>
  <c r="Q36" i="48"/>
  <c r="H35" i="48"/>
  <c r="G35" i="48"/>
  <c r="F35" i="48"/>
  <c r="E35" i="48"/>
  <c r="D35" i="48"/>
  <c r="U35" i="48"/>
  <c r="T35" i="48"/>
  <c r="S35" i="48"/>
  <c r="R35" i="48"/>
  <c r="Q35" i="48"/>
  <c r="H34" i="48"/>
  <c r="G34" i="48"/>
  <c r="F34" i="48"/>
  <c r="E34" i="48"/>
  <c r="D34" i="48"/>
  <c r="U34" i="48"/>
  <c r="T34" i="48"/>
  <c r="S34" i="48"/>
  <c r="R34" i="48"/>
  <c r="Q34" i="48"/>
  <c r="I32" i="48"/>
  <c r="I53" i="48" s="1"/>
  <c r="E32" i="48"/>
  <c r="E53" i="48" s="1"/>
  <c r="H30" i="48"/>
  <c r="G30" i="48"/>
  <c r="F30" i="48"/>
  <c r="E30" i="48"/>
  <c r="D30" i="48"/>
  <c r="U30" i="48"/>
  <c r="T30" i="48"/>
  <c r="S30" i="48"/>
  <c r="R30" i="48"/>
  <c r="Q30" i="48"/>
  <c r="H29" i="48"/>
  <c r="G29" i="48"/>
  <c r="F29" i="48"/>
  <c r="E29" i="48"/>
  <c r="D29" i="48"/>
  <c r="U29" i="48"/>
  <c r="T29" i="48"/>
  <c r="S29" i="48"/>
  <c r="R29" i="48"/>
  <c r="Q29" i="48"/>
  <c r="H28" i="48"/>
  <c r="G28" i="48"/>
  <c r="F28" i="48"/>
  <c r="E28" i="48"/>
  <c r="D28" i="48"/>
  <c r="U28" i="48"/>
  <c r="T28" i="48"/>
  <c r="S28" i="48"/>
  <c r="R28" i="48"/>
  <c r="Q28" i="48"/>
  <c r="H27" i="48"/>
  <c r="G27" i="48"/>
  <c r="F27" i="48"/>
  <c r="E27" i="48"/>
  <c r="D27" i="48"/>
  <c r="U27" i="48"/>
  <c r="T27" i="48"/>
  <c r="S27" i="48"/>
  <c r="R27" i="48"/>
  <c r="Q27" i="48"/>
  <c r="H26" i="48"/>
  <c r="G26" i="48"/>
  <c r="F26" i="48"/>
  <c r="E26" i="48"/>
  <c r="D26" i="48"/>
  <c r="U26" i="48"/>
  <c r="T26" i="48"/>
  <c r="S26" i="48"/>
  <c r="R26" i="48"/>
  <c r="Q26" i="48"/>
  <c r="H25" i="48"/>
  <c r="G25" i="48"/>
  <c r="F25" i="48"/>
  <c r="E25" i="48"/>
  <c r="D25" i="48"/>
  <c r="U25" i="48"/>
  <c r="T25" i="48"/>
  <c r="S25" i="48"/>
  <c r="R25" i="48"/>
  <c r="Q25" i="48"/>
  <c r="H23" i="48"/>
  <c r="G23" i="48"/>
  <c r="G74" i="48" s="1"/>
  <c r="F23" i="48"/>
  <c r="F44" i="48" s="1"/>
  <c r="D23" i="48"/>
  <c r="D74" i="48" s="1"/>
  <c r="U23" i="48"/>
  <c r="U74" i="48" s="1"/>
  <c r="T23" i="48"/>
  <c r="T32" i="48" s="1"/>
  <c r="T53" i="48" s="1"/>
  <c r="S23" i="48"/>
  <c r="S32" i="48" s="1"/>
  <c r="S53" i="48" s="1"/>
  <c r="R23" i="48"/>
  <c r="R44" i="48" s="1"/>
  <c r="Q23" i="48"/>
  <c r="Q65" i="48" s="1"/>
  <c r="U21" i="48"/>
  <c r="T21" i="48"/>
  <c r="S21" i="48"/>
  <c r="U20" i="48"/>
  <c r="T20" i="48"/>
  <c r="S20" i="48"/>
  <c r="U19" i="48"/>
  <c r="T19" i="48"/>
  <c r="S19" i="48"/>
  <c r="U18" i="48"/>
  <c r="T18" i="48"/>
  <c r="S18" i="48"/>
  <c r="I11" i="48" a="1"/>
  <c r="I11" i="48" s="1"/>
  <c r="H11" i="48" a="1"/>
  <c r="H11" i="48" s="1"/>
  <c r="G11" i="48" a="1"/>
  <c r="G11" i="48" s="1"/>
  <c r="F11" i="48" a="1"/>
  <c r="F11" i="48" s="1"/>
  <c r="E11" i="48" a="1"/>
  <c r="E11" i="48" s="1"/>
  <c r="D11" i="48" a="1"/>
  <c r="D11" i="48" s="1"/>
  <c r="U11" i="48"/>
  <c r="T11" i="48"/>
  <c r="S11" i="48"/>
  <c r="R11" i="48"/>
  <c r="Q11" i="48"/>
  <c r="P11" i="48"/>
  <c r="C11" i="48" a="1"/>
  <c r="C11" i="48" s="1"/>
  <c r="I10" i="48" a="1"/>
  <c r="I10" i="48" s="1"/>
  <c r="H10" i="48" a="1"/>
  <c r="H10" i="48" s="1"/>
  <c r="G10" i="48" a="1"/>
  <c r="G10" i="48" s="1"/>
  <c r="F10" i="48" a="1"/>
  <c r="F10" i="48" s="1"/>
  <c r="E10" i="48" a="1"/>
  <c r="E10" i="48" s="1"/>
  <c r="D10" i="48" a="1"/>
  <c r="D10" i="48" s="1"/>
  <c r="U10" i="48"/>
  <c r="T10" i="48"/>
  <c r="S10" i="48"/>
  <c r="R10" i="48"/>
  <c r="Q10" i="48"/>
  <c r="P10" i="48"/>
  <c r="C10" i="48" a="1"/>
  <c r="C10" i="48" s="1"/>
  <c r="I9" i="48" a="1"/>
  <c r="I9" i="48" s="1"/>
  <c r="H9" i="48" a="1"/>
  <c r="H9" i="48" s="1"/>
  <c r="G9" i="48" a="1"/>
  <c r="G9" i="48" s="1"/>
  <c r="F9" i="48" a="1"/>
  <c r="F9" i="48" s="1"/>
  <c r="E9" i="48" a="1"/>
  <c r="E9" i="48" s="1"/>
  <c r="D9" i="48" a="1"/>
  <c r="D9" i="48" s="1"/>
  <c r="U9" i="48"/>
  <c r="T9" i="48"/>
  <c r="S9" i="48"/>
  <c r="R9" i="48"/>
  <c r="Q9" i="48"/>
  <c r="P9" i="48"/>
  <c r="C9" i="48" a="1"/>
  <c r="C9" i="48" s="1"/>
  <c r="I8" i="48" a="1"/>
  <c r="I8" i="48" s="1"/>
  <c r="H8" i="48" a="1"/>
  <c r="H8" i="48" s="1"/>
  <c r="G8" i="48" a="1"/>
  <c r="G8" i="48" s="1"/>
  <c r="F8" i="48" a="1"/>
  <c r="F8" i="48" s="1"/>
  <c r="E8" i="48" a="1"/>
  <c r="E8" i="48" s="1"/>
  <c r="D8" i="48" a="1"/>
  <c r="D8" i="48" s="1"/>
  <c r="U8" i="48"/>
  <c r="T8" i="48"/>
  <c r="S8" i="48"/>
  <c r="R8" i="48"/>
  <c r="Q8" i="48"/>
  <c r="P8" i="48"/>
  <c r="C8" i="48" a="1"/>
  <c r="C8" i="48" s="1"/>
  <c r="I7" i="48" a="1"/>
  <c r="I7" i="48" s="1"/>
  <c r="H7" i="48" a="1"/>
  <c r="H7" i="48" s="1"/>
  <c r="G7" i="48" a="1"/>
  <c r="G7" i="48" s="1"/>
  <c r="F7" i="48" a="1"/>
  <c r="F7" i="48" s="1"/>
  <c r="E7" i="48" a="1"/>
  <c r="E7" i="48" s="1"/>
  <c r="D7" i="48" a="1"/>
  <c r="D7" i="48" s="1"/>
  <c r="U7" i="48"/>
  <c r="T7" i="48"/>
  <c r="S7" i="48"/>
  <c r="R7" i="48"/>
  <c r="Q7" i="48"/>
  <c r="P7" i="48"/>
  <c r="C7" i="48" a="1"/>
  <c r="C7" i="48" s="1"/>
  <c r="I6" i="48" a="1"/>
  <c r="I6" i="48" s="1"/>
  <c r="H6" i="48" a="1"/>
  <c r="H6" i="48" s="1"/>
  <c r="G6" i="48" a="1"/>
  <c r="G6" i="48" s="1"/>
  <c r="F6" i="48" a="1"/>
  <c r="F6" i="48" s="1"/>
  <c r="E6" i="48" a="1"/>
  <c r="E6" i="48" s="1"/>
  <c r="D6" i="48" a="1"/>
  <c r="D6" i="48" s="1"/>
  <c r="T6" i="48"/>
  <c r="S6" i="48"/>
  <c r="R6" i="48"/>
  <c r="Q6" i="48"/>
  <c r="P6" i="48"/>
  <c r="C6" i="48" a="1"/>
  <c r="C6" i="48" s="1"/>
  <c r="U4" i="48"/>
  <c r="T4" i="48"/>
  <c r="Q4" i="48"/>
  <c r="P4" i="48"/>
  <c r="F78" i="48" a="1"/>
  <c r="G78" i="48" a="1"/>
  <c r="E78" i="48" a="1"/>
  <c r="H78" i="48" a="1"/>
  <c r="U77" i="48" a="1"/>
  <c r="E77" i="48" a="1"/>
  <c r="H77" i="48" a="1"/>
  <c r="G76" i="48" a="1"/>
  <c r="E76" i="48" a="1"/>
  <c r="F76" i="48" a="1"/>
  <c r="H76" i="48" a="1"/>
  <c r="F276" i="51" l="1"/>
  <c r="F277" i="51" s="1"/>
  <c r="P35" i="48"/>
  <c r="H97" i="51"/>
  <c r="I97" i="51" s="1"/>
  <c r="G200" i="51"/>
  <c r="AB9" i="51" s="1"/>
  <c r="P56" i="48"/>
  <c r="G276" i="51"/>
  <c r="G277" i="51" s="1"/>
  <c r="G252" i="51"/>
  <c r="G262" i="51" s="1"/>
  <c r="E276" i="51"/>
  <c r="E277" i="51" s="1"/>
  <c r="H157" i="51"/>
  <c r="I157" i="51" s="1"/>
  <c r="J157" i="51" s="1"/>
  <c r="H115" i="51"/>
  <c r="I115" i="51" s="1"/>
  <c r="H144" i="51"/>
  <c r="I144" i="51" s="1"/>
  <c r="H109" i="51"/>
  <c r="H108" i="51" s="1"/>
  <c r="H179" i="51"/>
  <c r="H112" i="51"/>
  <c r="H111" i="51" s="1"/>
  <c r="F200" i="51"/>
  <c r="AB8" i="51" s="1"/>
  <c r="H63" i="51"/>
  <c r="H114" i="51"/>
  <c r="H131" i="51"/>
  <c r="H132" i="51" s="1"/>
  <c r="H92" i="51"/>
  <c r="H191" i="51"/>
  <c r="H190" i="51" s="1"/>
  <c r="H161" i="51"/>
  <c r="H129" i="51"/>
  <c r="E262" i="51"/>
  <c r="Y7" i="51" s="1"/>
  <c r="I123" i="51"/>
  <c r="I74" i="51"/>
  <c r="H120" i="51"/>
  <c r="I120" i="51" s="1"/>
  <c r="H57" i="51"/>
  <c r="H43" i="51"/>
  <c r="I34" i="51"/>
  <c r="H58" i="51"/>
  <c r="I58" i="51" s="1"/>
  <c r="J58" i="51" s="1"/>
  <c r="M22" i="51"/>
  <c r="L18" i="51"/>
  <c r="M89" i="51"/>
  <c r="H246" i="51"/>
  <c r="I246" i="51" s="1"/>
  <c r="J246" i="51" s="1"/>
  <c r="K246" i="51" s="1"/>
  <c r="L246" i="51" s="1"/>
  <c r="M246" i="51" s="1"/>
  <c r="N246" i="51" s="1"/>
  <c r="O246" i="51" s="1"/>
  <c r="P246" i="51" s="1"/>
  <c r="Q246" i="51" s="1"/>
  <c r="G273" i="51"/>
  <c r="H273" i="51" s="1"/>
  <c r="I273" i="51" s="1"/>
  <c r="J273" i="51" s="1"/>
  <c r="K273" i="51" s="1"/>
  <c r="L273" i="51" s="1"/>
  <c r="M273" i="51" s="1"/>
  <c r="N273" i="51" s="1"/>
  <c r="O273" i="51" s="1"/>
  <c r="P273" i="51" s="1"/>
  <c r="Q273" i="51" s="1"/>
  <c r="I139" i="51"/>
  <c r="I186" i="51"/>
  <c r="I231" i="51" s="1"/>
  <c r="I102" i="51"/>
  <c r="J46" i="51"/>
  <c r="H71" i="51"/>
  <c r="H121" i="51" s="1"/>
  <c r="N52" i="51"/>
  <c r="L172" i="51"/>
  <c r="O69" i="51"/>
  <c r="F202" i="51"/>
  <c r="F252" i="51"/>
  <c r="F262" i="51" s="1"/>
  <c r="O22" i="51"/>
  <c r="H137" i="51"/>
  <c r="I137" i="51" s="1"/>
  <c r="J137" i="51" s="1"/>
  <c r="E200" i="51"/>
  <c r="H37" i="51"/>
  <c r="H24" i="51"/>
  <c r="J32" i="51"/>
  <c r="AQ45" i="51"/>
  <c r="I72" i="51"/>
  <c r="K154" i="51"/>
  <c r="N22" i="51"/>
  <c r="U6" i="48"/>
  <c r="P57" i="48"/>
  <c r="P61" i="48"/>
  <c r="I61" i="48" s="1"/>
  <c r="P42" i="48"/>
  <c r="I42" i="48" s="1"/>
  <c r="P47" i="48"/>
  <c r="P58" i="48"/>
  <c r="I58" i="48" s="1"/>
  <c r="P55" i="48"/>
  <c r="P50" i="48"/>
  <c r="S5" i="48"/>
  <c r="S12" i="48" s="1"/>
  <c r="S13" i="48" s="1"/>
  <c r="P41" i="48"/>
  <c r="P46" i="48"/>
  <c r="P49" i="48"/>
  <c r="P48" i="48"/>
  <c r="P36" i="48"/>
  <c r="U5" i="48"/>
  <c r="D32" i="48"/>
  <c r="D53" i="48" s="1"/>
  <c r="U38" i="48"/>
  <c r="F65" i="48"/>
  <c r="P28" i="48"/>
  <c r="I28" i="48" s="1"/>
  <c r="D44" i="48"/>
  <c r="I57" i="48"/>
  <c r="F32" i="48"/>
  <c r="F53" i="48" s="1"/>
  <c r="D65" i="48"/>
  <c r="D38" i="48"/>
  <c r="P29" i="48"/>
  <c r="F38" i="48"/>
  <c r="P26" i="48"/>
  <c r="T44" i="48"/>
  <c r="T51" i="48"/>
  <c r="F74" i="48"/>
  <c r="Q74" i="48"/>
  <c r="I50" i="48"/>
  <c r="F51" i="48"/>
  <c r="S74" i="48"/>
  <c r="I56" i="48"/>
  <c r="S44" i="48"/>
  <c r="S51" i="48"/>
  <c r="U44" i="48"/>
  <c r="R65" i="48"/>
  <c r="S65" i="48"/>
  <c r="T65" i="48"/>
  <c r="U32" i="48"/>
  <c r="U53" i="48" s="1"/>
  <c r="U65" i="48"/>
  <c r="R74" i="48"/>
  <c r="G51" i="48"/>
  <c r="T74" i="48"/>
  <c r="H51" i="48"/>
  <c r="I47" i="48"/>
  <c r="P25" i="48"/>
  <c r="I25" i="48" s="1"/>
  <c r="P62" i="48"/>
  <c r="G76" i="48"/>
  <c r="H78" i="48"/>
  <c r="U77" i="48"/>
  <c r="F76" i="48"/>
  <c r="E76" i="48"/>
  <c r="E78" i="48"/>
  <c r="H76" i="48"/>
  <c r="G78" i="48"/>
  <c r="F78" i="48"/>
  <c r="E77" i="48"/>
  <c r="H77" i="48"/>
  <c r="J18" i="48" a="1"/>
  <c r="J18" i="48" s="1"/>
  <c r="I5" i="48" a="1"/>
  <c r="I5" i="48" s="1"/>
  <c r="F5" i="48" a="1"/>
  <c r="F5" i="48" s="1"/>
  <c r="D5" i="48" a="1"/>
  <c r="D5" i="48" s="1"/>
  <c r="G5" i="48" a="1"/>
  <c r="G5" i="48" s="1"/>
  <c r="C5" i="48" a="1"/>
  <c r="C5" i="48" s="1"/>
  <c r="E5" i="48" a="1"/>
  <c r="E5" i="48" s="1"/>
  <c r="H5" i="48" a="1"/>
  <c r="H5" i="48" s="1"/>
  <c r="B5" i="48" a="1"/>
  <c r="B5" i="48" s="1"/>
  <c r="P23" i="48" s="1"/>
  <c r="H38" i="48"/>
  <c r="H32" i="48"/>
  <c r="H53" i="48" s="1"/>
  <c r="H65" i="48"/>
  <c r="H44" i="48"/>
  <c r="H74" i="48"/>
  <c r="R79" i="48" a="1"/>
  <c r="R79" i="48" s="1"/>
  <c r="R68" i="48" a="1"/>
  <c r="R68" i="48" s="1"/>
  <c r="R69" i="48" s="1"/>
  <c r="I35" i="48"/>
  <c r="P68" i="48" a="1"/>
  <c r="P68" i="48" s="1"/>
  <c r="P34" i="48"/>
  <c r="I34" i="48" s="1"/>
  <c r="Q68" i="48" a="1"/>
  <c r="Q68" i="48" s="1"/>
  <c r="Q69" i="48" s="1"/>
  <c r="P79" i="48" a="1"/>
  <c r="P79" i="48" s="1"/>
  <c r="I48" i="48"/>
  <c r="I62" i="48"/>
  <c r="I49" i="48"/>
  <c r="I29" i="48"/>
  <c r="S79" i="48" a="1"/>
  <c r="S79" i="48" s="1"/>
  <c r="S68" i="48" a="1"/>
  <c r="S68" i="48" s="1"/>
  <c r="S69" i="48" s="1"/>
  <c r="I36" i="48"/>
  <c r="G32" i="48"/>
  <c r="G53" i="48" s="1"/>
  <c r="G38" i="48"/>
  <c r="G65" i="48"/>
  <c r="G44" i="48"/>
  <c r="R5" i="48"/>
  <c r="R12" i="48" s="1"/>
  <c r="R13" i="48" s="1"/>
  <c r="P60" i="48"/>
  <c r="I60" i="48" s="1"/>
  <c r="P30" i="48"/>
  <c r="I30" i="48" s="1"/>
  <c r="P40" i="48"/>
  <c r="I40" i="48" s="1"/>
  <c r="T79" i="48" a="1"/>
  <c r="T79" i="48" s="1"/>
  <c r="U79" i="48" a="1"/>
  <c r="U79" i="48" s="1"/>
  <c r="I26" i="48"/>
  <c r="U51" i="48"/>
  <c r="P5" i="48"/>
  <c r="P12" i="48" s="1"/>
  <c r="P13" i="48" s="1"/>
  <c r="Q5" i="48"/>
  <c r="Q12" i="48" s="1"/>
  <c r="Q13" i="48" s="1"/>
  <c r="D51" i="48"/>
  <c r="P27" i="48"/>
  <c r="I27" i="48" s="1"/>
  <c r="T5" i="48"/>
  <c r="P59" i="48"/>
  <c r="I59" i="48" s="1"/>
  <c r="E51" i="48"/>
  <c r="Q32" i="48"/>
  <c r="Q53" i="48" s="1"/>
  <c r="Q38" i="48"/>
  <c r="Q44" i="48"/>
  <c r="R32" i="48"/>
  <c r="R53" i="48" s="1"/>
  <c r="R38" i="48"/>
  <c r="I9" i="17"/>
  <c r="AM325" i="46"/>
  <c r="C8" i="46" s="1"/>
  <c r="AM324" i="46"/>
  <c r="C7" i="46" s="1"/>
  <c r="AK323" i="46"/>
  <c r="AM323" i="46" s="1"/>
  <c r="AK325" i="46"/>
  <c r="AK324" i="46"/>
  <c r="AN310" i="46"/>
  <c r="AN300" i="46"/>
  <c r="Q276" i="46"/>
  <c r="Q277" i="46" s="1"/>
  <c r="P276" i="46"/>
  <c r="P277" i="46" s="1"/>
  <c r="O276" i="46"/>
  <c r="O277" i="46" s="1"/>
  <c r="N276" i="46"/>
  <c r="N277" i="46" s="1"/>
  <c r="M276" i="46"/>
  <c r="M277" i="46" s="1"/>
  <c r="L276" i="46"/>
  <c r="L277" i="46" s="1"/>
  <c r="K276" i="46"/>
  <c r="K277" i="46" s="1"/>
  <c r="J276" i="46"/>
  <c r="J277" i="46" s="1"/>
  <c r="I276" i="46"/>
  <c r="I277" i="46" s="1"/>
  <c r="H276" i="46"/>
  <c r="H277" i="46" s="1"/>
  <c r="E273" i="46"/>
  <c r="E246" i="46"/>
  <c r="Q228" i="46" a="1"/>
  <c r="Q228" i="46" s="1"/>
  <c r="Q225" i="46" a="1"/>
  <c r="Q225" i="46" s="1"/>
  <c r="S221" i="46"/>
  <c r="R221" i="46"/>
  <c r="S220" i="46"/>
  <c r="R220" i="46"/>
  <c r="P214" i="46"/>
  <c r="H214" i="46" s="1"/>
  <c r="H213" i="46" s="1"/>
  <c r="I213" i="46" s="1"/>
  <c r="J213" i="46" s="1"/>
  <c r="K213" i="46" s="1"/>
  <c r="L213" i="46" s="1"/>
  <c r="M213" i="46" s="1"/>
  <c r="N213" i="46" s="1"/>
  <c r="O213" i="46" s="1"/>
  <c r="P213" i="46" s="1"/>
  <c r="Q213" i="46" s="1"/>
  <c r="E186" i="46"/>
  <c r="E231" i="46" s="1"/>
  <c r="G183" i="46"/>
  <c r="F183" i="46"/>
  <c r="E183" i="46"/>
  <c r="G181" i="46"/>
  <c r="F181" i="46"/>
  <c r="E181" i="46"/>
  <c r="G179" i="46"/>
  <c r="F179" i="46"/>
  <c r="E179" i="46"/>
  <c r="G176" i="46"/>
  <c r="F176" i="46"/>
  <c r="E176" i="46"/>
  <c r="G174" i="46"/>
  <c r="F174" i="46"/>
  <c r="E174" i="46"/>
  <c r="I172" i="46"/>
  <c r="J172" i="46" s="1"/>
  <c r="K172" i="46" s="1"/>
  <c r="L172" i="46" s="1"/>
  <c r="G171" i="46"/>
  <c r="F171" i="46"/>
  <c r="E171" i="46"/>
  <c r="G168" i="46"/>
  <c r="F168" i="46"/>
  <c r="E168" i="46"/>
  <c r="G165" i="46"/>
  <c r="F165" i="46"/>
  <c r="E165" i="46"/>
  <c r="G163" i="46"/>
  <c r="F163" i="46"/>
  <c r="E163" i="46"/>
  <c r="G161" i="46"/>
  <c r="F161" i="46"/>
  <c r="E161" i="46"/>
  <c r="G159" i="46"/>
  <c r="F159" i="46"/>
  <c r="E159" i="46"/>
  <c r="G156" i="46"/>
  <c r="F156" i="46"/>
  <c r="E156" i="46"/>
  <c r="G154" i="46"/>
  <c r="H154" i="46" s="1"/>
  <c r="I154" i="46" s="1"/>
  <c r="J154" i="46" s="1"/>
  <c r="K154" i="46" s="1"/>
  <c r="L154" i="46" s="1"/>
  <c r="F154" i="46"/>
  <c r="E154" i="46"/>
  <c r="G152" i="46"/>
  <c r="G208" i="46" s="1"/>
  <c r="F152" i="46"/>
  <c r="F258" i="46" s="1"/>
  <c r="E152" i="46"/>
  <c r="E258" i="46" s="1"/>
  <c r="G150" i="46"/>
  <c r="F150" i="46"/>
  <c r="E150" i="46"/>
  <c r="G148" i="46"/>
  <c r="F148" i="46"/>
  <c r="E148" i="46"/>
  <c r="G146" i="46"/>
  <c r="G206" i="46" s="1"/>
  <c r="G256" i="46" s="1"/>
  <c r="F146" i="46"/>
  <c r="F206" i="46" s="1"/>
  <c r="F256" i="46" s="1"/>
  <c r="E146" i="46"/>
  <c r="E206" i="46" s="1"/>
  <c r="E256" i="46" s="1"/>
  <c r="G143" i="46"/>
  <c r="G204" i="46" s="1"/>
  <c r="F143" i="46"/>
  <c r="F254" i="46" s="1"/>
  <c r="E143" i="46"/>
  <c r="E204" i="46" s="1"/>
  <c r="F139" i="46"/>
  <c r="E139" i="46"/>
  <c r="G136" i="46"/>
  <c r="F136" i="46"/>
  <c r="E136" i="46"/>
  <c r="G134" i="46"/>
  <c r="F134" i="46"/>
  <c r="E134" i="46"/>
  <c r="G131" i="46"/>
  <c r="F131" i="46"/>
  <c r="E131" i="46"/>
  <c r="G128" i="46"/>
  <c r="F128" i="46"/>
  <c r="E128" i="46"/>
  <c r="G123" i="46"/>
  <c r="H123" i="46" s="1"/>
  <c r="I123" i="46" s="1"/>
  <c r="F123" i="46"/>
  <c r="E123" i="46"/>
  <c r="G121" i="46"/>
  <c r="F121" i="46"/>
  <c r="E121" i="46"/>
  <c r="G119" i="46"/>
  <c r="F119" i="46"/>
  <c r="E119" i="46"/>
  <c r="G118" i="46"/>
  <c r="F118" i="46"/>
  <c r="E118" i="46"/>
  <c r="G114" i="46"/>
  <c r="F114" i="46"/>
  <c r="E114" i="46"/>
  <c r="G111" i="46"/>
  <c r="F111" i="46"/>
  <c r="E111" i="46"/>
  <c r="G108" i="46"/>
  <c r="F108" i="46"/>
  <c r="E108" i="46"/>
  <c r="G106" i="46"/>
  <c r="F106" i="46"/>
  <c r="AD8" i="46" s="1"/>
  <c r="E106" i="46"/>
  <c r="AD7" i="46" s="1"/>
  <c r="E102" i="46"/>
  <c r="G99" i="46"/>
  <c r="G250" i="46" s="1"/>
  <c r="F99" i="46"/>
  <c r="F250" i="46" s="1"/>
  <c r="E99" i="46"/>
  <c r="G96" i="46"/>
  <c r="F96" i="46"/>
  <c r="E96" i="46"/>
  <c r="G94" i="46"/>
  <c r="F94" i="46"/>
  <c r="E94" i="46"/>
  <c r="G92" i="46"/>
  <c r="F92" i="46"/>
  <c r="E92" i="46"/>
  <c r="Q89" i="46"/>
  <c r="P89" i="46"/>
  <c r="O89" i="46"/>
  <c r="H89" i="46"/>
  <c r="G89" i="46"/>
  <c r="F89" i="46"/>
  <c r="E89" i="46"/>
  <c r="G86" i="46"/>
  <c r="G87" i="46" s="1"/>
  <c r="F86" i="46"/>
  <c r="F87" i="46" s="1"/>
  <c r="E86" i="46"/>
  <c r="E87" i="46" s="1"/>
  <c r="L84" i="46"/>
  <c r="M84" i="46" s="1"/>
  <c r="N84" i="46" s="1"/>
  <c r="O84" i="46" s="1"/>
  <c r="P84" i="46" s="1"/>
  <c r="I84" i="46"/>
  <c r="J84" i="46" s="1"/>
  <c r="G83" i="46"/>
  <c r="G84" i="46" s="1"/>
  <c r="F83" i="46"/>
  <c r="F84" i="46" s="1"/>
  <c r="E83" i="46"/>
  <c r="E84" i="46" s="1"/>
  <c r="G80" i="46"/>
  <c r="G81" i="46" s="1"/>
  <c r="F80" i="46"/>
  <c r="F81" i="46" s="1"/>
  <c r="E80" i="46"/>
  <c r="E81" i="46" s="1"/>
  <c r="G77" i="46"/>
  <c r="F77" i="46"/>
  <c r="E77" i="46"/>
  <c r="E248" i="46" s="1"/>
  <c r="G74" i="46"/>
  <c r="G75" i="46" s="1"/>
  <c r="F74" i="46"/>
  <c r="F75" i="46" s="1"/>
  <c r="E74" i="46"/>
  <c r="E75" i="46" s="1"/>
  <c r="G71" i="46"/>
  <c r="G72" i="46" s="1"/>
  <c r="F71" i="46"/>
  <c r="F72" i="46" s="1"/>
  <c r="E71" i="46"/>
  <c r="E72" i="46" s="1"/>
  <c r="I69" i="46"/>
  <c r="J69" i="46" s="1"/>
  <c r="G68" i="46"/>
  <c r="G141" i="46" s="1"/>
  <c r="G252" i="46" s="1"/>
  <c r="F68" i="46"/>
  <c r="F69" i="46" s="1"/>
  <c r="E68" i="46"/>
  <c r="E141" i="46" s="1"/>
  <c r="G65" i="46"/>
  <c r="F65" i="46"/>
  <c r="E65" i="46"/>
  <c r="G63" i="46"/>
  <c r="F63" i="46"/>
  <c r="E63" i="46"/>
  <c r="H60" i="46"/>
  <c r="G60" i="46"/>
  <c r="F60" i="46"/>
  <c r="E60" i="46"/>
  <c r="G57" i="46"/>
  <c r="F57" i="46"/>
  <c r="E57" i="46"/>
  <c r="G54" i="46"/>
  <c r="F54" i="46"/>
  <c r="E54" i="46"/>
  <c r="I52" i="46"/>
  <c r="J52" i="46" s="1"/>
  <c r="K52" i="46" s="1"/>
  <c r="H51" i="46"/>
  <c r="H54" i="46" s="1"/>
  <c r="G51" i="46"/>
  <c r="F51" i="46"/>
  <c r="E51" i="46"/>
  <c r="G48" i="46"/>
  <c r="F48" i="46"/>
  <c r="E48" i="46"/>
  <c r="D48" i="46"/>
  <c r="F46" i="46"/>
  <c r="G46" i="46" s="1"/>
  <c r="E44" i="46"/>
  <c r="G43" i="46"/>
  <c r="G44" i="46" s="1"/>
  <c r="F43" i="46"/>
  <c r="F44" i="46" s="1"/>
  <c r="E43" i="46"/>
  <c r="G37" i="46"/>
  <c r="F37" i="46"/>
  <c r="E37" i="46"/>
  <c r="Q33" i="46"/>
  <c r="P33" i="46"/>
  <c r="O33" i="46"/>
  <c r="N33" i="46"/>
  <c r="M33" i="46"/>
  <c r="L33" i="46"/>
  <c r="K33" i="46"/>
  <c r="J33" i="46"/>
  <c r="I33" i="46"/>
  <c r="H32" i="46"/>
  <c r="H31" i="46"/>
  <c r="G31" i="46"/>
  <c r="F31" i="46"/>
  <c r="I30" i="46"/>
  <c r="J30" i="46" s="1"/>
  <c r="Q23" i="46"/>
  <c r="P23" i="46"/>
  <c r="N23" i="46"/>
  <c r="M23" i="46"/>
  <c r="L23" i="46"/>
  <c r="K23" i="46"/>
  <c r="J23" i="46"/>
  <c r="I23" i="46"/>
  <c r="G22" i="46"/>
  <c r="F22" i="46"/>
  <c r="E22" i="46"/>
  <c r="G21" i="46"/>
  <c r="F21" i="46"/>
  <c r="H20" i="46"/>
  <c r="H22" i="46" s="1"/>
  <c r="H19" i="46"/>
  <c r="H23" i="46" s="1"/>
  <c r="P18" i="46"/>
  <c r="N18" i="46"/>
  <c r="F15" i="46"/>
  <c r="G15" i="46" s="1"/>
  <c r="H15" i="46" s="1"/>
  <c r="I15" i="46" s="1"/>
  <c r="J15" i="46" s="1"/>
  <c r="K15" i="46" s="1"/>
  <c r="L15" i="46" s="1"/>
  <c r="M15" i="46" s="1"/>
  <c r="N15" i="46" s="1"/>
  <c r="O15" i="46" s="1"/>
  <c r="P15" i="46" s="1"/>
  <c r="Q15" i="46" s="1"/>
  <c r="AI9" i="46"/>
  <c r="AH9" i="46"/>
  <c r="AF9" i="46"/>
  <c r="AE9" i="46"/>
  <c r="AG9" i="46" s="1"/>
  <c r="W8" i="46"/>
  <c r="W9" i="46" s="1"/>
  <c r="W10" i="46" s="1"/>
  <c r="W11" i="46" s="1"/>
  <c r="W12" i="46" s="1"/>
  <c r="W13" i="46" s="1"/>
  <c r="W14" i="46" s="1"/>
  <c r="E85" i="17"/>
  <c r="I85" i="17"/>
  <c r="H85" i="17"/>
  <c r="G85" i="17"/>
  <c r="F85" i="17"/>
  <c r="C6" i="17" a="1"/>
  <c r="C6" i="17" s="1"/>
  <c r="C7" i="17" a="1"/>
  <c r="C7" i="17" s="1"/>
  <c r="C8" i="17" a="1"/>
  <c r="C8" i="17" s="1"/>
  <c r="C9" i="17" a="1"/>
  <c r="C9" i="17" s="1"/>
  <c r="C11" i="17" a="1"/>
  <c r="C11" i="17" s="1"/>
  <c r="D78" i="48" a="1"/>
  <c r="D77" i="48" a="1"/>
  <c r="Q78" i="48" a="1"/>
  <c r="F77" i="48" a="1"/>
  <c r="D76" i="48" a="1"/>
  <c r="U76" i="48" a="1"/>
  <c r="Q77" i="48" a="1"/>
  <c r="U78" i="48" a="1"/>
  <c r="T77" i="48" a="1"/>
  <c r="T78" i="48" a="1"/>
  <c r="Q76" i="48" a="1"/>
  <c r="T76" i="48" a="1"/>
  <c r="G77" i="48" a="1"/>
  <c r="G210" i="51" l="1"/>
  <c r="X9" i="51" s="1"/>
  <c r="F210" i="51"/>
  <c r="X8" i="51" s="1"/>
  <c r="I109" i="51"/>
  <c r="J109" i="51" s="1"/>
  <c r="H143" i="51"/>
  <c r="H254" i="51" s="1"/>
  <c r="I112" i="51"/>
  <c r="J112" i="51" s="1"/>
  <c r="H156" i="51"/>
  <c r="H152" i="51" s="1"/>
  <c r="H208" i="51" s="1"/>
  <c r="H258" i="51" s="1"/>
  <c r="U12" i="48"/>
  <c r="U13" i="48" s="1"/>
  <c r="J115" i="51"/>
  <c r="K115" i="51" s="1"/>
  <c r="L115" i="51" s="1"/>
  <c r="M115" i="51" s="1"/>
  <c r="N115" i="51" s="1"/>
  <c r="H192" i="51"/>
  <c r="J120" i="51"/>
  <c r="K120" i="51" s="1"/>
  <c r="H119" i="51"/>
  <c r="H171" i="51" s="1"/>
  <c r="H189" i="51"/>
  <c r="H188" i="51" s="1"/>
  <c r="E177" i="51"/>
  <c r="H65" i="51"/>
  <c r="H66" i="51" s="1"/>
  <c r="J123" i="51"/>
  <c r="J74" i="51"/>
  <c r="H128" i="51"/>
  <c r="AH10" i="51" s="1"/>
  <c r="I129" i="51"/>
  <c r="I43" i="51"/>
  <c r="J34" i="51"/>
  <c r="L154" i="51"/>
  <c r="Y8" i="51"/>
  <c r="F177" i="51"/>
  <c r="P69" i="51"/>
  <c r="H38" i="51"/>
  <c r="H39" i="51"/>
  <c r="H176" i="51"/>
  <c r="H174" i="51"/>
  <c r="Y9" i="51"/>
  <c r="G177" i="51"/>
  <c r="E210" i="51"/>
  <c r="X7" i="51" s="1"/>
  <c r="AB7" i="51"/>
  <c r="Q22" i="51"/>
  <c r="P22" i="51"/>
  <c r="M172" i="51"/>
  <c r="O52" i="51"/>
  <c r="L22" i="51"/>
  <c r="K18" i="51"/>
  <c r="L89" i="51"/>
  <c r="H136" i="51"/>
  <c r="K137" i="51"/>
  <c r="L137" i="51" s="1"/>
  <c r="J97" i="51"/>
  <c r="K58" i="51"/>
  <c r="L58" i="51" s="1"/>
  <c r="J102" i="51"/>
  <c r="J186" i="51"/>
  <c r="J231" i="51" s="1"/>
  <c r="K46" i="51"/>
  <c r="J139" i="51"/>
  <c r="J72" i="51"/>
  <c r="K157" i="51"/>
  <c r="J144" i="51"/>
  <c r="K32" i="51"/>
  <c r="AR45" i="51"/>
  <c r="P51" i="48"/>
  <c r="I51" i="48"/>
  <c r="D77" i="48"/>
  <c r="U76" i="48"/>
  <c r="F77" i="48"/>
  <c r="U78" i="48"/>
  <c r="Q76" i="48"/>
  <c r="Q78" i="48"/>
  <c r="Q77" i="48"/>
  <c r="T77" i="48"/>
  <c r="T78" i="48"/>
  <c r="T76" i="48"/>
  <c r="G77" i="48"/>
  <c r="D76" i="48"/>
  <c r="D78" i="48"/>
  <c r="Q19" i="48"/>
  <c r="E19" i="48" s="1"/>
  <c r="H19" i="48" s="1" a="1"/>
  <c r="H19" i="48" s="1"/>
  <c r="Q21" i="48"/>
  <c r="E21" i="48" s="1"/>
  <c r="H21" i="48" s="1" a="1"/>
  <c r="H21" i="48" s="1"/>
  <c r="Q20" i="48"/>
  <c r="E20" i="48" s="1"/>
  <c r="H20" i="48" s="1" a="1"/>
  <c r="H20" i="48" s="1"/>
  <c r="Q18" i="48"/>
  <c r="E18" i="48" s="1"/>
  <c r="H18" i="48" s="1" a="1"/>
  <c r="H18" i="48" s="1"/>
  <c r="G12" i="48"/>
  <c r="G13" i="48" s="1"/>
  <c r="F12" i="48"/>
  <c r="F13" i="48" s="1"/>
  <c r="T12" i="48"/>
  <c r="T13" i="48" s="1"/>
  <c r="P44" i="48"/>
  <c r="P38" i="48"/>
  <c r="P32" i="48"/>
  <c r="P53" i="48" s="1"/>
  <c r="P65" i="48"/>
  <c r="P74" i="48"/>
  <c r="D12" i="48"/>
  <c r="D13" i="48" s="1"/>
  <c r="H12" i="48"/>
  <c r="H13" i="48" s="1"/>
  <c r="I68" i="48"/>
  <c r="P69" i="48"/>
  <c r="I69" i="48" s="1"/>
  <c r="R20" i="48"/>
  <c r="F20" i="48" s="1"/>
  <c r="I20" i="48" s="1" a="1"/>
  <c r="I20" i="48" s="1"/>
  <c r="R18" i="48"/>
  <c r="F18" i="48" s="1"/>
  <c r="I18" i="48" s="1" a="1"/>
  <c r="I18" i="48" s="1"/>
  <c r="R21" i="48"/>
  <c r="F21" i="48" s="1"/>
  <c r="I21" i="48" s="1" a="1"/>
  <c r="I21" i="48" s="1"/>
  <c r="R19" i="48"/>
  <c r="F19" i="48" s="1"/>
  <c r="I19" i="48" s="1" a="1"/>
  <c r="I19" i="48" s="1"/>
  <c r="I12" i="48"/>
  <c r="I13" i="48" s="1"/>
  <c r="P20" i="48"/>
  <c r="D20" i="48" s="1"/>
  <c r="G20" i="48" s="1" a="1"/>
  <c r="G20" i="48" s="1"/>
  <c r="P18" i="48"/>
  <c r="D18" i="48" s="1"/>
  <c r="G18" i="48" s="1" a="1"/>
  <c r="G18" i="48" s="1"/>
  <c r="P19" i="48"/>
  <c r="D19" i="48" s="1"/>
  <c r="G19" i="48" s="1" a="1"/>
  <c r="G19" i="48" s="1"/>
  <c r="P21" i="48"/>
  <c r="D21" i="48" s="1"/>
  <c r="G21" i="48" s="1" a="1"/>
  <c r="G21" i="48" s="1"/>
  <c r="E12" i="48"/>
  <c r="E13" i="48" s="1"/>
  <c r="I79" i="48"/>
  <c r="E260" i="46"/>
  <c r="AC7" i="46" s="1"/>
  <c r="F260" i="46"/>
  <c r="AC8" i="46" s="1"/>
  <c r="F204" i="46"/>
  <c r="G129" i="46"/>
  <c r="H72" i="46"/>
  <c r="I72" i="46" s="1"/>
  <c r="I10" i="46"/>
  <c r="G275" i="46"/>
  <c r="AA9" i="46" s="1"/>
  <c r="F109" i="46"/>
  <c r="E69" i="46"/>
  <c r="G109" i="46"/>
  <c r="G69" i="46"/>
  <c r="E112" i="46"/>
  <c r="F112" i="46"/>
  <c r="F141" i="46"/>
  <c r="F202" i="46" s="1"/>
  <c r="E166" i="46"/>
  <c r="G112" i="46"/>
  <c r="F129" i="46"/>
  <c r="E144" i="46"/>
  <c r="J32" i="46"/>
  <c r="K30" i="46"/>
  <c r="K32" i="46" s="1"/>
  <c r="G186" i="46"/>
  <c r="G231" i="46" s="1"/>
  <c r="G246" i="46"/>
  <c r="G102" i="46"/>
  <c r="G139" i="46"/>
  <c r="H46" i="46"/>
  <c r="H186" i="46" s="1"/>
  <c r="H231" i="46" s="1"/>
  <c r="G97" i="46"/>
  <c r="E124" i="46"/>
  <c r="E157" i="46"/>
  <c r="E275" i="46"/>
  <c r="AA7" i="46" s="1"/>
  <c r="F157" i="46"/>
  <c r="F169" i="46"/>
  <c r="F246" i="46"/>
  <c r="F273" i="46" s="1"/>
  <c r="F97" i="46"/>
  <c r="I32" i="46"/>
  <c r="G169" i="46"/>
  <c r="F124" i="46"/>
  <c r="E97" i="46"/>
  <c r="I20" i="46"/>
  <c r="J20" i="46" s="1"/>
  <c r="K20" i="46" s="1"/>
  <c r="L20" i="46" s="1"/>
  <c r="M20" i="46" s="1"/>
  <c r="N20" i="46" s="1"/>
  <c r="O20" i="46" s="1"/>
  <c r="P20" i="46" s="1"/>
  <c r="Q20" i="46" s="1"/>
  <c r="F144" i="46"/>
  <c r="G254" i="46"/>
  <c r="G124" i="46"/>
  <c r="E254" i="46"/>
  <c r="G258" i="46"/>
  <c r="I74" i="46"/>
  <c r="G144" i="46"/>
  <c r="H74" i="46"/>
  <c r="F275" i="46"/>
  <c r="AA8" i="46" s="1"/>
  <c r="G38" i="46"/>
  <c r="F38" i="46"/>
  <c r="L52" i="46"/>
  <c r="K69" i="46"/>
  <c r="AD9" i="46"/>
  <c r="G248" i="46"/>
  <c r="G78" i="46"/>
  <c r="G195" i="46" s="1"/>
  <c r="G194" i="46"/>
  <c r="E188" i="46"/>
  <c r="E34" i="46"/>
  <c r="E109" i="46"/>
  <c r="E78" i="46"/>
  <c r="E195" i="46" s="1"/>
  <c r="E39" i="46"/>
  <c r="E137" i="46"/>
  <c r="E49" i="46"/>
  <c r="E189" i="46" s="1"/>
  <c r="E24" i="46"/>
  <c r="E58" i="46"/>
  <c r="E55" i="46"/>
  <c r="E115" i="46"/>
  <c r="M18" i="46"/>
  <c r="O19" i="46"/>
  <c r="O23" i="46" s="1"/>
  <c r="N89" i="46"/>
  <c r="F188" i="46"/>
  <c r="F52" i="46"/>
  <c r="F34" i="46"/>
  <c r="F39" i="46"/>
  <c r="F58" i="46"/>
  <c r="F49" i="46"/>
  <c r="F189" i="46" s="1"/>
  <c r="F137" i="46"/>
  <c r="F115" i="46"/>
  <c r="F132" i="46"/>
  <c r="F24" i="46"/>
  <c r="M154" i="46"/>
  <c r="G188" i="46"/>
  <c r="G52" i="46"/>
  <c r="G34" i="46"/>
  <c r="H49" i="46"/>
  <c r="H57" i="46" s="1"/>
  <c r="G39" i="46"/>
  <c r="G49" i="46"/>
  <c r="G189" i="46" s="1"/>
  <c r="G137" i="46"/>
  <c r="G66" i="46"/>
  <c r="G132" i="46"/>
  <c r="G115" i="46"/>
  <c r="G24" i="46"/>
  <c r="G55" i="46"/>
  <c r="E66" i="46"/>
  <c r="E52" i="46"/>
  <c r="F55" i="46"/>
  <c r="F100" i="46"/>
  <c r="Q18" i="46"/>
  <c r="H55" i="46"/>
  <c r="F66" i="46"/>
  <c r="G100" i="46"/>
  <c r="H37" i="46"/>
  <c r="H38" i="46" s="1"/>
  <c r="H24" i="46"/>
  <c r="J123" i="46"/>
  <c r="J74" i="46"/>
  <c r="O22" i="46"/>
  <c r="G117" i="46"/>
  <c r="G157" i="46"/>
  <c r="M172" i="46"/>
  <c r="G202" i="46"/>
  <c r="H34" i="46"/>
  <c r="F172" i="46"/>
  <c r="E252" i="46"/>
  <c r="E202" i="46"/>
  <c r="F120" i="46"/>
  <c r="F117" i="46"/>
  <c r="G172" i="46"/>
  <c r="E172" i="46"/>
  <c r="E120" i="46"/>
  <c r="E117" i="46"/>
  <c r="E61" i="46"/>
  <c r="E250" i="46"/>
  <c r="E100" i="46"/>
  <c r="E169" i="46"/>
  <c r="G120" i="46"/>
  <c r="F61" i="46"/>
  <c r="G61" i="46"/>
  <c r="F248" i="46"/>
  <c r="F194" i="46"/>
  <c r="F78" i="46"/>
  <c r="F195" i="46" s="1"/>
  <c r="E129" i="46"/>
  <c r="E132" i="46"/>
  <c r="F102" i="46"/>
  <c r="F186" i="46"/>
  <c r="F231" i="46" s="1"/>
  <c r="F166" i="46"/>
  <c r="G58" i="46"/>
  <c r="G166" i="46"/>
  <c r="E194" i="46"/>
  <c r="G260" i="46"/>
  <c r="AC9" i="46" s="1"/>
  <c r="E208" i="46"/>
  <c r="F208" i="46"/>
  <c r="S76" i="48" a="1"/>
  <c r="S77" i="48" a="1"/>
  <c r="P77" i="48" a="1"/>
  <c r="R76" i="48" a="1"/>
  <c r="P76" i="48" a="1"/>
  <c r="S78" i="48" a="1"/>
  <c r="P78" i="48" a="1"/>
  <c r="R78" i="48" a="1"/>
  <c r="R77" i="48" a="1"/>
  <c r="H163" i="51" l="1"/>
  <c r="K112" i="51"/>
  <c r="L112" i="51" s="1"/>
  <c r="M112" i="51" s="1"/>
  <c r="H204" i="51"/>
  <c r="H118" i="51"/>
  <c r="I71" i="51" s="1"/>
  <c r="I121" i="51" s="1"/>
  <c r="L120" i="51"/>
  <c r="M120" i="51" s="1"/>
  <c r="H146" i="51"/>
  <c r="H206" i="51" s="1"/>
  <c r="H256" i="51" s="1"/>
  <c r="J129" i="51"/>
  <c r="K123" i="51"/>
  <c r="K74" i="51"/>
  <c r="M137" i="51"/>
  <c r="N137" i="51" s="1"/>
  <c r="O137" i="51" s="1"/>
  <c r="P137" i="51" s="1"/>
  <c r="K34" i="51"/>
  <c r="L34" i="51" s="1"/>
  <c r="M34" i="51" s="1"/>
  <c r="J43" i="51"/>
  <c r="L32" i="51"/>
  <c r="L37" i="51" s="1"/>
  <c r="AS45" i="51"/>
  <c r="K97" i="51"/>
  <c r="P52" i="51"/>
  <c r="M58" i="51"/>
  <c r="N58" i="51" s="1"/>
  <c r="K186" i="51"/>
  <c r="K231" i="51" s="1"/>
  <c r="K139" i="51"/>
  <c r="K102" i="51"/>
  <c r="L46" i="51"/>
  <c r="H260" i="51"/>
  <c r="AC10" i="51" s="1"/>
  <c r="H134" i="51"/>
  <c r="L157" i="51"/>
  <c r="K109" i="51"/>
  <c r="L109" i="51" s="1"/>
  <c r="M154" i="51"/>
  <c r="J18" i="51"/>
  <c r="K89" i="51"/>
  <c r="K22" i="51"/>
  <c r="K37" i="51" s="1"/>
  <c r="K144" i="51"/>
  <c r="K72" i="51"/>
  <c r="L72" i="51" s="1"/>
  <c r="H44" i="51"/>
  <c r="I39" i="51"/>
  <c r="K43" i="51"/>
  <c r="O115" i="51"/>
  <c r="P115" i="51" s="1"/>
  <c r="Q115" i="51" s="1"/>
  <c r="N172" i="51"/>
  <c r="H42" i="51"/>
  <c r="R76" i="48"/>
  <c r="R78" i="48"/>
  <c r="R77" i="48"/>
  <c r="P78" i="48"/>
  <c r="S78" i="48"/>
  <c r="P76" i="48"/>
  <c r="S77" i="48"/>
  <c r="P77" i="48"/>
  <c r="S76" i="48"/>
  <c r="H71" i="46"/>
  <c r="H121" i="46" s="1"/>
  <c r="H109" i="46"/>
  <c r="I109" i="46" s="1"/>
  <c r="H97" i="46"/>
  <c r="I97" i="46" s="1"/>
  <c r="J97" i="46" s="1"/>
  <c r="E276" i="46"/>
  <c r="E277" i="46" s="1"/>
  <c r="F252" i="46"/>
  <c r="F262" i="46" s="1"/>
  <c r="Y8" i="46" s="1"/>
  <c r="C13" i="46"/>
  <c r="F10" i="46"/>
  <c r="L10" i="46"/>
  <c r="E200" i="46"/>
  <c r="E210" i="46" s="1"/>
  <c r="X7" i="46" s="1"/>
  <c r="G276" i="46"/>
  <c r="G277" i="46" s="1"/>
  <c r="H144" i="46"/>
  <c r="I144" i="46" s="1"/>
  <c r="J144" i="46" s="1"/>
  <c r="K144" i="46" s="1"/>
  <c r="H112" i="46"/>
  <c r="H111" i="46" s="1"/>
  <c r="G262" i="46"/>
  <c r="H174" i="46" s="1"/>
  <c r="H129" i="46"/>
  <c r="I129" i="46" s="1"/>
  <c r="J129" i="46" s="1"/>
  <c r="G200" i="46"/>
  <c r="AB9" i="46" s="1"/>
  <c r="I46" i="46"/>
  <c r="H102" i="46"/>
  <c r="H157" i="46"/>
  <c r="I157" i="46" s="1"/>
  <c r="H139" i="46"/>
  <c r="G273" i="46"/>
  <c r="H273" i="46" s="1"/>
  <c r="I273" i="46" s="1"/>
  <c r="J273" i="46" s="1"/>
  <c r="K273" i="46" s="1"/>
  <c r="L273" i="46" s="1"/>
  <c r="M273" i="46" s="1"/>
  <c r="N273" i="46" s="1"/>
  <c r="O273" i="46" s="1"/>
  <c r="P273" i="46" s="1"/>
  <c r="Q273" i="46" s="1"/>
  <c r="H246" i="46"/>
  <c r="I246" i="46" s="1"/>
  <c r="J246" i="46" s="1"/>
  <c r="K246" i="46" s="1"/>
  <c r="L246" i="46" s="1"/>
  <c r="M246" i="46" s="1"/>
  <c r="N246" i="46" s="1"/>
  <c r="O246" i="46" s="1"/>
  <c r="P246" i="46" s="1"/>
  <c r="Q246" i="46" s="1"/>
  <c r="H39" i="46"/>
  <c r="I39" i="46" s="1"/>
  <c r="F200" i="46"/>
  <c r="F210" i="46" s="1"/>
  <c r="X8" i="46" s="1"/>
  <c r="F276" i="46"/>
  <c r="F277" i="46" s="1"/>
  <c r="L30" i="46"/>
  <c r="M30" i="46" s="1"/>
  <c r="N22" i="46"/>
  <c r="H44" i="46"/>
  <c r="H137" i="46"/>
  <c r="I137" i="46" s="1"/>
  <c r="P22" i="46"/>
  <c r="I186" i="46"/>
  <c r="I231" i="46" s="1"/>
  <c r="I139" i="46"/>
  <c r="I102" i="46"/>
  <c r="J46" i="46"/>
  <c r="M89" i="46"/>
  <c r="L18" i="46"/>
  <c r="M22" i="46"/>
  <c r="H115" i="46"/>
  <c r="I115" i="46" s="1"/>
  <c r="N172" i="46"/>
  <c r="J72" i="46"/>
  <c r="K72" i="46" s="1"/>
  <c r="H120" i="46"/>
  <c r="N154" i="46"/>
  <c r="H58" i="46"/>
  <c r="Q22" i="46"/>
  <c r="L69" i="46"/>
  <c r="K74" i="46"/>
  <c r="K123" i="46"/>
  <c r="M52" i="46"/>
  <c r="H43" i="46"/>
  <c r="I34" i="46"/>
  <c r="H42" i="46"/>
  <c r="H114" i="46"/>
  <c r="H191" i="46"/>
  <c r="H148" i="46"/>
  <c r="H179" i="46"/>
  <c r="H161" i="46"/>
  <c r="H131" i="46"/>
  <c r="H132" i="46" s="1"/>
  <c r="H92" i="46"/>
  <c r="H63" i="46"/>
  <c r="H65" i="46" s="1"/>
  <c r="E262" i="46"/>
  <c r="I156" i="51" l="1"/>
  <c r="I152" i="51" s="1"/>
  <c r="I208" i="51" s="1"/>
  <c r="I258" i="51" s="1"/>
  <c r="H117" i="51"/>
  <c r="H68" i="51" s="1"/>
  <c r="H77" i="51" s="1"/>
  <c r="L43" i="51"/>
  <c r="L74" i="51"/>
  <c r="L123" i="51"/>
  <c r="K129" i="51"/>
  <c r="L129" i="51" s="1"/>
  <c r="M129" i="51" s="1"/>
  <c r="M72" i="51"/>
  <c r="N72" i="51" s="1"/>
  <c r="L38" i="51"/>
  <c r="J89" i="51"/>
  <c r="I18" i="51"/>
  <c r="J22" i="51"/>
  <c r="J37" i="51" s="1"/>
  <c r="K38" i="51" s="1"/>
  <c r="N30" i="51"/>
  <c r="M32" i="51"/>
  <c r="O172" i="51"/>
  <c r="N154" i="51"/>
  <c r="N120" i="51"/>
  <c r="R222" i="51"/>
  <c r="H83" i="51"/>
  <c r="AF10" i="51"/>
  <c r="L186" i="51"/>
  <c r="L231" i="51" s="1"/>
  <c r="L139" i="51"/>
  <c r="L102" i="51"/>
  <c r="M46" i="51"/>
  <c r="L97" i="51"/>
  <c r="M109" i="51"/>
  <c r="N109" i="51" s="1"/>
  <c r="J39" i="51"/>
  <c r="N34" i="51"/>
  <c r="Q137" i="51"/>
  <c r="M157" i="51"/>
  <c r="L144" i="51"/>
  <c r="M144" i="51" s="1"/>
  <c r="N112" i="51"/>
  <c r="O58" i="51"/>
  <c r="P58" i="51" s="1"/>
  <c r="I77" i="48"/>
  <c r="I76" i="48"/>
  <c r="I78" i="48"/>
  <c r="H108" i="46"/>
  <c r="H143" i="46"/>
  <c r="H254" i="46" s="1"/>
  <c r="AB7" i="46"/>
  <c r="F177" i="46"/>
  <c r="H176" i="46"/>
  <c r="H260" i="46" s="1"/>
  <c r="AC10" i="46" s="1"/>
  <c r="H156" i="46"/>
  <c r="H152" i="46" s="1"/>
  <c r="H118" i="46" s="1"/>
  <c r="I156" i="46" s="1"/>
  <c r="I152" i="46" s="1"/>
  <c r="H128" i="46"/>
  <c r="AB8" i="46"/>
  <c r="G177" i="46"/>
  <c r="K129" i="46"/>
  <c r="L129" i="46" s="1"/>
  <c r="G210" i="46"/>
  <c r="X9" i="46" s="1"/>
  <c r="Y9" i="46"/>
  <c r="I112" i="46"/>
  <c r="J112" i="46" s="1"/>
  <c r="L32" i="46"/>
  <c r="J109" i="46"/>
  <c r="K109" i="46" s="1"/>
  <c r="J115" i="46"/>
  <c r="K115" i="46" s="1"/>
  <c r="H66" i="46"/>
  <c r="H119" i="46"/>
  <c r="H171" i="46" s="1"/>
  <c r="I43" i="46"/>
  <c r="J34" i="46"/>
  <c r="Y7" i="46"/>
  <c r="E177" i="46"/>
  <c r="K97" i="46"/>
  <c r="J39" i="46"/>
  <c r="L123" i="46"/>
  <c r="L74" i="46"/>
  <c r="O154" i="46"/>
  <c r="O172" i="46"/>
  <c r="H192" i="46"/>
  <c r="H190" i="46"/>
  <c r="L89" i="46"/>
  <c r="K18" i="46"/>
  <c r="L22" i="46"/>
  <c r="L37" i="46" s="1"/>
  <c r="L144" i="46"/>
  <c r="L72" i="46"/>
  <c r="M69" i="46"/>
  <c r="N52" i="46"/>
  <c r="H136" i="46"/>
  <c r="M32" i="46"/>
  <c r="N30" i="46"/>
  <c r="I58" i="46"/>
  <c r="J137" i="46"/>
  <c r="K137" i="46" s="1"/>
  <c r="I120" i="46"/>
  <c r="J120" i="46" s="1"/>
  <c r="J157" i="46"/>
  <c r="J102" i="46"/>
  <c r="J139" i="46"/>
  <c r="K46" i="46"/>
  <c r="J186" i="46"/>
  <c r="J231" i="46" s="1"/>
  <c r="H141" i="51" l="1"/>
  <c r="H202" i="51" s="1"/>
  <c r="I118" i="51"/>
  <c r="J156" i="51" s="1"/>
  <c r="J152" i="51" s="1"/>
  <c r="M43" i="51"/>
  <c r="S24" i="51"/>
  <c r="N129" i="51"/>
  <c r="M123" i="51"/>
  <c r="M74" i="51"/>
  <c r="P172" i="51"/>
  <c r="M186" i="51"/>
  <c r="M231" i="51" s="1"/>
  <c r="M139" i="51"/>
  <c r="M102" i="51"/>
  <c r="N46" i="51"/>
  <c r="O109" i="51"/>
  <c r="N144" i="51"/>
  <c r="O144" i="51" s="1"/>
  <c r="O112" i="51"/>
  <c r="M37" i="51"/>
  <c r="M38" i="51" s="1"/>
  <c r="M97" i="51"/>
  <c r="O30" i="51"/>
  <c r="N32" i="51"/>
  <c r="J44" i="51"/>
  <c r="K39" i="51"/>
  <c r="Q58" i="51"/>
  <c r="O120" i="51"/>
  <c r="J42" i="51"/>
  <c r="O72" i="51"/>
  <c r="P72" i="51" s="1"/>
  <c r="O34" i="51"/>
  <c r="H248" i="51"/>
  <c r="H78" i="51"/>
  <c r="H197" i="51" s="1"/>
  <c r="H96" i="51"/>
  <c r="H234" i="51"/>
  <c r="Z7" i="51" s="1"/>
  <c r="H80" i="51"/>
  <c r="H81" i="51" s="1"/>
  <c r="I89" i="51"/>
  <c r="I22" i="51"/>
  <c r="I37" i="51" s="1"/>
  <c r="J38" i="51" s="1"/>
  <c r="O154" i="51"/>
  <c r="N157" i="51"/>
  <c r="H208" i="46"/>
  <c r="H258" i="46" s="1"/>
  <c r="H146" i="46"/>
  <c r="H206" i="46" s="1"/>
  <c r="H256" i="46" s="1"/>
  <c r="H204" i="46"/>
  <c r="H163" i="46"/>
  <c r="H189" i="46"/>
  <c r="H188" i="46" s="1"/>
  <c r="K112" i="46"/>
  <c r="L112" i="46" s="1"/>
  <c r="M112" i="46" s="1"/>
  <c r="N112" i="46" s="1"/>
  <c r="AH10" i="46"/>
  <c r="H134" i="46"/>
  <c r="AF10" i="46" s="1"/>
  <c r="L115" i="46"/>
  <c r="M115" i="46" s="1"/>
  <c r="N115" i="46" s="1"/>
  <c r="L109" i="46"/>
  <c r="M109" i="46" s="1"/>
  <c r="M123" i="46"/>
  <c r="M74" i="46"/>
  <c r="I208" i="46"/>
  <c r="I258" i="46" s="1"/>
  <c r="K39" i="46"/>
  <c r="H117" i="46"/>
  <c r="H68" i="46" s="1"/>
  <c r="I118" i="46"/>
  <c r="J156" i="46" s="1"/>
  <c r="J152" i="46" s="1"/>
  <c r="I71" i="46"/>
  <c r="I121" i="46" s="1"/>
  <c r="J18" i="46"/>
  <c r="K89" i="46"/>
  <c r="K22" i="46"/>
  <c r="K37" i="46" s="1"/>
  <c r="L97" i="46"/>
  <c r="L46" i="46"/>
  <c r="K186" i="46"/>
  <c r="K231" i="46" s="1"/>
  <c r="K139" i="46"/>
  <c r="K102" i="46"/>
  <c r="M37" i="46"/>
  <c r="M38" i="46" s="1"/>
  <c r="K157" i="46"/>
  <c r="J58" i="46"/>
  <c r="K58" i="46" s="1"/>
  <c r="P154" i="46"/>
  <c r="M129" i="46"/>
  <c r="P172" i="46"/>
  <c r="O30" i="46"/>
  <c r="N32" i="46"/>
  <c r="M72" i="46"/>
  <c r="K120" i="46"/>
  <c r="L120" i="46" s="1"/>
  <c r="M120" i="46" s="1"/>
  <c r="M144" i="46"/>
  <c r="N144" i="46" s="1"/>
  <c r="O52" i="46"/>
  <c r="L137" i="46"/>
  <c r="M137" i="46" s="1"/>
  <c r="N137" i="46" s="1"/>
  <c r="N69" i="46"/>
  <c r="K34" i="46"/>
  <c r="J43" i="46"/>
  <c r="H252" i="51" l="1"/>
  <c r="N123" i="51"/>
  <c r="N74" i="51"/>
  <c r="M124" i="51"/>
  <c r="O129" i="51"/>
  <c r="P109" i="51"/>
  <c r="Q109" i="51" s="1"/>
  <c r="N37" i="51"/>
  <c r="N38" i="51" s="1"/>
  <c r="N97" i="51"/>
  <c r="Q72" i="51"/>
  <c r="J208" i="51"/>
  <c r="J258" i="51" s="1"/>
  <c r="J48" i="51"/>
  <c r="J24" i="51"/>
  <c r="P30" i="51"/>
  <c r="O32" i="51"/>
  <c r="O43" i="51" s="1"/>
  <c r="J118" i="51"/>
  <c r="P120" i="51"/>
  <c r="H196" i="51"/>
  <c r="H198" i="51"/>
  <c r="H195" i="51"/>
  <c r="H194" i="51" s="1"/>
  <c r="H200" i="51" s="1"/>
  <c r="P34" i="51"/>
  <c r="O157" i="51"/>
  <c r="H94" i="51"/>
  <c r="H99" i="51" s="1"/>
  <c r="L39" i="51"/>
  <c r="K44" i="51"/>
  <c r="K42" i="51"/>
  <c r="N186" i="51"/>
  <c r="N231" i="51" s="1"/>
  <c r="N139" i="51"/>
  <c r="O46" i="51"/>
  <c r="N102" i="51"/>
  <c r="P144" i="51"/>
  <c r="Q144" i="51" s="1"/>
  <c r="I38" i="51"/>
  <c r="I42" i="51"/>
  <c r="I44" i="51"/>
  <c r="N43" i="51"/>
  <c r="P154" i="51"/>
  <c r="P112" i="51"/>
  <c r="R222" i="46"/>
  <c r="H83" i="46"/>
  <c r="H80" i="46" s="1"/>
  <c r="H81" i="46" s="1"/>
  <c r="O144" i="46"/>
  <c r="P144" i="46" s="1"/>
  <c r="Q144" i="46" s="1"/>
  <c r="O115" i="46"/>
  <c r="P115" i="46" s="1"/>
  <c r="Q115" i="46" s="1"/>
  <c r="N109" i="46"/>
  <c r="O109" i="46" s="1"/>
  <c r="P109" i="46" s="1"/>
  <c r="Q109" i="46" s="1"/>
  <c r="J118" i="46"/>
  <c r="K156" i="46" s="1"/>
  <c r="K152" i="46" s="1"/>
  <c r="N120" i="46"/>
  <c r="M46" i="46"/>
  <c r="L139" i="46"/>
  <c r="L186" i="46"/>
  <c r="L231" i="46" s="1"/>
  <c r="L102" i="46"/>
  <c r="K44" i="46"/>
  <c r="L39" i="46"/>
  <c r="N129" i="46"/>
  <c r="O129" i="46" s="1"/>
  <c r="O137" i="46"/>
  <c r="P137" i="46" s="1"/>
  <c r="J89" i="46"/>
  <c r="I18" i="46"/>
  <c r="J22" i="46"/>
  <c r="J37" i="46" s="1"/>
  <c r="K43" i="46"/>
  <c r="L34" i="46"/>
  <c r="K42" i="46"/>
  <c r="L157" i="46"/>
  <c r="J208" i="46"/>
  <c r="J258" i="46" s="1"/>
  <c r="H141" i="46"/>
  <c r="H77" i="46"/>
  <c r="O69" i="46"/>
  <c r="O112" i="46"/>
  <c r="P112" i="46" s="1"/>
  <c r="N37" i="46"/>
  <c r="N38" i="46" s="1"/>
  <c r="M97" i="46"/>
  <c r="P30" i="46"/>
  <c r="O32" i="46"/>
  <c r="K38" i="46"/>
  <c r="P52" i="46"/>
  <c r="L58" i="46"/>
  <c r="M58" i="46" s="1"/>
  <c r="N58" i="46" s="1"/>
  <c r="N72" i="46"/>
  <c r="L38" i="46"/>
  <c r="N123" i="46"/>
  <c r="N74" i="46"/>
  <c r="M124" i="46"/>
  <c r="P129" i="51" l="1"/>
  <c r="Q129" i="51" s="1"/>
  <c r="O123" i="51"/>
  <c r="O74" i="51"/>
  <c r="L44" i="51"/>
  <c r="M39" i="51"/>
  <c r="L42" i="51"/>
  <c r="J60" i="51"/>
  <c r="J51" i="51"/>
  <c r="J54" i="51" s="1"/>
  <c r="J119" i="51"/>
  <c r="J171" i="51" s="1"/>
  <c r="J136" i="51"/>
  <c r="J108" i="51"/>
  <c r="I24" i="51"/>
  <c r="I48" i="51"/>
  <c r="J49" i="51" s="1"/>
  <c r="K156" i="51"/>
  <c r="K152" i="51" s="1"/>
  <c r="K118" i="51" s="1"/>
  <c r="O97" i="51"/>
  <c r="O37" i="51"/>
  <c r="O38" i="51" s="1"/>
  <c r="H210" i="51"/>
  <c r="AB10" i="51"/>
  <c r="Q30" i="51"/>
  <c r="Q32" i="51" s="1"/>
  <c r="P32" i="51"/>
  <c r="O186" i="51"/>
  <c r="O231" i="51" s="1"/>
  <c r="O139" i="51"/>
  <c r="P46" i="51"/>
  <c r="O102" i="51"/>
  <c r="K24" i="51"/>
  <c r="K48" i="51"/>
  <c r="J165" i="51"/>
  <c r="H165" i="51"/>
  <c r="Q165" i="51"/>
  <c r="P165" i="51"/>
  <c r="O165" i="51"/>
  <c r="M165" i="51"/>
  <c r="K165" i="51"/>
  <c r="N165" i="51"/>
  <c r="L165" i="51"/>
  <c r="H150" i="51"/>
  <c r="H250" i="51"/>
  <c r="H262" i="51" s="1"/>
  <c r="I165" i="51"/>
  <c r="H100" i="51"/>
  <c r="H168" i="51"/>
  <c r="Q120" i="51"/>
  <c r="Q112" i="51"/>
  <c r="P157" i="51"/>
  <c r="Q157" i="51" s="1"/>
  <c r="H234" i="46"/>
  <c r="Z7" i="46" s="1"/>
  <c r="K208" i="46"/>
  <c r="K258" i="46" s="1"/>
  <c r="O120" i="46"/>
  <c r="O123" i="46"/>
  <c r="O74" i="46"/>
  <c r="O72" i="46"/>
  <c r="P129" i="46"/>
  <c r="Q129" i="46" s="1"/>
  <c r="O58" i="46"/>
  <c r="P69" i="46"/>
  <c r="K118" i="46"/>
  <c r="K48" i="46"/>
  <c r="K24" i="46"/>
  <c r="L43" i="46"/>
  <c r="M34" i="46"/>
  <c r="L42" i="46"/>
  <c r="H248" i="46"/>
  <c r="H94" i="46"/>
  <c r="H78" i="46"/>
  <c r="H197" i="46" s="1"/>
  <c r="H96" i="46"/>
  <c r="L44" i="46"/>
  <c r="M39" i="46"/>
  <c r="O37" i="46"/>
  <c r="O38" i="46" s="1"/>
  <c r="H252" i="46"/>
  <c r="H202" i="46"/>
  <c r="Q30" i="46"/>
  <c r="Q32" i="46" s="1"/>
  <c r="P32" i="46"/>
  <c r="J44" i="46"/>
  <c r="J42" i="46"/>
  <c r="I22" i="46"/>
  <c r="I37" i="46" s="1"/>
  <c r="J38" i="46" s="1"/>
  <c r="I89" i="46"/>
  <c r="Q112" i="46"/>
  <c r="N97" i="46"/>
  <c r="M157" i="46"/>
  <c r="N157" i="46" s="1"/>
  <c r="Q137" i="46"/>
  <c r="M102" i="46"/>
  <c r="M139" i="46"/>
  <c r="N46" i="46"/>
  <c r="M186" i="46"/>
  <c r="M231" i="46" s="1"/>
  <c r="P123" i="51" l="1"/>
  <c r="P74" i="51"/>
  <c r="H275" i="51"/>
  <c r="AA10" i="51" s="1"/>
  <c r="K71" i="51"/>
  <c r="L156" i="51"/>
  <c r="L152" i="51" s="1"/>
  <c r="J55" i="51"/>
  <c r="P97" i="51"/>
  <c r="P186" i="51"/>
  <c r="P231" i="51" s="1"/>
  <c r="P139" i="51"/>
  <c r="P102" i="51"/>
  <c r="Q46" i="51"/>
  <c r="K208" i="51"/>
  <c r="K258" i="51" s="1"/>
  <c r="J128" i="51"/>
  <c r="J111" i="51"/>
  <c r="J191" i="51"/>
  <c r="H181" i="51"/>
  <c r="H183" i="51" s="1"/>
  <c r="H106" i="51" s="1"/>
  <c r="P37" i="51"/>
  <c r="P38" i="51" s="1"/>
  <c r="I49" i="51"/>
  <c r="I60" i="51"/>
  <c r="I51" i="51"/>
  <c r="I119" i="51"/>
  <c r="I108" i="51"/>
  <c r="I136" i="51"/>
  <c r="Q43" i="51"/>
  <c r="Q37" i="51"/>
  <c r="L48" i="51"/>
  <c r="L24" i="51"/>
  <c r="K49" i="51"/>
  <c r="K60" i="51"/>
  <c r="K51" i="51"/>
  <c r="K119" i="51"/>
  <c r="K171" i="51" s="1"/>
  <c r="K136" i="51"/>
  <c r="K108" i="51"/>
  <c r="P43" i="51"/>
  <c r="M44" i="51"/>
  <c r="N39" i="51"/>
  <c r="M42" i="51"/>
  <c r="I176" i="51"/>
  <c r="I174" i="51"/>
  <c r="Y10" i="51"/>
  <c r="X10" i="51"/>
  <c r="O157" i="46"/>
  <c r="P157" i="46" s="1"/>
  <c r="Q157" i="46" s="1"/>
  <c r="O97" i="46"/>
  <c r="M44" i="46"/>
  <c r="N39" i="46"/>
  <c r="H99" i="46"/>
  <c r="J24" i="46"/>
  <c r="J48" i="46"/>
  <c r="P58" i="46"/>
  <c r="Q58" i="46" s="1"/>
  <c r="L24" i="46"/>
  <c r="L48" i="46"/>
  <c r="M43" i="46"/>
  <c r="N34" i="46"/>
  <c r="M42" i="46"/>
  <c r="P72" i="46"/>
  <c r="Q72" i="46" s="1"/>
  <c r="Q43" i="46"/>
  <c r="Q37" i="46"/>
  <c r="Q42" i="46" s="1"/>
  <c r="Q24" i="46" s="1"/>
  <c r="K49" i="46"/>
  <c r="K60" i="46"/>
  <c r="K51" i="46"/>
  <c r="K108" i="46"/>
  <c r="K136" i="46"/>
  <c r="K119" i="46"/>
  <c r="K171" i="46" s="1"/>
  <c r="P74" i="46"/>
  <c r="P123" i="46"/>
  <c r="P120" i="46"/>
  <c r="H198" i="46"/>
  <c r="H196" i="46"/>
  <c r="I38" i="46"/>
  <c r="I44" i="46"/>
  <c r="I42" i="46"/>
  <c r="L156" i="46"/>
  <c r="L152" i="46" s="1"/>
  <c r="L118" i="46" s="1"/>
  <c r="N139" i="46"/>
  <c r="N186" i="46"/>
  <c r="N231" i="46" s="1"/>
  <c r="O46" i="46"/>
  <c r="N102" i="46"/>
  <c r="P37" i="46"/>
  <c r="P38" i="46" s="1"/>
  <c r="Q123" i="51" l="1"/>
  <c r="Q74" i="51"/>
  <c r="K191" i="51"/>
  <c r="R219" i="51"/>
  <c r="AE10" i="51"/>
  <c r="AD10" i="51"/>
  <c r="AI10" i="51"/>
  <c r="I171" i="51"/>
  <c r="I117" i="51"/>
  <c r="I68" i="51" s="1"/>
  <c r="I141" i="51" s="1"/>
  <c r="J71" i="51"/>
  <c r="J121" i="51" s="1"/>
  <c r="I128" i="51"/>
  <c r="I111" i="51"/>
  <c r="M48" i="51"/>
  <c r="M24" i="51"/>
  <c r="I54" i="51"/>
  <c r="J189" i="51"/>
  <c r="J190" i="51"/>
  <c r="J192" i="51"/>
  <c r="Q186" i="51"/>
  <c r="Q231" i="51" s="1"/>
  <c r="Q139" i="51"/>
  <c r="Q102" i="51"/>
  <c r="L208" i="51"/>
  <c r="L258" i="51" s="1"/>
  <c r="N44" i="51"/>
  <c r="O39" i="51"/>
  <c r="N42" i="51"/>
  <c r="L71" i="51"/>
  <c r="L60" i="51"/>
  <c r="L49" i="51"/>
  <c r="L51" i="51"/>
  <c r="L136" i="51"/>
  <c r="L119" i="51"/>
  <c r="L171" i="51" s="1"/>
  <c r="L108" i="51"/>
  <c r="I179" i="51"/>
  <c r="J179" i="51" s="1"/>
  <c r="I92" i="51"/>
  <c r="J92" i="51" s="1"/>
  <c r="I161" i="51"/>
  <c r="I131" i="51"/>
  <c r="I114" i="51"/>
  <c r="J114" i="51" s="1"/>
  <c r="I191" i="51"/>
  <c r="I63" i="51"/>
  <c r="J63" i="51" s="1"/>
  <c r="I148" i="51"/>
  <c r="J148" i="51" s="1"/>
  <c r="I57" i="51"/>
  <c r="I260" i="51"/>
  <c r="AC11" i="51" s="1"/>
  <c r="I134" i="51"/>
  <c r="Q38" i="51"/>
  <c r="Q44" i="51"/>
  <c r="R44" i="51" s="1"/>
  <c r="L118" i="51"/>
  <c r="K128" i="51"/>
  <c r="K111" i="51"/>
  <c r="Q42" i="51"/>
  <c r="Q24" i="51" s="1"/>
  <c r="K54" i="51"/>
  <c r="H195" i="46"/>
  <c r="H194" i="46" s="1"/>
  <c r="H200" i="46" s="1"/>
  <c r="AB10" i="46" s="1"/>
  <c r="R43" i="46"/>
  <c r="H250" i="46"/>
  <c r="H262" i="46" s="1"/>
  <c r="I165" i="46"/>
  <c r="H165" i="46"/>
  <c r="J165" i="46"/>
  <c r="K165" i="46"/>
  <c r="H150" i="46"/>
  <c r="H168" i="46"/>
  <c r="Q165" i="46"/>
  <c r="M165" i="46"/>
  <c r="L165" i="46"/>
  <c r="H100" i="46"/>
  <c r="P165" i="46"/>
  <c r="O165" i="46"/>
  <c r="N165" i="46"/>
  <c r="O139" i="46"/>
  <c r="O186" i="46"/>
  <c r="O231" i="46" s="1"/>
  <c r="P46" i="46"/>
  <c r="O102" i="46"/>
  <c r="O39" i="46"/>
  <c r="N44" i="46"/>
  <c r="M156" i="46"/>
  <c r="M152" i="46" s="1"/>
  <c r="P97" i="46"/>
  <c r="Q74" i="46"/>
  <c r="Q123" i="46"/>
  <c r="L49" i="46"/>
  <c r="L60" i="46"/>
  <c r="L51" i="46"/>
  <c r="L54" i="46" s="1"/>
  <c r="L108" i="46"/>
  <c r="L119" i="46"/>
  <c r="L171" i="46" s="1"/>
  <c r="L136" i="46"/>
  <c r="K191" i="46"/>
  <c r="Q38" i="46"/>
  <c r="Q44" i="46"/>
  <c r="R44" i="46" s="1"/>
  <c r="J60" i="46"/>
  <c r="J51" i="46"/>
  <c r="J108" i="46"/>
  <c r="J136" i="46"/>
  <c r="J119" i="46"/>
  <c r="Q120" i="46"/>
  <c r="M24" i="46"/>
  <c r="M48" i="46"/>
  <c r="O34" i="46"/>
  <c r="N43" i="46"/>
  <c r="N42" i="46"/>
  <c r="L208" i="46"/>
  <c r="L258" i="46" s="1"/>
  <c r="K128" i="46"/>
  <c r="K111" i="46"/>
  <c r="I24" i="46"/>
  <c r="I48" i="46"/>
  <c r="J49" i="46" s="1"/>
  <c r="K54" i="46"/>
  <c r="L71" i="46"/>
  <c r="R43" i="51" l="1"/>
  <c r="K92" i="51"/>
  <c r="L92" i="51" s="1"/>
  <c r="K63" i="51"/>
  <c r="L63" i="51" s="1"/>
  <c r="I192" i="51"/>
  <c r="I189" i="51"/>
  <c r="I188" i="51" s="1"/>
  <c r="J188" i="51" s="1"/>
  <c r="I190" i="51"/>
  <c r="I163" i="51"/>
  <c r="J161" i="51"/>
  <c r="J163" i="51" s="1"/>
  <c r="O44" i="51"/>
  <c r="P39" i="51"/>
  <c r="O42" i="51"/>
  <c r="M49" i="51"/>
  <c r="M60" i="51"/>
  <c r="M51" i="51"/>
  <c r="M136" i="51"/>
  <c r="M119" i="51"/>
  <c r="M171" i="51" s="1"/>
  <c r="M108" i="51"/>
  <c r="K189" i="51"/>
  <c r="K190" i="51"/>
  <c r="K192" i="51"/>
  <c r="M156" i="51"/>
  <c r="M152" i="51" s="1"/>
  <c r="M71" i="51"/>
  <c r="Q48" i="51"/>
  <c r="AH11" i="51"/>
  <c r="AF11" i="51"/>
  <c r="K114" i="51"/>
  <c r="K55" i="51"/>
  <c r="K121" i="51"/>
  <c r="J117" i="51"/>
  <c r="J68" i="51" s="1"/>
  <c r="J141" i="51" s="1"/>
  <c r="I202" i="51"/>
  <c r="I252" i="51"/>
  <c r="I132" i="51"/>
  <c r="J131" i="51"/>
  <c r="J132" i="51" s="1"/>
  <c r="K148" i="51"/>
  <c r="L148" i="51" s="1"/>
  <c r="N48" i="51"/>
  <c r="N24" i="51"/>
  <c r="J57" i="51"/>
  <c r="I143" i="51"/>
  <c r="L128" i="51"/>
  <c r="L111" i="51"/>
  <c r="K179" i="51"/>
  <c r="L179" i="51" s="1"/>
  <c r="S222" i="51"/>
  <c r="I83" i="51"/>
  <c r="L191" i="51"/>
  <c r="I65" i="51"/>
  <c r="I55" i="51"/>
  <c r="I146" i="51"/>
  <c r="I206" i="51" s="1"/>
  <c r="I256" i="51" s="1"/>
  <c r="L54" i="51"/>
  <c r="AG10" i="51"/>
  <c r="H210" i="46"/>
  <c r="X10" i="46" s="1"/>
  <c r="H275" i="46"/>
  <c r="AA10" i="46" s="1"/>
  <c r="J171" i="46"/>
  <c r="K71" i="46"/>
  <c r="K190" i="46"/>
  <c r="K189" i="46"/>
  <c r="K192" i="46"/>
  <c r="M208" i="46"/>
  <c r="M258" i="46" s="1"/>
  <c r="K55" i="46"/>
  <c r="J128" i="46"/>
  <c r="J111" i="46"/>
  <c r="P39" i="46"/>
  <c r="P44" i="46" s="1"/>
  <c r="O44" i="46"/>
  <c r="I49" i="46"/>
  <c r="I60" i="46"/>
  <c r="I51" i="46"/>
  <c r="I136" i="46"/>
  <c r="I108" i="46"/>
  <c r="I119" i="46"/>
  <c r="J54" i="46"/>
  <c r="L111" i="46"/>
  <c r="L128" i="46"/>
  <c r="H181" i="46"/>
  <c r="H183" i="46" s="1"/>
  <c r="H106" i="46" s="1"/>
  <c r="J191" i="46"/>
  <c r="P139" i="46"/>
  <c r="P186" i="46"/>
  <c r="P231" i="46" s="1"/>
  <c r="Q46" i="46"/>
  <c r="P102" i="46"/>
  <c r="L191" i="46"/>
  <c r="Y10" i="46"/>
  <c r="I176" i="46"/>
  <c r="I174" i="46"/>
  <c r="L55" i="46"/>
  <c r="N24" i="46"/>
  <c r="N48" i="46"/>
  <c r="Q48" i="46"/>
  <c r="M71" i="46"/>
  <c r="P34" i="46"/>
  <c r="O43" i="46"/>
  <c r="O42" i="46"/>
  <c r="M49" i="46"/>
  <c r="M60" i="46"/>
  <c r="M51" i="46"/>
  <c r="M54" i="46" s="1"/>
  <c r="M108" i="46"/>
  <c r="M136" i="46"/>
  <c r="M119" i="46"/>
  <c r="M171" i="46" s="1"/>
  <c r="M208" i="51" l="1"/>
  <c r="M258" i="51" s="1"/>
  <c r="M191" i="51"/>
  <c r="M179" i="51"/>
  <c r="M148" i="51"/>
  <c r="M92" i="51"/>
  <c r="M63" i="51"/>
  <c r="J202" i="51"/>
  <c r="J252" i="51"/>
  <c r="P44" i="51"/>
  <c r="P42" i="51"/>
  <c r="L121" i="51"/>
  <c r="K117" i="51"/>
  <c r="K68" i="51" s="1"/>
  <c r="K141" i="51" s="1"/>
  <c r="I204" i="51"/>
  <c r="I254" i="51"/>
  <c r="I66" i="51"/>
  <c r="I77" i="51"/>
  <c r="L114" i="51"/>
  <c r="L189" i="51"/>
  <c r="L190" i="51"/>
  <c r="L192" i="51"/>
  <c r="K188" i="51"/>
  <c r="O24" i="51"/>
  <c r="O48" i="51"/>
  <c r="M128" i="51"/>
  <c r="M111" i="51"/>
  <c r="J146" i="51"/>
  <c r="J206" i="51" s="1"/>
  <c r="J256" i="51" s="1"/>
  <c r="K57" i="51"/>
  <c r="J143" i="51"/>
  <c r="J65" i="51"/>
  <c r="N60" i="51"/>
  <c r="N49" i="51"/>
  <c r="N51" i="51"/>
  <c r="N54" i="51" s="1"/>
  <c r="N136" i="51"/>
  <c r="N119" i="51"/>
  <c r="N171" i="51" s="1"/>
  <c r="N108" i="51"/>
  <c r="L55" i="51"/>
  <c r="I234" i="51"/>
  <c r="Z8" i="51" s="1"/>
  <c r="I80" i="51"/>
  <c r="I81" i="51" s="1"/>
  <c r="Q51" i="51"/>
  <c r="Q60" i="51"/>
  <c r="Q54" i="51"/>
  <c r="Q136" i="51"/>
  <c r="Q108" i="51"/>
  <c r="Q119" i="51"/>
  <c r="Q171" i="51" s="1"/>
  <c r="M54" i="51"/>
  <c r="K131" i="51"/>
  <c r="K161" i="51"/>
  <c r="K163" i="51" s="1"/>
  <c r="I171" i="46"/>
  <c r="I117" i="46"/>
  <c r="I68" i="46" s="1"/>
  <c r="I141" i="46" s="1"/>
  <c r="J71" i="46"/>
  <c r="J121" i="46" s="1"/>
  <c r="M55" i="46"/>
  <c r="R219" i="46"/>
  <c r="AD10" i="46"/>
  <c r="AE10" i="46"/>
  <c r="AI10" i="46"/>
  <c r="I260" i="46"/>
  <c r="AC11" i="46" s="1"/>
  <c r="I134" i="46"/>
  <c r="O24" i="46"/>
  <c r="O48" i="46"/>
  <c r="L189" i="46"/>
  <c r="L190" i="46"/>
  <c r="L192" i="46"/>
  <c r="Q60" i="46"/>
  <c r="Q51" i="46"/>
  <c r="Q108" i="46"/>
  <c r="Q136" i="46"/>
  <c r="J190" i="46"/>
  <c r="J189" i="46"/>
  <c r="J192" i="46"/>
  <c r="N60" i="46"/>
  <c r="N49" i="46"/>
  <c r="N51" i="46"/>
  <c r="N108" i="46"/>
  <c r="N136" i="46"/>
  <c r="N119" i="46"/>
  <c r="N171" i="46" s="1"/>
  <c r="Q119" i="46"/>
  <c r="Q171" i="46" s="1"/>
  <c r="Q139" i="46"/>
  <c r="Q186" i="46"/>
  <c r="Q231" i="46" s="1"/>
  <c r="Q102" i="46"/>
  <c r="I128" i="46"/>
  <c r="I111" i="46"/>
  <c r="M191" i="46"/>
  <c r="P43" i="46"/>
  <c r="P42" i="46"/>
  <c r="I191" i="46"/>
  <c r="I179" i="46"/>
  <c r="I161" i="46"/>
  <c r="I114" i="46"/>
  <c r="I92" i="46"/>
  <c r="I148" i="46"/>
  <c r="I131" i="46"/>
  <c r="I63" i="46"/>
  <c r="I57" i="46"/>
  <c r="I54" i="46"/>
  <c r="M111" i="46"/>
  <c r="M128" i="46"/>
  <c r="J55" i="46"/>
  <c r="L188" i="51" l="1"/>
  <c r="N55" i="51"/>
  <c r="J204" i="51"/>
  <c r="J254" i="51"/>
  <c r="M114" i="51"/>
  <c r="N114" i="51" s="1"/>
  <c r="K132" i="51"/>
  <c r="L131" i="51"/>
  <c r="L132" i="51" s="1"/>
  <c r="K202" i="51"/>
  <c r="K252" i="51"/>
  <c r="M55" i="51"/>
  <c r="M121" i="51"/>
  <c r="L117" i="51"/>
  <c r="L68" i="51" s="1"/>
  <c r="L141" i="51" s="1"/>
  <c r="L57" i="51"/>
  <c r="K143" i="51"/>
  <c r="K65" i="51"/>
  <c r="P48" i="51"/>
  <c r="P24" i="51"/>
  <c r="M189" i="51"/>
  <c r="M190" i="51"/>
  <c r="M192" i="51"/>
  <c r="Q128" i="51"/>
  <c r="Q111" i="51"/>
  <c r="N191" i="51"/>
  <c r="N179" i="51"/>
  <c r="N148" i="51"/>
  <c r="N92" i="51"/>
  <c r="N63" i="51"/>
  <c r="I248" i="51"/>
  <c r="I94" i="51"/>
  <c r="I78" i="51"/>
  <c r="I197" i="51" s="1"/>
  <c r="I96" i="51"/>
  <c r="L161" i="51"/>
  <c r="L163" i="51" s="1"/>
  <c r="N128" i="51"/>
  <c r="N111" i="51"/>
  <c r="O60" i="51"/>
  <c r="O49" i="51"/>
  <c r="O51" i="51"/>
  <c r="O54" i="51" s="1"/>
  <c r="O136" i="51"/>
  <c r="O119" i="51"/>
  <c r="O171" i="51" s="1"/>
  <c r="O108" i="51"/>
  <c r="Q55" i="51"/>
  <c r="J66" i="51"/>
  <c r="J77" i="51"/>
  <c r="K146" i="51"/>
  <c r="K206" i="51" s="1"/>
  <c r="K256" i="51" s="1"/>
  <c r="I146" i="46"/>
  <c r="I206" i="46" s="1"/>
  <c r="I256" i="46" s="1"/>
  <c r="O60" i="46"/>
  <c r="O49" i="46"/>
  <c r="O108" i="46"/>
  <c r="O51" i="46"/>
  <c r="O136" i="46"/>
  <c r="O119" i="46"/>
  <c r="O171" i="46" s="1"/>
  <c r="J63" i="46"/>
  <c r="K63" i="46" s="1"/>
  <c r="J148" i="46"/>
  <c r="J92" i="46"/>
  <c r="K92" i="46" s="1"/>
  <c r="J114" i="46"/>
  <c r="I163" i="46"/>
  <c r="J161" i="46"/>
  <c r="Q111" i="46"/>
  <c r="Q128" i="46"/>
  <c r="I192" i="46"/>
  <c r="I190" i="46"/>
  <c r="I189" i="46"/>
  <c r="I188" i="46" s="1"/>
  <c r="J188" i="46" s="1"/>
  <c r="K188" i="46" s="1"/>
  <c r="L188" i="46" s="1"/>
  <c r="P48" i="46"/>
  <c r="P24" i="46"/>
  <c r="Q54" i="46"/>
  <c r="K121" i="46"/>
  <c r="J117" i="46"/>
  <c r="J68" i="46" s="1"/>
  <c r="J141" i="46" s="1"/>
  <c r="N111" i="46"/>
  <c r="N128" i="46"/>
  <c r="AG10" i="46"/>
  <c r="I202" i="46"/>
  <c r="I252" i="46"/>
  <c r="N191" i="46"/>
  <c r="I65" i="46"/>
  <c r="I55" i="46"/>
  <c r="J57" i="46"/>
  <c r="I143" i="46"/>
  <c r="N54" i="46"/>
  <c r="S222" i="46"/>
  <c r="I83" i="46"/>
  <c r="I132" i="46"/>
  <c r="J131" i="46"/>
  <c r="AH11" i="46"/>
  <c r="AF11" i="46"/>
  <c r="J179" i="46"/>
  <c r="K179" i="46" s="1"/>
  <c r="M189" i="46"/>
  <c r="M192" i="46"/>
  <c r="M190" i="46"/>
  <c r="M188" i="51" l="1"/>
  <c r="M161" i="51"/>
  <c r="M163" i="51" s="1"/>
  <c r="M118" i="51" s="1"/>
  <c r="M117" i="51" s="1"/>
  <c r="M68" i="51" s="1"/>
  <c r="M141" i="51" s="1"/>
  <c r="O55" i="51"/>
  <c r="J248" i="51"/>
  <c r="J78" i="51"/>
  <c r="J197" i="51" s="1"/>
  <c r="J96" i="51"/>
  <c r="K77" i="51"/>
  <c r="K66" i="51"/>
  <c r="N189" i="51"/>
  <c r="N190" i="51"/>
  <c r="N192" i="51"/>
  <c r="K254" i="51"/>
  <c r="K204" i="51"/>
  <c r="M57" i="51"/>
  <c r="L143" i="51"/>
  <c r="L65" i="51"/>
  <c r="P60" i="51"/>
  <c r="P49" i="51"/>
  <c r="P51" i="51"/>
  <c r="P136" i="51"/>
  <c r="P108" i="51"/>
  <c r="P119" i="51"/>
  <c r="P171" i="51" s="1"/>
  <c r="Q49" i="51"/>
  <c r="L252" i="51"/>
  <c r="L202" i="51"/>
  <c r="O191" i="51"/>
  <c r="O179" i="51"/>
  <c r="O148" i="51"/>
  <c r="O114" i="51"/>
  <c r="O92" i="51"/>
  <c r="O63" i="51"/>
  <c r="I196" i="51"/>
  <c r="I198" i="51"/>
  <c r="I195" i="51"/>
  <c r="I194" i="51" s="1"/>
  <c r="I200" i="51" s="1"/>
  <c r="L146" i="51"/>
  <c r="L206" i="51" s="1"/>
  <c r="L256" i="51" s="1"/>
  <c r="I99" i="51"/>
  <c r="O128" i="51"/>
  <c r="O111" i="51"/>
  <c r="M131" i="51"/>
  <c r="M132" i="51" s="1"/>
  <c r="L179" i="46"/>
  <c r="M179" i="46" s="1"/>
  <c r="N179" i="46" s="1"/>
  <c r="O179" i="46" s="1"/>
  <c r="M188" i="46"/>
  <c r="L63" i="46"/>
  <c r="L121" i="46"/>
  <c r="K117" i="46"/>
  <c r="K68" i="46" s="1"/>
  <c r="K141" i="46" s="1"/>
  <c r="Q55" i="46"/>
  <c r="L92" i="46"/>
  <c r="M92" i="46" s="1"/>
  <c r="N189" i="46"/>
  <c r="N192" i="46"/>
  <c r="N190" i="46"/>
  <c r="J132" i="46"/>
  <c r="N55" i="46"/>
  <c r="O128" i="46"/>
  <c r="O111" i="46"/>
  <c r="I254" i="46"/>
  <c r="I204" i="46"/>
  <c r="K57" i="46"/>
  <c r="J143" i="46"/>
  <c r="J65" i="46"/>
  <c r="O191" i="46"/>
  <c r="P60" i="46"/>
  <c r="P49" i="46"/>
  <c r="P108" i="46"/>
  <c r="P51" i="46"/>
  <c r="P136" i="46"/>
  <c r="P119" i="46"/>
  <c r="P171" i="46" s="1"/>
  <c r="Q49" i="46"/>
  <c r="J146" i="46"/>
  <c r="J206" i="46" s="1"/>
  <c r="J256" i="46" s="1"/>
  <c r="K148" i="46"/>
  <c r="K131" i="46"/>
  <c r="L131" i="46" s="1"/>
  <c r="L132" i="46" s="1"/>
  <c r="I234" i="46"/>
  <c r="Z8" i="46" s="1"/>
  <c r="I80" i="46"/>
  <c r="I81" i="46" s="1"/>
  <c r="J163" i="46"/>
  <c r="K161" i="46"/>
  <c r="I66" i="46"/>
  <c r="I77" i="46"/>
  <c r="J252" i="46"/>
  <c r="J202" i="46"/>
  <c r="K114" i="46"/>
  <c r="O54" i="46"/>
  <c r="N188" i="51" l="1"/>
  <c r="N156" i="51"/>
  <c r="N152" i="51" s="1"/>
  <c r="N208" i="51" s="1"/>
  <c r="N258" i="51" s="1"/>
  <c r="N71" i="51"/>
  <c r="N121" i="51" s="1"/>
  <c r="N161" i="51"/>
  <c r="O161" i="51" s="1"/>
  <c r="P161" i="51" s="1"/>
  <c r="Q161" i="51" s="1"/>
  <c r="M146" i="51"/>
  <c r="M206" i="51" s="1"/>
  <c r="M256" i="51" s="1"/>
  <c r="N131" i="51"/>
  <c r="N132" i="51" s="1"/>
  <c r="J198" i="51"/>
  <c r="J195" i="51"/>
  <c r="J194" i="51" s="1"/>
  <c r="J200" i="51" s="1"/>
  <c r="J196" i="51"/>
  <c r="N57" i="51"/>
  <c r="M143" i="51"/>
  <c r="M65" i="51"/>
  <c r="O189" i="51"/>
  <c r="O190" i="51"/>
  <c r="O192" i="51"/>
  <c r="Q191" i="51"/>
  <c r="M252" i="51"/>
  <c r="M202" i="51"/>
  <c r="L77" i="51"/>
  <c r="L66" i="51"/>
  <c r="L254" i="51"/>
  <c r="L204" i="51"/>
  <c r="P128" i="51"/>
  <c r="P111" i="51"/>
  <c r="P191" i="51"/>
  <c r="P179" i="51"/>
  <c r="Q179" i="51" s="1"/>
  <c r="P148" i="51"/>
  <c r="Q148" i="51" s="1"/>
  <c r="P114" i="51"/>
  <c r="Q114" i="51" s="1"/>
  <c r="P92" i="51"/>
  <c r="Q92" i="51" s="1"/>
  <c r="P63" i="51"/>
  <c r="Q63" i="51" s="1"/>
  <c r="AB11" i="51"/>
  <c r="I210" i="51"/>
  <c r="I250" i="51"/>
  <c r="I262" i="51" s="1"/>
  <c r="I168" i="51"/>
  <c r="I150" i="51"/>
  <c r="I100" i="51"/>
  <c r="P54" i="51"/>
  <c r="K248" i="51"/>
  <c r="K78" i="51"/>
  <c r="K197" i="51" s="1"/>
  <c r="K96" i="51"/>
  <c r="N188" i="46"/>
  <c r="N92" i="46"/>
  <c r="O92" i="46" s="1"/>
  <c r="J254" i="46"/>
  <c r="J204" i="46"/>
  <c r="O55" i="46"/>
  <c r="M131" i="46"/>
  <c r="M132" i="46" s="1"/>
  <c r="K146" i="46"/>
  <c r="K206" i="46" s="1"/>
  <c r="K256" i="46" s="1"/>
  <c r="Q191" i="46"/>
  <c r="K163" i="46"/>
  <c r="P111" i="46"/>
  <c r="P128" i="46"/>
  <c r="P54" i="46"/>
  <c r="I248" i="46"/>
  <c r="I78" i="46"/>
  <c r="I197" i="46" s="1"/>
  <c r="I94" i="46"/>
  <c r="I96" i="46"/>
  <c r="J66" i="46"/>
  <c r="J77" i="46"/>
  <c r="L57" i="46"/>
  <c r="K143" i="46"/>
  <c r="K65" i="46"/>
  <c r="L161" i="46"/>
  <c r="M161" i="46" s="1"/>
  <c r="M163" i="46" s="1"/>
  <c r="M118" i="46" s="1"/>
  <c r="K252" i="46"/>
  <c r="K202" i="46"/>
  <c r="M121" i="46"/>
  <c r="L117" i="46"/>
  <c r="L68" i="46" s="1"/>
  <c r="L141" i="46" s="1"/>
  <c r="P179" i="46"/>
  <c r="Q179" i="46" s="1"/>
  <c r="P191" i="46"/>
  <c r="M63" i="46"/>
  <c r="N63" i="46" s="1"/>
  <c r="K132" i="46"/>
  <c r="O189" i="46"/>
  <c r="O192" i="46"/>
  <c r="O190" i="46"/>
  <c r="L114" i="46"/>
  <c r="M114" i="46" s="1"/>
  <c r="L148" i="46"/>
  <c r="M148" i="46" s="1"/>
  <c r="N118" i="51" l="1"/>
  <c r="N117" i="51" s="1"/>
  <c r="N68" i="51" s="1"/>
  <c r="N141" i="51" s="1"/>
  <c r="N146" i="51"/>
  <c r="N206" i="51" s="1"/>
  <c r="N256" i="51" s="1"/>
  <c r="O188" i="51"/>
  <c r="N163" i="51"/>
  <c r="O131" i="51"/>
  <c r="O132" i="51" s="1"/>
  <c r="P55" i="51"/>
  <c r="M77" i="51"/>
  <c r="M66" i="51"/>
  <c r="P190" i="51"/>
  <c r="P192" i="51"/>
  <c r="P189" i="51"/>
  <c r="X11" i="51"/>
  <c r="M254" i="51"/>
  <c r="M204" i="51"/>
  <c r="I275" i="51"/>
  <c r="I181" i="51"/>
  <c r="I183" i="51" s="1"/>
  <c r="I106" i="51" s="1"/>
  <c r="O57" i="51"/>
  <c r="N143" i="51"/>
  <c r="N65" i="51"/>
  <c r="J210" i="51"/>
  <c r="AB12" i="51"/>
  <c r="J176" i="51"/>
  <c r="J174" i="51"/>
  <c r="Y11" i="51"/>
  <c r="K198" i="51"/>
  <c r="K196" i="51"/>
  <c r="K195" i="51"/>
  <c r="K194" i="51" s="1"/>
  <c r="K200" i="51" s="1"/>
  <c r="Q190" i="51"/>
  <c r="Q192" i="51"/>
  <c r="Q189" i="51"/>
  <c r="L248" i="51"/>
  <c r="L78" i="51"/>
  <c r="L197" i="51" s="1"/>
  <c r="L96" i="51"/>
  <c r="P92" i="46"/>
  <c r="Q92" i="46" s="1"/>
  <c r="M146" i="46"/>
  <c r="M206" i="46" s="1"/>
  <c r="M256" i="46" s="1"/>
  <c r="O188" i="46"/>
  <c r="P192" i="46"/>
  <c r="P189" i="46"/>
  <c r="P190" i="46"/>
  <c r="I99" i="46"/>
  <c r="Q192" i="46"/>
  <c r="Q189" i="46"/>
  <c r="Q190" i="46"/>
  <c r="L252" i="46"/>
  <c r="L202" i="46"/>
  <c r="N114" i="46"/>
  <c r="O114" i="46" s="1"/>
  <c r="L146" i="46"/>
  <c r="L206" i="46" s="1"/>
  <c r="L256" i="46" s="1"/>
  <c r="M117" i="46"/>
  <c r="M68" i="46" s="1"/>
  <c r="M141" i="46" s="1"/>
  <c r="N71" i="46"/>
  <c r="N121" i="46" s="1"/>
  <c r="N156" i="46"/>
  <c r="N152" i="46" s="1"/>
  <c r="N118" i="46" s="1"/>
  <c r="P55" i="46"/>
  <c r="N131" i="46"/>
  <c r="L163" i="46"/>
  <c r="K66" i="46"/>
  <c r="K77" i="46"/>
  <c r="N161" i="46"/>
  <c r="M57" i="46"/>
  <c r="L143" i="46"/>
  <c r="L65" i="46"/>
  <c r="J248" i="46"/>
  <c r="J78" i="46"/>
  <c r="J197" i="46" s="1"/>
  <c r="J96" i="46"/>
  <c r="I198" i="46"/>
  <c r="I196" i="46"/>
  <c r="N148" i="46"/>
  <c r="O148" i="46" s="1"/>
  <c r="K254" i="46"/>
  <c r="K204" i="46"/>
  <c r="O63" i="46"/>
  <c r="I195" i="46" l="1"/>
  <c r="I194" i="46" s="1"/>
  <c r="I200" i="46" s="1"/>
  <c r="I210" i="46" s="1"/>
  <c r="O156" i="51"/>
  <c r="O152" i="51" s="1"/>
  <c r="O118" i="51" s="1"/>
  <c r="O71" i="51"/>
  <c r="O121" i="51" s="1"/>
  <c r="P188" i="51"/>
  <c r="Q188" i="51" s="1"/>
  <c r="O146" i="51"/>
  <c r="O206" i="51" s="1"/>
  <c r="O256" i="51" s="1"/>
  <c r="P131" i="51"/>
  <c r="P132" i="51" s="1"/>
  <c r="AB13" i="51"/>
  <c r="K210" i="51"/>
  <c r="P57" i="51"/>
  <c r="O143" i="51"/>
  <c r="O65" i="51"/>
  <c r="S219" i="51"/>
  <c r="AD11" i="51"/>
  <c r="AI11" i="51"/>
  <c r="AE11" i="51"/>
  <c r="AG11" i="51" s="1"/>
  <c r="X12" i="51"/>
  <c r="M248" i="51"/>
  <c r="M78" i="51"/>
  <c r="M197" i="51" s="1"/>
  <c r="M96" i="51"/>
  <c r="AA11" i="51"/>
  <c r="N77" i="51"/>
  <c r="N66" i="51"/>
  <c r="L198" i="51"/>
  <c r="L195" i="51"/>
  <c r="L194" i="51" s="1"/>
  <c r="L200" i="51" s="1"/>
  <c r="L196" i="51"/>
  <c r="N252" i="51"/>
  <c r="N202" i="51"/>
  <c r="N254" i="51"/>
  <c r="N204" i="51"/>
  <c r="J260" i="51"/>
  <c r="AC12" i="51" s="1"/>
  <c r="J134" i="51"/>
  <c r="P188" i="46"/>
  <c r="Q188" i="46" s="1"/>
  <c r="J196" i="46"/>
  <c r="J198" i="46"/>
  <c r="M252" i="46"/>
  <c r="M202" i="46"/>
  <c r="L66" i="46"/>
  <c r="L77" i="46"/>
  <c r="L254" i="46"/>
  <c r="L204" i="46"/>
  <c r="N57" i="46"/>
  <c r="M143" i="46"/>
  <c r="M65" i="46"/>
  <c r="N146" i="46"/>
  <c r="N206" i="46" s="1"/>
  <c r="N256" i="46" s="1"/>
  <c r="P114" i="46"/>
  <c r="Q114" i="46" s="1"/>
  <c r="P63" i="46"/>
  <c r="Q63" i="46" s="1"/>
  <c r="K248" i="46"/>
  <c r="K78" i="46"/>
  <c r="K197" i="46" s="1"/>
  <c r="K96" i="46"/>
  <c r="O161" i="46"/>
  <c r="P161" i="46" s="1"/>
  <c r="P148" i="46"/>
  <c r="Q148" i="46" s="1"/>
  <c r="N132" i="46"/>
  <c r="O131" i="46"/>
  <c r="O132" i="46" s="1"/>
  <c r="N163" i="46"/>
  <c r="N208" i="46"/>
  <c r="N258" i="46" s="1"/>
  <c r="N117" i="46"/>
  <c r="N68" i="46" s="1"/>
  <c r="N141" i="46" s="1"/>
  <c r="O71" i="46"/>
  <c r="O121" i="46" s="1"/>
  <c r="O156" i="46"/>
  <c r="O152" i="46" s="1"/>
  <c r="I250" i="46"/>
  <c r="I262" i="46" s="1"/>
  <c r="I100" i="46"/>
  <c r="I168" i="46"/>
  <c r="I150" i="46"/>
  <c r="AB11" i="46" l="1"/>
  <c r="Q131" i="51"/>
  <c r="Q132" i="51" s="1"/>
  <c r="O208" i="51"/>
  <c r="O258" i="51" s="1"/>
  <c r="P146" i="51"/>
  <c r="P206" i="51" s="1"/>
  <c r="P256" i="51" s="1"/>
  <c r="O117" i="51"/>
  <c r="O68" i="51" s="1"/>
  <c r="O141" i="51" s="1"/>
  <c r="O252" i="51" s="1"/>
  <c r="P156" i="51"/>
  <c r="P152" i="51" s="1"/>
  <c r="P118" i="51" s="1"/>
  <c r="P71" i="51"/>
  <c r="P121" i="51" s="1"/>
  <c r="O163" i="51"/>
  <c r="L210" i="51"/>
  <c r="AB14" i="51"/>
  <c r="M198" i="51"/>
  <c r="M195" i="51"/>
  <c r="M194" i="51" s="1"/>
  <c r="M200" i="51" s="1"/>
  <c r="M210" i="51" s="1"/>
  <c r="M196" i="51"/>
  <c r="O66" i="51"/>
  <c r="N248" i="51"/>
  <c r="N78" i="51"/>
  <c r="N197" i="51" s="1"/>
  <c r="N96" i="51"/>
  <c r="O254" i="51"/>
  <c r="O204" i="51"/>
  <c r="Q57" i="51"/>
  <c r="P143" i="51"/>
  <c r="P65" i="51"/>
  <c r="J83" i="51"/>
  <c r="X13" i="51"/>
  <c r="J195" i="46"/>
  <c r="J194" i="46" s="1"/>
  <c r="J200" i="46" s="1"/>
  <c r="AB12" i="46" s="1"/>
  <c r="P131" i="46"/>
  <c r="P132" i="46" s="1"/>
  <c r="I275" i="46"/>
  <c r="I181" i="46"/>
  <c r="I183" i="46" s="1"/>
  <c r="I106" i="46" s="1"/>
  <c r="O208" i="46"/>
  <c r="O258" i="46" s="1"/>
  <c r="O163" i="46"/>
  <c r="L78" i="46"/>
  <c r="L197" i="46" s="1"/>
  <c r="L248" i="46"/>
  <c r="L96" i="46"/>
  <c r="O118" i="46"/>
  <c r="M77" i="46"/>
  <c r="M66" i="46"/>
  <c r="M254" i="46"/>
  <c r="M204" i="46"/>
  <c r="O146" i="46"/>
  <c r="O206" i="46" s="1"/>
  <c r="O256" i="46" s="1"/>
  <c r="K196" i="46"/>
  <c r="K198" i="46"/>
  <c r="O57" i="46"/>
  <c r="N143" i="46"/>
  <c r="N65" i="46"/>
  <c r="J176" i="46"/>
  <c r="J174" i="46"/>
  <c r="Y11" i="46"/>
  <c r="N202" i="46"/>
  <c r="N252" i="46"/>
  <c r="Q161" i="46"/>
  <c r="X11" i="46"/>
  <c r="Q146" i="51" l="1"/>
  <c r="Q206" i="51" s="1"/>
  <c r="Q256" i="51" s="1"/>
  <c r="O77" i="51"/>
  <c r="O96" i="51" s="1"/>
  <c r="O202" i="51"/>
  <c r="P117" i="51"/>
  <c r="P68" i="51" s="1"/>
  <c r="P141" i="51" s="1"/>
  <c r="P202" i="51" s="1"/>
  <c r="P163" i="51"/>
  <c r="P208" i="51"/>
  <c r="P258" i="51" s="1"/>
  <c r="Q156" i="51"/>
  <c r="Q152" i="51" s="1"/>
  <c r="Q118" i="51" s="1"/>
  <c r="Q71" i="51"/>
  <c r="Q121" i="51" s="1"/>
  <c r="X14" i="51"/>
  <c r="P66" i="51"/>
  <c r="P254" i="51"/>
  <c r="P204" i="51"/>
  <c r="N195" i="51"/>
  <c r="N194" i="51" s="1"/>
  <c r="N200" i="51" s="1"/>
  <c r="N210" i="51" s="1"/>
  <c r="N196" i="51"/>
  <c r="N198" i="51"/>
  <c r="Q143" i="51"/>
  <c r="Q65" i="51"/>
  <c r="J234" i="51"/>
  <c r="Z9" i="51" s="1"/>
  <c r="J80" i="51"/>
  <c r="J210" i="46"/>
  <c r="X12" i="46" s="1"/>
  <c r="P146" i="46"/>
  <c r="P206" i="46" s="1"/>
  <c r="P256" i="46" s="1"/>
  <c r="Q131" i="46"/>
  <c r="Q132" i="46" s="1"/>
  <c r="K195" i="46"/>
  <c r="K194" i="46" s="1"/>
  <c r="K200" i="46" s="1"/>
  <c r="K210" i="46" s="1"/>
  <c r="N77" i="46"/>
  <c r="N66" i="46"/>
  <c r="O117" i="46"/>
  <c r="O68" i="46" s="1"/>
  <c r="O141" i="46" s="1"/>
  <c r="P71" i="46"/>
  <c r="P121" i="46" s="1"/>
  <c r="P156" i="46"/>
  <c r="P152" i="46" s="1"/>
  <c r="J260" i="46"/>
  <c r="AC12" i="46" s="1"/>
  <c r="J134" i="46"/>
  <c r="M248" i="46"/>
  <c r="M78" i="46"/>
  <c r="M197" i="46" s="1"/>
  <c r="M96" i="46"/>
  <c r="P57" i="46"/>
  <c r="O143" i="46"/>
  <c r="O65" i="46"/>
  <c r="AD11" i="46"/>
  <c r="AI11" i="46"/>
  <c r="S219" i="46"/>
  <c r="AE11" i="46"/>
  <c r="AG11" i="46" s="1"/>
  <c r="N254" i="46"/>
  <c r="N204" i="46"/>
  <c r="L196" i="46"/>
  <c r="L198" i="46"/>
  <c r="AA11" i="46"/>
  <c r="O78" i="51" l="1"/>
  <c r="O197" i="51" s="1"/>
  <c r="O195" i="51" s="1"/>
  <c r="O194" i="51" s="1"/>
  <c r="O200" i="51" s="1"/>
  <c r="O210" i="51" s="1"/>
  <c r="O248" i="51"/>
  <c r="P252" i="51"/>
  <c r="P77" i="51"/>
  <c r="P78" i="51" s="1"/>
  <c r="P197" i="51" s="1"/>
  <c r="Q163" i="51"/>
  <c r="Q117" i="51"/>
  <c r="Q68" i="51" s="1"/>
  <c r="Q141" i="51" s="1"/>
  <c r="Q252" i="51" s="1"/>
  <c r="Q208" i="51"/>
  <c r="Q258" i="51" s="1"/>
  <c r="Q66" i="51"/>
  <c r="Q204" i="51"/>
  <c r="Q254" i="51"/>
  <c r="J81" i="51"/>
  <c r="J94" i="51"/>
  <c r="J99" i="51" s="1"/>
  <c r="L195" i="46"/>
  <c r="L194" i="46" s="1"/>
  <c r="L200" i="46" s="1"/>
  <c r="L210" i="46" s="1"/>
  <c r="Q146" i="46"/>
  <c r="Q206" i="46" s="1"/>
  <c r="Q256" i="46" s="1"/>
  <c r="AB13" i="46"/>
  <c r="X13" i="46"/>
  <c r="O66" i="46"/>
  <c r="O77" i="46"/>
  <c r="O254" i="46"/>
  <c r="O204" i="46"/>
  <c r="Q57" i="46"/>
  <c r="P143" i="46"/>
  <c r="P65" i="46"/>
  <c r="M196" i="46"/>
  <c r="M198" i="46"/>
  <c r="J83" i="46"/>
  <c r="P163" i="46"/>
  <c r="P208" i="46"/>
  <c r="P258" i="46" s="1"/>
  <c r="O202" i="46"/>
  <c r="O252" i="46"/>
  <c r="P118" i="46"/>
  <c r="N248" i="46"/>
  <c r="N78" i="46"/>
  <c r="N197" i="46" s="1"/>
  <c r="N96" i="46"/>
  <c r="P248" i="51" l="1"/>
  <c r="Q77" i="51"/>
  <c r="Q248" i="51" s="1"/>
  <c r="O196" i="51"/>
  <c r="P96" i="51"/>
  <c r="O198" i="51"/>
  <c r="Q202" i="51"/>
  <c r="P195" i="51"/>
  <c r="P194" i="51" s="1"/>
  <c r="P200" i="51" s="1"/>
  <c r="P210" i="51" s="1"/>
  <c r="P196" i="51"/>
  <c r="P198" i="51"/>
  <c r="J150" i="51"/>
  <c r="J250" i="51"/>
  <c r="J262" i="51" s="1"/>
  <c r="J100" i="51"/>
  <c r="J168" i="51"/>
  <c r="M195" i="46"/>
  <c r="M194" i="46" s="1"/>
  <c r="M200" i="46" s="1"/>
  <c r="M210" i="46" s="1"/>
  <c r="AB14" i="46"/>
  <c r="N196" i="46"/>
  <c r="N198" i="46"/>
  <c r="P117" i="46"/>
  <c r="P68" i="46" s="1"/>
  <c r="P141" i="46" s="1"/>
  <c r="Q156" i="46"/>
  <c r="Q152" i="46" s="1"/>
  <c r="Q71" i="46"/>
  <c r="Q121" i="46" s="1"/>
  <c r="P254" i="46"/>
  <c r="P204" i="46"/>
  <c r="Q143" i="46"/>
  <c r="Q65" i="46"/>
  <c r="X14" i="46"/>
  <c r="O248" i="46"/>
  <c r="O78" i="46"/>
  <c r="O197" i="46" s="1"/>
  <c r="O96" i="46"/>
  <c r="J234" i="46"/>
  <c r="Z9" i="46" s="1"/>
  <c r="J80" i="46"/>
  <c r="P66" i="46"/>
  <c r="Q96" i="51" l="1"/>
  <c r="Q78" i="51"/>
  <c r="Q197" i="51" s="1"/>
  <c r="Q198" i="51" s="1"/>
  <c r="J275" i="51"/>
  <c r="J181" i="51"/>
  <c r="J183" i="51" s="1"/>
  <c r="J106" i="51" s="1"/>
  <c r="K176" i="51"/>
  <c r="K174" i="51"/>
  <c r="Y12" i="51"/>
  <c r="N195" i="46"/>
  <c r="N194" i="46" s="1"/>
  <c r="N200" i="46" s="1"/>
  <c r="N210" i="46" s="1"/>
  <c r="P77" i="46"/>
  <c r="P248" i="46" s="1"/>
  <c r="Q66" i="46"/>
  <c r="Q204" i="46"/>
  <c r="Q254" i="46"/>
  <c r="J81" i="46"/>
  <c r="J94" i="46"/>
  <c r="J99" i="46" s="1"/>
  <c r="O198" i="46"/>
  <c r="O196" i="46"/>
  <c r="Q163" i="46"/>
  <c r="Q208" i="46"/>
  <c r="Q258" i="46" s="1"/>
  <c r="P252" i="46"/>
  <c r="P202" i="46"/>
  <c r="Q118" i="46"/>
  <c r="Q117" i="46" s="1"/>
  <c r="Q68" i="46" s="1"/>
  <c r="Q141" i="46" s="1"/>
  <c r="Q196" i="51" l="1"/>
  <c r="Q195" i="51"/>
  <c r="Q194" i="51" s="1"/>
  <c r="Q200" i="51" s="1"/>
  <c r="Q210" i="51" s="1"/>
  <c r="K260" i="51"/>
  <c r="AC13" i="51" s="1"/>
  <c r="K134" i="51"/>
  <c r="AD12" i="51"/>
  <c r="AA12" i="51"/>
  <c r="O195" i="46"/>
  <c r="O194" i="46" s="1"/>
  <c r="O200" i="46" s="1"/>
  <c r="O210" i="46" s="1"/>
  <c r="P78" i="46"/>
  <c r="P197" i="46" s="1"/>
  <c r="P198" i="46" s="1"/>
  <c r="P96" i="46"/>
  <c r="J250" i="46"/>
  <c r="J262" i="46" s="1"/>
  <c r="J168" i="46"/>
  <c r="J100" i="46"/>
  <c r="J150" i="46"/>
  <c r="Q202" i="46"/>
  <c r="Q252" i="46"/>
  <c r="Q77" i="46"/>
  <c r="K83" i="51" l="1"/>
  <c r="P196" i="46"/>
  <c r="P195" i="46" s="1"/>
  <c r="P194" i="46" s="1"/>
  <c r="P200" i="46" s="1"/>
  <c r="P210" i="46" s="1"/>
  <c r="Q248" i="46"/>
  <c r="Q78" i="46"/>
  <c r="Q197" i="46" s="1"/>
  <c r="Q96" i="46"/>
  <c r="J275" i="46"/>
  <c r="J181" i="46"/>
  <c r="J183" i="46" s="1"/>
  <c r="J106" i="46" s="1"/>
  <c r="K174" i="46"/>
  <c r="K176" i="46"/>
  <c r="Y12" i="46"/>
  <c r="K234" i="51" l="1"/>
  <c r="Z10" i="51" s="1"/>
  <c r="K80" i="51"/>
  <c r="AD12" i="46"/>
  <c r="Q198" i="46"/>
  <c r="Q196" i="46"/>
  <c r="K260" i="46"/>
  <c r="AC13" i="46" s="1"/>
  <c r="K134" i="46"/>
  <c r="AA12" i="46"/>
  <c r="K81" i="51" l="1"/>
  <c r="K94" i="51"/>
  <c r="K99" i="51" s="1"/>
  <c r="Q195" i="46"/>
  <c r="Q194" i="46" s="1"/>
  <c r="Q200" i="46" s="1"/>
  <c r="Q210" i="46" s="1"/>
  <c r="K83" i="46"/>
  <c r="K250" i="51" l="1"/>
  <c r="K262" i="51" s="1"/>
  <c r="K168" i="51"/>
  <c r="K150" i="51"/>
  <c r="K100" i="51"/>
  <c r="K234" i="46"/>
  <c r="Z10" i="46" s="1"/>
  <c r="K80" i="46"/>
  <c r="K275" i="51" l="1"/>
  <c r="K181" i="51"/>
  <c r="K183" i="51" s="1"/>
  <c r="K106" i="51" s="1"/>
  <c r="L174" i="51"/>
  <c r="L176" i="51"/>
  <c r="Y13" i="51"/>
  <c r="K81" i="46"/>
  <c r="K94" i="46"/>
  <c r="K99" i="46" s="1"/>
  <c r="AD13" i="51" l="1"/>
  <c r="AA13" i="51"/>
  <c r="L260" i="51"/>
  <c r="AC14" i="51" s="1"/>
  <c r="L134" i="51"/>
  <c r="K168" i="46"/>
  <c r="K250" i="46"/>
  <c r="K262" i="46" s="1"/>
  <c r="K100" i="46"/>
  <c r="K150" i="46"/>
  <c r="L83" i="51" l="1"/>
  <c r="L174" i="46"/>
  <c r="L176" i="46"/>
  <c r="Y13" i="46"/>
  <c r="K275" i="46"/>
  <c r="K181" i="46"/>
  <c r="K183" i="46" s="1"/>
  <c r="K106" i="46" s="1"/>
  <c r="L234" i="51" l="1"/>
  <c r="Z11" i="51" s="1"/>
  <c r="L80" i="51"/>
  <c r="AD13" i="46"/>
  <c r="AA13" i="46"/>
  <c r="L260" i="46"/>
  <c r="AC14" i="46" s="1"/>
  <c r="L134" i="46"/>
  <c r="L81" i="51" l="1"/>
  <c r="L94" i="51"/>
  <c r="L99" i="51" s="1"/>
  <c r="L83" i="46"/>
  <c r="L250" i="51" l="1"/>
  <c r="L262" i="51" s="1"/>
  <c r="L168" i="51"/>
  <c r="L150" i="51"/>
  <c r="L100" i="51"/>
  <c r="L234" i="46"/>
  <c r="Z11" i="46" s="1"/>
  <c r="L80" i="46"/>
  <c r="L275" i="51" l="1"/>
  <c r="L181" i="51"/>
  <c r="L183" i="51" s="1"/>
  <c r="L106" i="51" s="1"/>
  <c r="M176" i="51"/>
  <c r="M174" i="51"/>
  <c r="Y14" i="51"/>
  <c r="L81" i="46"/>
  <c r="L94" i="46"/>
  <c r="L99" i="46" s="1"/>
  <c r="AD14" i="51" l="1"/>
  <c r="M260" i="51"/>
  <c r="M134" i="51"/>
  <c r="AA14" i="51"/>
  <c r="L168" i="46"/>
  <c r="L250" i="46"/>
  <c r="L262" i="46" s="1"/>
  <c r="L150" i="46"/>
  <c r="L100" i="46"/>
  <c r="M83" i="51" l="1"/>
  <c r="M174" i="46"/>
  <c r="Y14" i="46"/>
  <c r="M176" i="46"/>
  <c r="L275" i="46"/>
  <c r="L181" i="46"/>
  <c r="L183" i="46" s="1"/>
  <c r="L106" i="46" s="1"/>
  <c r="M234" i="51" l="1"/>
  <c r="Z12" i="51" s="1"/>
  <c r="M80" i="51"/>
  <c r="AD14" i="46"/>
  <c r="AA14" i="46"/>
  <c r="M260" i="46"/>
  <c r="M134" i="46"/>
  <c r="M81" i="51" l="1"/>
  <c r="M94" i="51"/>
  <c r="M99" i="51" s="1"/>
  <c r="M83" i="46"/>
  <c r="M250" i="51" l="1"/>
  <c r="M262" i="51" s="1"/>
  <c r="M168" i="51"/>
  <c r="M150" i="51"/>
  <c r="M100" i="51"/>
  <c r="M80" i="46"/>
  <c r="M234" i="46"/>
  <c r="Z12" i="46" s="1"/>
  <c r="M275" i="51" l="1"/>
  <c r="M181" i="51"/>
  <c r="M183" i="51" s="1"/>
  <c r="M106" i="51" s="1"/>
  <c r="N174" i="51"/>
  <c r="N176" i="51"/>
  <c r="M81" i="46"/>
  <c r="M94" i="46"/>
  <c r="M99" i="46" s="1"/>
  <c r="N260" i="51" l="1"/>
  <c r="N134" i="51"/>
  <c r="M168" i="46"/>
  <c r="M250" i="46"/>
  <c r="M262" i="46" s="1"/>
  <c r="M100" i="46"/>
  <c r="M150" i="46"/>
  <c r="N83" i="51" l="1"/>
  <c r="N174" i="46"/>
  <c r="N176" i="46"/>
  <c r="M275" i="46"/>
  <c r="M181" i="46"/>
  <c r="M183" i="46" s="1"/>
  <c r="M106" i="46" s="1"/>
  <c r="N234" i="51" l="1"/>
  <c r="Z13" i="51" s="1"/>
  <c r="N80" i="51"/>
  <c r="N260" i="46"/>
  <c r="N134" i="46"/>
  <c r="N81" i="51" l="1"/>
  <c r="N94" i="51"/>
  <c r="N99" i="51" s="1"/>
  <c r="N83" i="46"/>
  <c r="N250" i="51" l="1"/>
  <c r="N262" i="51" s="1"/>
  <c r="N168" i="51"/>
  <c r="N150" i="51"/>
  <c r="N100" i="51"/>
  <c r="N80" i="46"/>
  <c r="N234" i="46"/>
  <c r="Z13" i="46" s="1"/>
  <c r="N275" i="51" l="1"/>
  <c r="N181" i="51"/>
  <c r="N183" i="51" s="1"/>
  <c r="N106" i="51" s="1"/>
  <c r="O174" i="51"/>
  <c r="O176" i="51"/>
  <c r="N81" i="46"/>
  <c r="N94" i="46"/>
  <c r="N99" i="46" s="1"/>
  <c r="O260" i="51" l="1"/>
  <c r="O134" i="51"/>
  <c r="N168" i="46"/>
  <c r="N150" i="46"/>
  <c r="N100" i="46"/>
  <c r="N250" i="46"/>
  <c r="N262" i="46" s="1"/>
  <c r="O83" i="51" l="1"/>
  <c r="O176" i="46"/>
  <c r="O174" i="46"/>
  <c r="N275" i="46"/>
  <c r="N181" i="46"/>
  <c r="N183" i="46" s="1"/>
  <c r="N106" i="46" s="1"/>
  <c r="O234" i="51" l="1"/>
  <c r="Z14" i="51" s="1"/>
  <c r="O80" i="51"/>
  <c r="O260" i="46"/>
  <c r="O134" i="46"/>
  <c r="O81" i="51" l="1"/>
  <c r="O94" i="51"/>
  <c r="O99" i="51" s="1"/>
  <c r="O83" i="46"/>
  <c r="O250" i="51" l="1"/>
  <c r="O262" i="51" s="1"/>
  <c r="O168" i="51"/>
  <c r="O150" i="51"/>
  <c r="O100" i="51"/>
  <c r="O234" i="46"/>
  <c r="Z14" i="46" s="1"/>
  <c r="O80" i="46"/>
  <c r="O275" i="51" l="1"/>
  <c r="O181" i="51"/>
  <c r="O183" i="51" s="1"/>
  <c r="O106" i="51" s="1"/>
  <c r="P176" i="51"/>
  <c r="P174" i="51"/>
  <c r="O81" i="46"/>
  <c r="O94" i="46"/>
  <c r="O99" i="46" s="1"/>
  <c r="P260" i="51" l="1"/>
  <c r="P134" i="51"/>
  <c r="O150" i="46"/>
  <c r="O168" i="46"/>
  <c r="O100" i="46"/>
  <c r="O250" i="46"/>
  <c r="O262" i="46" s="1"/>
  <c r="P83" i="51" l="1"/>
  <c r="P176" i="46"/>
  <c r="P174" i="46"/>
  <c r="O275" i="46"/>
  <c r="O181" i="46"/>
  <c r="O183" i="46" s="1"/>
  <c r="O106" i="46" s="1"/>
  <c r="P234" i="51" l="1"/>
  <c r="P80" i="51"/>
  <c r="P260" i="46"/>
  <c r="P134" i="46"/>
  <c r="P81" i="51" l="1"/>
  <c r="P94" i="51"/>
  <c r="P99" i="51" s="1"/>
  <c r="P83" i="46"/>
  <c r="P250" i="51" l="1"/>
  <c r="P262" i="51" s="1"/>
  <c r="P168" i="51"/>
  <c r="P150" i="51"/>
  <c r="P100" i="51"/>
  <c r="P234" i="46"/>
  <c r="P80" i="46"/>
  <c r="P275" i="51" l="1"/>
  <c r="P181" i="51"/>
  <c r="P183" i="51" s="1"/>
  <c r="P106" i="51" s="1"/>
  <c r="Q174" i="51"/>
  <c r="Q176" i="51"/>
  <c r="R176" i="51" s="1"/>
  <c r="P81" i="46"/>
  <c r="P94" i="46"/>
  <c r="P99" i="46" s="1"/>
  <c r="Q260" i="51" l="1"/>
  <c r="Q134" i="51"/>
  <c r="Q83" i="51" s="1"/>
  <c r="P150" i="46"/>
  <c r="P100" i="46"/>
  <c r="P168" i="46"/>
  <c r="P250" i="46"/>
  <c r="P262" i="46" s="1"/>
  <c r="Q234" i="51" l="1"/>
  <c r="Q80" i="51"/>
  <c r="Q176" i="46"/>
  <c r="R176" i="46" s="1"/>
  <c r="Q174" i="46"/>
  <c r="P275" i="46"/>
  <c r="P181" i="46"/>
  <c r="P183" i="46" s="1"/>
  <c r="P106" i="46" s="1"/>
  <c r="Q81" i="51" l="1"/>
  <c r="Q94" i="51"/>
  <c r="Q99" i="51" s="1"/>
  <c r="Q260" i="46"/>
  <c r="Q134" i="46"/>
  <c r="Q83" i="46" s="1"/>
  <c r="Q250" i="51" l="1"/>
  <c r="Q262" i="51" s="1"/>
  <c r="Q150" i="51"/>
  <c r="Q100" i="51"/>
  <c r="Q168" i="51"/>
  <c r="Q234" i="46"/>
  <c r="Q80" i="46"/>
  <c r="Q275" i="51" l="1"/>
  <c r="Q181" i="51"/>
  <c r="Q183" i="51" s="1"/>
  <c r="Q106" i="51" s="1"/>
  <c r="Q81" i="46"/>
  <c r="Q94" i="46"/>
  <c r="Q99" i="46" s="1"/>
  <c r="Q150" i="46" l="1"/>
  <c r="Q168" i="46"/>
  <c r="Q100" i="46"/>
  <c r="Q250" i="46"/>
  <c r="Q262" i="46" s="1"/>
  <c r="Q275" i="46" l="1"/>
  <c r="Q181" i="46"/>
  <c r="Q183" i="46" s="1"/>
  <c r="Q106" i="46" s="1"/>
  <c r="I192" i="8" l="1"/>
  <c r="J192" i="8"/>
  <c r="K192" i="8"/>
  <c r="L192" i="8"/>
  <c r="M192" i="8"/>
  <c r="N192" i="8"/>
  <c r="O192" i="8"/>
  <c r="P192" i="8"/>
  <c r="Q192" i="8"/>
  <c r="I190" i="8"/>
  <c r="J190" i="8"/>
  <c r="K190" i="8"/>
  <c r="L190" i="8"/>
  <c r="M190" i="8"/>
  <c r="N190" i="8"/>
  <c r="O190" i="8"/>
  <c r="P190" i="8"/>
  <c r="Q190" i="8"/>
  <c r="J67" i="17" l="1"/>
  <c r="I67" i="17"/>
  <c r="H67" i="17"/>
  <c r="G67" i="17"/>
  <c r="F67" i="17"/>
  <c r="E67" i="17"/>
  <c r="J23" i="17"/>
  <c r="H23" i="17"/>
  <c r="F23" i="17"/>
  <c r="D6" i="17"/>
  <c r="O76" i="28"/>
  <c r="L79" i="28"/>
  <c r="U9" i="19" a="1"/>
  <c r="U9" i="19" s="1"/>
  <c r="H19" i="19"/>
  <c r="I19" i="19"/>
  <c r="H18" i="19"/>
  <c r="I18" i="19"/>
  <c r="J10" i="6" l="1"/>
  <c r="C13" i="8"/>
  <c r="D67" i="17"/>
  <c r="V33" i="19"/>
  <c r="V34" i="19"/>
  <c r="Q101" i="9" l="1"/>
  <c r="P101" i="9"/>
  <c r="O101" i="9"/>
  <c r="N101" i="9"/>
  <c r="M101" i="9"/>
  <c r="L101" i="9"/>
  <c r="K101" i="9"/>
  <c r="J101" i="9"/>
  <c r="I101" i="9"/>
  <c r="Q99" i="9"/>
  <c r="P99" i="9"/>
  <c r="O99" i="9"/>
  <c r="N99" i="9"/>
  <c r="M99" i="9"/>
  <c r="L99" i="9"/>
  <c r="K99" i="9"/>
  <c r="J99" i="9"/>
  <c r="I99" i="9"/>
  <c r="Q98" i="9"/>
  <c r="P98" i="9"/>
  <c r="O98" i="9"/>
  <c r="N98" i="9"/>
  <c r="M98" i="9"/>
  <c r="L98" i="9"/>
  <c r="K98" i="9"/>
  <c r="J98" i="9"/>
  <c r="I98" i="9"/>
  <c r="D10" i="17"/>
  <c r="E10" i="17"/>
  <c r="F10" i="17"/>
  <c r="G10" i="17"/>
  <c r="H10" i="17"/>
  <c r="I10" i="17"/>
  <c r="D11" i="17"/>
  <c r="E11" i="17"/>
  <c r="F11" i="17"/>
  <c r="G11" i="17"/>
  <c r="H11" i="17"/>
  <c r="I11" i="17"/>
  <c r="N10" i="17" a="1"/>
  <c r="N10" i="17" s="1"/>
  <c r="B38" i="3" a="1"/>
  <c r="B38" i="3" s="1"/>
  <c r="I39" i="3"/>
  <c r="H28" i="17"/>
  <c r="E29" i="17"/>
  <c r="F41" i="17"/>
  <c r="F47" i="17"/>
  <c r="F61" i="17"/>
  <c r="F60" i="17"/>
  <c r="G58" i="17"/>
  <c r="F58" i="17"/>
  <c r="H61" i="17"/>
  <c r="Q22" i="9"/>
  <c r="E57" i="17"/>
  <c r="H39" i="8"/>
  <c r="F38" i="8"/>
  <c r="G38" i="8"/>
  <c r="H38" i="8"/>
  <c r="E37" i="8"/>
  <c r="F37" i="8"/>
  <c r="G37" i="8"/>
  <c r="K14" i="6"/>
  <c r="J16" i="9"/>
  <c r="K16" i="9"/>
  <c r="L16" i="9"/>
  <c r="M16" i="9"/>
  <c r="N16" i="9"/>
  <c r="O16" i="9"/>
  <c r="P16" i="9"/>
  <c r="Q16" i="9"/>
  <c r="I16" i="9"/>
  <c r="B37" i="3" a="1"/>
  <c r="B37" i="3" s="1"/>
  <c r="B28" i="3" a="1"/>
  <c r="B28" i="3" s="1"/>
  <c r="J69" i="8"/>
  <c r="K69" i="8"/>
  <c r="L69" i="8"/>
  <c r="M69" i="8"/>
  <c r="N69" i="8"/>
  <c r="O69" i="8"/>
  <c r="P69" i="8"/>
  <c r="I69" i="8"/>
  <c r="M9" i="6"/>
  <c r="E68" i="17" a="1"/>
  <c r="E68" i="17" s="1"/>
  <c r="E69" i="17" s="1"/>
  <c r="E93" i="17"/>
  <c r="AC24" i="4"/>
  <c r="AC8" i="4"/>
  <c r="AC10" i="4"/>
  <c r="AC11" i="4"/>
  <c r="AC12" i="4"/>
  <c r="AC13" i="4"/>
  <c r="AC14" i="4"/>
  <c r="AC15" i="4"/>
  <c r="AC16" i="4"/>
  <c r="AC18" i="4"/>
  <c r="AC19" i="4"/>
  <c r="AC20" i="4"/>
  <c r="AC21" i="4"/>
  <c r="AC17" i="4"/>
  <c r="AC9" i="4"/>
  <c r="AC7" i="4"/>
  <c r="Q97" i="9" a="1"/>
  <c r="O97" i="9" a="1"/>
  <c r="L97" i="9" a="1"/>
  <c r="M97" i="9" a="1"/>
  <c r="J97" i="9" a="1"/>
  <c r="N97" i="9" a="1"/>
  <c r="I97" i="9" a="1"/>
  <c r="P97" i="9" a="1"/>
  <c r="K97" i="9" a="1"/>
  <c r="M10" i="17" l="1" a="1"/>
  <c r="M10" i="17" s="1"/>
  <c r="L10" i="17" a="1"/>
  <c r="L10" i="17" s="1"/>
  <c r="K10" i="17" a="1"/>
  <c r="K10" i="17" s="1"/>
  <c r="J10" i="17" a="1"/>
  <c r="J10" i="17" s="1"/>
  <c r="O10" i="17" a="1"/>
  <c r="O10" i="17" s="1"/>
  <c r="J97" i="9"/>
  <c r="K97" i="9"/>
  <c r="O97" i="9"/>
  <c r="L97" i="9"/>
  <c r="P97" i="9"/>
  <c r="N97" i="9"/>
  <c r="M97" i="9"/>
  <c r="Q97" i="9"/>
  <c r="I97" i="9"/>
  <c r="N9" i="6"/>
  <c r="J6" i="17" a="1"/>
  <c r="J6" i="17" s="1"/>
  <c r="L84" i="8"/>
  <c r="M84" i="8" s="1"/>
  <c r="N84" i="8" s="1"/>
  <c r="O84" i="8" s="1"/>
  <c r="P84" i="8" s="1"/>
  <c r="I84" i="8"/>
  <c r="J84" i="8" s="1"/>
  <c r="G43" i="8"/>
  <c r="G44" i="8" s="1"/>
  <c r="E43" i="8"/>
  <c r="E44" i="8" s="1"/>
  <c r="F43" i="8"/>
  <c r="F44" i="8" s="1"/>
  <c r="I172" i="8"/>
  <c r="J172" i="8" s="1"/>
  <c r="K172" i="8" s="1"/>
  <c r="L172" i="8" s="1"/>
  <c r="M172" i="8" s="1"/>
  <c r="N172" i="8" s="1"/>
  <c r="O172" i="8" s="1"/>
  <c r="P172" i="8" s="1"/>
  <c r="Q276" i="8"/>
  <c r="Q277" i="8" s="1"/>
  <c r="P276" i="8"/>
  <c r="P277" i="8" s="1"/>
  <c r="O276" i="8"/>
  <c r="O277" i="8" s="1"/>
  <c r="N276" i="8"/>
  <c r="N277" i="8" s="1"/>
  <c r="M276" i="8"/>
  <c r="M277" i="8" s="1"/>
  <c r="L276" i="8"/>
  <c r="L277" i="8" s="1"/>
  <c r="K276" i="8"/>
  <c r="K277" i="8" s="1"/>
  <c r="J276" i="8"/>
  <c r="J277" i="8" s="1"/>
  <c r="I276" i="8"/>
  <c r="I277" i="8" s="1"/>
  <c r="H276" i="8"/>
  <c r="H277" i="8" s="1"/>
  <c r="F31" i="8"/>
  <c r="G31" i="8"/>
  <c r="H31" i="8"/>
  <c r="F21" i="8"/>
  <c r="G21" i="8"/>
  <c r="E22" i="8"/>
  <c r="F22" i="8"/>
  <c r="I33" i="8"/>
  <c r="J33" i="8"/>
  <c r="K33" i="8"/>
  <c r="L33" i="8"/>
  <c r="M33" i="8"/>
  <c r="N33" i="8"/>
  <c r="O33" i="8"/>
  <c r="P33" i="8"/>
  <c r="Q33" i="8"/>
  <c r="H32" i="8"/>
  <c r="H34" i="8" s="1"/>
  <c r="H43" i="8" s="1"/>
  <c r="I30" i="8"/>
  <c r="H19" i="8"/>
  <c r="H23" i="8"/>
  <c r="I23" i="8"/>
  <c r="J23" i="8"/>
  <c r="K23" i="8"/>
  <c r="L23" i="8"/>
  <c r="M23" i="8"/>
  <c r="N23" i="8"/>
  <c r="P23" i="8"/>
  <c r="Q23" i="8"/>
  <c r="H20" i="8"/>
  <c r="H22" i="8" s="1"/>
  <c r="I20" i="8"/>
  <c r="J20" i="8"/>
  <c r="K20" i="8"/>
  <c r="L20" i="8"/>
  <c r="M20" i="8"/>
  <c r="N20" i="8"/>
  <c r="O20" i="8"/>
  <c r="O22" i="8" s="1"/>
  <c r="P20" i="8"/>
  <c r="Q20" i="8"/>
  <c r="G22" i="8"/>
  <c r="P18" i="8"/>
  <c r="N18" i="8"/>
  <c r="H89" i="8"/>
  <c r="G83" i="8"/>
  <c r="G84" i="8" s="1"/>
  <c r="I52" i="8"/>
  <c r="J52" i="8" s="1"/>
  <c r="K52" i="8" s="1"/>
  <c r="L52" i="8" s="1"/>
  <c r="M52" i="8" s="1"/>
  <c r="N52" i="8" s="1"/>
  <c r="O52" i="8" s="1"/>
  <c r="P52" i="8" s="1"/>
  <c r="G18" i="6"/>
  <c r="N6" i="31"/>
  <c r="J9" i="6"/>
  <c r="I9" i="6"/>
  <c r="L8" i="9"/>
  <c r="L12" i="9" s="1"/>
  <c r="L22" i="9" s="1"/>
  <c r="L24" i="9" s="1"/>
  <c r="L17" i="9"/>
  <c r="K7" i="4"/>
  <c r="L7" i="4"/>
  <c r="L6" i="4"/>
  <c r="K6" i="4"/>
  <c r="N93" i="9"/>
  <c r="O93" i="9"/>
  <c r="P93" i="9"/>
  <c r="Q93" i="9"/>
  <c r="M93" i="9"/>
  <c r="J93" i="9"/>
  <c r="K93" i="9"/>
  <c r="I93" i="9"/>
  <c r="J92" i="9"/>
  <c r="K92" i="9"/>
  <c r="L92" i="9"/>
  <c r="M92" i="9"/>
  <c r="N92" i="9"/>
  <c r="O92" i="9"/>
  <c r="P92" i="9"/>
  <c r="Q92" i="9"/>
  <c r="I92" i="9"/>
  <c r="N91" i="9"/>
  <c r="O91" i="9"/>
  <c r="P91" i="9"/>
  <c r="Q91" i="9"/>
  <c r="M91" i="9"/>
  <c r="N84" i="9"/>
  <c r="O84" i="9"/>
  <c r="P84" i="9"/>
  <c r="Q84" i="9"/>
  <c r="M84" i="9"/>
  <c r="N74" i="9"/>
  <c r="O74" i="9"/>
  <c r="P74" i="9"/>
  <c r="Q74" i="9"/>
  <c r="M74" i="9"/>
  <c r="J91" i="9"/>
  <c r="K91" i="9"/>
  <c r="I91" i="9"/>
  <c r="N89" i="9"/>
  <c r="O89" i="9"/>
  <c r="P89" i="9"/>
  <c r="Q89" i="9"/>
  <c r="M89" i="9"/>
  <c r="J89" i="9"/>
  <c r="K89" i="9"/>
  <c r="I89" i="9"/>
  <c r="J88" i="9"/>
  <c r="K88" i="9"/>
  <c r="L88" i="9"/>
  <c r="M88" i="9"/>
  <c r="N88" i="9"/>
  <c r="O88" i="9"/>
  <c r="P88" i="9"/>
  <c r="Q88" i="9"/>
  <c r="I88" i="9"/>
  <c r="N86" i="9"/>
  <c r="O86" i="9"/>
  <c r="P86" i="9"/>
  <c r="Q86" i="9"/>
  <c r="M86" i="9"/>
  <c r="J86" i="9"/>
  <c r="K86" i="9"/>
  <c r="I86" i="9"/>
  <c r="N85" i="9"/>
  <c r="O85" i="9"/>
  <c r="P85" i="9"/>
  <c r="Q85" i="9"/>
  <c r="M85" i="9"/>
  <c r="J85" i="9"/>
  <c r="K85" i="9"/>
  <c r="I85" i="9"/>
  <c r="J84" i="9"/>
  <c r="K84" i="9"/>
  <c r="I84" i="9"/>
  <c r="J82" i="9"/>
  <c r="K82" i="9"/>
  <c r="L82" i="9"/>
  <c r="M82" i="9"/>
  <c r="N82" i="9"/>
  <c r="O82" i="9"/>
  <c r="P82" i="9"/>
  <c r="Q82" i="9"/>
  <c r="I82" i="9"/>
  <c r="M81" i="9"/>
  <c r="N81" i="9"/>
  <c r="O81" i="9"/>
  <c r="P81" i="9"/>
  <c r="Q81" i="9"/>
  <c r="J81" i="9"/>
  <c r="K81" i="9"/>
  <c r="I81" i="9"/>
  <c r="N80" i="9"/>
  <c r="O80" i="9"/>
  <c r="P80" i="9"/>
  <c r="Q80" i="9"/>
  <c r="M80" i="9"/>
  <c r="J80" i="9"/>
  <c r="K80" i="9"/>
  <c r="I80" i="9"/>
  <c r="N79" i="9"/>
  <c r="O79" i="9"/>
  <c r="P79" i="9"/>
  <c r="Q79" i="9"/>
  <c r="M79" i="9"/>
  <c r="J79" i="9"/>
  <c r="K79" i="9"/>
  <c r="I79" i="9"/>
  <c r="N77" i="9"/>
  <c r="O77" i="9"/>
  <c r="P77" i="9"/>
  <c r="Q77" i="9"/>
  <c r="M77" i="9"/>
  <c r="J77" i="9"/>
  <c r="K77" i="9"/>
  <c r="I77" i="9"/>
  <c r="N76" i="9"/>
  <c r="O76" i="9"/>
  <c r="P76" i="9"/>
  <c r="Q76" i="9"/>
  <c r="M76" i="9"/>
  <c r="J76" i="9"/>
  <c r="K76" i="9"/>
  <c r="I76" i="9"/>
  <c r="J74" i="9"/>
  <c r="K74" i="9"/>
  <c r="I74" i="9"/>
  <c r="N72" i="9"/>
  <c r="O72" i="9"/>
  <c r="P72" i="9"/>
  <c r="Q72" i="9"/>
  <c r="M72" i="9"/>
  <c r="J72" i="9"/>
  <c r="K72" i="9"/>
  <c r="I72" i="9"/>
  <c r="N71" i="9"/>
  <c r="O71" i="9"/>
  <c r="P71" i="9"/>
  <c r="Q71" i="9"/>
  <c r="M71" i="9"/>
  <c r="J71" i="9"/>
  <c r="K71" i="9"/>
  <c r="I71" i="9"/>
  <c r="N70" i="9"/>
  <c r="O70" i="9"/>
  <c r="P70" i="9"/>
  <c r="Q70" i="9"/>
  <c r="M70" i="9"/>
  <c r="J70" i="9"/>
  <c r="K70" i="9"/>
  <c r="I70" i="9"/>
  <c r="N69" i="9"/>
  <c r="O69" i="9"/>
  <c r="P69" i="9"/>
  <c r="Q69" i="9"/>
  <c r="M69" i="9"/>
  <c r="J69" i="9"/>
  <c r="K69" i="9"/>
  <c r="I69" i="9"/>
  <c r="I59" i="9"/>
  <c r="J59" i="9"/>
  <c r="K59" i="9"/>
  <c r="L59" i="9"/>
  <c r="M59" i="9"/>
  <c r="N59" i="9"/>
  <c r="O59" i="9"/>
  <c r="P59" i="9"/>
  <c r="Q59" i="9"/>
  <c r="H59" i="9"/>
  <c r="I57" i="9"/>
  <c r="J57" i="9"/>
  <c r="K57" i="9"/>
  <c r="L57" i="9"/>
  <c r="M57" i="9"/>
  <c r="N57" i="9"/>
  <c r="O57" i="9"/>
  <c r="P57" i="9"/>
  <c r="Q57" i="9"/>
  <c r="H57" i="9"/>
  <c r="I56" i="9"/>
  <c r="J56" i="9"/>
  <c r="K56" i="9"/>
  <c r="L56" i="9"/>
  <c r="M56" i="9"/>
  <c r="N56" i="9"/>
  <c r="O56" i="9"/>
  <c r="P56" i="9"/>
  <c r="Q56" i="9"/>
  <c r="H56" i="9"/>
  <c r="I54" i="9"/>
  <c r="J54" i="9"/>
  <c r="K54" i="9"/>
  <c r="L54" i="9"/>
  <c r="M54" i="9"/>
  <c r="N54" i="9"/>
  <c r="O54" i="9"/>
  <c r="P54" i="9"/>
  <c r="Q54" i="9"/>
  <c r="H54" i="9"/>
  <c r="L52" i="9"/>
  <c r="M52" i="9"/>
  <c r="N52" i="9"/>
  <c r="O52" i="9"/>
  <c r="P52" i="9"/>
  <c r="Q52" i="9"/>
  <c r="I51" i="9"/>
  <c r="H51" i="9" s="1"/>
  <c r="H113" i="9" s="1"/>
  <c r="J51" i="9"/>
  <c r="K51" i="9"/>
  <c r="L51" i="9"/>
  <c r="M51" i="9"/>
  <c r="N51" i="9"/>
  <c r="O51" i="9"/>
  <c r="P51" i="9"/>
  <c r="Q51" i="9"/>
  <c r="I49" i="9"/>
  <c r="J49" i="9"/>
  <c r="K49" i="9"/>
  <c r="L49" i="9"/>
  <c r="M49" i="9"/>
  <c r="N49" i="9"/>
  <c r="O49" i="9"/>
  <c r="P49" i="9"/>
  <c r="Q49" i="9"/>
  <c r="H49" i="9"/>
  <c r="I47" i="9"/>
  <c r="J47" i="9"/>
  <c r="K47" i="9"/>
  <c r="L47" i="9"/>
  <c r="M47" i="9"/>
  <c r="N47" i="9"/>
  <c r="O47" i="9"/>
  <c r="P47" i="9"/>
  <c r="Q47" i="9"/>
  <c r="H47" i="9"/>
  <c r="I44" i="9"/>
  <c r="J44" i="9"/>
  <c r="K44" i="9"/>
  <c r="L44" i="9"/>
  <c r="M44" i="9"/>
  <c r="N44" i="9"/>
  <c r="O44" i="9"/>
  <c r="P44" i="9"/>
  <c r="Q44" i="9"/>
  <c r="H44" i="9"/>
  <c r="I43" i="9"/>
  <c r="J43" i="9"/>
  <c r="K43" i="9"/>
  <c r="L43" i="9"/>
  <c r="M43" i="9"/>
  <c r="N43" i="9"/>
  <c r="O43" i="9"/>
  <c r="P43" i="9"/>
  <c r="Q43" i="9"/>
  <c r="H43" i="9"/>
  <c r="J41" i="9"/>
  <c r="K41" i="9"/>
  <c r="M41" i="9"/>
  <c r="N41" i="9"/>
  <c r="O41" i="9"/>
  <c r="P41" i="9"/>
  <c r="Q41" i="9"/>
  <c r="I41" i="9"/>
  <c r="J40" i="9"/>
  <c r="K40" i="9"/>
  <c r="M40" i="9"/>
  <c r="N40" i="9"/>
  <c r="O40" i="9"/>
  <c r="P40" i="9"/>
  <c r="Q40" i="9"/>
  <c r="I40" i="9"/>
  <c r="I38" i="9"/>
  <c r="J38" i="9"/>
  <c r="K38" i="9"/>
  <c r="L38" i="9"/>
  <c r="M38" i="9"/>
  <c r="N38" i="9"/>
  <c r="O38" i="9"/>
  <c r="P38" i="9"/>
  <c r="Q38" i="9"/>
  <c r="H38" i="9"/>
  <c r="I36" i="9"/>
  <c r="J36" i="9"/>
  <c r="K36" i="9"/>
  <c r="L36" i="9"/>
  <c r="M36" i="9"/>
  <c r="N36" i="9"/>
  <c r="O36" i="9"/>
  <c r="P36" i="9"/>
  <c r="Q36" i="9"/>
  <c r="H36" i="9"/>
  <c r="I35" i="9"/>
  <c r="J35" i="9"/>
  <c r="K35" i="9"/>
  <c r="L35" i="9"/>
  <c r="M35" i="9"/>
  <c r="N35" i="9"/>
  <c r="O35" i="9"/>
  <c r="P35" i="9"/>
  <c r="Q35" i="9"/>
  <c r="H35" i="9"/>
  <c r="I34" i="9"/>
  <c r="J34" i="9"/>
  <c r="K34" i="9"/>
  <c r="L34" i="9"/>
  <c r="M34" i="9"/>
  <c r="N34" i="9"/>
  <c r="O34" i="9"/>
  <c r="P34" i="9"/>
  <c r="Q34" i="9"/>
  <c r="H34" i="9"/>
  <c r="I33" i="9"/>
  <c r="J33" i="9"/>
  <c r="K33" i="9"/>
  <c r="L33" i="9"/>
  <c r="M33" i="9"/>
  <c r="N33" i="9"/>
  <c r="O33" i="9"/>
  <c r="P33" i="9"/>
  <c r="Q33" i="9"/>
  <c r="H33" i="9"/>
  <c r="N28" i="9"/>
  <c r="O28" i="9"/>
  <c r="P28" i="9"/>
  <c r="Q28" i="9"/>
  <c r="M28" i="9"/>
  <c r="J28" i="9"/>
  <c r="K28" i="9"/>
  <c r="I28" i="9"/>
  <c r="N27" i="9"/>
  <c r="O27" i="9"/>
  <c r="P27" i="9"/>
  <c r="Q27" i="9"/>
  <c r="M27" i="9"/>
  <c r="J27" i="9"/>
  <c r="K27" i="9"/>
  <c r="I27" i="9"/>
  <c r="N26" i="9"/>
  <c r="O26" i="9"/>
  <c r="P26" i="9"/>
  <c r="Q26" i="9"/>
  <c r="M26" i="9"/>
  <c r="J26" i="9"/>
  <c r="K26" i="9"/>
  <c r="I26" i="9"/>
  <c r="N25" i="9"/>
  <c r="O25" i="9"/>
  <c r="P25" i="9"/>
  <c r="Q25" i="9"/>
  <c r="M25" i="9"/>
  <c r="J25" i="9"/>
  <c r="K25" i="9"/>
  <c r="I25" i="9"/>
  <c r="N13" i="9"/>
  <c r="O13" i="9"/>
  <c r="P13" i="9"/>
  <c r="Q13" i="9"/>
  <c r="M13" i="9"/>
  <c r="J13" i="9"/>
  <c r="K13" i="9"/>
  <c r="I13" i="9"/>
  <c r="I21" i="9"/>
  <c r="J21" i="9"/>
  <c r="K21" i="9"/>
  <c r="M21" i="9"/>
  <c r="N21" i="9"/>
  <c r="O21" i="9"/>
  <c r="Q21" i="9"/>
  <c r="P21" i="9"/>
  <c r="N23" i="9"/>
  <c r="O23" i="9"/>
  <c r="P23" i="9"/>
  <c r="Q23" i="9"/>
  <c r="M23" i="9"/>
  <c r="J23" i="9"/>
  <c r="K23" i="9"/>
  <c r="I23" i="9"/>
  <c r="I20" i="9"/>
  <c r="J20" i="9"/>
  <c r="K20" i="9"/>
  <c r="M20" i="9"/>
  <c r="N20" i="9"/>
  <c r="O20" i="9"/>
  <c r="P20" i="9"/>
  <c r="H20" i="9"/>
  <c r="N18" i="9"/>
  <c r="O18" i="9"/>
  <c r="P18" i="9"/>
  <c r="Q18" i="9"/>
  <c r="M18" i="9"/>
  <c r="J18" i="9"/>
  <c r="K18" i="9"/>
  <c r="I18" i="9"/>
  <c r="I19" i="9"/>
  <c r="J19" i="9"/>
  <c r="K19" i="9"/>
  <c r="M19" i="9"/>
  <c r="N19" i="9"/>
  <c r="O19" i="9"/>
  <c r="P19" i="9"/>
  <c r="Q19" i="9"/>
  <c r="H19" i="9"/>
  <c r="N11" i="9"/>
  <c r="O11" i="9"/>
  <c r="P11" i="9"/>
  <c r="Q11" i="9"/>
  <c r="M11" i="9"/>
  <c r="N9" i="9"/>
  <c r="O9" i="9"/>
  <c r="P9" i="9"/>
  <c r="Q9" i="9"/>
  <c r="M9" i="9"/>
  <c r="J9" i="9"/>
  <c r="K9" i="9"/>
  <c r="I9" i="9"/>
  <c r="H9" i="9"/>
  <c r="L30" i="9"/>
  <c r="L64" i="9" s="1"/>
  <c r="L110" i="9" s="1"/>
  <c r="M30" i="9"/>
  <c r="M64" i="9" s="1"/>
  <c r="M110" i="9" s="1"/>
  <c r="N4" i="9"/>
  <c r="N30" i="9" s="1"/>
  <c r="N64" i="9" s="1"/>
  <c r="N110" i="9" s="1"/>
  <c r="N7" i="9"/>
  <c r="O7" i="9"/>
  <c r="P7" i="9"/>
  <c r="Q7" i="9"/>
  <c r="M7" i="9"/>
  <c r="L119" i="9" s="1"/>
  <c r="I7" i="9"/>
  <c r="J7" i="9"/>
  <c r="K7" i="9"/>
  <c r="H7" i="9"/>
  <c r="N6" i="9"/>
  <c r="O6" i="9"/>
  <c r="P6" i="9"/>
  <c r="Q6" i="9"/>
  <c r="M6" i="9"/>
  <c r="I6" i="9"/>
  <c r="J6" i="9"/>
  <c r="K6" i="9"/>
  <c r="H6" i="9"/>
  <c r="U15" i="19"/>
  <c r="U14" i="19"/>
  <c r="V35" i="19"/>
  <c r="V32" i="19"/>
  <c r="P64" i="11"/>
  <c r="P43" i="19" s="1"/>
  <c r="O64" i="11"/>
  <c r="O43" i="19" s="1"/>
  <c r="N64" i="11"/>
  <c r="N43" i="19" s="1"/>
  <c r="M64" i="11"/>
  <c r="L64" i="11"/>
  <c r="K64" i="11"/>
  <c r="J64" i="11"/>
  <c r="I64" i="11"/>
  <c r="H64" i="11"/>
  <c r="G64" i="11"/>
  <c r="F64" i="11"/>
  <c r="P62" i="11"/>
  <c r="O62" i="11"/>
  <c r="N62" i="11"/>
  <c r="M62" i="11"/>
  <c r="L62" i="11"/>
  <c r="K62" i="11"/>
  <c r="J62" i="11"/>
  <c r="I62" i="11"/>
  <c r="H62" i="11"/>
  <c r="G62" i="11"/>
  <c r="F62" i="11"/>
  <c r="P60" i="11"/>
  <c r="O60" i="11"/>
  <c r="N60" i="11"/>
  <c r="M60" i="11"/>
  <c r="L60" i="11"/>
  <c r="K60" i="11"/>
  <c r="J60" i="11"/>
  <c r="I60" i="11"/>
  <c r="H60" i="11"/>
  <c r="G60" i="11"/>
  <c r="F60" i="11"/>
  <c r="P59" i="11"/>
  <c r="O59" i="11"/>
  <c r="N59" i="11"/>
  <c r="M59" i="11"/>
  <c r="L59" i="11"/>
  <c r="K59" i="11"/>
  <c r="J59" i="11"/>
  <c r="I59" i="11"/>
  <c r="H59" i="11"/>
  <c r="G59" i="11"/>
  <c r="F59" i="11"/>
  <c r="O53" i="11"/>
  <c r="P53" i="11" s="1"/>
  <c r="H53" i="11"/>
  <c r="I53" i="11" s="1"/>
  <c r="J53" i="11" s="1"/>
  <c r="K53" i="11" s="1"/>
  <c r="L53" i="11" s="1"/>
  <c r="M53" i="11" s="1"/>
  <c r="G53" i="11"/>
  <c r="O55" i="11"/>
  <c r="N55" i="11"/>
  <c r="M55" i="11"/>
  <c r="L55" i="11"/>
  <c r="J55" i="11"/>
  <c r="I55" i="11"/>
  <c r="H55" i="11"/>
  <c r="G55" i="11"/>
  <c r="F55" i="11"/>
  <c r="P29" i="11"/>
  <c r="P38" i="19" s="1"/>
  <c r="O29" i="11"/>
  <c r="O38" i="19" s="1"/>
  <c r="N29" i="11"/>
  <c r="N38" i="19" s="1"/>
  <c r="M29" i="11"/>
  <c r="L29" i="11"/>
  <c r="K29" i="11"/>
  <c r="J29" i="11"/>
  <c r="I29" i="11"/>
  <c r="H29" i="11"/>
  <c r="G29" i="11"/>
  <c r="F29" i="11"/>
  <c r="P27" i="11"/>
  <c r="P36" i="19" s="1"/>
  <c r="O27" i="11"/>
  <c r="O36" i="19" s="1"/>
  <c r="N27" i="11"/>
  <c r="N36" i="19" s="1"/>
  <c r="M27" i="11"/>
  <c r="L27" i="11"/>
  <c r="K27" i="11"/>
  <c r="J27" i="11"/>
  <c r="I27" i="11"/>
  <c r="H27" i="11"/>
  <c r="G27" i="11"/>
  <c r="F27" i="11"/>
  <c r="O22" i="11"/>
  <c r="O32" i="19" s="1"/>
  <c r="N22" i="11"/>
  <c r="N32" i="19" s="1"/>
  <c r="M22" i="11"/>
  <c r="L22" i="11"/>
  <c r="J22" i="11"/>
  <c r="I22" i="11"/>
  <c r="H22" i="11"/>
  <c r="G22" i="11"/>
  <c r="F22" i="11"/>
  <c r="I8" i="17"/>
  <c r="I7" i="17"/>
  <c r="H9" i="17"/>
  <c r="H8" i="17"/>
  <c r="H7" i="17"/>
  <c r="H6" i="17"/>
  <c r="G9" i="17"/>
  <c r="G8" i="17"/>
  <c r="G7" i="17"/>
  <c r="G6" i="17"/>
  <c r="F9" i="17"/>
  <c r="F8" i="17"/>
  <c r="F7" i="17"/>
  <c r="F6" i="17"/>
  <c r="E9" i="17"/>
  <c r="E8" i="17"/>
  <c r="E7" i="17"/>
  <c r="E6" i="17"/>
  <c r="D9" i="17"/>
  <c r="D8" i="17"/>
  <c r="D7" i="17"/>
  <c r="N79" i="17" a="1"/>
  <c r="N79" i="17" s="1"/>
  <c r="M79" i="17" a="1"/>
  <c r="M79" i="17" s="1"/>
  <c r="L79" i="17" a="1"/>
  <c r="L79" i="17" s="1"/>
  <c r="K79" i="17" a="1"/>
  <c r="K79" i="17" s="1"/>
  <c r="J79" i="17" a="1"/>
  <c r="J79" i="17" s="1"/>
  <c r="I79" i="17" a="1"/>
  <c r="I79" i="17" s="1"/>
  <c r="H79" i="17" a="1"/>
  <c r="H79" i="17" s="1"/>
  <c r="G79" i="17" a="1"/>
  <c r="G79" i="17" s="1"/>
  <c r="F79" i="17" a="1"/>
  <c r="F79" i="17" s="1"/>
  <c r="E79" i="17" a="1"/>
  <c r="E79" i="17" s="1"/>
  <c r="N68" i="17" a="1"/>
  <c r="N68" i="17" s="1"/>
  <c r="N69" i="17" s="1"/>
  <c r="M68" i="17" a="1"/>
  <c r="M68" i="17" s="1"/>
  <c r="M69" i="17" s="1"/>
  <c r="L68" i="17" a="1"/>
  <c r="L68" i="17" s="1"/>
  <c r="L69" i="17" s="1"/>
  <c r="K68" i="17" a="1"/>
  <c r="K68" i="17" s="1"/>
  <c r="K69" i="17" s="1"/>
  <c r="J68" i="17" a="1"/>
  <c r="J68" i="17" s="1"/>
  <c r="J69" i="17" s="1"/>
  <c r="I68" i="17" a="1"/>
  <c r="I68" i="17" s="1"/>
  <c r="I69" i="17" s="1"/>
  <c r="H68" i="17" a="1"/>
  <c r="H68" i="17" s="1"/>
  <c r="H69" i="17" s="1"/>
  <c r="G68" i="17" a="1"/>
  <c r="G68" i="17" s="1"/>
  <c r="G69" i="17" s="1"/>
  <c r="F68" i="17" a="1"/>
  <c r="F68" i="17" s="1"/>
  <c r="F69" i="17" s="1"/>
  <c r="N10" i="6" s="1"/>
  <c r="E69" i="3"/>
  <c r="E63" i="3"/>
  <c r="E57" i="3"/>
  <c r="E51" i="3"/>
  <c r="E44" i="3"/>
  <c r="D12" i="4"/>
  <c r="D11" i="4"/>
  <c r="D10" i="4"/>
  <c r="D9" i="4"/>
  <c r="D8" i="4"/>
  <c r="D7" i="4"/>
  <c r="Q228" i="8" a="1"/>
  <c r="Q228" i="8" s="1"/>
  <c r="E8" i="27" s="1"/>
  <c r="Q225" i="8" a="1"/>
  <c r="Q225" i="8" s="1"/>
  <c r="Q120" i="9"/>
  <c r="P120" i="9"/>
  <c r="O120" i="9"/>
  <c r="N120" i="9"/>
  <c r="M120" i="9"/>
  <c r="K120" i="9"/>
  <c r="J120" i="9"/>
  <c r="I120" i="9"/>
  <c r="H120" i="9"/>
  <c r="G120" i="9"/>
  <c r="Q119" i="9"/>
  <c r="P119" i="9"/>
  <c r="O119" i="9"/>
  <c r="N119" i="9"/>
  <c r="M119" i="9"/>
  <c r="K119" i="9"/>
  <c r="J119" i="9"/>
  <c r="I119" i="9"/>
  <c r="H119" i="9"/>
  <c r="G119" i="9"/>
  <c r="Q118" i="9"/>
  <c r="P118" i="9"/>
  <c r="O118" i="9"/>
  <c r="N118" i="9"/>
  <c r="M118" i="9"/>
  <c r="K118" i="9"/>
  <c r="J118" i="9"/>
  <c r="I118" i="9"/>
  <c r="H118" i="9"/>
  <c r="G118" i="9"/>
  <c r="Q114" i="9"/>
  <c r="P114" i="9"/>
  <c r="O114" i="9"/>
  <c r="N114" i="9"/>
  <c r="M114" i="9"/>
  <c r="L114" i="9"/>
  <c r="K114" i="9"/>
  <c r="J114" i="9"/>
  <c r="I114" i="9"/>
  <c r="H114" i="9"/>
  <c r="G114" i="9"/>
  <c r="Q113" i="9"/>
  <c r="P113" i="9"/>
  <c r="O113" i="9"/>
  <c r="N113" i="9"/>
  <c r="M113" i="9"/>
  <c r="L113" i="9"/>
  <c r="K113" i="9"/>
  <c r="J113" i="9"/>
  <c r="I113" i="9"/>
  <c r="G113" i="9"/>
  <c r="M78" i="9"/>
  <c r="V73" i="19"/>
  <c r="V72" i="19"/>
  <c r="V71" i="19"/>
  <c r="V70" i="19"/>
  <c r="V69" i="19"/>
  <c r="V68" i="19"/>
  <c r="V67" i="19"/>
  <c r="V66" i="19"/>
  <c r="V65" i="19"/>
  <c r="V64" i="19"/>
  <c r="V63" i="19"/>
  <c r="V62" i="19"/>
  <c r="V61" i="19"/>
  <c r="P61" i="11"/>
  <c r="O61" i="11"/>
  <c r="N61" i="11"/>
  <c r="M61" i="11"/>
  <c r="L61" i="11"/>
  <c r="K61" i="11"/>
  <c r="J61" i="11"/>
  <c r="I61" i="11"/>
  <c r="H61" i="11"/>
  <c r="G61" i="11"/>
  <c r="F61" i="11"/>
  <c r="N61" i="17"/>
  <c r="M61" i="17"/>
  <c r="L61" i="17"/>
  <c r="K61" i="17"/>
  <c r="J61" i="17"/>
  <c r="I61" i="17"/>
  <c r="G61" i="17"/>
  <c r="E61" i="17"/>
  <c r="N60" i="17"/>
  <c r="M60" i="17"/>
  <c r="L60" i="17"/>
  <c r="K60" i="17"/>
  <c r="J60" i="17"/>
  <c r="I60" i="17"/>
  <c r="H60" i="17"/>
  <c r="G60" i="17"/>
  <c r="E60" i="17"/>
  <c r="M6" i="17" l="1" a="1"/>
  <c r="M6" i="17" s="1"/>
  <c r="K6" i="17" a="1"/>
  <c r="K6" i="17" s="1"/>
  <c r="L6" i="17" a="1"/>
  <c r="L6" i="17" s="1"/>
  <c r="N6" i="17" a="1"/>
  <c r="N6" i="17" s="1"/>
  <c r="O6" i="17" a="1"/>
  <c r="O6" i="17" s="1"/>
  <c r="H37" i="8"/>
  <c r="J30" i="8"/>
  <c r="I32" i="8"/>
  <c r="O19" i="8"/>
  <c r="N22" i="8"/>
  <c r="Q18" i="8"/>
  <c r="P22" i="8"/>
  <c r="M18" i="8"/>
  <c r="M22" i="8" s="1"/>
  <c r="L120" i="9"/>
  <c r="K55" i="11"/>
  <c r="K22" i="11"/>
  <c r="L118" i="9"/>
  <c r="F19" i="27"/>
  <c r="D17" i="27"/>
  <c r="F10" i="27"/>
  <c r="H8" i="27"/>
  <c r="E7" i="27"/>
  <c r="H11" i="27"/>
  <c r="G8" i="27"/>
  <c r="F8" i="27"/>
  <c r="H9" i="27"/>
  <c r="F9" i="27"/>
  <c r="H7" i="27"/>
  <c r="H10" i="27"/>
  <c r="G7" i="27"/>
  <c r="G10" i="27"/>
  <c r="F7" i="27"/>
  <c r="E19" i="27"/>
  <c r="E10" i="27"/>
  <c r="F18" i="27"/>
  <c r="E18" i="27"/>
  <c r="G9" i="27"/>
  <c r="D19" i="27"/>
  <c r="G11" i="27"/>
  <c r="D10" i="27"/>
  <c r="F11" i="27"/>
  <c r="E11" i="27"/>
  <c r="D8" i="27"/>
  <c r="D18" i="27"/>
  <c r="F17" i="27"/>
  <c r="E9" i="27"/>
  <c r="D11" i="27"/>
  <c r="E17" i="27"/>
  <c r="D9" i="27"/>
  <c r="N57" i="17"/>
  <c r="M57" i="17"/>
  <c r="L57" i="17"/>
  <c r="K57" i="17"/>
  <c r="J57" i="17"/>
  <c r="I57" i="17"/>
  <c r="H57" i="17"/>
  <c r="G57" i="17"/>
  <c r="F57" i="17"/>
  <c r="I104" i="9"/>
  <c r="J104" i="9" s="1"/>
  <c r="K104" i="9" s="1"/>
  <c r="L104" i="9" s="1"/>
  <c r="M104" i="9" s="1"/>
  <c r="N104" i="9" s="1"/>
  <c r="O104" i="9" s="1"/>
  <c r="P104" i="9" s="1"/>
  <c r="Q104" i="9" s="1"/>
  <c r="N59" i="17"/>
  <c r="M59" i="17"/>
  <c r="L59" i="17"/>
  <c r="K59" i="17"/>
  <c r="J59" i="17"/>
  <c r="I59" i="17"/>
  <c r="H59" i="17"/>
  <c r="G59" i="17"/>
  <c r="F59" i="17"/>
  <c r="E59" i="17"/>
  <c r="Q22" i="8" l="1"/>
  <c r="O23" i="8"/>
  <c r="K30" i="8"/>
  <c r="J32" i="8"/>
  <c r="L18" i="8"/>
  <c r="AN310" i="8"/>
  <c r="AN300" i="8"/>
  <c r="H58" i="17"/>
  <c r="I58" i="17"/>
  <c r="J58" i="17"/>
  <c r="K58" i="17"/>
  <c r="L58" i="17"/>
  <c r="M58" i="17"/>
  <c r="N58" i="17"/>
  <c r="E62" i="17"/>
  <c r="F62" i="17"/>
  <c r="G62" i="17"/>
  <c r="H62" i="17"/>
  <c r="I62" i="17"/>
  <c r="J62" i="17"/>
  <c r="K62" i="17"/>
  <c r="L62" i="17"/>
  <c r="M62" i="17"/>
  <c r="N62" i="17"/>
  <c r="E58" i="17"/>
  <c r="L30" i="8" l="1"/>
  <c r="K32" i="8"/>
  <c r="K18" i="8"/>
  <c r="K89" i="8" s="1"/>
  <c r="L22" i="8"/>
  <c r="Q86" i="28"/>
  <c r="P86" i="28"/>
  <c r="O86" i="28"/>
  <c r="N86" i="28"/>
  <c r="M86" i="28"/>
  <c r="L86" i="28"/>
  <c r="K86" i="28"/>
  <c r="J86" i="28"/>
  <c r="I86" i="28"/>
  <c r="H86" i="28"/>
  <c r="G86" i="28"/>
  <c r="Q85" i="28"/>
  <c r="P85" i="28"/>
  <c r="O85" i="28"/>
  <c r="N85" i="28"/>
  <c r="M85" i="28"/>
  <c r="L85" i="28"/>
  <c r="K85" i="28"/>
  <c r="J85" i="28"/>
  <c r="I85" i="28"/>
  <c r="H85" i="28"/>
  <c r="G85" i="28"/>
  <c r="Q84" i="28"/>
  <c r="P84" i="28"/>
  <c r="O84" i="28"/>
  <c r="N84" i="28"/>
  <c r="M84" i="28"/>
  <c r="L84" i="28"/>
  <c r="K84" i="28"/>
  <c r="J84" i="28"/>
  <c r="I84" i="28"/>
  <c r="H84" i="28"/>
  <c r="G84" i="28"/>
  <c r="Q83" i="28"/>
  <c r="P83" i="28"/>
  <c r="O83" i="28"/>
  <c r="N83" i="28"/>
  <c r="M83" i="28"/>
  <c r="L83" i="28"/>
  <c r="K83" i="28"/>
  <c r="J83" i="28"/>
  <c r="I83" i="28"/>
  <c r="H83" i="28"/>
  <c r="G83" i="28"/>
  <c r="Q82" i="28"/>
  <c r="P82" i="28"/>
  <c r="O82" i="28"/>
  <c r="N82" i="28"/>
  <c r="M82" i="28"/>
  <c r="L82" i="28"/>
  <c r="K82" i="28"/>
  <c r="J82" i="28"/>
  <c r="I82" i="28"/>
  <c r="H82" i="28"/>
  <c r="G82" i="28"/>
  <c r="Q81" i="28"/>
  <c r="P81" i="28"/>
  <c r="O81" i="28"/>
  <c r="N81" i="28"/>
  <c r="M81" i="28"/>
  <c r="L81" i="28"/>
  <c r="K81" i="28"/>
  <c r="J81" i="28"/>
  <c r="I81" i="28"/>
  <c r="H81" i="28"/>
  <c r="G81" i="28"/>
  <c r="Q80" i="28"/>
  <c r="P80" i="28"/>
  <c r="O80" i="28"/>
  <c r="N80" i="28"/>
  <c r="M80" i="28"/>
  <c r="L80" i="28"/>
  <c r="K80" i="28"/>
  <c r="J80" i="28"/>
  <c r="I80" i="28"/>
  <c r="H80" i="28"/>
  <c r="G80" i="28"/>
  <c r="P79" i="28"/>
  <c r="O79" i="28"/>
  <c r="N79" i="28"/>
  <c r="M79" i="28"/>
  <c r="Q78" i="28"/>
  <c r="P78" i="28"/>
  <c r="O78" i="28"/>
  <c r="N78" i="28"/>
  <c r="M78" i="28"/>
  <c r="L78" i="28"/>
  <c r="K78" i="28"/>
  <c r="J78" i="28"/>
  <c r="I78" i="28"/>
  <c r="H78" i="28"/>
  <c r="G78" i="28"/>
  <c r="P77" i="28"/>
  <c r="O77" i="28"/>
  <c r="N77" i="28"/>
  <c r="Q76" i="28"/>
  <c r="P76" i="28"/>
  <c r="H74" i="28"/>
  <c r="I74" i="28" s="1"/>
  <c r="J74" i="28" s="1"/>
  <c r="K74" i="28" s="1"/>
  <c r="L74" i="28" s="1"/>
  <c r="M74" i="28" s="1"/>
  <c r="N74" i="28" s="1"/>
  <c r="O74" i="28" s="1"/>
  <c r="P74" i="28" s="1"/>
  <c r="Q74" i="28" s="1"/>
  <c r="H19" i="17"/>
  <c r="N30" i="17"/>
  <c r="M30" i="17"/>
  <c r="L30" i="17"/>
  <c r="K30" i="17"/>
  <c r="J30" i="17"/>
  <c r="I30" i="17"/>
  <c r="H30" i="17"/>
  <c r="G30" i="17"/>
  <c r="F30" i="17"/>
  <c r="E30" i="17"/>
  <c r="N29" i="17"/>
  <c r="M29" i="17"/>
  <c r="L29" i="17"/>
  <c r="K29" i="17"/>
  <c r="J29" i="17"/>
  <c r="I29" i="17"/>
  <c r="H29" i="17"/>
  <c r="G29" i="17"/>
  <c r="F29" i="17"/>
  <c r="N28" i="17"/>
  <c r="M28" i="17"/>
  <c r="L28" i="17"/>
  <c r="K28" i="17"/>
  <c r="J28" i="17"/>
  <c r="I28" i="17"/>
  <c r="G28" i="17"/>
  <c r="F28" i="17"/>
  <c r="E28" i="17"/>
  <c r="N27" i="17"/>
  <c r="M27" i="17"/>
  <c r="L27" i="17"/>
  <c r="K27" i="17"/>
  <c r="J27" i="17"/>
  <c r="I27" i="17"/>
  <c r="H27" i="17"/>
  <c r="G27" i="17"/>
  <c r="F27" i="17"/>
  <c r="E27" i="17"/>
  <c r="N26" i="17"/>
  <c r="M26" i="17"/>
  <c r="L26" i="17"/>
  <c r="K26" i="17"/>
  <c r="J26" i="17"/>
  <c r="I26" i="17"/>
  <c r="H26" i="17"/>
  <c r="G26" i="17"/>
  <c r="F26" i="17"/>
  <c r="E26" i="17"/>
  <c r="N25" i="17"/>
  <c r="M25" i="17"/>
  <c r="L25" i="17"/>
  <c r="K25" i="17"/>
  <c r="J25" i="17"/>
  <c r="I25" i="17"/>
  <c r="H25" i="17"/>
  <c r="G25" i="17"/>
  <c r="F25" i="17"/>
  <c r="E25" i="17"/>
  <c r="N35" i="17"/>
  <c r="M35" i="17"/>
  <c r="L35" i="17"/>
  <c r="K35" i="17"/>
  <c r="J35" i="17"/>
  <c r="I35" i="17"/>
  <c r="H35" i="17"/>
  <c r="G35" i="17"/>
  <c r="F35" i="17"/>
  <c r="E35" i="17"/>
  <c r="N34" i="17"/>
  <c r="M34" i="17"/>
  <c r="L34" i="17"/>
  <c r="K34" i="17"/>
  <c r="J34" i="17"/>
  <c r="I34" i="17"/>
  <c r="H34" i="17"/>
  <c r="G34" i="17"/>
  <c r="F34" i="17"/>
  <c r="E34" i="17"/>
  <c r="N42" i="17"/>
  <c r="M42" i="17"/>
  <c r="L42" i="17"/>
  <c r="K42" i="17"/>
  <c r="J42" i="17"/>
  <c r="I42" i="17"/>
  <c r="H42" i="17"/>
  <c r="G42" i="17"/>
  <c r="F42" i="17"/>
  <c r="E42" i="17"/>
  <c r="N41" i="17"/>
  <c r="M41" i="17"/>
  <c r="L41" i="17"/>
  <c r="K41" i="17"/>
  <c r="J41" i="17"/>
  <c r="I41" i="17"/>
  <c r="H41" i="17"/>
  <c r="G41" i="17"/>
  <c r="E41" i="17"/>
  <c r="N40" i="17"/>
  <c r="M40" i="17"/>
  <c r="L40" i="17"/>
  <c r="K40" i="17"/>
  <c r="J40" i="17"/>
  <c r="I40" i="17"/>
  <c r="H40" i="17"/>
  <c r="G40" i="17"/>
  <c r="F40" i="17"/>
  <c r="E40" i="17"/>
  <c r="O72" i="17"/>
  <c r="O71" i="17"/>
  <c r="O70" i="17"/>
  <c r="O63" i="17"/>
  <c r="N56" i="17"/>
  <c r="M56" i="17"/>
  <c r="L56" i="17"/>
  <c r="K56" i="17"/>
  <c r="J56" i="17"/>
  <c r="I56" i="17"/>
  <c r="H56" i="17"/>
  <c r="G56" i="17"/>
  <c r="F56" i="17"/>
  <c r="E56" i="17"/>
  <c r="N55" i="17"/>
  <c r="M55" i="17"/>
  <c r="L55" i="17"/>
  <c r="K55" i="17"/>
  <c r="J55" i="17"/>
  <c r="I55" i="17"/>
  <c r="H55" i="17"/>
  <c r="G55" i="17"/>
  <c r="F55" i="17"/>
  <c r="E55" i="17"/>
  <c r="D6" i="4"/>
  <c r="H60" i="28"/>
  <c r="I60" i="28" s="1"/>
  <c r="J60" i="28" s="1"/>
  <c r="K60" i="28" s="1"/>
  <c r="L60" i="28" s="1"/>
  <c r="M60" i="28" s="1"/>
  <c r="N60" i="28" s="1"/>
  <c r="O60" i="28" s="1"/>
  <c r="P60" i="28" s="1"/>
  <c r="Q60" i="28" s="1"/>
  <c r="H46" i="28"/>
  <c r="I46" i="28" s="1"/>
  <c r="J46" i="28" s="1"/>
  <c r="K46" i="28" s="1"/>
  <c r="L46" i="28" s="1"/>
  <c r="M46" i="28" s="1"/>
  <c r="N46" i="28" s="1"/>
  <c r="O46" i="28" s="1"/>
  <c r="P46" i="28" s="1"/>
  <c r="Q46" i="28" s="1"/>
  <c r="H18" i="28"/>
  <c r="I18" i="28" s="1"/>
  <c r="J18" i="28" s="1"/>
  <c r="K18" i="28" s="1"/>
  <c r="L18" i="28" s="1"/>
  <c r="M18" i="28" s="1"/>
  <c r="N18" i="28" s="1"/>
  <c r="O18" i="28" s="1"/>
  <c r="P18" i="28" s="1"/>
  <c r="Q18" i="28" s="1"/>
  <c r="H32" i="28"/>
  <c r="I32" i="28" s="1"/>
  <c r="J32" i="28" s="1"/>
  <c r="K32" i="28" s="1"/>
  <c r="L32" i="28" s="1"/>
  <c r="M32" i="28" s="1"/>
  <c r="N32" i="28" s="1"/>
  <c r="O32" i="28" s="1"/>
  <c r="P32" i="28" s="1"/>
  <c r="Q32" i="28" s="1"/>
  <c r="H4" i="28"/>
  <c r="M30" i="8" l="1"/>
  <c r="L32" i="8"/>
  <c r="L37" i="8" s="1"/>
  <c r="J18" i="8"/>
  <c r="K22" i="8"/>
  <c r="K37" i="8" s="1"/>
  <c r="D13" i="4"/>
  <c r="I4" i="28"/>
  <c r="J14" i="6"/>
  <c r="O25" i="19"/>
  <c r="P25" i="19" s="1"/>
  <c r="Q25" i="19" s="1"/>
  <c r="R25" i="19" s="1"/>
  <c r="O53" i="19"/>
  <c r="P53" i="19" s="1"/>
  <c r="Q53" i="19" s="1"/>
  <c r="R53" i="19" s="1"/>
  <c r="O45" i="19"/>
  <c r="P45" i="19" s="1"/>
  <c r="Q45" i="19" s="1"/>
  <c r="R45" i="19" s="1"/>
  <c r="O40" i="19"/>
  <c r="P40" i="19" s="1"/>
  <c r="Q40" i="19" s="1"/>
  <c r="R40" i="19" s="1"/>
  <c r="O35" i="19"/>
  <c r="P35" i="19" s="1"/>
  <c r="Q35" i="19" s="1"/>
  <c r="R35" i="19" s="1"/>
  <c r="O17" i="19"/>
  <c r="P17" i="19" s="1"/>
  <c r="Q17" i="19" s="1"/>
  <c r="R17" i="19" s="1"/>
  <c r="G17" i="19"/>
  <c r="H17" i="19" s="1"/>
  <c r="I17" i="19" s="1"/>
  <c r="H25" i="19"/>
  <c r="D27" i="19"/>
  <c r="D28" i="19" s="1"/>
  <c r="D29" i="19" s="1"/>
  <c r="D30" i="19" s="1"/>
  <c r="D31" i="19" s="1"/>
  <c r="D32" i="19" s="1"/>
  <c r="D33" i="19" s="1"/>
  <c r="O74" i="17"/>
  <c r="O65" i="17"/>
  <c r="O44" i="17"/>
  <c r="O38" i="17"/>
  <c r="O32" i="17"/>
  <c r="O53" i="17" s="1"/>
  <c r="H21" i="17"/>
  <c r="H20" i="17"/>
  <c r="H18" i="17"/>
  <c r="G9" i="6" a="1"/>
  <c r="D6" i="19" a="1"/>
  <c r="L38" i="8" l="1"/>
  <c r="N30" i="8"/>
  <c r="M32" i="8"/>
  <c r="M37" i="8" s="1"/>
  <c r="M38" i="8" s="1"/>
  <c r="I18" i="8"/>
  <c r="I22" i="8" s="1"/>
  <c r="J22" i="8"/>
  <c r="J37" i="8" s="1"/>
  <c r="J4" i="28"/>
  <c r="G9" i="6"/>
  <c r="D6" i="19"/>
  <c r="O47" i="11"/>
  <c r="P47" i="11" s="1"/>
  <c r="Q47" i="11" s="1"/>
  <c r="R47" i="11" s="1"/>
  <c r="G47" i="11"/>
  <c r="H47" i="11" s="1"/>
  <c r="I47" i="11" s="1"/>
  <c r="J47" i="11" s="1"/>
  <c r="K47" i="11" s="1"/>
  <c r="L47" i="11" s="1"/>
  <c r="M47" i="11" s="1"/>
  <c r="O38" i="11"/>
  <c r="P38" i="11" s="1"/>
  <c r="Q38" i="11" s="1"/>
  <c r="R38" i="11" s="1"/>
  <c r="G38" i="11"/>
  <c r="H38" i="11" s="1"/>
  <c r="I38" i="11" s="1"/>
  <c r="J38" i="11" s="1"/>
  <c r="K38" i="11" s="1"/>
  <c r="L38" i="11" s="1"/>
  <c r="M38" i="11" s="1"/>
  <c r="O31" i="11"/>
  <c r="P31" i="11" s="1"/>
  <c r="Q31" i="11" s="1"/>
  <c r="R31" i="11" s="1"/>
  <c r="G31" i="11"/>
  <c r="H31" i="11" s="1"/>
  <c r="I31" i="11" s="1"/>
  <c r="J31" i="11" s="1"/>
  <c r="K31" i="11" s="1"/>
  <c r="L31" i="11" s="1"/>
  <c r="M31" i="11" s="1"/>
  <c r="O25" i="11"/>
  <c r="P25" i="11" s="1"/>
  <c r="Q25" i="11" s="1"/>
  <c r="R25" i="11" s="1"/>
  <c r="G25" i="11"/>
  <c r="H25" i="11" s="1"/>
  <c r="I25" i="11" s="1"/>
  <c r="J25" i="11" s="1"/>
  <c r="K25" i="11" s="1"/>
  <c r="L25" i="11" s="1"/>
  <c r="M25" i="11" s="1"/>
  <c r="O13" i="11"/>
  <c r="P13" i="11" s="1"/>
  <c r="Q13" i="11" s="1"/>
  <c r="R13" i="11" s="1"/>
  <c r="G13" i="11"/>
  <c r="H13" i="11" s="1"/>
  <c r="I13" i="11" s="1"/>
  <c r="J13" i="11" s="1"/>
  <c r="K13" i="11" s="1"/>
  <c r="L13" i="11" s="1"/>
  <c r="M13" i="11" s="1"/>
  <c r="G4" i="11"/>
  <c r="H4" i="11" s="1"/>
  <c r="I4" i="11" s="1"/>
  <c r="J4" i="11" s="1"/>
  <c r="K4" i="11" s="1"/>
  <c r="L4" i="11" s="1"/>
  <c r="M4" i="11" s="1"/>
  <c r="F11" i="3"/>
  <c r="O67" i="17"/>
  <c r="N50" i="17"/>
  <c r="M50" i="17"/>
  <c r="L50" i="17"/>
  <c r="K50" i="17"/>
  <c r="J50" i="17"/>
  <c r="I50" i="17"/>
  <c r="H50" i="17"/>
  <c r="G50" i="17"/>
  <c r="F50" i="17"/>
  <c r="E50" i="17"/>
  <c r="N49" i="17"/>
  <c r="M49" i="17"/>
  <c r="L49" i="17"/>
  <c r="K49" i="17"/>
  <c r="J49" i="17"/>
  <c r="I49" i="17"/>
  <c r="H49" i="17"/>
  <c r="G49" i="17"/>
  <c r="F49" i="17"/>
  <c r="E49" i="17"/>
  <c r="N48" i="17"/>
  <c r="M48" i="17"/>
  <c r="L48" i="17"/>
  <c r="K48" i="17"/>
  <c r="J48" i="17"/>
  <c r="I48" i="17"/>
  <c r="H48" i="17"/>
  <c r="G48" i="17"/>
  <c r="F48" i="17"/>
  <c r="E48" i="17"/>
  <c r="N47" i="17"/>
  <c r="M47" i="17"/>
  <c r="L47" i="17"/>
  <c r="K47" i="17"/>
  <c r="J47" i="17"/>
  <c r="I47" i="17"/>
  <c r="H47" i="17"/>
  <c r="G47" i="17"/>
  <c r="E47" i="17"/>
  <c r="N46" i="17"/>
  <c r="M46" i="17"/>
  <c r="L46" i="17"/>
  <c r="K46" i="17"/>
  <c r="J46" i="17"/>
  <c r="I46" i="17"/>
  <c r="H46" i="17"/>
  <c r="G46" i="17"/>
  <c r="F46" i="17"/>
  <c r="E46" i="17"/>
  <c r="N36" i="17"/>
  <c r="M36" i="17"/>
  <c r="L36" i="17"/>
  <c r="K36" i="17"/>
  <c r="J36" i="17"/>
  <c r="I36" i="17"/>
  <c r="H36" i="17"/>
  <c r="G36" i="17"/>
  <c r="F36" i="17"/>
  <c r="E36" i="17"/>
  <c r="N93" i="17"/>
  <c r="M93" i="17"/>
  <c r="L93" i="17"/>
  <c r="K93" i="17"/>
  <c r="J7" i="17" a="1"/>
  <c r="J7" i="17" s="1"/>
  <c r="D85" i="17"/>
  <c r="Q53" i="11"/>
  <c r="R53" i="11" s="1"/>
  <c r="S221" i="8"/>
  <c r="R221" i="8"/>
  <c r="S220" i="8"/>
  <c r="R220" i="8"/>
  <c r="W8" i="8"/>
  <c r="W9" i="8" s="1"/>
  <c r="W10" i="8" s="1"/>
  <c r="W11" i="8" s="1"/>
  <c r="W12" i="8" s="1"/>
  <c r="W13" i="8" s="1"/>
  <c r="W14" i="8" s="1"/>
  <c r="N67" i="9"/>
  <c r="M67" i="9"/>
  <c r="I67" i="9"/>
  <c r="F68" i="8"/>
  <c r="F69" i="8" s="1"/>
  <c r="L67" i="9"/>
  <c r="K67" i="9"/>
  <c r="J67" i="9"/>
  <c r="H67" i="9"/>
  <c r="G13" i="9"/>
  <c r="N75" i="9"/>
  <c r="M58" i="11" s="1"/>
  <c r="M75" i="9"/>
  <c r="L58" i="11" s="1"/>
  <c r="I75" i="9"/>
  <c r="H58" i="11" s="1"/>
  <c r="G75" i="9"/>
  <c r="Q75" i="9"/>
  <c r="P58" i="11" s="1"/>
  <c r="G101" i="9"/>
  <c r="H101" i="9"/>
  <c r="H55" i="9"/>
  <c r="I55" i="9"/>
  <c r="L55" i="9"/>
  <c r="N55" i="9"/>
  <c r="I50" i="9"/>
  <c r="M50" i="9"/>
  <c r="Q50" i="9"/>
  <c r="H32" i="9"/>
  <c r="G28" i="11" s="1"/>
  <c r="K32" i="9"/>
  <c r="J28" i="11" s="1"/>
  <c r="L32" i="9"/>
  <c r="K28" i="11" s="1"/>
  <c r="P55" i="9"/>
  <c r="M55" i="9"/>
  <c r="M112" i="9" s="1"/>
  <c r="I17" i="9"/>
  <c r="G8" i="9"/>
  <c r="F21" i="11" s="1"/>
  <c r="G163" i="8"/>
  <c r="E74" i="8"/>
  <c r="E60" i="8"/>
  <c r="E171" i="8"/>
  <c r="F163" i="8"/>
  <c r="F171" i="8"/>
  <c r="E119" i="8"/>
  <c r="G181" i="8"/>
  <c r="F111" i="8"/>
  <c r="E89" i="8"/>
  <c r="E183" i="8"/>
  <c r="F60" i="8"/>
  <c r="G171" i="8"/>
  <c r="E150" i="8"/>
  <c r="F119" i="8"/>
  <c r="G119" i="8"/>
  <c r="F74" i="8"/>
  <c r="O9" i="17" l="1" a="1"/>
  <c r="O9" i="17" s="1"/>
  <c r="N9" i="17" a="1"/>
  <c r="N9" i="17" s="1"/>
  <c r="M9" i="17" a="1"/>
  <c r="M9" i="17" s="1"/>
  <c r="L9" i="17" a="1"/>
  <c r="L9" i="17" s="1"/>
  <c r="J9" i="17" a="1"/>
  <c r="J9" i="17" s="1"/>
  <c r="K9" i="17" a="1"/>
  <c r="K9" i="17" s="1"/>
  <c r="N7" i="17" a="1"/>
  <c r="N7" i="17" s="1"/>
  <c r="M7" i="17" a="1"/>
  <c r="M7" i="17" s="1"/>
  <c r="L7" i="17" a="1"/>
  <c r="L7" i="17" s="1"/>
  <c r="K7" i="17" a="1"/>
  <c r="K7" i="17" s="1"/>
  <c r="O7" i="17" a="1"/>
  <c r="O7" i="17" s="1"/>
  <c r="O8" i="17" a="1"/>
  <c r="O8" i="17" s="1"/>
  <c r="J8" i="17" a="1"/>
  <c r="J8" i="17" s="1"/>
  <c r="N8" i="17" a="1"/>
  <c r="N8" i="17" s="1"/>
  <c r="K8" i="17" a="1"/>
  <c r="K8" i="17" s="1"/>
  <c r="M8" i="17" a="1"/>
  <c r="M8" i="17" s="1"/>
  <c r="L8" i="17" a="1"/>
  <c r="L8" i="17" s="1"/>
  <c r="F172" i="8"/>
  <c r="K38" i="8"/>
  <c r="I37" i="8"/>
  <c r="O30" i="8"/>
  <c r="N32" i="8"/>
  <c r="N37" i="8" s="1"/>
  <c r="N38" i="8" s="1"/>
  <c r="I112" i="9"/>
  <c r="F58" i="11"/>
  <c r="G172" i="8"/>
  <c r="E172" i="8"/>
  <c r="G23" i="6"/>
  <c r="G19" i="6" s="1"/>
  <c r="D79" i="17" a="1"/>
  <c r="D79" i="17" s="1"/>
  <c r="O79" i="17" s="1"/>
  <c r="D68" i="17" a="1"/>
  <c r="D68" i="17" s="1"/>
  <c r="G32" i="9"/>
  <c r="Q55" i="9"/>
  <c r="K75" i="9"/>
  <c r="J58" i="11" s="1"/>
  <c r="G50" i="9"/>
  <c r="G53" i="9" s="1"/>
  <c r="J75" i="9"/>
  <c r="I58" i="11" s="1"/>
  <c r="G12" i="9"/>
  <c r="F18" i="11" s="1"/>
  <c r="L68" i="9"/>
  <c r="K4" i="28"/>
  <c r="P32" i="9"/>
  <c r="O28" i="11" s="1"/>
  <c r="O37" i="19" s="1"/>
  <c r="J17" i="9"/>
  <c r="M17" i="9"/>
  <c r="P68" i="9"/>
  <c r="N17" i="9"/>
  <c r="O32" i="9"/>
  <c r="L50" i="9"/>
  <c r="J55" i="9"/>
  <c r="G55" i="9"/>
  <c r="H68" i="9"/>
  <c r="H75" i="9"/>
  <c r="G58" i="11" s="1"/>
  <c r="L75" i="9"/>
  <c r="K58" i="11" s="1"/>
  <c r="G37" i="9"/>
  <c r="L37" i="9"/>
  <c r="O33" i="11"/>
  <c r="F35" i="11"/>
  <c r="AH9" i="8"/>
  <c r="P67" i="9"/>
  <c r="G17" i="9"/>
  <c r="K17" i="9"/>
  <c r="H37" i="9"/>
  <c r="H98" i="9"/>
  <c r="N32" i="9"/>
  <c r="H50" i="9"/>
  <c r="H53" i="9" s="1"/>
  <c r="Q32" i="9"/>
  <c r="P28" i="11" s="1"/>
  <c r="P37" i="19" s="1"/>
  <c r="M32" i="9"/>
  <c r="L28" i="11" s="1"/>
  <c r="I32" i="9"/>
  <c r="H28" i="11" s="1"/>
  <c r="F33" i="11"/>
  <c r="AI9" i="8"/>
  <c r="N50" i="9"/>
  <c r="J50" i="9"/>
  <c r="I68" i="9"/>
  <c r="M68" i="9"/>
  <c r="Q68" i="9"/>
  <c r="P75" i="9"/>
  <c r="O58" i="11" s="1"/>
  <c r="G67" i="9"/>
  <c r="J32" i="9"/>
  <c r="I28" i="11" s="1"/>
  <c r="O50" i="9"/>
  <c r="O53" i="9" s="1"/>
  <c r="K37" i="9"/>
  <c r="K50" i="9"/>
  <c r="K53" i="9" s="1"/>
  <c r="P50" i="9"/>
  <c r="G35" i="11"/>
  <c r="O55" i="9"/>
  <c r="K55" i="9"/>
  <c r="G68" i="9"/>
  <c r="K68" i="9"/>
  <c r="O68" i="9"/>
  <c r="O75" i="9"/>
  <c r="N58" i="11" s="1"/>
  <c r="H17" i="9"/>
  <c r="M33" i="11"/>
  <c r="L35" i="11"/>
  <c r="H35" i="11"/>
  <c r="F34" i="11"/>
  <c r="J68" i="9"/>
  <c r="N68" i="9"/>
  <c r="G51" i="17"/>
  <c r="I21" i="17"/>
  <c r="I20" i="17"/>
  <c r="I19" i="17"/>
  <c r="I18" i="17"/>
  <c r="L51" i="17"/>
  <c r="I51" i="17"/>
  <c r="E51" i="17"/>
  <c r="M51" i="17"/>
  <c r="F51" i="17"/>
  <c r="N51" i="17"/>
  <c r="H51" i="17"/>
  <c r="J51" i="17"/>
  <c r="K51" i="17"/>
  <c r="A5" i="17"/>
  <c r="B5" i="17" s="1" a="1"/>
  <c r="B5" i="17" s="1"/>
  <c r="F141" i="8"/>
  <c r="Q39" i="9"/>
  <c r="Q46" i="9" s="1"/>
  <c r="P39" i="9"/>
  <c r="P46" i="9" s="1"/>
  <c r="O39" i="9"/>
  <c r="O46" i="9" s="1"/>
  <c r="N39" i="9"/>
  <c r="N46" i="9" s="1"/>
  <c r="M39" i="9"/>
  <c r="M46" i="9" s="1"/>
  <c r="L39" i="9"/>
  <c r="L46" i="9" s="1"/>
  <c r="K39" i="9"/>
  <c r="K46" i="9" s="1"/>
  <c r="J39" i="9"/>
  <c r="J46" i="9" s="1"/>
  <c r="I39" i="9"/>
  <c r="I46" i="9" s="1"/>
  <c r="H39" i="9"/>
  <c r="H46" i="9" s="1"/>
  <c r="G39" i="9"/>
  <c r="G46" i="9" s="1"/>
  <c r="O17" i="9"/>
  <c r="P17" i="9"/>
  <c r="G90" i="9"/>
  <c r="H90" i="9"/>
  <c r="I90" i="9"/>
  <c r="J90" i="9"/>
  <c r="K90" i="9"/>
  <c r="L90" i="9"/>
  <c r="M90" i="9"/>
  <c r="N90" i="9"/>
  <c r="O90" i="9"/>
  <c r="P90" i="9"/>
  <c r="Q90" i="9"/>
  <c r="Q53" i="9"/>
  <c r="M53" i="9"/>
  <c r="I53" i="9"/>
  <c r="H58" i="9"/>
  <c r="I58" i="9"/>
  <c r="L58" i="9"/>
  <c r="M58" i="9"/>
  <c r="N58" i="9"/>
  <c r="P58" i="9"/>
  <c r="Q17" i="9"/>
  <c r="O4" i="11"/>
  <c r="P4" i="11" s="1"/>
  <c r="Q4" i="11" s="1"/>
  <c r="Q45" i="9"/>
  <c r="H45" i="9"/>
  <c r="I48" i="9"/>
  <c r="H48" i="9"/>
  <c r="H4" i="9"/>
  <c r="E246" i="8"/>
  <c r="E273" i="8" s="1"/>
  <c r="P214" i="8"/>
  <c r="E186" i="8"/>
  <c r="E231" i="8" s="1"/>
  <c r="E139" i="8"/>
  <c r="E102" i="8"/>
  <c r="F46" i="8"/>
  <c r="F15" i="8"/>
  <c r="G15" i="8" s="1"/>
  <c r="H15" i="8" s="1"/>
  <c r="I15" i="8" s="1"/>
  <c r="J15" i="8" s="1"/>
  <c r="K15" i="8" s="1"/>
  <c r="L15" i="8" s="1"/>
  <c r="M15" i="8" s="1"/>
  <c r="N15" i="8" s="1"/>
  <c r="O15" i="8" s="1"/>
  <c r="P15" i="8" s="1"/>
  <c r="Q15" i="8" s="1"/>
  <c r="L10" i="8"/>
  <c r="F10" i="8"/>
  <c r="I43" i="4"/>
  <c r="H43" i="4"/>
  <c r="G43" i="4"/>
  <c r="F43" i="4"/>
  <c r="J42" i="4"/>
  <c r="K42" i="4" s="1"/>
  <c r="L42" i="4" s="1"/>
  <c r="M42" i="4" s="1"/>
  <c r="N42" i="4" s="1"/>
  <c r="O42" i="4" s="1"/>
  <c r="P42" i="4" s="1"/>
  <c r="Q42" i="4" s="1"/>
  <c r="R42" i="4" s="1"/>
  <c r="S42" i="4" s="1"/>
  <c r="T42" i="4" s="1"/>
  <c r="I41" i="4"/>
  <c r="H41" i="4"/>
  <c r="G41" i="4"/>
  <c r="F41" i="4"/>
  <c r="J40" i="4"/>
  <c r="K40" i="4" s="1"/>
  <c r="L40" i="4" s="1"/>
  <c r="M40" i="4" s="1"/>
  <c r="N40" i="4" s="1"/>
  <c r="O40" i="4" s="1"/>
  <c r="P40" i="4" s="1"/>
  <c r="Q40" i="4" s="1"/>
  <c r="R40" i="4" s="1"/>
  <c r="S40" i="4" s="1"/>
  <c r="T40" i="4" s="1"/>
  <c r="I39" i="4"/>
  <c r="H39" i="4"/>
  <c r="G39" i="4"/>
  <c r="F39" i="4"/>
  <c r="J38" i="4"/>
  <c r="K38" i="4" s="1"/>
  <c r="E44" i="4"/>
  <c r="F32" i="4"/>
  <c r="G32" i="4" s="1"/>
  <c r="H32" i="4" s="1"/>
  <c r="I32" i="4" s="1"/>
  <c r="J32" i="4" s="1"/>
  <c r="K32" i="4" s="1"/>
  <c r="L32" i="4" s="1"/>
  <c r="M32" i="4" s="1"/>
  <c r="N32" i="4" s="1"/>
  <c r="O32" i="4" s="1"/>
  <c r="P32" i="4" s="1"/>
  <c r="Q32" i="4" s="1"/>
  <c r="R32" i="4" s="1"/>
  <c r="S32" i="4" s="1"/>
  <c r="T32" i="4" s="1"/>
  <c r="B30" i="4"/>
  <c r="B29" i="4"/>
  <c r="I22" i="4"/>
  <c r="H22" i="4"/>
  <c r="G22" i="4"/>
  <c r="F22" i="4"/>
  <c r="E22" i="4"/>
  <c r="N21" i="4"/>
  <c r="M21" i="4"/>
  <c r="L21" i="4"/>
  <c r="K21" i="4"/>
  <c r="D21" i="4"/>
  <c r="N20" i="4"/>
  <c r="M20" i="4"/>
  <c r="L20" i="4"/>
  <c r="K20" i="4"/>
  <c r="D20" i="4"/>
  <c r="N19" i="4"/>
  <c r="M19" i="4"/>
  <c r="L19" i="4"/>
  <c r="K19" i="4"/>
  <c r="D19" i="4"/>
  <c r="N18" i="4"/>
  <c r="M18" i="4"/>
  <c r="L18" i="4"/>
  <c r="K18" i="4"/>
  <c r="D18" i="4"/>
  <c r="N17" i="4"/>
  <c r="M17" i="4"/>
  <c r="L17" i="4"/>
  <c r="K17" i="4"/>
  <c r="D17" i="4"/>
  <c r="L15" i="4"/>
  <c r="M15" i="4" s="1"/>
  <c r="N15" i="4" s="1"/>
  <c r="F15" i="4"/>
  <c r="G15" i="4" s="1"/>
  <c r="H15" i="4" s="1"/>
  <c r="I15" i="4" s="1"/>
  <c r="I13" i="4"/>
  <c r="D34" i="4" s="1"/>
  <c r="H13" i="4"/>
  <c r="G13" i="4"/>
  <c r="F13" i="4"/>
  <c r="E13" i="4"/>
  <c r="N10" i="4"/>
  <c r="M10" i="4"/>
  <c r="L10" i="4"/>
  <c r="K10" i="4"/>
  <c r="N9" i="4"/>
  <c r="M9" i="4"/>
  <c r="L9" i="4"/>
  <c r="K9" i="4"/>
  <c r="N8" i="4"/>
  <c r="M8" i="4"/>
  <c r="L8" i="4"/>
  <c r="K8" i="4"/>
  <c r="N7" i="4"/>
  <c r="M7" i="4"/>
  <c r="N6" i="4"/>
  <c r="M6" i="4"/>
  <c r="L4" i="4"/>
  <c r="M4" i="4" s="1"/>
  <c r="N4" i="4" s="1"/>
  <c r="F4" i="4"/>
  <c r="G11" i="3"/>
  <c r="G4" i="3"/>
  <c r="F86" i="8"/>
  <c r="G121" i="8"/>
  <c r="D113" i="17"/>
  <c r="D87" i="17"/>
  <c r="K33" i="11"/>
  <c r="G183" i="8"/>
  <c r="F150" i="8"/>
  <c r="E118" i="8"/>
  <c r="D124" i="17"/>
  <c r="G143" i="8"/>
  <c r="F108" i="8"/>
  <c r="L33" i="11"/>
  <c r="D107" i="17"/>
  <c r="N35" i="11"/>
  <c r="H33" i="11"/>
  <c r="G118" i="8"/>
  <c r="F51" i="8"/>
  <c r="E111" i="8"/>
  <c r="E48" i="8"/>
  <c r="E39" i="8" s="1"/>
  <c r="F63" i="8"/>
  <c r="F156" i="8"/>
  <c r="F176" i="8"/>
  <c r="G150" i="8"/>
  <c r="G152" i="8"/>
  <c r="G258" i="8" s="1"/>
  <c r="L34" i="11"/>
  <c r="M34" i="11"/>
  <c r="E83" i="8"/>
  <c r="J34" i="11"/>
  <c r="G168" i="8"/>
  <c r="D122" i="17"/>
  <c r="G176" i="8"/>
  <c r="E154" i="8"/>
  <c r="G154" i="8"/>
  <c r="H154" i="8" s="1"/>
  <c r="F183" i="8"/>
  <c r="F57" i="8"/>
  <c r="F174" i="8"/>
  <c r="F118" i="8"/>
  <c r="E163" i="8"/>
  <c r="E51" i="8"/>
  <c r="D48" i="8"/>
  <c r="F71" i="8"/>
  <c r="F72" i="8" s="1"/>
  <c r="D123" i="17"/>
  <c r="E128" i="8"/>
  <c r="G108" i="8"/>
  <c r="E92" i="8"/>
  <c r="F154" i="8"/>
  <c r="E86" i="8"/>
  <c r="E108" i="8"/>
  <c r="N33" i="11"/>
  <c r="O34" i="11"/>
  <c r="E63" i="8"/>
  <c r="E57" i="8"/>
  <c r="E121" i="8"/>
  <c r="K34" i="11"/>
  <c r="J33" i="11"/>
  <c r="E156" i="8"/>
  <c r="G128" i="8"/>
  <c r="D105" i="17"/>
  <c r="E96" i="8"/>
  <c r="E181" i="8"/>
  <c r="D106" i="17"/>
  <c r="J35" i="11"/>
  <c r="E168" i="8"/>
  <c r="D108" i="17"/>
  <c r="F92" i="8"/>
  <c r="G156" i="8"/>
  <c r="F89" i="8"/>
  <c r="O35" i="11"/>
  <c r="E143" i="8"/>
  <c r="F128" i="8"/>
  <c r="I35" i="11"/>
  <c r="F165" i="8"/>
  <c r="D88" i="17"/>
  <c r="E174" i="8"/>
  <c r="M35" i="11"/>
  <c r="D120" i="17"/>
  <c r="D125" i="17"/>
  <c r="D109" i="17"/>
  <c r="N34" i="11"/>
  <c r="F181" i="8"/>
  <c r="G33" i="11"/>
  <c r="I34" i="11"/>
  <c r="E71" i="8"/>
  <c r="E72" i="8" s="1"/>
  <c r="E165" i="8"/>
  <c r="F136" i="8"/>
  <c r="F121" i="8"/>
  <c r="I33" i="11"/>
  <c r="G34" i="11"/>
  <c r="F83" i="8"/>
  <c r="G111" i="8"/>
  <c r="F48" i="8"/>
  <c r="F39" i="8" s="1"/>
  <c r="F19" i="19" s="1"/>
  <c r="G165" i="8"/>
  <c r="K35" i="11"/>
  <c r="H34" i="11"/>
  <c r="F96" i="8"/>
  <c r="F168" i="8"/>
  <c r="D112" i="17"/>
  <c r="D121" i="17"/>
  <c r="E136" i="8"/>
  <c r="F143" i="8"/>
  <c r="D126" i="17"/>
  <c r="E176" i="8"/>
  <c r="G174" i="8"/>
  <c r="H97" i="9" a="1"/>
  <c r="G97" i="9" a="1"/>
  <c r="J74" i="17" l="1"/>
  <c r="J65" i="17"/>
  <c r="J44" i="17"/>
  <c r="J38" i="17"/>
  <c r="J32" i="17"/>
  <c r="J53" i="17" s="1"/>
  <c r="F24" i="8"/>
  <c r="F34" i="8"/>
  <c r="F18" i="19" s="1"/>
  <c r="E24" i="8"/>
  <c r="E34" i="8"/>
  <c r="I154" i="8"/>
  <c r="J154" i="8" s="1"/>
  <c r="K154" i="8" s="1"/>
  <c r="L154" i="8" s="1"/>
  <c r="M154" i="8" s="1"/>
  <c r="N154" i="8" s="1"/>
  <c r="O154" i="8" s="1"/>
  <c r="P154" i="8" s="1"/>
  <c r="P30" i="8"/>
  <c r="O32" i="8"/>
  <c r="O37" i="8" s="1"/>
  <c r="O38" i="8" s="1"/>
  <c r="I38" i="8"/>
  <c r="J38" i="8"/>
  <c r="F144" i="8"/>
  <c r="F87" i="8"/>
  <c r="H30" i="9"/>
  <c r="H64" i="9" s="1"/>
  <c r="H110" i="9" s="1"/>
  <c r="L53" i="9"/>
  <c r="D110" i="17"/>
  <c r="E87" i="8"/>
  <c r="K112" i="9"/>
  <c r="J112" i="9"/>
  <c r="O112" i="9"/>
  <c r="J58" i="9"/>
  <c r="G98" i="9"/>
  <c r="F28" i="11"/>
  <c r="M28" i="11"/>
  <c r="D114" i="17"/>
  <c r="Q112" i="9"/>
  <c r="H112" i="9"/>
  <c r="N28" i="11"/>
  <c r="N37" i="19" s="1"/>
  <c r="L112" i="9"/>
  <c r="Q58" i="9"/>
  <c r="P112" i="9"/>
  <c r="N112" i="9"/>
  <c r="E84" i="8" s="1"/>
  <c r="G157" i="8"/>
  <c r="E144" i="8"/>
  <c r="O36" i="11"/>
  <c r="O41" i="19" s="1"/>
  <c r="J36" i="11"/>
  <c r="E157" i="8"/>
  <c r="M36" i="11"/>
  <c r="L36" i="11"/>
  <c r="F36" i="11"/>
  <c r="D5" i="17"/>
  <c r="D12" i="17" s="1"/>
  <c r="D13" i="17" s="1"/>
  <c r="G36" i="11"/>
  <c r="F157" i="8"/>
  <c r="H36" i="11"/>
  <c r="K36" i="11"/>
  <c r="N36" i="11"/>
  <c r="N41" i="19" s="1"/>
  <c r="I36" i="11"/>
  <c r="N7" i="11"/>
  <c r="N19" i="19" s="1"/>
  <c r="V31" i="19"/>
  <c r="G10" i="6"/>
  <c r="C5" i="17" a="1"/>
  <c r="C5" i="17" s="1"/>
  <c r="H4" i="3"/>
  <c r="I4" i="3" s="1"/>
  <c r="G99" i="9"/>
  <c r="G112" i="9"/>
  <c r="O37" i="9"/>
  <c r="E114" i="8" s="1"/>
  <c r="D61" i="17"/>
  <c r="O61" i="17" s="1"/>
  <c r="P53" i="9"/>
  <c r="N37" i="9"/>
  <c r="P37" i="9"/>
  <c r="F114" i="8" s="1"/>
  <c r="D58" i="17"/>
  <c r="O58" i="17" s="1"/>
  <c r="D62" i="17"/>
  <c r="O62" i="17" s="1"/>
  <c r="D60" i="17"/>
  <c r="O60" i="17" s="1"/>
  <c r="D59" i="17"/>
  <c r="O59" i="17" s="1"/>
  <c r="J53" i="9"/>
  <c r="O58" i="9"/>
  <c r="K58" i="9"/>
  <c r="G19" i="17"/>
  <c r="G58" i="9"/>
  <c r="N53" i="9"/>
  <c r="Q37" i="9"/>
  <c r="H99" i="9"/>
  <c r="H115" i="9"/>
  <c r="L4" i="28"/>
  <c r="C9" i="27"/>
  <c r="D42" i="17"/>
  <c r="O42" i="17" s="1"/>
  <c r="N18" i="6"/>
  <c r="N17" i="6"/>
  <c r="N12" i="6"/>
  <c r="N16" i="6"/>
  <c r="N15" i="6"/>
  <c r="N14" i="6"/>
  <c r="N13" i="6"/>
  <c r="N11" i="6"/>
  <c r="D40" i="17"/>
  <c r="O40" i="17" s="1"/>
  <c r="D41" i="17"/>
  <c r="O41" i="17" s="1"/>
  <c r="H214" i="8"/>
  <c r="E117" i="8"/>
  <c r="G254" i="8"/>
  <c r="G204" i="8"/>
  <c r="E27" i="19"/>
  <c r="E204" i="8"/>
  <c r="E254" i="8"/>
  <c r="G117" i="8"/>
  <c r="E26" i="19"/>
  <c r="E49" i="8"/>
  <c r="E120" i="8"/>
  <c r="I28" i="19"/>
  <c r="F254" i="8"/>
  <c r="F204" i="8"/>
  <c r="F260" i="8"/>
  <c r="AC8" i="8" s="1"/>
  <c r="F275" i="8"/>
  <c r="AA8" i="8" s="1"/>
  <c r="E137" i="8"/>
  <c r="E52" i="8"/>
  <c r="E260" i="8"/>
  <c r="AC7" i="8" s="1"/>
  <c r="H97" i="9"/>
  <c r="G97" i="9"/>
  <c r="G260" i="8"/>
  <c r="AC9" i="8" s="1"/>
  <c r="G275" i="8"/>
  <c r="AA9" i="8" s="1"/>
  <c r="F117" i="8"/>
  <c r="E275" i="8"/>
  <c r="AA7" i="8" s="1"/>
  <c r="F137" i="8"/>
  <c r="F120" i="8"/>
  <c r="F52" i="8"/>
  <c r="I37" i="9"/>
  <c r="M37" i="9"/>
  <c r="K115" i="9"/>
  <c r="D36" i="4"/>
  <c r="J115" i="9"/>
  <c r="Q115" i="9"/>
  <c r="M115" i="9"/>
  <c r="I115" i="9"/>
  <c r="O67" i="9"/>
  <c r="D22" i="4"/>
  <c r="N22" i="4"/>
  <c r="H37" i="4"/>
  <c r="L115" i="9"/>
  <c r="Q67" i="9"/>
  <c r="J37" i="9"/>
  <c r="M10" i="6"/>
  <c r="O68" i="17"/>
  <c r="N11" i="3"/>
  <c r="G4" i="4"/>
  <c r="K13" i="4"/>
  <c r="L13" i="4"/>
  <c r="M13" i="4"/>
  <c r="D38" i="4"/>
  <c r="D42" i="4"/>
  <c r="N13" i="4"/>
  <c r="K22" i="4"/>
  <c r="L22" i="4"/>
  <c r="F37" i="4"/>
  <c r="I37" i="4"/>
  <c r="F186" i="8"/>
  <c r="F231" i="8" s="1"/>
  <c r="F139" i="8"/>
  <c r="F102" i="8"/>
  <c r="I45" i="9"/>
  <c r="J45" i="9"/>
  <c r="O45" i="9"/>
  <c r="P45" i="9"/>
  <c r="L48" i="9"/>
  <c r="M48" i="9"/>
  <c r="N48" i="9"/>
  <c r="O48" i="9"/>
  <c r="R4" i="11"/>
  <c r="H8" i="9"/>
  <c r="G21" i="11" s="1"/>
  <c r="J8" i="9"/>
  <c r="I21" i="11" s="1"/>
  <c r="M8" i="9"/>
  <c r="N8" i="9"/>
  <c r="K8" i="9"/>
  <c r="J21" i="11" s="1"/>
  <c r="I8" i="9"/>
  <c r="H21" i="11" s="1"/>
  <c r="O8" i="9"/>
  <c r="N21" i="11" s="1"/>
  <c r="N31" i="19" s="1"/>
  <c r="P8" i="9"/>
  <c r="Q8" i="9"/>
  <c r="G48" i="9"/>
  <c r="J48" i="9"/>
  <c r="K48" i="9"/>
  <c r="G45" i="9"/>
  <c r="K45" i="9"/>
  <c r="L45" i="9"/>
  <c r="P48" i="9"/>
  <c r="M45" i="9"/>
  <c r="Q48" i="9"/>
  <c r="N45" i="9"/>
  <c r="I4" i="9"/>
  <c r="E112" i="8"/>
  <c r="F112" i="8"/>
  <c r="G208" i="8"/>
  <c r="F252" i="8"/>
  <c r="F202" i="8"/>
  <c r="E129" i="8"/>
  <c r="F129" i="8"/>
  <c r="G46" i="8"/>
  <c r="F246" i="8"/>
  <c r="F273" i="8" s="1"/>
  <c r="L38" i="4"/>
  <c r="K44" i="4"/>
  <c r="J44" i="4"/>
  <c r="G37" i="4"/>
  <c r="M22" i="4"/>
  <c r="D40" i="4"/>
  <c r="L11" i="3"/>
  <c r="P11" i="3"/>
  <c r="J11" i="3"/>
  <c r="O11" i="3"/>
  <c r="H11" i="3"/>
  <c r="I11" i="3"/>
  <c r="K11" i="3"/>
  <c r="E11" i="3"/>
  <c r="M11" i="3"/>
  <c r="G179" i="8"/>
  <c r="F179" i="8"/>
  <c r="E179" i="8"/>
  <c r="E146" i="8"/>
  <c r="G134" i="8"/>
  <c r="G106" i="8"/>
  <c r="F134" i="8"/>
  <c r="P34" i="11"/>
  <c r="F152" i="8"/>
  <c r="F258" i="8" s="1"/>
  <c r="G146" i="8"/>
  <c r="F131" i="8"/>
  <c r="G131" i="8"/>
  <c r="E131" i="8"/>
  <c r="P33" i="11"/>
  <c r="E134" i="8"/>
  <c r="F80" i="8"/>
  <c r="G136" i="8"/>
  <c r="E152" i="8"/>
  <c r="E258" i="8" s="1"/>
  <c r="P35" i="11"/>
  <c r="G123" i="8"/>
  <c r="H123" i="8" s="1"/>
  <c r="I123" i="8" s="1"/>
  <c r="J123" i="8" s="1"/>
  <c r="K123" i="8" s="1"/>
  <c r="L123" i="8" s="1"/>
  <c r="M123" i="8" s="1"/>
  <c r="E68" i="8"/>
  <c r="E69" i="8" s="1"/>
  <c r="F146" i="8"/>
  <c r="E106" i="8"/>
  <c r="F106" i="8"/>
  <c r="E80" i="8"/>
  <c r="P18" i="17" a="1"/>
  <c r="L78" i="17" a="1"/>
  <c r="M77" i="17" a="1"/>
  <c r="F77" i="17" a="1"/>
  <c r="N76" i="17" a="1"/>
  <c r="H78" i="17" a="1"/>
  <c r="G78" i="17" a="1"/>
  <c r="E78" i="17" a="1"/>
  <c r="I77" i="17" a="1"/>
  <c r="I78" i="17" a="1"/>
  <c r="G76" i="17" a="1"/>
  <c r="G77" i="17" a="1"/>
  <c r="J76" i="17" a="1"/>
  <c r="K77" i="17" a="1"/>
  <c r="Q11" i="3" l="1"/>
  <c r="N123" i="8"/>
  <c r="O123" i="8" s="1"/>
  <c r="P123" i="8" s="1"/>
  <c r="Q123" i="8" s="1"/>
  <c r="M124" i="8"/>
  <c r="N19" i="6"/>
  <c r="G13" i="6" s="1"/>
  <c r="G16" i="6" s="1"/>
  <c r="Q30" i="8"/>
  <c r="Q32" i="8" s="1"/>
  <c r="Q43" i="8" s="1"/>
  <c r="P32" i="8"/>
  <c r="P37" i="8" s="1"/>
  <c r="P38" i="8" s="1"/>
  <c r="N115" i="9"/>
  <c r="O21" i="11"/>
  <c r="O31" i="19" s="1"/>
  <c r="M21" i="11"/>
  <c r="L21" i="11"/>
  <c r="K21" i="11"/>
  <c r="K45" i="11"/>
  <c r="G115" i="9"/>
  <c r="F45" i="11" s="1"/>
  <c r="F44" i="11"/>
  <c r="F43" i="11"/>
  <c r="F84" i="8"/>
  <c r="K43" i="11"/>
  <c r="K44" i="11"/>
  <c r="I30" i="9"/>
  <c r="I64" i="9" s="1"/>
  <c r="I110" i="9" s="1"/>
  <c r="H157" i="8"/>
  <c r="I157" i="8" s="1"/>
  <c r="J157" i="8" s="1"/>
  <c r="K157" i="8" s="1"/>
  <c r="P36" i="11"/>
  <c r="P41" i="19" s="1"/>
  <c r="I7" i="11"/>
  <c r="O7" i="11"/>
  <c r="O19" i="19" s="1"/>
  <c r="J7" i="11"/>
  <c r="H7" i="11"/>
  <c r="G7" i="11"/>
  <c r="K7" i="11"/>
  <c r="N102" i="9"/>
  <c r="M7" i="11"/>
  <c r="J4" i="3"/>
  <c r="K4" i="3" s="1"/>
  <c r="L4" i="3" s="1"/>
  <c r="M4" i="3" s="1"/>
  <c r="N4" i="3" s="1"/>
  <c r="O4" i="3" s="1"/>
  <c r="P4" i="3" s="1"/>
  <c r="Q4" i="3" s="1"/>
  <c r="L7" i="11"/>
  <c r="G102" i="9"/>
  <c r="F7" i="11"/>
  <c r="G18" i="17"/>
  <c r="G21" i="17"/>
  <c r="G20" i="17"/>
  <c r="O115" i="9"/>
  <c r="E81" i="8" s="1"/>
  <c r="K102" i="9"/>
  <c r="I102" i="9"/>
  <c r="AD8" i="8"/>
  <c r="M4" i="28"/>
  <c r="P18" i="17"/>
  <c r="B12" i="28"/>
  <c r="B82" i="28" s="1"/>
  <c r="M14" i="6"/>
  <c r="B9" i="28"/>
  <c r="B79" i="28" s="1"/>
  <c r="M11" i="6"/>
  <c r="B10" i="28"/>
  <c r="B80" i="28" s="1"/>
  <c r="M12" i="6"/>
  <c r="B11" i="28"/>
  <c r="B81" i="28" s="1"/>
  <c r="M13" i="6"/>
  <c r="L23" i="17"/>
  <c r="B14" i="28"/>
  <c r="B84" i="28" s="1"/>
  <c r="B13" i="28"/>
  <c r="B83" i="28" s="1"/>
  <c r="N23" i="17"/>
  <c r="B16" i="28"/>
  <c r="B86" i="28" s="1"/>
  <c r="E23" i="17"/>
  <c r="B7" i="28"/>
  <c r="B77" i="28" s="1"/>
  <c r="B8" i="28"/>
  <c r="B78" i="28" s="1"/>
  <c r="M23" i="17"/>
  <c r="B15" i="28"/>
  <c r="B85" i="28" s="1"/>
  <c r="L102" i="9"/>
  <c r="M77" i="17"/>
  <c r="J76" i="17"/>
  <c r="K77" i="17"/>
  <c r="I78" i="17"/>
  <c r="I77" i="17"/>
  <c r="L78" i="17"/>
  <c r="N76" i="17"/>
  <c r="G78" i="17"/>
  <c r="G77" i="17"/>
  <c r="G76" i="17"/>
  <c r="H78" i="17"/>
  <c r="F77" i="17"/>
  <c r="E78" i="17"/>
  <c r="H213" i="8"/>
  <c r="I89" i="8"/>
  <c r="D44" i="4"/>
  <c r="H44" i="4"/>
  <c r="J102" i="9"/>
  <c r="M102" i="9"/>
  <c r="AD9" i="8"/>
  <c r="AD7" i="8"/>
  <c r="I26" i="19"/>
  <c r="I27" i="19"/>
  <c r="H74" i="8"/>
  <c r="E206" i="8"/>
  <c r="H102" i="9"/>
  <c r="I44" i="4"/>
  <c r="F44" i="4"/>
  <c r="F208" i="8"/>
  <c r="E208" i="8"/>
  <c r="E75" i="8"/>
  <c r="F75" i="8"/>
  <c r="P115" i="9"/>
  <c r="G44" i="4"/>
  <c r="AE9" i="8"/>
  <c r="E141" i="8"/>
  <c r="I23" i="17"/>
  <c r="G23" i="17"/>
  <c r="O102" i="9"/>
  <c r="Q12" i="9"/>
  <c r="P12" i="9"/>
  <c r="O12" i="9"/>
  <c r="I12" i="9"/>
  <c r="K12" i="9"/>
  <c r="N12" i="9"/>
  <c r="M12" i="9"/>
  <c r="J12" i="9"/>
  <c r="H12" i="9"/>
  <c r="H16" i="9" s="1"/>
  <c r="H4" i="4"/>
  <c r="J4" i="9"/>
  <c r="J30" i="9" s="1"/>
  <c r="J64" i="9" s="1"/>
  <c r="J110" i="9" s="1"/>
  <c r="G102" i="8"/>
  <c r="G246" i="8"/>
  <c r="H46" i="8"/>
  <c r="G139" i="8"/>
  <c r="G186" i="8"/>
  <c r="G231" i="8" s="1"/>
  <c r="G206" i="8"/>
  <c r="F206" i="8"/>
  <c r="M38" i="4"/>
  <c r="L44" i="4"/>
  <c r="D111" i="17"/>
  <c r="F54" i="8"/>
  <c r="G114" i="8"/>
  <c r="F123" i="8"/>
  <c r="E123" i="8"/>
  <c r="E124" i="8" s="1"/>
  <c r="E54" i="8"/>
  <c r="K78" i="17" a="1"/>
  <c r="N78" i="17" a="1"/>
  <c r="M78" i="17" a="1"/>
  <c r="J77" i="17" a="1"/>
  <c r="F78" i="17" a="1"/>
  <c r="N77" i="17" a="1"/>
  <c r="F76" i="17" a="1"/>
  <c r="M76" i="17" a="1"/>
  <c r="H76" i="17" a="1"/>
  <c r="L77" i="17" a="1"/>
  <c r="E77" i="17" a="1"/>
  <c r="E76" i="17" a="1"/>
  <c r="L76" i="17" a="1"/>
  <c r="H77" i="17" a="1"/>
  <c r="K76" i="17" a="1"/>
  <c r="J78" i="17" a="1"/>
  <c r="I76" i="17" a="1"/>
  <c r="H233" i="51" l="1"/>
  <c r="I233" i="51"/>
  <c r="J233" i="51"/>
  <c r="K233" i="51"/>
  <c r="L233" i="51"/>
  <c r="M233" i="51"/>
  <c r="N233" i="51"/>
  <c r="O233" i="51"/>
  <c r="P233" i="51"/>
  <c r="Q233" i="51"/>
  <c r="Q236" i="51"/>
  <c r="Q237" i="51" s="1"/>
  <c r="Q238" i="51"/>
  <c r="Q239" i="51" s="1"/>
  <c r="H233" i="46"/>
  <c r="I233" i="46"/>
  <c r="J233" i="46"/>
  <c r="K233" i="46"/>
  <c r="M233" i="46"/>
  <c r="L233" i="46"/>
  <c r="N233" i="46"/>
  <c r="O233" i="46"/>
  <c r="P233" i="46"/>
  <c r="Q233" i="46"/>
  <c r="Q236" i="46"/>
  <c r="Q237" i="46" s="1"/>
  <c r="Q238" i="46"/>
  <c r="Q239" i="46" s="1"/>
  <c r="Q37" i="8"/>
  <c r="Q44" i="8" s="1"/>
  <c r="Q42" i="8"/>
  <c r="Q24" i="8" s="1"/>
  <c r="Q38" i="8"/>
  <c r="F124" i="8"/>
  <c r="K18" i="11"/>
  <c r="H156" i="8"/>
  <c r="H152" i="8" s="1"/>
  <c r="F81" i="8"/>
  <c r="O45" i="11"/>
  <c r="O44" i="11"/>
  <c r="O18" i="11"/>
  <c r="O29" i="19" s="1"/>
  <c r="O43" i="11"/>
  <c r="O49" i="19" s="1"/>
  <c r="L45" i="11"/>
  <c r="L44" i="11"/>
  <c r="L18" i="11"/>
  <c r="L43" i="11"/>
  <c r="N45" i="11"/>
  <c r="N44" i="11"/>
  <c r="N18" i="11"/>
  <c r="N29" i="19" s="1"/>
  <c r="N43" i="11"/>
  <c r="N49" i="19" s="1"/>
  <c r="G44" i="11"/>
  <c r="G18" i="11"/>
  <c r="G43" i="11"/>
  <c r="G45" i="11"/>
  <c r="I44" i="11"/>
  <c r="I18" i="11"/>
  <c r="I43" i="11"/>
  <c r="I45" i="11"/>
  <c r="M45" i="11"/>
  <c r="M18" i="11"/>
  <c r="M44" i="11"/>
  <c r="M43" i="11"/>
  <c r="J44" i="11"/>
  <c r="J18" i="11"/>
  <c r="J43" i="11"/>
  <c r="J45" i="11"/>
  <c r="H45" i="11"/>
  <c r="H18" i="11"/>
  <c r="H44" i="11"/>
  <c r="H43" i="11"/>
  <c r="L157" i="8"/>
  <c r="M157" i="8" s="1"/>
  <c r="N157" i="8" s="1"/>
  <c r="N6" i="11"/>
  <c r="N18" i="19" s="1"/>
  <c r="N8" i="11"/>
  <c r="N20" i="19" s="1"/>
  <c r="H8" i="11"/>
  <c r="H6" i="11"/>
  <c r="I6" i="11"/>
  <c r="I8" i="11"/>
  <c r="J8" i="11"/>
  <c r="J6" i="11"/>
  <c r="G8" i="11"/>
  <c r="G6" i="11"/>
  <c r="M6" i="11"/>
  <c r="M8" i="11"/>
  <c r="K8" i="11"/>
  <c r="K6" i="11"/>
  <c r="J4" i="27"/>
  <c r="B13" i="27"/>
  <c r="B4" i="27"/>
  <c r="L6" i="11"/>
  <c r="L8" i="11"/>
  <c r="F6" i="11"/>
  <c r="F8" i="11"/>
  <c r="N77" i="17"/>
  <c r="I76" i="17"/>
  <c r="N4" i="28"/>
  <c r="C11" i="27"/>
  <c r="C10" i="27"/>
  <c r="C7" i="27"/>
  <c r="C8" i="27"/>
  <c r="H77" i="17"/>
  <c r="J77" i="17"/>
  <c r="F78" i="17"/>
  <c r="B39" i="28"/>
  <c r="B51" i="28"/>
  <c r="B23" i="28"/>
  <c r="B37" i="28"/>
  <c r="B65" i="28"/>
  <c r="B26" i="28"/>
  <c r="B40" i="28"/>
  <c r="B54" i="28"/>
  <c r="B68" i="28"/>
  <c r="B53" i="28"/>
  <c r="B67" i="28"/>
  <c r="B25" i="28"/>
  <c r="J78" i="17"/>
  <c r="M78" i="17"/>
  <c r="B52" i="28"/>
  <c r="B66" i="28"/>
  <c r="B24" i="28"/>
  <c r="B38" i="28"/>
  <c r="H76" i="17"/>
  <c r="K76" i="17"/>
  <c r="K78" i="17"/>
  <c r="L32" i="17"/>
  <c r="L53" i="17" s="1"/>
  <c r="L38" i="17"/>
  <c r="L44" i="17"/>
  <c r="K74" i="17"/>
  <c r="L65" i="17"/>
  <c r="F74" i="17"/>
  <c r="L74" i="17"/>
  <c r="K44" i="17"/>
  <c r="K65" i="17"/>
  <c r="N74" i="17"/>
  <c r="E32" i="17"/>
  <c r="E53" i="17" s="1"/>
  <c r="M44" i="17"/>
  <c r="M74" i="17"/>
  <c r="K32" i="17"/>
  <c r="K53" i="17" s="1"/>
  <c r="K38" i="17"/>
  <c r="E44" i="17"/>
  <c r="E65" i="17"/>
  <c r="E74" i="17"/>
  <c r="M32" i="17"/>
  <c r="M53" i="17" s="1"/>
  <c r="L77" i="17"/>
  <c r="F76" i="17"/>
  <c r="N78" i="17"/>
  <c r="L76" i="17"/>
  <c r="F38" i="17"/>
  <c r="F44" i="17"/>
  <c r="F65" i="17"/>
  <c r="N38" i="17"/>
  <c r="M38" i="17"/>
  <c r="N32" i="17"/>
  <c r="N53" i="17" s="1"/>
  <c r="M65" i="17"/>
  <c r="N44" i="17"/>
  <c r="B70" i="28"/>
  <c r="B56" i="28"/>
  <c r="B42" i="28"/>
  <c r="B28" i="28"/>
  <c r="E77" i="17"/>
  <c r="M76" i="17"/>
  <c r="E76" i="17"/>
  <c r="F32" i="17"/>
  <c r="F53" i="17" s="1"/>
  <c r="N65" i="17"/>
  <c r="E38" i="17"/>
  <c r="B71" i="28"/>
  <c r="B57" i="28"/>
  <c r="B43" i="28"/>
  <c r="B29" i="28"/>
  <c r="B63" i="28"/>
  <c r="B49" i="28"/>
  <c r="B35" i="28"/>
  <c r="B21" i="28"/>
  <c r="D23" i="17"/>
  <c r="B6" i="28"/>
  <c r="B76" i="28" s="1"/>
  <c r="B22" i="28"/>
  <c r="B64" i="28"/>
  <c r="B50" i="28"/>
  <c r="B36" i="28"/>
  <c r="B30" i="28"/>
  <c r="B72" i="28"/>
  <c r="B58" i="28"/>
  <c r="B44" i="28"/>
  <c r="B55" i="28"/>
  <c r="B41" i="28"/>
  <c r="B27" i="28"/>
  <c r="B69" i="28"/>
  <c r="I213" i="8"/>
  <c r="J89" i="8"/>
  <c r="E55" i="8"/>
  <c r="F55" i="8"/>
  <c r="G74" i="17"/>
  <c r="G65" i="17"/>
  <c r="G44" i="17"/>
  <c r="G38" i="17"/>
  <c r="G32" i="17"/>
  <c r="G53" i="17" s="1"/>
  <c r="I74" i="17"/>
  <c r="I65" i="17"/>
  <c r="I44" i="17"/>
  <c r="I38" i="17"/>
  <c r="I32" i="17"/>
  <c r="I53" i="17" s="1"/>
  <c r="H74" i="17"/>
  <c r="H65" i="17"/>
  <c r="H44" i="17"/>
  <c r="H38" i="17"/>
  <c r="H32" i="17"/>
  <c r="H53" i="17" s="1"/>
  <c r="I22" i="9"/>
  <c r="I24" i="9" s="1"/>
  <c r="K9" i="11"/>
  <c r="E252" i="8"/>
  <c r="E202" i="8"/>
  <c r="L9" i="11"/>
  <c r="M9" i="11"/>
  <c r="G16" i="9"/>
  <c r="P102" i="9"/>
  <c r="Q102" i="9"/>
  <c r="F109" i="8"/>
  <c r="F115" i="8"/>
  <c r="F61" i="8"/>
  <c r="F188" i="8"/>
  <c r="F58" i="8"/>
  <c r="F132" i="8"/>
  <c r="I4" i="4"/>
  <c r="J13" i="4" s="1"/>
  <c r="K4" i="9"/>
  <c r="K30" i="9" s="1"/>
  <c r="K64" i="9" s="1"/>
  <c r="K110" i="9" s="1"/>
  <c r="G256" i="8"/>
  <c r="E256" i="8"/>
  <c r="H102" i="8"/>
  <c r="I46" i="8"/>
  <c r="H186" i="8"/>
  <c r="H231" i="8" s="1"/>
  <c r="H139" i="8"/>
  <c r="H246" i="8"/>
  <c r="I246" i="8" s="1"/>
  <c r="J246" i="8" s="1"/>
  <c r="K246" i="8" s="1"/>
  <c r="L246" i="8" s="1"/>
  <c r="M246" i="8" s="1"/>
  <c r="N246" i="8" s="1"/>
  <c r="O246" i="8" s="1"/>
  <c r="P246" i="8" s="1"/>
  <c r="Q246" i="8" s="1"/>
  <c r="G273" i="8"/>
  <c r="H273" i="8" s="1"/>
  <c r="I273" i="8" s="1"/>
  <c r="J273" i="8" s="1"/>
  <c r="K273" i="8" s="1"/>
  <c r="L273" i="8" s="1"/>
  <c r="M273" i="8" s="1"/>
  <c r="N273" i="8" s="1"/>
  <c r="O273" i="8" s="1"/>
  <c r="P273" i="8" s="1"/>
  <c r="Q273" i="8" s="1"/>
  <c r="F256" i="8"/>
  <c r="M44" i="4"/>
  <c r="N38" i="4"/>
  <c r="F51" i="11"/>
  <c r="F50" i="11"/>
  <c r="F65" i="8"/>
  <c r="K50" i="11"/>
  <c r="O51" i="11"/>
  <c r="O56" i="19" s="1"/>
  <c r="M51" i="11"/>
  <c r="I50" i="11"/>
  <c r="M50" i="11"/>
  <c r="J50" i="11"/>
  <c r="L51" i="11"/>
  <c r="L50" i="11"/>
  <c r="N51" i="11"/>
  <c r="N56" i="19" s="1"/>
  <c r="D89" i="17"/>
  <c r="F5" i="17" s="1"/>
  <c r="F12" i="17" s="1"/>
  <c r="F13" i="17" s="1"/>
  <c r="K51" i="11"/>
  <c r="E65" i="8"/>
  <c r="O50" i="11"/>
  <c r="O55" i="19" s="1"/>
  <c r="I51" i="11"/>
  <c r="H50" i="11"/>
  <c r="H51" i="11"/>
  <c r="J51" i="11"/>
  <c r="N50" i="11"/>
  <c r="N55" i="19" s="1"/>
  <c r="G51" i="11"/>
  <c r="G50" i="11"/>
  <c r="D76" i="17" a="1"/>
  <c r="D77" i="17" a="1"/>
  <c r="D78" i="17" a="1"/>
  <c r="Q240" i="51" l="1"/>
  <c r="Q241" i="51" s="1"/>
  <c r="Q242" i="51" s="1"/>
  <c r="Q244" i="51" s="1"/>
  <c r="Q240" i="46"/>
  <c r="Q241" i="46" s="1"/>
  <c r="Q242" i="46" s="1"/>
  <c r="Q244" i="46" s="1"/>
  <c r="H208" i="8"/>
  <c r="H258" i="8" s="1"/>
  <c r="H118" i="8"/>
  <c r="R44" i="8"/>
  <c r="Q48" i="8"/>
  <c r="R43" i="8"/>
  <c r="F9" i="11"/>
  <c r="F19" i="11"/>
  <c r="H9" i="11"/>
  <c r="N51" i="19"/>
  <c r="N50" i="19"/>
  <c r="K22" i="9"/>
  <c r="K24" i="9" s="1"/>
  <c r="J19" i="11"/>
  <c r="N19" i="11"/>
  <c r="N30" i="19" s="1"/>
  <c r="N9" i="11"/>
  <c r="N21" i="19" s="1"/>
  <c r="G19" i="11"/>
  <c r="K19" i="11"/>
  <c r="J9" i="11"/>
  <c r="O51" i="19"/>
  <c r="O50" i="19"/>
  <c r="M22" i="9"/>
  <c r="M24" i="9" s="1"/>
  <c r="L19" i="11"/>
  <c r="N22" i="9"/>
  <c r="N24" i="9" s="1"/>
  <c r="M19" i="11"/>
  <c r="O19" i="11"/>
  <c r="O30" i="19" s="1"/>
  <c r="J22" i="9"/>
  <c r="J24" i="9" s="1"/>
  <c r="I19" i="11"/>
  <c r="G9" i="11"/>
  <c r="I9" i="11"/>
  <c r="H19" i="11"/>
  <c r="O157" i="8"/>
  <c r="P157" i="8" s="1"/>
  <c r="O8" i="11"/>
  <c r="O20" i="19" s="1"/>
  <c r="O6" i="11"/>
  <c r="O18" i="19" s="1"/>
  <c r="O9" i="11"/>
  <c r="O21" i="19" s="1"/>
  <c r="G22" i="9"/>
  <c r="D77" i="17"/>
  <c r="O77" i="17" s="1"/>
  <c r="O4" i="28"/>
  <c r="D78" i="17"/>
  <c r="O78" i="17" s="1"/>
  <c r="D76" i="17"/>
  <c r="O76" i="17" s="1"/>
  <c r="J22" i="4"/>
  <c r="J6" i="4"/>
  <c r="D65" i="17"/>
  <c r="B48" i="28"/>
  <c r="B34" i="28"/>
  <c r="B20" i="28"/>
  <c r="B62" i="28"/>
  <c r="D32" i="17"/>
  <c r="D53" i="17" s="1"/>
  <c r="D74" i="17"/>
  <c r="D38" i="17"/>
  <c r="D44" i="17"/>
  <c r="J213" i="8"/>
  <c r="F66" i="8"/>
  <c r="E66" i="8"/>
  <c r="J8" i="4"/>
  <c r="J17" i="4"/>
  <c r="J21" i="4"/>
  <c r="J18" i="4"/>
  <c r="J7" i="4"/>
  <c r="Q24" i="9"/>
  <c r="H22" i="9"/>
  <c r="H24" i="9" s="1"/>
  <c r="P22" i="9"/>
  <c r="O22" i="9"/>
  <c r="O24" i="9" s="1"/>
  <c r="L89" i="8"/>
  <c r="J20" i="4"/>
  <c r="J15" i="4"/>
  <c r="J4" i="4"/>
  <c r="J19" i="4"/>
  <c r="J10" i="4"/>
  <c r="J9" i="4"/>
  <c r="E189" i="8"/>
  <c r="I102" i="8"/>
  <c r="J46" i="8"/>
  <c r="I139" i="8"/>
  <c r="I186" i="8"/>
  <c r="I231" i="8" s="1"/>
  <c r="N44" i="4"/>
  <c r="O38" i="4"/>
  <c r="P38" i="4" s="1"/>
  <c r="F49" i="11"/>
  <c r="M49" i="11"/>
  <c r="F77" i="8"/>
  <c r="D115" i="17"/>
  <c r="L49" i="11"/>
  <c r="H49" i="11"/>
  <c r="N49" i="11"/>
  <c r="N54" i="19" s="1"/>
  <c r="E77" i="8"/>
  <c r="J49" i="11"/>
  <c r="O49" i="11"/>
  <c r="O54" i="19" s="1"/>
  <c r="G49" i="11"/>
  <c r="K49" i="11"/>
  <c r="I49" i="11"/>
  <c r="P24" i="9" l="1"/>
  <c r="D90" i="17" s="1"/>
  <c r="I156" i="8"/>
  <c r="G116" i="9"/>
  <c r="G117" i="9" s="1"/>
  <c r="F20" i="11"/>
  <c r="L57" i="11"/>
  <c r="L56" i="11"/>
  <c r="L23" i="11"/>
  <c r="L15" i="11"/>
  <c r="L10" i="11"/>
  <c r="K57" i="11"/>
  <c r="K15" i="11"/>
  <c r="K56" i="11"/>
  <c r="K23" i="11"/>
  <c r="K10" i="11"/>
  <c r="J23" i="11"/>
  <c r="J57" i="11"/>
  <c r="J56" i="11"/>
  <c r="J15" i="11"/>
  <c r="J10" i="11"/>
  <c r="I20" i="11"/>
  <c r="J116" i="9"/>
  <c r="J117" i="9" s="1"/>
  <c r="O116" i="9"/>
  <c r="O117" i="9" s="1"/>
  <c r="N20" i="11"/>
  <c r="O20" i="11"/>
  <c r="P116" i="9"/>
  <c r="P117" i="9" s="1"/>
  <c r="H116" i="9"/>
  <c r="H117" i="9" s="1"/>
  <c r="G20" i="11"/>
  <c r="L116" i="9"/>
  <c r="L117" i="9" s="1"/>
  <c r="K20" i="11"/>
  <c r="K116" i="9"/>
  <c r="K117" i="9" s="1"/>
  <c r="J20" i="11"/>
  <c r="Q116" i="9"/>
  <c r="Q117" i="9" s="1"/>
  <c r="N116" i="9"/>
  <c r="N117" i="9" s="1"/>
  <c r="M20" i="11"/>
  <c r="M116" i="9"/>
  <c r="M117" i="9" s="1"/>
  <c r="L20" i="11"/>
  <c r="N66" i="9"/>
  <c r="M63" i="11" s="1"/>
  <c r="I116" i="9"/>
  <c r="I117" i="9" s="1"/>
  <c r="H20" i="11"/>
  <c r="J5" i="17" a="1"/>
  <c r="J5" i="17" s="1"/>
  <c r="L5" i="17" a="1"/>
  <c r="L5" i="17" s="1"/>
  <c r="Q157" i="8"/>
  <c r="G24" i="9"/>
  <c r="Q38" i="4"/>
  <c r="P44" i="4"/>
  <c r="P4" i="28"/>
  <c r="D34" i="17"/>
  <c r="O34" i="17" s="1"/>
  <c r="K213" i="8"/>
  <c r="F78" i="8"/>
  <c r="E78" i="8"/>
  <c r="L66" i="9"/>
  <c r="K63" i="11" s="1"/>
  <c r="M66" i="9"/>
  <c r="L63" i="11" s="1"/>
  <c r="K66" i="9"/>
  <c r="J63" i="11" s="1"/>
  <c r="E248" i="8"/>
  <c r="E194" i="8"/>
  <c r="F248" i="8"/>
  <c r="F194" i="8"/>
  <c r="M89" i="8"/>
  <c r="J102" i="8"/>
  <c r="J139" i="8"/>
  <c r="K46" i="8"/>
  <c r="J186" i="8"/>
  <c r="J231" i="8" s="1"/>
  <c r="O44" i="4"/>
  <c r="E94" i="8"/>
  <c r="E97" i="8" s="1"/>
  <c r="F94" i="8"/>
  <c r="F23" i="11" l="1"/>
  <c r="F15" i="11"/>
  <c r="F57" i="11"/>
  <c r="F56" i="11"/>
  <c r="F10" i="11"/>
  <c r="G66" i="9"/>
  <c r="F63" i="11" s="1"/>
  <c r="M57" i="11"/>
  <c r="M56" i="11"/>
  <c r="M23" i="11"/>
  <c r="M15" i="11"/>
  <c r="M10" i="11"/>
  <c r="O56" i="11"/>
  <c r="O23" i="11"/>
  <c r="O33" i="19" s="1"/>
  <c r="O15" i="11"/>
  <c r="O26" i="19" s="1"/>
  <c r="O57" i="11"/>
  <c r="O10" i="11"/>
  <c r="O22" i="19" s="1"/>
  <c r="G56" i="11"/>
  <c r="G23" i="11"/>
  <c r="G15" i="11"/>
  <c r="G57" i="11"/>
  <c r="G10" i="11"/>
  <c r="I15" i="11"/>
  <c r="I57" i="11"/>
  <c r="I56" i="11"/>
  <c r="I23" i="11"/>
  <c r="I10" i="11"/>
  <c r="J66" i="9"/>
  <c r="I63" i="11" s="1"/>
  <c r="N57" i="11"/>
  <c r="N56" i="11"/>
  <c r="N23" i="11"/>
  <c r="N33" i="19" s="1"/>
  <c r="N15" i="11"/>
  <c r="N26" i="19" s="1"/>
  <c r="N10" i="11"/>
  <c r="N22" i="19" s="1"/>
  <c r="H56" i="11"/>
  <c r="H57" i="11"/>
  <c r="H15" i="11"/>
  <c r="H23" i="11"/>
  <c r="H10" i="11"/>
  <c r="L12" i="17"/>
  <c r="L13" i="17" s="1"/>
  <c r="J12" i="17"/>
  <c r="J13" i="17" s="1"/>
  <c r="G73" i="9"/>
  <c r="P66" i="9"/>
  <c r="Q4" i="28"/>
  <c r="R81" i="28" s="1"/>
  <c r="R77" i="28"/>
  <c r="R76" i="28"/>
  <c r="R38" i="4"/>
  <c r="Q44" i="4"/>
  <c r="L213" i="8"/>
  <c r="F26" i="19"/>
  <c r="F27" i="19"/>
  <c r="F195" i="8"/>
  <c r="I66" i="9"/>
  <c r="H63" i="11" s="1"/>
  <c r="H66" i="9"/>
  <c r="G63" i="11" s="1"/>
  <c r="K73" i="9"/>
  <c r="N73" i="9"/>
  <c r="Q66" i="9"/>
  <c r="P63" i="11" s="1"/>
  <c r="P42" i="19" s="1"/>
  <c r="M73" i="9"/>
  <c r="L73" i="9"/>
  <c r="O66" i="9"/>
  <c r="F97" i="8"/>
  <c r="N89" i="8"/>
  <c r="K102" i="8"/>
  <c r="K139" i="8"/>
  <c r="L46" i="8"/>
  <c r="K186" i="8"/>
  <c r="K231" i="8" s="1"/>
  <c r="F99" i="8"/>
  <c r="E99" i="8"/>
  <c r="F200" i="8" l="1"/>
  <c r="F210" i="8" s="1"/>
  <c r="X8" i="8" s="1"/>
  <c r="J73" i="9"/>
  <c r="P73" i="9"/>
  <c r="F148" i="8" s="1"/>
  <c r="O63" i="11"/>
  <c r="O42" i="19" s="1"/>
  <c r="O73" i="9"/>
  <c r="E148" i="8" s="1"/>
  <c r="N63" i="11"/>
  <c r="N42" i="19" s="1"/>
  <c r="H5" i="17"/>
  <c r="N5" i="17" a="1"/>
  <c r="N5" i="17" s="1"/>
  <c r="N12" i="17" s="1"/>
  <c r="N13" i="17" s="1"/>
  <c r="F166" i="8"/>
  <c r="F169" i="8"/>
  <c r="E166" i="8"/>
  <c r="E169" i="8"/>
  <c r="E200" i="8"/>
  <c r="AB7" i="8" s="1"/>
  <c r="R85" i="28"/>
  <c r="R16" i="28"/>
  <c r="R13" i="28"/>
  <c r="R10" i="28"/>
  <c r="R7" i="28"/>
  <c r="R29" i="28"/>
  <c r="R26" i="28"/>
  <c r="R23" i="28"/>
  <c r="R20" i="28"/>
  <c r="R42" i="28"/>
  <c r="R39" i="28"/>
  <c r="R36" i="28"/>
  <c r="R58" i="28"/>
  <c r="R55" i="28"/>
  <c r="R52" i="28"/>
  <c r="R49" i="28"/>
  <c r="R71" i="28"/>
  <c r="R68" i="28"/>
  <c r="R65" i="28"/>
  <c r="R62" i="28"/>
  <c r="R83" i="28"/>
  <c r="R79" i="28"/>
  <c r="R15" i="28"/>
  <c r="R12" i="28"/>
  <c r="R9" i="28"/>
  <c r="R6" i="28"/>
  <c r="R28" i="28"/>
  <c r="R25" i="28"/>
  <c r="R22" i="28"/>
  <c r="R44" i="28"/>
  <c r="R41" i="28"/>
  <c r="R38" i="28"/>
  <c r="R35" i="28"/>
  <c r="R57" i="28"/>
  <c r="R54" i="28"/>
  <c r="R51" i="28"/>
  <c r="R48" i="28"/>
  <c r="R70" i="28"/>
  <c r="R67" i="28"/>
  <c r="R64" i="28"/>
  <c r="R86" i="28"/>
  <c r="R82" i="28"/>
  <c r="R78" i="28"/>
  <c r="R14" i="28"/>
  <c r="R11" i="28"/>
  <c r="R8" i="28"/>
  <c r="R30" i="28"/>
  <c r="R27" i="28"/>
  <c r="R24" i="28"/>
  <c r="R21" i="28"/>
  <c r="R43" i="28"/>
  <c r="R40" i="28"/>
  <c r="R37" i="28"/>
  <c r="R56" i="28"/>
  <c r="R53" i="28"/>
  <c r="R50" i="28"/>
  <c r="R72" i="28"/>
  <c r="R69" i="28"/>
  <c r="R66" i="28"/>
  <c r="R63" i="28"/>
  <c r="R84" i="28"/>
  <c r="R80" i="28"/>
  <c r="S38" i="4"/>
  <c r="R44" i="4"/>
  <c r="R4" i="28"/>
  <c r="R18" i="28"/>
  <c r="R32" i="28"/>
  <c r="R46" i="28"/>
  <c r="R60" i="28"/>
  <c r="R74" i="28"/>
  <c r="D56" i="17"/>
  <c r="O56" i="17" s="1"/>
  <c r="M213" i="8"/>
  <c r="E100" i="8"/>
  <c r="E250" i="8"/>
  <c r="E262" i="8" s="1"/>
  <c r="E177" i="8" s="1"/>
  <c r="H73" i="9"/>
  <c r="I73" i="9"/>
  <c r="F250" i="8"/>
  <c r="F262" i="8" s="1"/>
  <c r="F177" i="8" s="1"/>
  <c r="F100" i="8"/>
  <c r="Q73" i="9"/>
  <c r="O89" i="8"/>
  <c r="O4" i="9"/>
  <c r="M46" i="8"/>
  <c r="L102" i="8"/>
  <c r="L139" i="8"/>
  <c r="L186" i="8"/>
  <c r="L231" i="8" s="1"/>
  <c r="AB8" i="8" l="1"/>
  <c r="H27" i="19" s="1"/>
  <c r="F276" i="8"/>
  <c r="F277" i="8" s="1"/>
  <c r="E276" i="8"/>
  <c r="E277" i="8" s="1"/>
  <c r="O30" i="9"/>
  <c r="O64" i="9" s="1"/>
  <c r="O110" i="9" s="1"/>
  <c r="E210" i="8"/>
  <c r="X7" i="8" s="1"/>
  <c r="H12" i="17"/>
  <c r="H13" i="17" s="1"/>
  <c r="T38" i="4"/>
  <c r="T44" i="4" s="1"/>
  <c r="S44" i="4"/>
  <c r="N213" i="8"/>
  <c r="H26" i="19"/>
  <c r="Y8" i="8"/>
  <c r="B87" i="17"/>
  <c r="Y7" i="8"/>
  <c r="P89" i="8"/>
  <c r="P4" i="9"/>
  <c r="M102" i="8"/>
  <c r="M139" i="8"/>
  <c r="N46" i="8"/>
  <c r="M186" i="8"/>
  <c r="M231" i="8" s="1"/>
  <c r="G148" i="8"/>
  <c r="H4" i="17" l="1"/>
  <c r="P30" i="9"/>
  <c r="P64" i="9" s="1"/>
  <c r="P110" i="9" s="1"/>
  <c r="G26" i="19"/>
  <c r="O213" i="8"/>
  <c r="G27" i="19"/>
  <c r="D4" i="17"/>
  <c r="B88" i="17"/>
  <c r="Q89" i="8"/>
  <c r="Q4" i="9"/>
  <c r="N139" i="8"/>
  <c r="O46" i="8"/>
  <c r="N102" i="8"/>
  <c r="N186" i="8"/>
  <c r="N231" i="8" s="1"/>
  <c r="R84" i="9" l="1"/>
  <c r="R74" i="9"/>
  <c r="R117" i="9"/>
  <c r="Q30" i="9"/>
  <c r="Q64" i="9" s="1"/>
  <c r="Q110" i="9" s="1"/>
  <c r="R6" i="9"/>
  <c r="P213" i="8"/>
  <c r="Q213" i="8" s="1"/>
  <c r="R66" i="9"/>
  <c r="R116" i="9"/>
  <c r="R115" i="9"/>
  <c r="B91" i="17"/>
  <c r="R118" i="9"/>
  <c r="R120" i="9"/>
  <c r="R119" i="9"/>
  <c r="I4" i="17"/>
  <c r="E4" i="17"/>
  <c r="R87" i="9"/>
  <c r="R110" i="9"/>
  <c r="R14" i="9"/>
  <c r="G71" i="8" s="1"/>
  <c r="G72" i="8" s="1"/>
  <c r="R113" i="9"/>
  <c r="R114" i="9"/>
  <c r="R13" i="9"/>
  <c r="G68" i="8" s="1"/>
  <c r="G69" i="8" s="1"/>
  <c r="R112" i="9"/>
  <c r="R76" i="9"/>
  <c r="R77" i="9"/>
  <c r="R79" i="9"/>
  <c r="R80" i="9"/>
  <c r="R81" i="9"/>
  <c r="R82" i="9"/>
  <c r="R50" i="9"/>
  <c r="R51" i="9"/>
  <c r="R56" i="9"/>
  <c r="R52" i="9"/>
  <c r="R42" i="9"/>
  <c r="R49" i="9"/>
  <c r="R41" i="9"/>
  <c r="R40" i="9"/>
  <c r="R34" i="9"/>
  <c r="R33" i="9"/>
  <c r="R10" i="9"/>
  <c r="R18" i="9"/>
  <c r="R19" i="9"/>
  <c r="G86" i="8" s="1"/>
  <c r="G87" i="8" s="1"/>
  <c r="R20" i="9"/>
  <c r="G89" i="8" s="1"/>
  <c r="R17" i="9"/>
  <c r="R12" i="9"/>
  <c r="R21" i="9"/>
  <c r="G92" i="8" s="1"/>
  <c r="R22" i="9"/>
  <c r="R86" i="9"/>
  <c r="R4" i="9"/>
  <c r="R30" i="9"/>
  <c r="R64" i="9"/>
  <c r="R73" i="9"/>
  <c r="R68" i="9"/>
  <c r="R92" i="9"/>
  <c r="R46" i="9"/>
  <c r="R35" i="9"/>
  <c r="R43" i="9"/>
  <c r="R37" i="9"/>
  <c r="R47" i="9"/>
  <c r="R89" i="9"/>
  <c r="R44" i="9"/>
  <c r="R90" i="9"/>
  <c r="R36" i="9"/>
  <c r="R67" i="9"/>
  <c r="R26" i="9"/>
  <c r="R15" i="9"/>
  <c r="G74" i="8" s="1"/>
  <c r="G75" i="8" s="1"/>
  <c r="R85" i="9"/>
  <c r="R28" i="9"/>
  <c r="R7" i="9"/>
  <c r="R88" i="9"/>
  <c r="R55" i="9"/>
  <c r="R25" i="9"/>
  <c r="D100" i="17" s="1"/>
  <c r="R57" i="9"/>
  <c r="R9" i="9"/>
  <c r="R11" i="9"/>
  <c r="G63" i="8" s="1"/>
  <c r="R32" i="9"/>
  <c r="R23" i="9"/>
  <c r="R8" i="9"/>
  <c r="R38" i="9"/>
  <c r="R16" i="9"/>
  <c r="R24" i="9"/>
  <c r="R39" i="9"/>
  <c r="R48" i="9"/>
  <c r="R75" i="9"/>
  <c r="R91" i="9"/>
  <c r="O139" i="8"/>
  <c r="P46" i="8"/>
  <c r="O102" i="8"/>
  <c r="O186" i="8"/>
  <c r="O231" i="8" s="1"/>
  <c r="P21" i="11" l="1"/>
  <c r="P31" i="19" s="1"/>
  <c r="D93" i="17"/>
  <c r="G54" i="8"/>
  <c r="D98" i="17"/>
  <c r="G96" i="8"/>
  <c r="G80" i="8"/>
  <c r="G81" i="8" s="1"/>
  <c r="D96" i="17"/>
  <c r="P22" i="11"/>
  <c r="P32" i="19" s="1"/>
  <c r="G57" i="8"/>
  <c r="G60" i="8"/>
  <c r="G124" i="8" s="1"/>
  <c r="D101" i="17"/>
  <c r="P55" i="11"/>
  <c r="D91" i="17"/>
  <c r="G48" i="8"/>
  <c r="G39" i="8" s="1"/>
  <c r="G19" i="19" s="1"/>
  <c r="P7" i="11"/>
  <c r="P19" i="19" s="1"/>
  <c r="P6" i="11"/>
  <c r="P18" i="19" s="1"/>
  <c r="H72" i="8"/>
  <c r="P56" i="11"/>
  <c r="P23" i="11"/>
  <c r="P33" i="19" s="1"/>
  <c r="D99" i="17"/>
  <c r="D57" i="17" s="1"/>
  <c r="P57" i="11"/>
  <c r="P15" i="11"/>
  <c r="P26" i="19" s="1"/>
  <c r="P10" i="11"/>
  <c r="P22" i="19" s="1"/>
  <c r="G99" i="8"/>
  <c r="G169" i="8" s="1"/>
  <c r="G51" i="8"/>
  <c r="G129" i="8" s="1"/>
  <c r="D92" i="17"/>
  <c r="D95" i="17"/>
  <c r="P49" i="11"/>
  <c r="P54" i="19" s="1"/>
  <c r="G77" i="8"/>
  <c r="P19" i="11"/>
  <c r="P30" i="19" s="1"/>
  <c r="P9" i="11"/>
  <c r="P21" i="19" s="1"/>
  <c r="D97" i="17"/>
  <c r="G94" i="8"/>
  <c r="P20" i="11"/>
  <c r="G141" i="8"/>
  <c r="P45" i="11"/>
  <c r="P44" i="11"/>
  <c r="P18" i="11"/>
  <c r="P29" i="19" s="1"/>
  <c r="P43" i="11"/>
  <c r="P49" i="19" s="1"/>
  <c r="D94" i="17"/>
  <c r="P51" i="11"/>
  <c r="P56" i="19" s="1"/>
  <c r="P50" i="11"/>
  <c r="P55" i="19" s="1"/>
  <c r="G65" i="8"/>
  <c r="P8" i="11"/>
  <c r="P20" i="19" s="1"/>
  <c r="E115" i="8"/>
  <c r="E58" i="8"/>
  <c r="E61" i="8"/>
  <c r="E188" i="8"/>
  <c r="E195" i="8"/>
  <c r="E109" i="8"/>
  <c r="E132" i="8"/>
  <c r="F49" i="8"/>
  <c r="F189" i="8" s="1"/>
  <c r="P186" i="8"/>
  <c r="P231" i="8" s="1"/>
  <c r="Q46" i="8"/>
  <c r="P102" i="8"/>
  <c r="P139" i="8"/>
  <c r="G66" i="8" l="1"/>
  <c r="G24" i="8"/>
  <c r="G34" i="8"/>
  <c r="G18" i="19" s="1"/>
  <c r="H71" i="8"/>
  <c r="H121" i="8" s="1"/>
  <c r="I72" i="8"/>
  <c r="G97" i="8"/>
  <c r="I6" i="17"/>
  <c r="I5" i="17"/>
  <c r="O57" i="17"/>
  <c r="O5" i="17" a="1"/>
  <c r="O5" i="17" s="1"/>
  <c r="D27" i="17"/>
  <c r="O27" i="17" s="1"/>
  <c r="D26" i="17"/>
  <c r="O26" i="17" s="1"/>
  <c r="G61" i="8"/>
  <c r="G5" i="17"/>
  <c r="G12" i="17" s="1"/>
  <c r="G13" i="17" s="1"/>
  <c r="M5" i="17" a="1"/>
  <c r="M5" i="17" s="1"/>
  <c r="D35" i="17"/>
  <c r="O35" i="17" s="1"/>
  <c r="G78" i="8"/>
  <c r="G248" i="8"/>
  <c r="G194" i="8"/>
  <c r="D28" i="17"/>
  <c r="O28" i="17" s="1"/>
  <c r="G144" i="8"/>
  <c r="H144" i="8" s="1"/>
  <c r="G58" i="8"/>
  <c r="H58" i="8" s="1"/>
  <c r="Q22" i="11" s="1"/>
  <c r="D25" i="17"/>
  <c r="O25" i="17" s="1"/>
  <c r="D36" i="17"/>
  <c r="O36" i="17" s="1"/>
  <c r="G112" i="8"/>
  <c r="H112" i="8" s="1"/>
  <c r="Q35" i="11" s="1"/>
  <c r="G52" i="8"/>
  <c r="E28" i="19"/>
  <c r="G120" i="8"/>
  <c r="G188" i="8"/>
  <c r="G109" i="8"/>
  <c r="H109" i="8" s="1"/>
  <c r="Q33" i="11" s="1"/>
  <c r="G137" i="8"/>
  <c r="G132" i="8"/>
  <c r="G115" i="8"/>
  <c r="G49" i="8"/>
  <c r="G189" i="8" s="1"/>
  <c r="G55" i="8"/>
  <c r="P51" i="19"/>
  <c r="P50" i="19"/>
  <c r="D46" i="17"/>
  <c r="D48" i="17"/>
  <c r="O48" i="17" s="1"/>
  <c r="G202" i="8"/>
  <c r="G252" i="8"/>
  <c r="G250" i="8"/>
  <c r="G166" i="8"/>
  <c r="G276" i="8" s="1"/>
  <c r="G100" i="8"/>
  <c r="E5" i="17"/>
  <c r="E12" i="17" s="1"/>
  <c r="E13" i="17" s="1"/>
  <c r="G28" i="3" a="1"/>
  <c r="I32" i="3" s="1"/>
  <c r="D47" i="17"/>
  <c r="O47" i="17" s="1"/>
  <c r="D55" i="17"/>
  <c r="O55" i="17" s="1"/>
  <c r="D49" i="17"/>
  <c r="O49" i="17" s="1"/>
  <c r="D50" i="17"/>
  <c r="O50" i="17" s="1"/>
  <c r="K5" i="17" a="1"/>
  <c r="K5" i="17" s="1"/>
  <c r="D18" i="17" s="1"/>
  <c r="Q186" i="8"/>
  <c r="Q231" i="8" s="1"/>
  <c r="Q102" i="8"/>
  <c r="Q139" i="8"/>
  <c r="I29" i="3" l="1"/>
  <c r="I37" i="3"/>
  <c r="I30" i="3"/>
  <c r="I38" i="3"/>
  <c r="I36" i="3"/>
  <c r="I31" i="3"/>
  <c r="I33" i="3"/>
  <c r="I34" i="3"/>
  <c r="I35" i="3"/>
  <c r="H97" i="8"/>
  <c r="G200" i="8"/>
  <c r="AB9" i="8" s="1"/>
  <c r="H28" i="19" s="1"/>
  <c r="G277" i="8"/>
  <c r="I58" i="8"/>
  <c r="Q32" i="19"/>
  <c r="G262" i="8"/>
  <c r="H174" i="8" s="1"/>
  <c r="I109" i="8"/>
  <c r="R33" i="11" s="1"/>
  <c r="K12" i="17"/>
  <c r="K13" i="17" s="1"/>
  <c r="J18" i="17"/>
  <c r="M18" i="17" s="1" a="1"/>
  <c r="M18" i="17" s="1"/>
  <c r="D21" i="17"/>
  <c r="J21" i="17" s="1"/>
  <c r="M21" i="17" s="1" a="1"/>
  <c r="M21" i="17" s="1"/>
  <c r="D20" i="17"/>
  <c r="J20" i="17" s="1"/>
  <c r="M20" i="17" s="1" a="1"/>
  <c r="M20" i="17" s="1"/>
  <c r="D19" i="17"/>
  <c r="J19" i="17" s="1"/>
  <c r="M19" i="17" s="1" a="1"/>
  <c r="M19" i="17" s="1"/>
  <c r="H115" i="8"/>
  <c r="I115" i="8" s="1"/>
  <c r="H120" i="8"/>
  <c r="I120" i="8" s="1"/>
  <c r="I144" i="8"/>
  <c r="F19" i="17"/>
  <c r="L19" i="17" s="1"/>
  <c r="O19" i="17" s="1" a="1"/>
  <c r="O19" i="17" s="1"/>
  <c r="F21" i="17"/>
  <c r="L21" i="17" s="1"/>
  <c r="O21" i="17" s="1" a="1"/>
  <c r="O21" i="17" s="1"/>
  <c r="F20" i="17"/>
  <c r="L20" i="17" s="1"/>
  <c r="O20" i="17" s="1" a="1"/>
  <c r="O20" i="17" s="1"/>
  <c r="O12" i="17"/>
  <c r="O13" i="17" s="1"/>
  <c r="F18" i="17"/>
  <c r="L18" i="17" s="1"/>
  <c r="O18" i="17" s="1" a="1"/>
  <c r="O18" i="17" s="1"/>
  <c r="H129" i="8"/>
  <c r="Q34" i="11" s="1"/>
  <c r="J72" i="8"/>
  <c r="K72" i="8" s="1"/>
  <c r="I12" i="17"/>
  <c r="I13" i="17" s="1"/>
  <c r="G28" i="3"/>
  <c r="I28" i="3" s="1"/>
  <c r="I112" i="8"/>
  <c r="R35" i="11" s="1"/>
  <c r="G195" i="8"/>
  <c r="F28" i="19"/>
  <c r="O46" i="17"/>
  <c r="D51" i="17"/>
  <c r="O51" i="17" s="1"/>
  <c r="M12" i="17"/>
  <c r="M13" i="17" s="1"/>
  <c r="E21" i="17"/>
  <c r="K21" i="17" s="1"/>
  <c r="N21" i="17" s="1" a="1"/>
  <c r="N21" i="17" s="1"/>
  <c r="E18" i="17"/>
  <c r="K18" i="17" s="1"/>
  <c r="N18" i="17" s="1" a="1"/>
  <c r="N18" i="17" s="1"/>
  <c r="E19" i="17"/>
  <c r="K19" i="17" s="1"/>
  <c r="N19" i="17" s="1" a="1"/>
  <c r="N19" i="17" s="1"/>
  <c r="E20" i="17"/>
  <c r="K20" i="17" s="1"/>
  <c r="N20" i="17" s="1" a="1"/>
  <c r="N20" i="17" s="1"/>
  <c r="H137" i="8"/>
  <c r="Q51" i="8"/>
  <c r="Q60" i="8"/>
  <c r="I97" i="8" l="1"/>
  <c r="J97" i="8" s="1"/>
  <c r="K97" i="8" s="1"/>
  <c r="L97" i="8" s="1"/>
  <c r="M97" i="8" s="1"/>
  <c r="N97" i="8" s="1"/>
  <c r="O97" i="8" s="1"/>
  <c r="P97" i="8" s="1"/>
  <c r="G21" i="6"/>
  <c r="G14" i="6" s="1"/>
  <c r="G11" i="6" s="1"/>
  <c r="G210" i="8"/>
  <c r="X9" i="8" s="1"/>
  <c r="G28" i="19" s="1"/>
  <c r="H176" i="8"/>
  <c r="Y9" i="8"/>
  <c r="J58" i="8"/>
  <c r="K58" i="8" s="1"/>
  <c r="L58" i="8" s="1"/>
  <c r="R22" i="11"/>
  <c r="R32" i="19" s="1"/>
  <c r="I129" i="8"/>
  <c r="R34" i="11" s="1"/>
  <c r="J109" i="8"/>
  <c r="K109" i="8" s="1"/>
  <c r="L109" i="8" s="1"/>
  <c r="G177" i="8"/>
  <c r="L72" i="8"/>
  <c r="M72" i="8" s="1"/>
  <c r="J115" i="8"/>
  <c r="K115" i="8" s="1"/>
  <c r="J120" i="8"/>
  <c r="K120" i="8" s="1"/>
  <c r="I137" i="8"/>
  <c r="J112" i="8"/>
  <c r="J144" i="8"/>
  <c r="Q36" i="11"/>
  <c r="Q41" i="19" s="1"/>
  <c r="E16" i="27"/>
  <c r="Q54" i="8"/>
  <c r="H279" i="51" l="1"/>
  <c r="I279" i="51"/>
  <c r="J279" i="51"/>
  <c r="K279" i="51"/>
  <c r="L279" i="51"/>
  <c r="M279" i="51"/>
  <c r="N279" i="51"/>
  <c r="O279" i="51"/>
  <c r="P279" i="51"/>
  <c r="Q265" i="51"/>
  <c r="Q266" i="51" s="1"/>
  <c r="Q279" i="51"/>
  <c r="Q281" i="51" s="1"/>
  <c r="H279" i="46"/>
  <c r="I279" i="46"/>
  <c r="J279" i="46"/>
  <c r="K279" i="46"/>
  <c r="L279" i="46"/>
  <c r="M279" i="46"/>
  <c r="N279" i="46"/>
  <c r="O279" i="46"/>
  <c r="P279" i="46"/>
  <c r="Q265" i="46"/>
  <c r="Q266" i="46" s="1"/>
  <c r="Q279" i="46"/>
  <c r="Q281" i="46" s="1"/>
  <c r="G25" i="6"/>
  <c r="H260" i="8"/>
  <c r="AC10" i="8" s="1"/>
  <c r="H134" i="8"/>
  <c r="H83" i="8" s="1"/>
  <c r="H80" i="8" s="1"/>
  <c r="J129" i="8"/>
  <c r="K129" i="8" s="1"/>
  <c r="N72" i="8"/>
  <c r="O72" i="8" s="1"/>
  <c r="M58" i="8"/>
  <c r="N58" i="8" s="1"/>
  <c r="Q61" i="11"/>
  <c r="L115" i="8"/>
  <c r="M115" i="8" s="1"/>
  <c r="R36" i="11"/>
  <c r="R41" i="19" s="1"/>
  <c r="K144" i="8"/>
  <c r="L144" i="8" s="1"/>
  <c r="M144" i="8" s="1"/>
  <c r="K112" i="8"/>
  <c r="J137" i="8"/>
  <c r="L120" i="8"/>
  <c r="M120" i="8" s="1"/>
  <c r="M109" i="8"/>
  <c r="F16" i="27"/>
  <c r="D16" i="27"/>
  <c r="Q55" i="8"/>
  <c r="AQ291" i="51" l="1"/>
  <c r="I9" i="51"/>
  <c r="AQ291" i="8"/>
  <c r="AR291" i="8" s="1"/>
  <c r="AS291" i="8" s="1"/>
  <c r="AQ291" i="46"/>
  <c r="I9" i="8"/>
  <c r="AK322" i="46" s="1"/>
  <c r="AM322" i="46" s="1"/>
  <c r="I9" i="46" s="1"/>
  <c r="R222" i="8"/>
  <c r="P72" i="8"/>
  <c r="Q72" i="8" s="1"/>
  <c r="L129" i="8"/>
  <c r="M129" i="8" s="1"/>
  <c r="O58" i="8"/>
  <c r="P58" i="8" s="1"/>
  <c r="Q58" i="8" s="1"/>
  <c r="Q49" i="11"/>
  <c r="Q54" i="19" s="1"/>
  <c r="H234" i="8"/>
  <c r="Z7" i="8" s="1"/>
  <c r="N109" i="8"/>
  <c r="N115" i="8"/>
  <c r="O115" i="8" s="1"/>
  <c r="P115" i="8" s="1"/>
  <c r="Q115" i="8" s="1"/>
  <c r="N144" i="8"/>
  <c r="O144" i="8" s="1"/>
  <c r="K137" i="8"/>
  <c r="N120" i="8"/>
  <c r="L112" i="8"/>
  <c r="M112" i="8" s="1"/>
  <c r="L9" i="51" l="1"/>
  <c r="C12" i="51"/>
  <c r="F9" i="51"/>
  <c r="AR291" i="51"/>
  <c r="AS291" i="51" s="1"/>
  <c r="AP291" i="51"/>
  <c r="AO291" i="51" s="1"/>
  <c r="AR291" i="46"/>
  <c r="AS291" i="46" s="1"/>
  <c r="AP291" i="46"/>
  <c r="AO291" i="46" s="1"/>
  <c r="AP291" i="8"/>
  <c r="AO291" i="8" s="1"/>
  <c r="L9" i="46"/>
  <c r="F9" i="46"/>
  <c r="C12" i="46"/>
  <c r="N129" i="8"/>
  <c r="O129" i="8" s="1"/>
  <c r="O109" i="8"/>
  <c r="P109" i="8" s="1"/>
  <c r="Q109" i="8" s="1"/>
  <c r="Q108" i="8" s="1"/>
  <c r="N112" i="8"/>
  <c r="P144" i="8"/>
  <c r="Q144" i="8" s="1"/>
  <c r="O120" i="8"/>
  <c r="L137" i="8"/>
  <c r="L216" i="51" l="1"/>
  <c r="L217" i="51" s="1"/>
  <c r="H211" i="51"/>
  <c r="H263" i="51"/>
  <c r="I211" i="51"/>
  <c r="T211" i="51"/>
  <c r="I263" i="51"/>
  <c r="J211" i="51"/>
  <c r="U211" i="51"/>
  <c r="U210" i="51"/>
  <c r="V211" i="51"/>
  <c r="K211" i="51"/>
  <c r="V210" i="51"/>
  <c r="L211" i="51"/>
  <c r="W211" i="51"/>
  <c r="W210" i="51"/>
  <c r="X211" i="51"/>
  <c r="M211" i="51"/>
  <c r="X210" i="51"/>
  <c r="N211" i="51"/>
  <c r="Y211" i="51"/>
  <c r="Y210" i="51"/>
  <c r="AA211" i="51"/>
  <c r="O211" i="51"/>
  <c r="AA210" i="51"/>
  <c r="P211" i="51"/>
  <c r="J263" i="51"/>
  <c r="AB211" i="51"/>
  <c r="AB210" i="51"/>
  <c r="Q216" i="51"/>
  <c r="AC210" i="51"/>
  <c r="Q211" i="51"/>
  <c r="AC211" i="51"/>
  <c r="K263" i="51"/>
  <c r="L263" i="51"/>
  <c r="M263" i="51"/>
  <c r="N263" i="51"/>
  <c r="O263" i="51"/>
  <c r="P263" i="51"/>
  <c r="Q263" i="51"/>
  <c r="Q282" i="51"/>
  <c r="L216" i="46"/>
  <c r="L217" i="46" s="1"/>
  <c r="H263" i="46"/>
  <c r="H211" i="46"/>
  <c r="I263" i="46"/>
  <c r="I211" i="46"/>
  <c r="T211" i="46"/>
  <c r="U211" i="46"/>
  <c r="U210" i="46"/>
  <c r="J211" i="46"/>
  <c r="V210" i="46"/>
  <c r="K211" i="46"/>
  <c r="V211" i="46"/>
  <c r="M211" i="46"/>
  <c r="W210" i="46"/>
  <c r="X211" i="46"/>
  <c r="X210" i="46"/>
  <c r="W211" i="46"/>
  <c r="L211" i="46"/>
  <c r="Y211" i="46"/>
  <c r="Y210" i="46"/>
  <c r="N211" i="46"/>
  <c r="AA211" i="46"/>
  <c r="AA210" i="46"/>
  <c r="O211" i="46"/>
  <c r="AB211" i="46"/>
  <c r="AB210" i="46"/>
  <c r="P211" i="46"/>
  <c r="J263" i="46"/>
  <c r="Q216" i="46"/>
  <c r="AC210" i="46"/>
  <c r="Q211" i="46"/>
  <c r="AC211" i="46"/>
  <c r="K263" i="46"/>
  <c r="L263" i="46"/>
  <c r="M263" i="46"/>
  <c r="N263" i="46"/>
  <c r="O263" i="46"/>
  <c r="P263" i="46"/>
  <c r="Q263" i="46"/>
  <c r="Q282" i="46"/>
  <c r="P129" i="8"/>
  <c r="Q129" i="8" s="1"/>
  <c r="Q128" i="8" s="1"/>
  <c r="O112" i="8"/>
  <c r="P112" i="8" s="1"/>
  <c r="M137" i="8"/>
  <c r="P120" i="8"/>
  <c r="S217" i="51" l="1"/>
  <c r="S218" i="51" s="1"/>
  <c r="S223" i="51" s="1"/>
  <c r="R217" i="51"/>
  <c r="R218" i="51" s="1"/>
  <c r="R223" i="51" s="1"/>
  <c r="Q217" i="51"/>
  <c r="Q218" i="51" s="1"/>
  <c r="Q223" i="51" s="1"/>
  <c r="Q226" i="51" s="1"/>
  <c r="Q285" i="51"/>
  <c r="Q287" i="51" s="1"/>
  <c r="Q283" i="51"/>
  <c r="Q267" i="51"/>
  <c r="Q269" i="51" s="1"/>
  <c r="Q271" i="51" s="1"/>
  <c r="Q267" i="46"/>
  <c r="Q269" i="46" s="1"/>
  <c r="Q271" i="46" s="1"/>
  <c r="S217" i="46"/>
  <c r="S218" i="46" s="1"/>
  <c r="S223" i="46" s="1"/>
  <c r="R217" i="46"/>
  <c r="R218" i="46" s="1"/>
  <c r="R223" i="46" s="1"/>
  <c r="Q217" i="46"/>
  <c r="Q218" i="46" s="1"/>
  <c r="Q223" i="46" s="1"/>
  <c r="Q226" i="46" s="1"/>
  <c r="Q285" i="46"/>
  <c r="Q287" i="46" s="1"/>
  <c r="Q283" i="46"/>
  <c r="Q112" i="8"/>
  <c r="Q111" i="8" s="1"/>
  <c r="Q120" i="8"/>
  <c r="Q119" i="8" s="1"/>
  <c r="Q171" i="8" s="1"/>
  <c r="N137" i="8"/>
  <c r="AO313" i="51" l="1"/>
  <c r="AO303" i="51"/>
  <c r="Q229" i="51"/>
  <c r="AO313" i="46"/>
  <c r="AO303" i="46"/>
  <c r="Q229" i="46"/>
  <c r="O137" i="8"/>
  <c r="K16" i="27" l="1"/>
  <c r="K13" i="27"/>
  <c r="L13" i="27" s="1"/>
  <c r="K12" i="27"/>
  <c r="L12" i="27" s="1"/>
  <c r="K14" i="27"/>
  <c r="L14" i="27" s="1"/>
  <c r="K15" i="27"/>
  <c r="L15" i="27" s="1"/>
  <c r="P137" i="8"/>
  <c r="Q137" i="8" l="1"/>
  <c r="Q136" i="8" s="1"/>
  <c r="G60" i="9" l="1"/>
  <c r="F42" i="11" s="1"/>
  <c r="R53" i="9"/>
  <c r="R54" i="9"/>
  <c r="K60" i="9"/>
  <c r="J42" i="11" s="1"/>
  <c r="H60" i="9"/>
  <c r="G42" i="11" s="1"/>
  <c r="L60" i="9"/>
  <c r="K42" i="11" s="1"/>
  <c r="O60" i="9"/>
  <c r="N42" i="11" s="1"/>
  <c r="N48" i="19" s="1"/>
  <c r="J60" i="9"/>
  <c r="I42" i="11" s="1"/>
  <c r="N60" i="9"/>
  <c r="M42" i="11" s="1"/>
  <c r="P60" i="9"/>
  <c r="O42" i="11" s="1"/>
  <c r="O48" i="19" s="1"/>
  <c r="M60" i="9"/>
  <c r="L42" i="11" s="1"/>
  <c r="Q60" i="9"/>
  <c r="P42" i="11" s="1"/>
  <c r="P48" i="19" s="1"/>
  <c r="R58" i="9"/>
  <c r="R59" i="9"/>
  <c r="I60" i="9"/>
  <c r="H42" i="11" s="1"/>
  <c r="G78" i="9"/>
  <c r="G83" i="9" s="1"/>
  <c r="H78" i="9"/>
  <c r="I78" i="9"/>
  <c r="J78" i="9"/>
  <c r="K78" i="9"/>
  <c r="L78" i="9"/>
  <c r="N78" i="9"/>
  <c r="O78" i="9"/>
  <c r="P78" i="9"/>
  <c r="Q78" i="9"/>
  <c r="R60" i="9" l="1"/>
  <c r="G61" i="9"/>
  <c r="I61" i="9"/>
  <c r="O61" i="9"/>
  <c r="N61" i="9"/>
  <c r="J61" i="9"/>
  <c r="Q61" i="9"/>
  <c r="AF9" i="8"/>
  <c r="AG9" i="8" s="1"/>
  <c r="H61" i="9"/>
  <c r="L61" i="9"/>
  <c r="M61" i="9"/>
  <c r="P61" i="9"/>
  <c r="K61" i="9"/>
  <c r="R78" i="9"/>
  <c r="Q83" i="9"/>
  <c r="P83" i="9"/>
  <c r="O83" i="9"/>
  <c r="N83" i="9"/>
  <c r="M83" i="9"/>
  <c r="L83" i="9"/>
  <c r="K83" i="9"/>
  <c r="J83" i="9"/>
  <c r="I83" i="9"/>
  <c r="H83" i="9"/>
  <c r="R93" i="9"/>
  <c r="G159" i="8"/>
  <c r="E159" i="8"/>
  <c r="F159" i="8"/>
  <c r="F11" i="11" l="1"/>
  <c r="F41" i="11"/>
  <c r="F40" i="11"/>
  <c r="F17" i="11"/>
  <c r="F16" i="11"/>
  <c r="J40" i="11"/>
  <c r="J11" i="11"/>
  <c r="J41" i="11"/>
  <c r="J16" i="11"/>
  <c r="J17" i="11"/>
  <c r="I11" i="11"/>
  <c r="I41" i="11"/>
  <c r="I40" i="11"/>
  <c r="I16" i="11"/>
  <c r="I17" i="11"/>
  <c r="O41" i="11"/>
  <c r="O47" i="19" s="1"/>
  <c r="O40" i="11"/>
  <c r="O46" i="19" s="1"/>
  <c r="O11" i="11"/>
  <c r="O23" i="19" s="1"/>
  <c r="O17" i="11"/>
  <c r="O28" i="19" s="1"/>
  <c r="O16" i="11"/>
  <c r="O27" i="19" s="1"/>
  <c r="M41" i="11"/>
  <c r="M40" i="11"/>
  <c r="M11" i="11"/>
  <c r="M17" i="11"/>
  <c r="M16" i="11"/>
  <c r="H40" i="11"/>
  <c r="H41" i="11"/>
  <c r="H11" i="11"/>
  <c r="H16" i="11"/>
  <c r="H17" i="11"/>
  <c r="P41" i="11"/>
  <c r="P47" i="19" s="1"/>
  <c r="P40" i="11"/>
  <c r="P46" i="19" s="1"/>
  <c r="P11" i="11"/>
  <c r="P23" i="19" s="1"/>
  <c r="P16" i="11"/>
  <c r="P27" i="19" s="1"/>
  <c r="P17" i="11"/>
  <c r="P28" i="19" s="1"/>
  <c r="L40" i="11"/>
  <c r="L41" i="11"/>
  <c r="L11" i="11"/>
  <c r="L16" i="11"/>
  <c r="L17" i="11"/>
  <c r="N11" i="11"/>
  <c r="N23" i="19" s="1"/>
  <c r="N41" i="11"/>
  <c r="N47" i="19" s="1"/>
  <c r="N40" i="11"/>
  <c r="N46" i="19" s="1"/>
  <c r="N16" i="11"/>
  <c r="N27" i="19" s="1"/>
  <c r="N17" i="11"/>
  <c r="N28" i="19" s="1"/>
  <c r="K41" i="11"/>
  <c r="K40" i="11"/>
  <c r="K11" i="11"/>
  <c r="K16" i="11"/>
  <c r="K17" i="11"/>
  <c r="G11" i="11"/>
  <c r="G41" i="11"/>
  <c r="G40" i="11"/>
  <c r="G17" i="11"/>
  <c r="G16" i="11"/>
  <c r="R61" i="9"/>
  <c r="R83" i="9"/>
  <c r="F161" i="8"/>
  <c r="D116" i="17"/>
  <c r="D69" i="17" s="1"/>
  <c r="G161" i="8"/>
  <c r="E161" i="8"/>
  <c r="D30" i="17" l="1"/>
  <c r="O30" i="17" s="1"/>
  <c r="D29" i="17"/>
  <c r="O29" i="17" s="1"/>
  <c r="I29" i="19"/>
  <c r="O69" i="17"/>
  <c r="I152" i="8" l="1"/>
  <c r="I118" i="8" s="1"/>
  <c r="I30" i="19" l="1"/>
  <c r="I208" i="8"/>
  <c r="I258" i="8" s="1"/>
  <c r="J156" i="8" l="1"/>
  <c r="J152" i="8" s="1"/>
  <c r="J118" i="8" s="1"/>
  <c r="I31" i="19" l="1"/>
  <c r="J208" i="8"/>
  <c r="J258" i="8" s="1"/>
  <c r="K156" i="8" l="1"/>
  <c r="K152" i="8" s="1"/>
  <c r="K118" i="8" s="1"/>
  <c r="L156" i="8" l="1"/>
  <c r="K208" i="8"/>
  <c r="K258" i="8" s="1"/>
  <c r="I32" i="19"/>
  <c r="L152" i="8" l="1"/>
  <c r="I33" i="19" l="1"/>
  <c r="L118" i="8"/>
  <c r="M156" i="8" s="1"/>
  <c r="L208" i="8"/>
  <c r="L258" i="8" s="1"/>
  <c r="M152" i="8" l="1"/>
  <c r="M208" i="8" l="1"/>
  <c r="M258" i="8" s="1"/>
  <c r="C18" i="27" l="1"/>
  <c r="C19" i="27" l="1"/>
  <c r="C17" i="27"/>
  <c r="H60" i="8" l="1"/>
  <c r="I74" i="8"/>
  <c r="H51" i="8"/>
  <c r="H128" i="8"/>
  <c r="H49" i="8"/>
  <c r="H119" i="8"/>
  <c r="H108" i="8"/>
  <c r="H136" i="8"/>
  <c r="E29" i="19"/>
  <c r="H24" i="8"/>
  <c r="I34" i="8"/>
  <c r="I43" i="8" s="1"/>
  <c r="H44" i="8"/>
  <c r="I39" i="8"/>
  <c r="I44" i="8" s="1"/>
  <c r="J39" i="8" l="1"/>
  <c r="J44" i="8" s="1"/>
  <c r="K39" i="8"/>
  <c r="H57" i="8"/>
  <c r="H143" i="8" s="1"/>
  <c r="H204" i="8" s="1"/>
  <c r="H179" i="8"/>
  <c r="I71" i="8"/>
  <c r="H171" i="8"/>
  <c r="H42" i="8"/>
  <c r="H111" i="8"/>
  <c r="H54" i="8"/>
  <c r="I42" i="8"/>
  <c r="J34" i="8"/>
  <c r="J43" i="8" s="1"/>
  <c r="I24" i="8"/>
  <c r="H81" i="8"/>
  <c r="H117" i="8"/>
  <c r="H63" i="8"/>
  <c r="H131" i="8"/>
  <c r="AF10" i="8" s="1"/>
  <c r="H92" i="8"/>
  <c r="H148" i="8"/>
  <c r="H191" i="8"/>
  <c r="H161" i="8"/>
  <c r="H114" i="8"/>
  <c r="H192" i="8" l="1"/>
  <c r="H190" i="8"/>
  <c r="H68" i="8"/>
  <c r="K44" i="8"/>
  <c r="L39" i="8"/>
  <c r="H254" i="8"/>
  <c r="H65" i="8"/>
  <c r="H66" i="8" s="1"/>
  <c r="H55" i="8"/>
  <c r="I48" i="8"/>
  <c r="I136" i="8" s="1"/>
  <c r="H146" i="8"/>
  <c r="H206" i="8" s="1"/>
  <c r="H256" i="8" s="1"/>
  <c r="H163" i="8"/>
  <c r="H189" i="8"/>
  <c r="H188" i="8" s="1"/>
  <c r="H132" i="8"/>
  <c r="AH10" i="8"/>
  <c r="I121" i="8"/>
  <c r="K34" i="8"/>
  <c r="K43" i="8" s="1"/>
  <c r="J42" i="8"/>
  <c r="H77" i="8" l="1"/>
  <c r="H96" i="8" s="1"/>
  <c r="H141" i="8"/>
  <c r="I108" i="8"/>
  <c r="I119" i="8"/>
  <c r="J71" i="8" s="1"/>
  <c r="J121" i="8" s="1"/>
  <c r="I49" i="8"/>
  <c r="I191" i="8" s="1"/>
  <c r="E30" i="19"/>
  <c r="I60" i="8"/>
  <c r="J74" i="8" s="1"/>
  <c r="I51" i="8"/>
  <c r="I54" i="8" s="1"/>
  <c r="I55" i="8" s="1"/>
  <c r="L44" i="8"/>
  <c r="M39" i="8"/>
  <c r="Q21" i="11"/>
  <c r="Q31" i="19" s="1"/>
  <c r="Q18" i="11"/>
  <c r="Q29" i="19" s="1"/>
  <c r="Q51" i="11"/>
  <c r="Q56" i="19" s="1"/>
  <c r="Q50" i="11"/>
  <c r="Q55" i="19" s="1"/>
  <c r="Q45" i="11"/>
  <c r="Q44" i="11"/>
  <c r="Q43" i="11"/>
  <c r="Q49" i="19" s="1"/>
  <c r="J24" i="8"/>
  <c r="J48" i="8"/>
  <c r="L34" i="8"/>
  <c r="L43" i="8" s="1"/>
  <c r="K42" i="8"/>
  <c r="I171" i="8" l="1"/>
  <c r="I117" i="8"/>
  <c r="I68" i="8" s="1"/>
  <c r="I141" i="8" s="1"/>
  <c r="I202" i="8" s="1"/>
  <c r="I57" i="8"/>
  <c r="I143" i="8" s="1"/>
  <c r="I128" i="8"/>
  <c r="I111" i="8"/>
  <c r="M44" i="8"/>
  <c r="N39" i="8"/>
  <c r="I63" i="8"/>
  <c r="I179" i="8"/>
  <c r="I114" i="8"/>
  <c r="I92" i="8"/>
  <c r="I131" i="8"/>
  <c r="I132" i="8" s="1"/>
  <c r="I161" i="8"/>
  <c r="I163" i="8" s="1"/>
  <c r="I148" i="8"/>
  <c r="R21" i="11"/>
  <c r="R31" i="19" s="1"/>
  <c r="K24" i="8"/>
  <c r="K48" i="8"/>
  <c r="I189" i="8"/>
  <c r="I188" i="8" s="1"/>
  <c r="J119" i="8"/>
  <c r="J117" i="8" s="1"/>
  <c r="J108" i="8"/>
  <c r="J49" i="8"/>
  <c r="J136" i="8"/>
  <c r="J60" i="8"/>
  <c r="E31" i="19"/>
  <c r="J51" i="8"/>
  <c r="J54" i="8" s="1"/>
  <c r="J55" i="8" s="1"/>
  <c r="Q51" i="19"/>
  <c r="Q50" i="19"/>
  <c r="M34" i="8"/>
  <c r="M43" i="8" s="1"/>
  <c r="L42" i="8"/>
  <c r="I65" i="8" l="1"/>
  <c r="I66" i="8" s="1"/>
  <c r="R18" i="11" s="1"/>
  <c r="R29" i="19" s="1"/>
  <c r="I252" i="8"/>
  <c r="I146" i="8"/>
  <c r="I206" i="8" s="1"/>
  <c r="I256" i="8" s="1"/>
  <c r="N44" i="8"/>
  <c r="O39" i="8"/>
  <c r="AH11" i="8"/>
  <c r="J68" i="8"/>
  <c r="J141" i="8" s="1"/>
  <c r="J252" i="8" s="1"/>
  <c r="L24" i="8"/>
  <c r="L48" i="8"/>
  <c r="J111" i="8"/>
  <c r="J128" i="8"/>
  <c r="K74" i="8"/>
  <c r="J191" i="8"/>
  <c r="J179" i="8"/>
  <c r="J63" i="8"/>
  <c r="J131" i="8"/>
  <c r="J92" i="8"/>
  <c r="J148" i="8"/>
  <c r="J161" i="8"/>
  <c r="J114" i="8"/>
  <c r="J57" i="8"/>
  <c r="J171" i="8"/>
  <c r="K71" i="8"/>
  <c r="K121" i="8" s="1"/>
  <c r="I254" i="8"/>
  <c r="I204" i="8"/>
  <c r="K119" i="8"/>
  <c r="K108" i="8"/>
  <c r="K49" i="8"/>
  <c r="K191" i="8" s="1"/>
  <c r="K136" i="8"/>
  <c r="K60" i="8"/>
  <c r="E32" i="19"/>
  <c r="K51" i="8"/>
  <c r="K54" i="8" s="1"/>
  <c r="K55" i="8" s="1"/>
  <c r="N34" i="8"/>
  <c r="N43" i="8" s="1"/>
  <c r="M42" i="8"/>
  <c r="R43" i="11" l="1"/>
  <c r="R49" i="19" s="1"/>
  <c r="R44" i="11"/>
  <c r="R51" i="19" s="1"/>
  <c r="I77" i="8"/>
  <c r="I248" i="8" s="1"/>
  <c r="K63" i="8"/>
  <c r="O44" i="8"/>
  <c r="P39" i="8"/>
  <c r="P44" i="8" s="1"/>
  <c r="J202" i="8"/>
  <c r="K117" i="8"/>
  <c r="K68" i="8" s="1"/>
  <c r="M24" i="8"/>
  <c r="M48" i="8"/>
  <c r="K128" i="8"/>
  <c r="K111" i="8"/>
  <c r="L74" i="8"/>
  <c r="K189" i="8"/>
  <c r="K171" i="8"/>
  <c r="L71" i="8"/>
  <c r="L121" i="8" s="1"/>
  <c r="K57" i="8"/>
  <c r="J143" i="8"/>
  <c r="J65" i="8"/>
  <c r="K114" i="8"/>
  <c r="J163" i="8"/>
  <c r="K161" i="8"/>
  <c r="K148" i="8"/>
  <c r="K92" i="8"/>
  <c r="J132" i="8"/>
  <c r="K131" i="8"/>
  <c r="K179" i="8"/>
  <c r="J189" i="8"/>
  <c r="J188" i="8" s="1"/>
  <c r="J146" i="8"/>
  <c r="J206" i="8" s="1"/>
  <c r="J256" i="8" s="1"/>
  <c r="L119" i="8"/>
  <c r="L49" i="8"/>
  <c r="L108" i="8"/>
  <c r="L136" i="8"/>
  <c r="L60" i="8"/>
  <c r="E33" i="19"/>
  <c r="L51" i="8"/>
  <c r="L54" i="8" s="1"/>
  <c r="L55" i="8" s="1"/>
  <c r="O34" i="8"/>
  <c r="O43" i="8" s="1"/>
  <c r="N42" i="8"/>
  <c r="R50" i="19" l="1"/>
  <c r="I96" i="8"/>
  <c r="I78" i="8"/>
  <c r="L117" i="8"/>
  <c r="L68" i="8" s="1"/>
  <c r="K188" i="8"/>
  <c r="N24" i="8"/>
  <c r="N48" i="8"/>
  <c r="L128" i="8"/>
  <c r="L111" i="8"/>
  <c r="M74" i="8"/>
  <c r="L191" i="8"/>
  <c r="L161" i="8"/>
  <c r="L131" i="8"/>
  <c r="L171" i="8"/>
  <c r="M71" i="8"/>
  <c r="M121" i="8" s="1"/>
  <c r="K141" i="8"/>
  <c r="L179" i="8"/>
  <c r="L63" i="8"/>
  <c r="K132" i="8"/>
  <c r="L92" i="8"/>
  <c r="L148" i="8"/>
  <c r="K163" i="8"/>
  <c r="L114" i="8"/>
  <c r="J66" i="8"/>
  <c r="J77" i="8"/>
  <c r="J254" i="8"/>
  <c r="J204" i="8"/>
  <c r="L57" i="8"/>
  <c r="K143" i="8"/>
  <c r="K65" i="8"/>
  <c r="K146" i="8"/>
  <c r="K206" i="8" s="1"/>
  <c r="K256" i="8" s="1"/>
  <c r="M119" i="8"/>
  <c r="M108" i="8"/>
  <c r="M49" i="8"/>
  <c r="M136" i="8"/>
  <c r="M60" i="8"/>
  <c r="M51" i="8"/>
  <c r="M54" i="8" s="1"/>
  <c r="M55" i="8" s="1"/>
  <c r="O42" i="8"/>
  <c r="P34" i="8"/>
  <c r="R19" i="11" l="1"/>
  <c r="R30" i="19" s="1"/>
  <c r="I197" i="8"/>
  <c r="F30" i="19"/>
  <c r="P42" i="8"/>
  <c r="P24" i="8" s="1"/>
  <c r="P43" i="8"/>
  <c r="P48" i="8"/>
  <c r="O24" i="8"/>
  <c r="O48" i="8"/>
  <c r="M128" i="8"/>
  <c r="M111" i="8"/>
  <c r="N74" i="8"/>
  <c r="M191" i="8"/>
  <c r="M131" i="8"/>
  <c r="M161" i="8"/>
  <c r="M171" i="8"/>
  <c r="L141" i="8"/>
  <c r="K77" i="8"/>
  <c r="K66" i="8"/>
  <c r="K254" i="8"/>
  <c r="K204" i="8"/>
  <c r="M57" i="8"/>
  <c r="L143" i="8"/>
  <c r="L65" i="8"/>
  <c r="J96" i="8"/>
  <c r="J248" i="8"/>
  <c r="J78" i="8"/>
  <c r="M114" i="8"/>
  <c r="M148" i="8"/>
  <c r="M92" i="8"/>
  <c r="M63" i="8"/>
  <c r="M179" i="8"/>
  <c r="K252" i="8"/>
  <c r="K202" i="8"/>
  <c r="L132" i="8"/>
  <c r="L163" i="8"/>
  <c r="L189" i="8"/>
  <c r="L188" i="8" s="1"/>
  <c r="L146" i="8"/>
  <c r="L206" i="8" s="1"/>
  <c r="L256" i="8" s="1"/>
  <c r="N119" i="8"/>
  <c r="N49" i="8"/>
  <c r="N108" i="8"/>
  <c r="N136" i="8"/>
  <c r="N60" i="8"/>
  <c r="N51" i="8"/>
  <c r="N54" i="8"/>
  <c r="N55" i="8" s="1"/>
  <c r="I198" i="8" l="1"/>
  <c r="I196" i="8"/>
  <c r="I195" i="8"/>
  <c r="I194" i="8" s="1"/>
  <c r="I200" i="8" s="1"/>
  <c r="N128" i="8"/>
  <c r="N111" i="8"/>
  <c r="O74" i="8"/>
  <c r="N191" i="8"/>
  <c r="N131" i="8"/>
  <c r="N161" i="8"/>
  <c r="N171" i="8"/>
  <c r="N179" i="8"/>
  <c r="N63" i="8"/>
  <c r="N92" i="8"/>
  <c r="N148" i="8"/>
  <c r="N114" i="8"/>
  <c r="F31" i="19"/>
  <c r="J197" i="8"/>
  <c r="L66" i="8"/>
  <c r="L77" i="8"/>
  <c r="L254" i="8"/>
  <c r="L204" i="8"/>
  <c r="N57" i="8"/>
  <c r="M143" i="8"/>
  <c r="M65" i="8"/>
  <c r="K248" i="8"/>
  <c r="K96" i="8"/>
  <c r="K78" i="8"/>
  <c r="L252" i="8"/>
  <c r="L202" i="8"/>
  <c r="M163" i="8"/>
  <c r="M118" i="8" s="1"/>
  <c r="M132" i="8"/>
  <c r="M189" i="8"/>
  <c r="M188" i="8" s="1"/>
  <c r="M146" i="8"/>
  <c r="M206" i="8" s="1"/>
  <c r="M256" i="8" s="1"/>
  <c r="O119" i="8"/>
  <c r="O108" i="8"/>
  <c r="O49" i="8"/>
  <c r="O136" i="8"/>
  <c r="O60" i="8"/>
  <c r="O51" i="8"/>
  <c r="O54" i="8" s="1"/>
  <c r="O55" i="8" s="1"/>
  <c r="P119" i="8"/>
  <c r="P108" i="8"/>
  <c r="P49" i="8"/>
  <c r="P191" i="8" s="1"/>
  <c r="Q49" i="8"/>
  <c r="Q191" i="8" s="1"/>
  <c r="P136" i="8"/>
  <c r="P60" i="8"/>
  <c r="P51" i="8"/>
  <c r="P54" i="8" s="1"/>
  <c r="P55" i="8" s="1"/>
  <c r="J198" i="8" l="1"/>
  <c r="J196" i="8"/>
  <c r="I210" i="8"/>
  <c r="AB11" i="8"/>
  <c r="H30" i="19" s="1"/>
  <c r="M117" i="8"/>
  <c r="M68" i="8" s="1"/>
  <c r="M141" i="8" s="1"/>
  <c r="M202" i="8" s="1"/>
  <c r="N156" i="8"/>
  <c r="N152" i="8" s="1"/>
  <c r="N208" i="8" s="1"/>
  <c r="N258" i="8" s="1"/>
  <c r="N71" i="8"/>
  <c r="N121" i="8" s="1"/>
  <c r="P128" i="8"/>
  <c r="P111" i="8"/>
  <c r="Q189" i="8"/>
  <c r="P189" i="8"/>
  <c r="P171" i="8"/>
  <c r="O128" i="8"/>
  <c r="O111" i="8"/>
  <c r="P74" i="8"/>
  <c r="O191" i="8"/>
  <c r="O161" i="8"/>
  <c r="P161" i="8" s="1"/>
  <c r="O131" i="8"/>
  <c r="P131" i="8" s="1"/>
  <c r="P132" i="8" s="1"/>
  <c r="O171" i="8"/>
  <c r="F32" i="19"/>
  <c r="K197" i="8"/>
  <c r="M66" i="8"/>
  <c r="M254" i="8"/>
  <c r="M204" i="8"/>
  <c r="O57" i="8"/>
  <c r="N143" i="8"/>
  <c r="N65" i="8"/>
  <c r="L248" i="8"/>
  <c r="L96" i="8"/>
  <c r="L78" i="8"/>
  <c r="J195" i="8"/>
  <c r="J194" i="8" s="1"/>
  <c r="J200" i="8" s="1"/>
  <c r="O114" i="8"/>
  <c r="P114" i="8" s="1"/>
  <c r="O148" i="8"/>
  <c r="P148" i="8" s="1"/>
  <c r="Q148" i="8" s="1"/>
  <c r="O92" i="8"/>
  <c r="P92" i="8" s="1"/>
  <c r="Q92" i="8" s="1"/>
  <c r="O63" i="8"/>
  <c r="P63" i="8" s="1"/>
  <c r="O179" i="8"/>
  <c r="P179" i="8" s="1"/>
  <c r="Q179" i="8" s="1"/>
  <c r="N132" i="8"/>
  <c r="N189" i="8"/>
  <c r="N188" i="8" s="1"/>
  <c r="N146" i="8"/>
  <c r="N206" i="8" s="1"/>
  <c r="N256" i="8" s="1"/>
  <c r="K198" i="8" l="1"/>
  <c r="K196" i="8"/>
  <c r="M252" i="8"/>
  <c r="M77" i="8"/>
  <c r="M96" i="8" s="1"/>
  <c r="I233" i="8"/>
  <c r="X11" i="8"/>
  <c r="G30" i="19" s="1"/>
  <c r="N118" i="8"/>
  <c r="O71" i="8" s="1"/>
  <c r="O121" i="8" s="1"/>
  <c r="N163" i="8"/>
  <c r="P146" i="8"/>
  <c r="P206" i="8" s="1"/>
  <c r="P256" i="8" s="1"/>
  <c r="Q63" i="8"/>
  <c r="Q114" i="8"/>
  <c r="J210" i="8"/>
  <c r="AB12" i="8"/>
  <c r="H31" i="19" s="1"/>
  <c r="F33" i="19"/>
  <c r="L197" i="8"/>
  <c r="N66" i="8"/>
  <c r="N254" i="8"/>
  <c r="N204" i="8"/>
  <c r="P57" i="8"/>
  <c r="O143" i="8"/>
  <c r="O65" i="8"/>
  <c r="K195" i="8"/>
  <c r="K194" i="8" s="1"/>
  <c r="K200" i="8" s="1"/>
  <c r="O132" i="8"/>
  <c r="Q131" i="8"/>
  <c r="Q161" i="8"/>
  <c r="O189" i="8"/>
  <c r="O188" i="8" s="1"/>
  <c r="P188" i="8" s="1"/>
  <c r="Q188" i="8" s="1"/>
  <c r="Q74" i="8"/>
  <c r="O146" i="8"/>
  <c r="O206" i="8" s="1"/>
  <c r="O256" i="8" s="1"/>
  <c r="L198" i="8" l="1"/>
  <c r="L196" i="8"/>
  <c r="M248" i="8"/>
  <c r="M78" i="8"/>
  <c r="M197" i="8" s="1"/>
  <c r="N117" i="8"/>
  <c r="N68" i="8" s="1"/>
  <c r="N141" i="8" s="1"/>
  <c r="N202" i="8" s="1"/>
  <c r="O156" i="8"/>
  <c r="O152" i="8" s="1"/>
  <c r="O208" i="8" s="1"/>
  <c r="O258" i="8" s="1"/>
  <c r="Q132" i="8"/>
  <c r="Q146" i="8"/>
  <c r="Q206" i="8" s="1"/>
  <c r="Q256" i="8" s="1"/>
  <c r="K210" i="8"/>
  <c r="AB13" i="8"/>
  <c r="H32" i="19" s="1"/>
  <c r="O66" i="8"/>
  <c r="O254" i="8"/>
  <c r="O204" i="8"/>
  <c r="Q57" i="8"/>
  <c r="P143" i="8"/>
  <c r="P65" i="8"/>
  <c r="L195" i="8"/>
  <c r="L194" i="8" s="1"/>
  <c r="L200" i="8" s="1"/>
  <c r="X12" i="8"/>
  <c r="G31" i="19" s="1"/>
  <c r="J233" i="8"/>
  <c r="M195" i="8" l="1"/>
  <c r="M194" i="8" s="1"/>
  <c r="M200" i="8" s="1"/>
  <c r="M210" i="8" s="1"/>
  <c r="M233" i="8" s="1"/>
  <c r="M198" i="8"/>
  <c r="M196" i="8"/>
  <c r="O163" i="8"/>
  <c r="O118" i="8"/>
  <c r="P71" i="8" s="1"/>
  <c r="P121" i="8" s="1"/>
  <c r="N77" i="8"/>
  <c r="N96" i="8" s="1"/>
  <c r="N252" i="8"/>
  <c r="L210" i="8"/>
  <c r="AB14" i="8"/>
  <c r="H33" i="19" s="1"/>
  <c r="P66" i="8"/>
  <c r="P254" i="8"/>
  <c r="P204" i="8"/>
  <c r="Q143" i="8"/>
  <c r="Q65" i="8"/>
  <c r="X13" i="8"/>
  <c r="G32" i="19" s="1"/>
  <c r="K233" i="8"/>
  <c r="P156" i="8" l="1"/>
  <c r="P152" i="8" s="1"/>
  <c r="O117" i="8"/>
  <c r="O68" i="8" s="1"/>
  <c r="N248" i="8"/>
  <c r="N78" i="8"/>
  <c r="N197" i="8" s="1"/>
  <c r="Q66" i="8"/>
  <c r="Q254" i="8"/>
  <c r="Q204" i="8"/>
  <c r="X14" i="8"/>
  <c r="G33" i="19" s="1"/>
  <c r="L233" i="8"/>
  <c r="N198" i="8" l="1"/>
  <c r="N196" i="8"/>
  <c r="O141" i="8"/>
  <c r="O77" i="8"/>
  <c r="P118" i="8"/>
  <c r="P163" i="8"/>
  <c r="P208" i="8"/>
  <c r="P258" i="8" s="1"/>
  <c r="N195" i="8"/>
  <c r="N194" i="8" s="1"/>
  <c r="N200" i="8" s="1"/>
  <c r="N210" i="8" s="1"/>
  <c r="Q156" i="8" l="1"/>
  <c r="Q152" i="8" s="1"/>
  <c r="Q71" i="8"/>
  <c r="Q121" i="8" s="1"/>
  <c r="P117" i="8"/>
  <c r="P68" i="8" s="1"/>
  <c r="O96" i="8"/>
  <c r="O78" i="8"/>
  <c r="O197" i="8" s="1"/>
  <c r="O248" i="8"/>
  <c r="O202" i="8"/>
  <c r="O252" i="8"/>
  <c r="N233" i="8"/>
  <c r="O198" i="8" l="1"/>
  <c r="O196" i="8"/>
  <c r="O195" i="8"/>
  <c r="O194" i="8" s="1"/>
  <c r="O200" i="8" s="1"/>
  <c r="O210" i="8" s="1"/>
  <c r="P141" i="8"/>
  <c r="P77" i="8"/>
  <c r="Q118" i="8"/>
  <c r="Q117" i="8" s="1"/>
  <c r="Q68" i="8" s="1"/>
  <c r="Q163" i="8"/>
  <c r="Q208" i="8"/>
  <c r="Q258" i="8" s="1"/>
  <c r="Q141" i="8" l="1"/>
  <c r="Q77" i="8"/>
  <c r="P248" i="8"/>
  <c r="P78" i="8"/>
  <c r="P197" i="8" s="1"/>
  <c r="P96" i="8"/>
  <c r="P202" i="8"/>
  <c r="P252" i="8"/>
  <c r="O233" i="8"/>
  <c r="P198" i="8" l="1"/>
  <c r="P196" i="8"/>
  <c r="P195" i="8"/>
  <c r="P194" i="8" s="1"/>
  <c r="P200" i="8" s="1"/>
  <c r="P210" i="8" s="1"/>
  <c r="Q248" i="8"/>
  <c r="Q96" i="8"/>
  <c r="Q78" i="8"/>
  <c r="Q197" i="8" s="1"/>
  <c r="Q202" i="8"/>
  <c r="Q252" i="8"/>
  <c r="H94" i="8"/>
  <c r="Q20" i="11" s="1"/>
  <c r="Q198" i="8" l="1"/>
  <c r="Q196" i="8"/>
  <c r="Q195" i="8"/>
  <c r="Q194" i="8" s="1"/>
  <c r="Q200" i="8" s="1"/>
  <c r="Q210" i="8" s="1"/>
  <c r="P233" i="8"/>
  <c r="H248" i="8"/>
  <c r="H99" i="8"/>
  <c r="H168" i="8" s="1"/>
  <c r="H78" i="8"/>
  <c r="H202" i="8"/>
  <c r="H252" i="8"/>
  <c r="Q233" i="8" l="1"/>
  <c r="Q236" i="8"/>
  <c r="Q237" i="8" s="1"/>
  <c r="Q19" i="11"/>
  <c r="Q30" i="19" s="1"/>
  <c r="F29" i="19"/>
  <c r="H197" i="8"/>
  <c r="H100" i="8"/>
  <c r="Q23" i="11" s="1"/>
  <c r="Q33" i="19" s="1"/>
  <c r="H165" i="8"/>
  <c r="I165" i="8"/>
  <c r="J165" i="8"/>
  <c r="K165" i="8"/>
  <c r="L165" i="8"/>
  <c r="M165" i="8"/>
  <c r="N165" i="8"/>
  <c r="O165" i="8"/>
  <c r="Q165" i="8"/>
  <c r="P165" i="8"/>
  <c r="H150" i="8"/>
  <c r="H250" i="8"/>
  <c r="H262" i="8" s="1"/>
  <c r="H198" i="8" l="1"/>
  <c r="H196" i="8"/>
  <c r="H181" i="8"/>
  <c r="H183" i="8" s="1"/>
  <c r="H275" i="8"/>
  <c r="I174" i="8"/>
  <c r="I176" i="8"/>
  <c r="Y10" i="8"/>
  <c r="Q57" i="11"/>
  <c r="Q55" i="11"/>
  <c r="Q58" i="11"/>
  <c r="Q60" i="11"/>
  <c r="Q59" i="11"/>
  <c r="Q63" i="11"/>
  <c r="Q42" i="19" s="1"/>
  <c r="H195" i="8"/>
  <c r="H194" i="8" s="1"/>
  <c r="H200" i="8" s="1"/>
  <c r="Q62" i="11" l="1"/>
  <c r="I134" i="8"/>
  <c r="I83" i="8" s="1"/>
  <c r="I80" i="8" s="1"/>
  <c r="I94" i="8" s="1"/>
  <c r="AB10" i="8"/>
  <c r="H29" i="19" s="1"/>
  <c r="H210" i="8"/>
  <c r="AA10" i="8"/>
  <c r="H279" i="8"/>
  <c r="Q64" i="11"/>
  <c r="Q43" i="19" s="1"/>
  <c r="Q56" i="11"/>
  <c r="H106" i="8"/>
  <c r="I260" i="8"/>
  <c r="R61" i="11"/>
  <c r="R49" i="11" l="1"/>
  <c r="R54" i="19" s="1"/>
  <c r="R50" i="11"/>
  <c r="R55" i="19" s="1"/>
  <c r="R51" i="11"/>
  <c r="R56" i="19" s="1"/>
  <c r="I234" i="8"/>
  <c r="Z8" i="8" s="1"/>
  <c r="R20" i="11"/>
  <c r="I99" i="8"/>
  <c r="AC11" i="8"/>
  <c r="S222" i="8"/>
  <c r="I81" i="8"/>
  <c r="AF11" i="8"/>
  <c r="Q28" i="11"/>
  <c r="Q37" i="19" s="1"/>
  <c r="Q27" i="11"/>
  <c r="Q36" i="19" s="1"/>
  <c r="AI10" i="8"/>
  <c r="AE10" i="8"/>
  <c r="AD10" i="8"/>
  <c r="R45" i="11"/>
  <c r="R219" i="8"/>
  <c r="X10" i="8"/>
  <c r="G29" i="19" s="1"/>
  <c r="H233" i="8"/>
  <c r="I168" i="8" l="1"/>
  <c r="I150" i="8"/>
  <c r="R63" i="11" s="1"/>
  <c r="R42" i="19" s="1"/>
  <c r="I250" i="8"/>
  <c r="I262" i="8" s="1"/>
  <c r="J176" i="8" s="1"/>
  <c r="I100" i="8"/>
  <c r="R23" i="11" s="1"/>
  <c r="R33" i="19" s="1"/>
  <c r="R42" i="11"/>
  <c r="R48" i="19" s="1"/>
  <c r="Q42" i="11"/>
  <c r="Q48" i="19" s="1"/>
  <c r="R15" i="11"/>
  <c r="R26" i="19" s="1"/>
  <c r="AG10" i="8"/>
  <c r="Q15" i="11"/>
  <c r="Q26" i="19" s="1"/>
  <c r="R29" i="11"/>
  <c r="R38" i="19" s="1"/>
  <c r="Q29" i="11"/>
  <c r="Q38" i="19" s="1"/>
  <c r="J174" i="8" l="1"/>
  <c r="J260" i="8" s="1"/>
  <c r="D7" i="27"/>
  <c r="Y11" i="8"/>
  <c r="R57" i="11"/>
  <c r="R55" i="11"/>
  <c r="R58" i="11"/>
  <c r="R59" i="11"/>
  <c r="R60" i="11"/>
  <c r="I181" i="8"/>
  <c r="I275" i="8"/>
  <c r="Q41" i="11"/>
  <c r="Q47" i="19" s="1"/>
  <c r="Q40" i="11"/>
  <c r="Q46" i="19" s="1"/>
  <c r="R41" i="11"/>
  <c r="R47" i="19" s="1"/>
  <c r="R40" i="11"/>
  <c r="R46" i="19" s="1"/>
  <c r="R16" i="11"/>
  <c r="R27" i="19" s="1"/>
  <c r="R17" i="11"/>
  <c r="R28" i="19" s="1"/>
  <c r="Q16" i="11"/>
  <c r="Q27" i="19" s="1"/>
  <c r="Q17" i="11"/>
  <c r="Q28" i="19" s="1"/>
  <c r="J134" i="8" l="1"/>
  <c r="J83" i="8" s="1"/>
  <c r="J80" i="8" s="1"/>
  <c r="J94" i="8" s="1"/>
  <c r="J99" i="8" s="1"/>
  <c r="AA11" i="8"/>
  <c r="I279" i="8"/>
  <c r="R62" i="11"/>
  <c r="I183" i="8"/>
  <c r="AC12" i="8"/>
  <c r="J234" i="8" l="1"/>
  <c r="Z9" i="8" s="1"/>
  <c r="J81" i="8"/>
  <c r="I106" i="8"/>
  <c r="R56" i="11"/>
  <c r="R64" i="11"/>
  <c r="R43" i="19" s="1"/>
  <c r="J168" i="8"/>
  <c r="J250" i="8"/>
  <c r="J262" i="8" s="1"/>
  <c r="Y12" i="8" s="1"/>
  <c r="J150" i="8"/>
  <c r="J100" i="8"/>
  <c r="K174" i="8" l="1"/>
  <c r="K176" i="8"/>
  <c r="R27" i="11"/>
  <c r="R36" i="19" s="1"/>
  <c r="R28" i="11"/>
  <c r="R37" i="19" s="1"/>
  <c r="AD11" i="8"/>
  <c r="AI11" i="8"/>
  <c r="S219" i="8"/>
  <c r="AE11" i="8"/>
  <c r="AG11" i="8" s="1"/>
  <c r="J275" i="8"/>
  <c r="J181" i="8"/>
  <c r="J183" i="8" s="1"/>
  <c r="J106" i="8" s="1"/>
  <c r="AD12" i="8" s="1"/>
  <c r="K260" i="8" l="1"/>
  <c r="AC13" i="8" s="1"/>
  <c r="K134" i="8"/>
  <c r="K83" i="8" s="1"/>
  <c r="K80" i="8" s="1"/>
  <c r="K94" i="8" s="1"/>
  <c r="K99" i="8" s="1"/>
  <c r="AA12" i="8"/>
  <c r="J279" i="8"/>
  <c r="K234" i="8" l="1"/>
  <c r="Z10" i="8" s="1"/>
  <c r="K81" i="8"/>
  <c r="K168" i="8"/>
  <c r="K250" i="8"/>
  <c r="K262" i="8" s="1"/>
  <c r="Y13" i="8" s="1"/>
  <c r="K150" i="8"/>
  <c r="K100" i="8"/>
  <c r="L174" i="8" l="1"/>
  <c r="L176" i="8"/>
  <c r="K275" i="8"/>
  <c r="K181" i="8"/>
  <c r="K183" i="8" s="1"/>
  <c r="K106" i="8" s="1"/>
  <c r="AD13" i="8" s="1"/>
  <c r="L260" i="8" l="1"/>
  <c r="AC14" i="8" s="1"/>
  <c r="L134" i="8"/>
  <c r="L83" i="8" s="1"/>
  <c r="AA13" i="8"/>
  <c r="K279" i="8"/>
  <c r="L80" i="8" l="1"/>
  <c r="L94" i="8" s="1"/>
  <c r="L99" i="8" s="1"/>
  <c r="L234" i="8"/>
  <c r="Z11" i="8" s="1"/>
  <c r="L81" i="8" l="1"/>
  <c r="L168" i="8"/>
  <c r="L275" i="8" s="1"/>
  <c r="L250" i="8"/>
  <c r="L262" i="8" s="1"/>
  <c r="Y14" i="8" s="1"/>
  <c r="L150" i="8"/>
  <c r="L100" i="8"/>
  <c r="M176" i="8" l="1"/>
  <c r="M174" i="8"/>
  <c r="L181" i="8"/>
  <c r="L183" i="8" s="1"/>
  <c r="L106" i="8" s="1"/>
  <c r="AD14" i="8" s="1"/>
  <c r="AA14" i="8"/>
  <c r="L279" i="8"/>
  <c r="M134" i="8" l="1"/>
  <c r="M83" i="8" s="1"/>
  <c r="M80" i="8" s="1"/>
  <c r="M260" i="8"/>
  <c r="M94" i="8" l="1"/>
  <c r="M99" i="8" s="1"/>
  <c r="M100" i="8" s="1"/>
  <c r="M81" i="8"/>
  <c r="M234" i="8"/>
  <c r="Z12" i="8" s="1"/>
  <c r="M250" i="8" l="1"/>
  <c r="M262" i="8" s="1"/>
  <c r="M168" i="8"/>
  <c r="M181" i="8" s="1"/>
  <c r="M150" i="8"/>
  <c r="N176" i="8" l="1"/>
  <c r="N174" i="8"/>
  <c r="M275" i="8"/>
  <c r="M279" i="8" s="1"/>
  <c r="M183" i="8"/>
  <c r="M106" i="8" s="1"/>
  <c r="N260" i="8" l="1"/>
  <c r="N134" i="8"/>
  <c r="N83" i="8" s="1"/>
  <c r="N80" i="8" l="1"/>
  <c r="N234" i="8"/>
  <c r="Z13" i="8" s="1"/>
  <c r="N94" i="8" l="1"/>
  <c r="N99" i="8" s="1"/>
  <c r="N81" i="8"/>
  <c r="N250" i="8" l="1"/>
  <c r="N262" i="8" s="1"/>
  <c r="N150" i="8"/>
  <c r="N100" i="8"/>
  <c r="N168" i="8"/>
  <c r="N275" i="8" l="1"/>
  <c r="N279" i="8" s="1"/>
  <c r="N181" i="8"/>
  <c r="N183" i="8" s="1"/>
  <c r="N106" i="8" s="1"/>
  <c r="O176" i="8"/>
  <c r="O174" i="8"/>
  <c r="O260" i="8" l="1"/>
  <c r="O134" i="8"/>
  <c r="O83" i="8" s="1"/>
  <c r="O80" i="8" s="1"/>
  <c r="O234" i="8" l="1"/>
  <c r="Z14" i="8" s="1"/>
  <c r="O94" i="8"/>
  <c r="O99" i="8" s="1"/>
  <c r="O81" i="8"/>
  <c r="O168" i="8" l="1"/>
  <c r="O250" i="8"/>
  <c r="O262" i="8" s="1"/>
  <c r="O150" i="8"/>
  <c r="O100" i="8"/>
  <c r="P176" i="8" l="1"/>
  <c r="P174" i="8"/>
  <c r="O275" i="8"/>
  <c r="O279" i="8" s="1"/>
  <c r="O181" i="8"/>
  <c r="O183" i="8" s="1"/>
  <c r="O106" i="8" s="1"/>
  <c r="P260" i="8" l="1"/>
  <c r="P134" i="8"/>
  <c r="P83" i="8" l="1"/>
  <c r="P80" i="8" s="1"/>
  <c r="P234" i="8" l="1"/>
  <c r="P94" i="8" l="1"/>
  <c r="P99" i="8" s="1"/>
  <c r="P81" i="8"/>
  <c r="P168" i="8" l="1"/>
  <c r="P250" i="8"/>
  <c r="P262" i="8" s="1"/>
  <c r="P150" i="8"/>
  <c r="P100" i="8"/>
  <c r="Q176" i="8" l="1"/>
  <c r="R176" i="8" s="1"/>
  <c r="Q174" i="8"/>
  <c r="P275" i="8"/>
  <c r="P279" i="8" s="1"/>
  <c r="P181" i="8"/>
  <c r="P183" i="8" s="1"/>
  <c r="P106" i="8" s="1"/>
  <c r="Q260" i="8" l="1"/>
  <c r="Q134" i="8"/>
  <c r="Q83" i="8" l="1"/>
  <c r="Q80" i="8" s="1"/>
  <c r="Q234" i="8" l="1"/>
  <c r="Q238" i="8" l="1"/>
  <c r="Q239" i="8" s="1"/>
  <c r="Q240" i="8" s="1"/>
  <c r="Q241" i="8" s="1"/>
  <c r="Q242" i="8" s="1"/>
  <c r="Q244" i="8" s="1"/>
  <c r="Q94" i="8"/>
  <c r="Q99" i="8" s="1"/>
  <c r="Q81" i="8"/>
  <c r="Q168" i="8" l="1"/>
  <c r="Q275" i="8" s="1"/>
  <c r="Q279" i="8" s="1"/>
  <c r="Q250" i="8"/>
  <c r="Q262" i="8" s="1"/>
  <c r="Q150" i="8"/>
  <c r="Q100" i="8"/>
  <c r="Q265" i="8" l="1"/>
  <c r="Q266" i="8" s="1"/>
  <c r="Q281" i="8"/>
  <c r="Q181" i="8"/>
  <c r="Q183" i="8" s="1"/>
  <c r="Q106" i="8" s="1"/>
  <c r="L9" i="8"/>
  <c r="E6" i="27"/>
  <c r="C12" i="8" l="1"/>
  <c r="J263" i="8" s="1"/>
  <c r="G6" i="27"/>
  <c r="H6" i="27"/>
  <c r="D6" i="27"/>
  <c r="F6" i="27"/>
  <c r="F9" i="8"/>
  <c r="AA211" i="8" l="1"/>
  <c r="J211" i="8"/>
  <c r="Q282" i="8"/>
  <c r="Q285" i="8" s="1"/>
  <c r="Q287" i="8" s="1"/>
  <c r="M211" i="8"/>
  <c r="N211" i="8"/>
  <c r="U210" i="8"/>
  <c r="I211" i="8"/>
  <c r="X210" i="8"/>
  <c r="W210" i="8"/>
  <c r="Y211" i="8"/>
  <c r="V210" i="8"/>
  <c r="Y210" i="8"/>
  <c r="K211" i="8"/>
  <c r="W211" i="8"/>
  <c r="P263" i="8"/>
  <c r="O263" i="8"/>
  <c r="P211" i="8"/>
  <c r="Q216" i="8"/>
  <c r="R217" i="8" s="1"/>
  <c r="L211" i="8"/>
  <c r="I263" i="8"/>
  <c r="AC211" i="8"/>
  <c r="AC210" i="8"/>
  <c r="Q211" i="8"/>
  <c r="X211" i="8"/>
  <c r="AB211" i="8"/>
  <c r="O211" i="8"/>
  <c r="L263" i="8"/>
  <c r="K263" i="8"/>
  <c r="AB210" i="8"/>
  <c r="V211" i="8"/>
  <c r="U211" i="8"/>
  <c r="H263" i="8"/>
  <c r="T211" i="8"/>
  <c r="N263" i="8"/>
  <c r="AA210" i="8"/>
  <c r="Q263" i="8"/>
  <c r="L216" i="8"/>
  <c r="L217" i="8" s="1"/>
  <c r="H211" i="8"/>
  <c r="M263" i="8"/>
  <c r="S217" i="8" l="1"/>
  <c r="S218" i="8" s="1"/>
  <c r="Q283" i="8"/>
  <c r="Q217" i="8"/>
  <c r="Q218" i="8" s="1"/>
  <c r="Q223" i="8" s="1"/>
  <c r="Q226" i="8" s="1"/>
  <c r="AO313" i="8" s="1"/>
  <c r="Q267" i="8"/>
  <c r="Q269" i="8" s="1"/>
  <c r="Q271" i="8" s="1"/>
  <c r="R218" i="8"/>
  <c r="Q8" i="11" s="1"/>
  <c r="Q20" i="19" s="1"/>
  <c r="S223" i="8" l="1"/>
  <c r="R10" i="11" s="1"/>
  <c r="R22" i="19" s="1"/>
  <c r="R9" i="11"/>
  <c r="R21" i="19" s="1"/>
  <c r="R8" i="11"/>
  <c r="R20" i="19" s="1"/>
  <c r="Q9" i="11"/>
  <c r="Q21" i="19" s="1"/>
  <c r="Q6" i="11"/>
  <c r="Q18" i="19" s="1"/>
  <c r="R6" i="11"/>
  <c r="R18" i="19" s="1"/>
  <c r="AO303" i="8"/>
  <c r="Q229" i="8"/>
  <c r="U11" i="19" s="1"/>
  <c r="R223" i="8"/>
  <c r="Q7" i="11" s="1"/>
  <c r="Q19" i="19" s="1"/>
  <c r="U10" i="19"/>
  <c r="R11" i="11" l="1"/>
  <c r="R23" i="19" s="1"/>
  <c r="R7" i="11"/>
  <c r="R19" i="19" s="1"/>
  <c r="Q10" i="11"/>
  <c r="Q22" i="19" s="1"/>
  <c r="Q11" i="11"/>
  <c r="Q23"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mafalda</author>
  </authors>
  <commentList>
    <comment ref="F6" authorId="0" shapeId="0" xr:uid="{00000000-0006-0000-0100-000001000000}">
      <text>
        <r>
          <rPr>
            <b/>
            <sz val="9"/>
            <color rgb="FF000000"/>
            <rFont val="Tahoma"/>
            <family val="2"/>
          </rPr>
          <t xml:space="preserve">Company didn't disclose the data due to changes in accounting standards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tc={D7EECACE-ADB5-4C07-880B-5A112B571DA9}</author>
    <author>tc={4B45E022-6555-D646-95BA-9D7611FD510A}</author>
    <author>tc={0DCC861D-C8C0-6A49-8E81-901021EF7FC0}</author>
    <author>tc={F4C35B29-1860-164F-8C5C-CB764A4E93CD}</author>
    <author>tc={C1400E50-E0A3-F047-86DE-E3890B7B9B91}</author>
    <author>tc={B303D0E3-16B5-2E43-8B18-F99D8D17AE7F}</author>
    <author>tc={3AFCCE97-A530-584E-934E-C6E18481E9A3}</author>
    <author>tc={FCFD1CD3-A114-484B-8748-A0C7DFA06D85}</author>
    <author>tc={E33829B0-71C1-084D-82B1-9BF4EE41D08C}</author>
    <author>tc={8B731E24-AF61-4F4D-B1E6-EC41CC63E1A4}</author>
    <author>tc={3388313D-577A-5846-BD2E-7360BA41E6C1}</author>
    <author>tc={8C3E7A14-83E7-4597-AD01-26920EE51D77}</author>
  </authors>
  <commentList>
    <comment ref="K36" authorId="0" shapeId="0" xr:uid="{D7EECACE-ADB5-4C07-880B-5A112B571DA9}">
      <text>
        <t>[Threaded comment]
Your version of Excel allows you to read this threaded comment; however, any edits to it will get removed if the file is opened in a newer version of Excel. Learn more: https://go.microsoft.com/fwlink/?linkid=870924
Comment:
    There are inconsistent values: it seems that scope 1 and 2 have a reduction of approximately 9% (from FY 2022 to FY 2023) by the inputs found in the impact reports. However, it was reported there was a reduction of 94%.</t>
      </text>
    </comment>
    <comment ref="H42" authorId="1" shapeId="0" xr:uid="{4B45E022-6555-D646-95BA-9D7611FD510A}">
      <text>
        <t>[Threaded comment]
Your version of Excel allows you to read this threaded comment; however, any edits to it will get removed if the file is opened in a newer version of Excel. Learn more: https://go.microsoft.com/fwlink/?linkid=870924
Comment:
    Source: beautypackaging</t>
      </text>
    </comment>
    <comment ref="O49" authorId="2" shapeId="0" xr:uid="{0DCC861D-C8C0-6A49-8E81-901021EF7FC0}">
      <text>
        <t>[Threaded comment]
Your version of Excel allows you to read this threaded comment; however, any edits to it will get removed if the file is opened in a newer version of Excel. Learn more: https://go.microsoft.com/fwlink/?linkid=870924
Comment:
    Source: glassdoor</t>
      </text>
    </comment>
    <comment ref="H55" authorId="3" shapeId="0" xr:uid="{F4C35B29-1860-164F-8C5C-CB764A4E93CD}">
      <text>
        <t>[Threaded comment]
Your version of Excel allows you to read this threaded comment; however, any edits to it will get removed if the file is opened in a newer version of Excel. Learn more: https://go.microsoft.com/fwlink/?linkid=870924
Comment:
    Didn’t find specific targets</t>
      </text>
    </comment>
    <comment ref="K57" authorId="4" shapeId="0" xr:uid="{C1400E50-E0A3-F047-86DE-E3890B7B9B91}">
      <text>
        <t>[Threaded comment]
Your version of Excel allows you to read this threaded comment; however, any edits to it will get removed if the file is opened in a newer version of Excel. Learn more: https://go.microsoft.com/fwlink/?linkid=870924
Comment:
    In 2019, e.l.f. beauty inc. was fined for violating sanctions against North Korea, by using its labor through Chinese suppliers.</t>
      </text>
    </comment>
    <comment ref="O59" authorId="5" shapeId="0" xr:uid="{B303D0E3-16B5-2E43-8B18-F99D8D17AE7F}">
      <text>
        <t>[Threaded comment]
Your version of Excel allows you to read this threaded comment; however, any edits to it will get removed if the file is opened in a newer version of Excel. Learn more: https://go.microsoft.com/fwlink/?linkid=870924
Comment:
    Source: beautypackaging</t>
      </text>
    </comment>
    <comment ref="K61" authorId="6" shapeId="0" xr:uid="{3AFCCE97-A530-584E-934E-C6E18481E9A3}">
      <text>
        <t>[Threaded comment]
Your version of Excel allows you to read this threaded comment; however, any edits to it will get removed if the file is opened in a newer version of Excel. Learn more: https://go.microsoft.com/fwlink/?linkid=870924
Comment:
    Source: official SEC filing, 2024 proxy statement</t>
      </text>
    </comment>
    <comment ref="H63" authorId="7" shapeId="0" xr:uid="{FCFD1CD3-A114-484B-8748-A0C7DFA06D85}">
      <text>
        <t>[Threaded comment]
Your version of Excel allows you to read this threaded comment; however, any edits to it will get removed if the file is opened in a newer version of Excel. Learn more: https://go.microsoft.com/fwlink/?linkid=870924
Comment:
    “Mica is a naturally occurring mineral used to provide opacity and pearlescent appearance” in their products. - 2024 impact report</t>
      </text>
    </comment>
    <comment ref="O69" authorId="8" shapeId="0" xr:uid="{E33829B0-71C1-084D-82B1-9BF4EE41D08C}">
      <text>
        <t>[Threaded comment]
Your version of Excel allows you to read this threaded comment; however, any edits to it will get removed if the file is opened in a newer version of Excel. Learn more: https://go.microsoft.com/fwlink/?linkid=870924
Comment:
    Source: top class actions</t>
      </text>
    </comment>
    <comment ref="O80" authorId="9" shapeId="0" xr:uid="{8B731E24-AF61-4F4D-B1E6-EC41CC63E1A4}">
      <text>
        <t>[Threaded comment]
Your version of Excel allows you to read this threaded comment; however, any edits to it will get removed if the file is opened in a newer version of Excel. Learn more: https://go.microsoft.com/fwlink/?linkid=870924
Comment:
    Source: Street Insider</t>
      </text>
    </comment>
    <comment ref="H84" authorId="10" shapeId="0" xr:uid="{3388313D-577A-5846-BD2E-7360BA41E6C1}">
      <text>
        <t>[Threaded comment]
Your version of Excel allows you to read this threaded comment; however, any edits to it will get removed if the file is opened in a newer version of Excel. Learn more: https://go.microsoft.com/fwlink/?linkid=870924
Comment:
    I couldn’t find any specific targets related to this topic</t>
      </text>
    </comment>
    <comment ref="E92" authorId="11" shapeId="0" xr:uid="{8C3E7A14-83E7-4597-AD01-26920EE51D77}">
      <text>
        <t>[Threaded comment]
Your version of Excel allows you to read this threaded comment; however, any edits to it will get removed if the file is opened in a newer version of Excel. Learn more: https://go.microsoft.com/fwlink/?linkid=870924
Comment:
    I could not find any bonuses to employees and mangers for esg-compensation related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tc={D5951190-896D-CE4C-BB93-1B8CE513EDF2}</author>
    <author>tc={FC9F2173-54E2-B742-A70F-951B9D4AB6CD}</author>
    <author>tc={B3DFF976-F9D3-49BC-B60E-09297130ABF0}</author>
    <author>tc={6BB4F896-D12D-AB42-937B-4E5E2B7879C6}</author>
  </authors>
  <commentList>
    <comment ref="Q6" authorId="0" shapeId="0" xr:uid="{D5951190-896D-CE4C-BB93-1B8CE513EDF2}">
      <text>
        <t>[Threaded comment]
Your version of Excel allows you to read this threaded comment; however, any edits to it will get removed if the file is opened in a newer version of Excel. Learn more: https://go.microsoft.com/fwlink/?linkid=870924
Comment:
    Source : https://www.elfbeauty.com/pdfs/e-l-f-beauty-climate-change-and-emissions-policy-sept-2024-vdraft.pdf</t>
      </text>
    </comment>
    <comment ref="B35" authorId="1" shapeId="0" xr:uid="{FC9F2173-54E2-B742-A70F-951B9D4AB6CD}">
      <text>
        <t>[Threaded comment]
Your version of Excel allows you to read this threaded comment; however, any edits to it will get removed if the file is opened in a newer version of Excel. Learn more: https://go.microsoft.com/fwlink/?linkid=870924
Comment:
    In the report, there is only available the total energy consumption, in kwh</t>
      </text>
    </comment>
    <comment ref="B37" authorId="2" shapeId="0" xr:uid="{B3DFF976-F9D3-49BC-B60E-09297130ABF0}">
      <text>
        <t>[Threaded comment]
Your version of Excel allows you to read this threaded comment; however, any edits to it will get removed if the file is opened in a newer version of Excel. Learn more: https://go.microsoft.com/fwlink/?linkid=870924
Comment:
    I converted the values reported in gigajoules to kwh</t>
      </text>
    </comment>
    <comment ref="N63" authorId="3" shapeId="0" xr:uid="{6BB4F896-D12D-AB42-937B-4E5E2B7879C6}">
      <text>
        <t>[Threaded comment]
Your version of Excel allows you to read this threaded comment; however, any edits to it will get removed if the file is opened in a newer version of Excel. Learn more: https://go.microsoft.com/fwlink/?linkid=870924
Comment:
    In tons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erico metzner</author>
    <author>José Ricardo Ramos Duro Godinho</author>
    <author>Raul Vasconcelos</author>
    <author>Érico Debesaitis Metzner</author>
    <author>Raul Vasconcelos da Silva</author>
  </authors>
  <commentList>
    <comment ref="E20" authorId="0" shapeId="0" xr:uid="{37E9D32B-202D-41F6-ADA6-DD80789A34A1}">
      <text>
        <r>
          <rPr>
            <sz val="11"/>
            <color theme="1"/>
            <rFont val="Arial"/>
            <family val="2"/>
          </rPr>
          <t>Guest:
https://www.statista.com/study/39182/beauty-health-personal-household-care/</t>
        </r>
      </text>
    </comment>
    <comment ref="L20" authorId="0" shapeId="0" xr:uid="{9298B4F9-2914-4366-A908-4F2CEF3F04A1}">
      <text>
        <r>
          <rPr>
            <sz val="11"/>
            <color theme="1"/>
            <rFont val="Arial"/>
            <family val="2"/>
          </rPr>
          <t xml:space="preserve">Guest:
Valor do Statista para 2029.
Todo CAGR e valores subjacentes são retirados a partir do crescimento desse em relação a 2024
</t>
        </r>
      </text>
    </comment>
    <comment ref="O29" authorId="1" shapeId="0" xr:uid="{38AD3D82-9DC7-4D3A-A83E-8F9569C67A00}">
      <text>
        <r>
          <rPr>
            <sz val="11"/>
            <color theme="1"/>
            <rFont val="Arial"/>
            <family val="2"/>
          </rPr>
          <t>Guest: Ends here, extrapolated from here on</t>
        </r>
      </text>
    </comment>
    <comment ref="E30" authorId="0" shapeId="0" xr:uid="{3CE74C87-4705-4920-9D99-D36EE480BCD5}">
      <text>
        <r>
          <rPr>
            <sz val="11"/>
            <color theme="1"/>
            <rFont val="Arial"/>
            <family val="2"/>
          </rPr>
          <t>Guest:
www.statista.com/statistics/257527/us-health-and-personal-care-e-co</t>
        </r>
      </text>
    </comment>
    <comment ref="L30" authorId="1" shapeId="0" xr:uid="{2D0A69DD-6356-4746-AAF5-97B99B5D6ED3}">
      <text>
        <r>
          <rPr>
            <sz val="11"/>
            <color theme="1"/>
            <rFont val="Arial"/>
            <family val="2"/>
          </rPr>
          <t>Guest: Termina aqui os dados, o resto é estentido</t>
        </r>
      </text>
    </comment>
    <comment ref="B57" authorId="2" shapeId="0" xr:uid="{F4D44E52-8191-4F12-A9CC-5CDE6FAB997B}">
      <text>
        <r>
          <rPr>
            <b/>
            <sz val="9"/>
            <color indexed="81"/>
            <rFont val="Tahoma"/>
            <family val="2"/>
          </rPr>
          <t>Raul Vasconcelos:</t>
        </r>
        <r>
          <rPr>
            <sz val="9"/>
            <color indexed="81"/>
            <rFont val="Tahoma"/>
            <family val="2"/>
          </rPr>
          <t xml:space="preserve">
Forecast based on historical percentages or growth assumptions</t>
        </r>
      </text>
    </comment>
    <comment ref="B60" authorId="2" shapeId="0" xr:uid="{65F16E08-DD05-494E-82A0-0C4742BB4B53}">
      <text>
        <r>
          <rPr>
            <b/>
            <sz val="9"/>
            <color indexed="81"/>
            <rFont val="Tahoma"/>
            <family val="2"/>
          </rPr>
          <t>Raul Vasconcelos:</t>
        </r>
        <r>
          <rPr>
            <sz val="9"/>
            <color indexed="81"/>
            <rFont val="Tahoma"/>
            <family val="2"/>
          </rPr>
          <t xml:space="preserve">
Forecast based on company policy, industry trends, or as a percentage of sales</t>
        </r>
      </text>
    </comment>
    <comment ref="H61" authorId="1" shapeId="0" xr:uid="{BE62DA2B-8F35-4321-8C11-858DEECDE2DD}">
      <text>
        <r>
          <rPr>
            <sz val="11"/>
            <color theme="1"/>
            <rFont val="Arial"/>
            <family val="2"/>
          </rPr>
          <t xml:space="preserve">Guest: Doesn't report
</t>
        </r>
      </text>
    </comment>
    <comment ref="H68" authorId="3" shapeId="0" xr:uid="{8908D648-18FF-4B53-B025-D4E0D8A6BB90}">
      <text>
        <r>
          <rPr>
            <sz val="11"/>
            <color theme="1"/>
            <rFont val="Arial"/>
            <family val="2"/>
          </rPr>
          <t>Guest:
Calculado a partir da taxa de depreciação abaixo sobre PP&amp;E, ROU assets e Intangible.</t>
        </r>
      </text>
    </comment>
    <comment ref="H75" authorId="3" shapeId="0" xr:uid="{3248DB64-59E2-4085-A21E-C0BD2FA97F78}">
      <text>
        <r>
          <rPr>
            <sz val="11"/>
            <color theme="1"/>
            <rFont val="Arial"/>
            <family val="2"/>
          </rPr>
          <t xml:space="preserve">Guest:
Doensn't Report Amortization
</t>
        </r>
      </text>
    </comment>
    <comment ref="B90" authorId="4" shapeId="0" xr:uid="{3E50B4D8-416F-47C9-8C23-78D055DF78F0}">
      <text>
        <r>
          <rPr>
            <sz val="11"/>
            <color theme="1"/>
            <rFont val="Arial"/>
            <family val="2"/>
          </rPr>
          <t>Forecast as % of revenue for maximum simplicity. It is encouraged to build a more complex model using bond yields, exchange rates and exposure to each region (not always necessary)</t>
        </r>
      </text>
    </comment>
    <comment ref="B124" authorId="4" shapeId="0" xr:uid="{623FA297-CF17-4487-A37F-428F8FA7501E}">
      <text>
        <r>
          <rPr>
            <sz val="11"/>
            <color theme="1"/>
            <rFont val="Arial"/>
            <family val="2"/>
          </rPr>
          <t xml:space="preserve">There's no correlation possible, so we predict little growth until a new aquisition is made.
</t>
        </r>
      </text>
    </comment>
    <comment ref="B143" authorId="4" shapeId="0" xr:uid="{AA2C459D-CA27-4DAE-B9D8-E9A4EE960323}">
      <text>
        <r>
          <rPr>
            <sz val="11"/>
            <color theme="1"/>
            <rFont val="Arial"/>
            <family val="2"/>
          </rPr>
          <t xml:space="preserve">Usually part of SG&amp;A expenses, but sometimes can be part of R&amp;D expenses, i.e. tech/engineering companies </t>
        </r>
      </text>
    </comment>
    <comment ref="B159" authorId="4" shapeId="0" xr:uid="{5B3D0D15-E9B1-4044-9A40-BFE3865D2405}">
      <text>
        <r>
          <rPr>
            <sz val="11"/>
            <color theme="1"/>
            <rFont val="Arial"/>
            <family val="2"/>
          </rPr>
          <t>Forecast separately based on what you find to be the best factor</t>
        </r>
      </text>
    </comment>
    <comment ref="H166" authorId="3" shapeId="0" xr:uid="{10A7CC80-4AF6-4088-9523-1F46C9FC60DC}">
      <text>
        <r>
          <rPr>
            <sz val="11"/>
            <color theme="1"/>
            <rFont val="Arial"/>
            <family val="2"/>
          </rPr>
          <t xml:space="preserve">Guest:
Company didn't pay dividends since 2016
</t>
        </r>
      </text>
    </comment>
    <comment ref="K168" authorId="1" shapeId="0" xr:uid="{3102D447-3827-4DDA-BB2A-CE65B1260A45}">
      <text>
        <r>
          <rPr>
            <sz val="11"/>
            <color theme="1"/>
            <rFont val="Arial"/>
            <family val="2"/>
          </rPr>
          <t>José Ricardo Ramos Duro Godinho:
Current buyback plan ends here, but we believe it should carry on, having the same weight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erico metzner</author>
    <author>José Ricardo Ramos Duro Godinho</author>
    <author>Raul Vasconcelos</author>
    <author>Érico Debesaitis Metzner</author>
    <author>Raul Vasconcelos da Silva</author>
  </authors>
  <commentList>
    <comment ref="E20" authorId="0" shapeId="0" xr:uid="{DB490958-AC76-4A50-8058-03EB8434913B}">
      <text>
        <r>
          <rPr>
            <sz val="11"/>
            <color theme="1"/>
            <rFont val="Arial"/>
            <family val="2"/>
          </rPr>
          <t>Guest:
https://www.statista.com/study/39182/beauty-health-personal-household-care/</t>
        </r>
      </text>
    </comment>
    <comment ref="L20" authorId="0" shapeId="0" xr:uid="{08F76A55-8B6E-4375-BCA4-B256F6965384}">
      <text>
        <r>
          <rPr>
            <sz val="11"/>
            <color theme="1"/>
            <rFont val="Arial"/>
            <family val="2"/>
          </rPr>
          <t xml:space="preserve">Guest:
Valor do Statista para 2029.
Todo CAGR e valores subjacentes são retirados a partir do crescimento desse em relação a 2024
</t>
        </r>
      </text>
    </comment>
    <comment ref="O29" authorId="1" shapeId="0" xr:uid="{0368F4D4-1ED1-4B9E-A89C-A1FD9711AD33}">
      <text>
        <r>
          <rPr>
            <sz val="11"/>
            <color theme="1"/>
            <rFont val="Arial"/>
            <family val="2"/>
          </rPr>
          <t>Guest: Ends here, extrapolated from here on</t>
        </r>
      </text>
    </comment>
    <comment ref="E30" authorId="0" shapeId="0" xr:uid="{99732953-F7EF-40CC-BAEF-4F89FCA899F0}">
      <text>
        <r>
          <rPr>
            <sz val="11"/>
            <color theme="1"/>
            <rFont val="Arial"/>
            <family val="2"/>
          </rPr>
          <t>Guest:
www.statista.com/statistics/257527/us-health-and-personal-care-e-co</t>
        </r>
      </text>
    </comment>
    <comment ref="L30" authorId="1" shapeId="0" xr:uid="{4D6C35C6-16C2-4F98-AEBD-E5BB91AA6441}">
      <text>
        <r>
          <rPr>
            <sz val="11"/>
            <color theme="1"/>
            <rFont val="Arial"/>
            <family val="2"/>
          </rPr>
          <t>Guest: Termina aqui os dados, o resto é estentido</t>
        </r>
      </text>
    </comment>
    <comment ref="B57" authorId="2" shapeId="0" xr:uid="{00000000-0006-0000-0600-000003000000}">
      <text>
        <r>
          <rPr>
            <b/>
            <sz val="9"/>
            <color indexed="81"/>
            <rFont val="Tahoma"/>
            <family val="2"/>
          </rPr>
          <t>Raul Vasconcelos:</t>
        </r>
        <r>
          <rPr>
            <sz val="9"/>
            <color indexed="81"/>
            <rFont val="Tahoma"/>
            <family val="2"/>
          </rPr>
          <t xml:space="preserve">
Forecast based on historical percentages or growth assumptions</t>
        </r>
      </text>
    </comment>
    <comment ref="B60" authorId="2" shapeId="0" xr:uid="{00000000-0006-0000-0600-000004000000}">
      <text>
        <r>
          <rPr>
            <b/>
            <sz val="9"/>
            <color indexed="81"/>
            <rFont val="Tahoma"/>
            <family val="2"/>
          </rPr>
          <t>Raul Vasconcelos:</t>
        </r>
        <r>
          <rPr>
            <sz val="9"/>
            <color indexed="81"/>
            <rFont val="Tahoma"/>
            <family val="2"/>
          </rPr>
          <t xml:space="preserve">
Forecast based on company policy, industry trends, or as a percentage of sales</t>
        </r>
      </text>
    </comment>
    <comment ref="H61" authorId="1" shapeId="0" xr:uid="{FF261732-3265-40F9-9DD6-D76258A2FC20}">
      <text>
        <r>
          <rPr>
            <sz val="11"/>
            <color theme="1"/>
            <rFont val="Arial"/>
            <family val="2"/>
          </rPr>
          <t xml:space="preserve">Guest: Doesn't report
</t>
        </r>
      </text>
    </comment>
    <comment ref="H68" authorId="3" shapeId="0" xr:uid="{CBB2C7E8-3A2E-4F4C-A44F-354689C41942}">
      <text>
        <r>
          <rPr>
            <sz val="11"/>
            <color theme="1"/>
            <rFont val="Arial"/>
            <family val="2"/>
          </rPr>
          <t>Guest:
Calculado a partir da taxa de depreciação abaixo sobre PP&amp;E, ROU assets e Intangible.</t>
        </r>
      </text>
    </comment>
    <comment ref="H75" authorId="3" shapeId="0" xr:uid="{B4CC9B99-E3B7-4A4C-B796-0133B36A16F2}">
      <text>
        <r>
          <rPr>
            <sz val="11"/>
            <color theme="1"/>
            <rFont val="Arial"/>
            <family val="2"/>
          </rPr>
          <t xml:space="preserve">Guest:
Doensn't Report Amortization
</t>
        </r>
      </text>
    </comment>
    <comment ref="B90" authorId="4" shapeId="0" xr:uid="{00000000-0006-0000-0600-000005000000}">
      <text>
        <r>
          <rPr>
            <sz val="11"/>
            <color theme="1"/>
            <rFont val="Arial"/>
            <family val="2"/>
          </rPr>
          <t>Forecast as % of revenue for maximum simplicity. It is encouraged to build a more complex model using bond yields, exchange rates and exposure to each region (not always necessary)</t>
        </r>
      </text>
    </comment>
    <comment ref="B124" authorId="4" shapeId="0" xr:uid="{00000000-0006-0000-0600-000006000000}">
      <text>
        <r>
          <rPr>
            <sz val="11"/>
            <color theme="1"/>
            <rFont val="Arial"/>
            <family val="2"/>
          </rPr>
          <t xml:space="preserve">There's no correlation possible, so we predict little growth until a new aquisition is made.
</t>
        </r>
      </text>
    </comment>
    <comment ref="B143" authorId="4" shapeId="0" xr:uid="{00000000-0006-0000-0600-000008000000}">
      <text>
        <r>
          <rPr>
            <sz val="11"/>
            <color theme="1"/>
            <rFont val="Arial"/>
            <family val="2"/>
          </rPr>
          <t xml:space="preserve">Usually part of SG&amp;A expenses, but sometimes can be part of R&amp;D expenses, i.e. tech/engineering companies </t>
        </r>
      </text>
    </comment>
    <comment ref="B159" authorId="4" shapeId="0" xr:uid="{00000000-0006-0000-0600-00000A000000}">
      <text>
        <r>
          <rPr>
            <sz val="11"/>
            <color theme="1"/>
            <rFont val="Arial"/>
            <family val="2"/>
          </rPr>
          <t>Forecast separately based on what you find to be the best factor</t>
        </r>
      </text>
    </comment>
    <comment ref="H166" authorId="3" shapeId="0" xr:uid="{DFF3A4AC-27BD-4B32-A084-9801A44A4A4E}">
      <text>
        <r>
          <rPr>
            <sz val="11"/>
            <color theme="1"/>
            <rFont val="Arial"/>
            <family val="2"/>
          </rPr>
          <t xml:space="preserve">Guest:
Company didn't pay dividends since 2016
</t>
        </r>
      </text>
    </comment>
    <comment ref="K168" authorId="1" shapeId="0" xr:uid="{D3EABD2B-1085-4DCE-A26D-C026E09304AB}">
      <text>
        <r>
          <rPr>
            <sz val="11"/>
            <color theme="1"/>
            <rFont val="Arial"/>
            <family val="2"/>
          </rPr>
          <t>José Ricardo Ramos Duro Godinho:
Current buyback plan ends here, but we believe it should carry on, having the same weight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erico metzner</author>
    <author>José Ricardo Ramos Duro Godinho</author>
    <author>Raul Vasconcelos</author>
    <author>Érico Debesaitis Metzner</author>
    <author>Raul Vasconcelos da Silva</author>
  </authors>
  <commentList>
    <comment ref="AK19" authorId="0" shapeId="0" xr:uid="{E028EDFB-CF77-4842-B655-7C9A71C8A6CD}">
      <text>
        <r>
          <rPr>
            <sz val="11"/>
            <color theme="1"/>
            <rFont val="Arial"/>
            <family val="2"/>
          </rPr>
          <t>Guest:
https://www.statista.com/study/39182/beauty-health-personal-household-care/</t>
        </r>
      </text>
    </comment>
    <comment ref="AR19" authorId="0" shapeId="0" xr:uid="{2920FAF6-EF3A-454F-93EE-DD3315967DA8}">
      <text>
        <r>
          <rPr>
            <sz val="11"/>
            <color theme="1"/>
            <rFont val="Arial"/>
            <family val="2"/>
          </rPr>
          <t xml:space="preserve">Guest:
Valor do Statista para 2029.
Todo CAGR e valores subjacentes são retirados a partir do crescimento desse em relação a 2024
</t>
        </r>
      </text>
    </comment>
    <comment ref="O29" authorId="1" shapeId="0" xr:uid="{EA9DC23A-917B-4CA5-911C-028404F92FB8}">
      <text>
        <r>
          <rPr>
            <sz val="11"/>
            <color theme="1"/>
            <rFont val="Arial"/>
            <family val="2"/>
          </rPr>
          <t>Guest: Ends here, extrapolated from here on</t>
        </r>
      </text>
    </comment>
    <comment ref="AK45" authorId="0" shapeId="0" xr:uid="{D68DE2A9-D91B-4BB2-8F9E-C8FB95E6C3AB}">
      <text>
        <r>
          <rPr>
            <sz val="11"/>
            <color theme="1"/>
            <rFont val="Arial"/>
            <family val="2"/>
          </rPr>
          <t>Guest:
www.statista.com/statistics/257527/us-health-and-personal-care-e-co</t>
        </r>
      </text>
    </comment>
    <comment ref="AR45" authorId="1" shapeId="0" xr:uid="{44A4DB54-3B5E-40FD-A833-789DAD4B370D}">
      <text>
        <r>
          <rPr>
            <sz val="11"/>
            <color theme="1"/>
            <rFont val="Arial"/>
            <family val="2"/>
          </rPr>
          <t>Guest: Termina aqui os dados, o resto é estentido</t>
        </r>
      </text>
    </comment>
    <comment ref="B57" authorId="2" shapeId="0" xr:uid="{662AA8E7-77E0-46DF-8D5C-0C589A77FE00}">
      <text>
        <r>
          <rPr>
            <b/>
            <sz val="9"/>
            <color indexed="81"/>
            <rFont val="Tahoma"/>
            <family val="2"/>
          </rPr>
          <t>Raul Vasconcelos:</t>
        </r>
        <r>
          <rPr>
            <sz val="9"/>
            <color indexed="81"/>
            <rFont val="Tahoma"/>
            <family val="2"/>
          </rPr>
          <t xml:space="preserve">
Forecast based on historical percentages or growth assumptions</t>
        </r>
      </text>
    </comment>
    <comment ref="B60" authorId="2" shapeId="0" xr:uid="{73846888-4269-4D81-972F-041143AF25D2}">
      <text>
        <r>
          <rPr>
            <b/>
            <sz val="9"/>
            <color indexed="81"/>
            <rFont val="Tahoma"/>
            <family val="2"/>
          </rPr>
          <t>Raul Vasconcelos:</t>
        </r>
        <r>
          <rPr>
            <sz val="9"/>
            <color indexed="81"/>
            <rFont val="Tahoma"/>
            <family val="2"/>
          </rPr>
          <t xml:space="preserve">
Forecast based on company policy, industry trends, or as a percentage of sales</t>
        </r>
      </text>
    </comment>
    <comment ref="H61" authorId="1" shapeId="0" xr:uid="{9FD1DDF6-AB1E-4847-89CB-0442E5C74EC7}">
      <text>
        <r>
          <rPr>
            <sz val="11"/>
            <color theme="1"/>
            <rFont val="Arial"/>
            <family val="2"/>
          </rPr>
          <t xml:space="preserve">Guest: Doesn't report
</t>
        </r>
      </text>
    </comment>
    <comment ref="H68" authorId="3" shapeId="0" xr:uid="{D28E3C13-6E57-4055-8D16-0516B2930D38}">
      <text>
        <r>
          <rPr>
            <sz val="11"/>
            <color theme="1"/>
            <rFont val="Arial"/>
            <family val="2"/>
          </rPr>
          <t>Guest:
Calculado a partir da taxa de depreciação abaixo sobre PP&amp;E, ROU assets e Intangible.</t>
        </r>
      </text>
    </comment>
    <comment ref="H75" authorId="3" shapeId="0" xr:uid="{CA7A8C43-0EB6-417C-ACFD-09DFA567F9FC}">
      <text>
        <r>
          <rPr>
            <sz val="11"/>
            <color theme="1"/>
            <rFont val="Arial"/>
            <family val="2"/>
          </rPr>
          <t xml:space="preserve">Guest:
Doensn't Report Amortization
</t>
        </r>
      </text>
    </comment>
    <comment ref="B90" authorId="4" shapeId="0" xr:uid="{5D362EEF-E5EA-45CD-A7D8-C555FB218F21}">
      <text>
        <r>
          <rPr>
            <sz val="11"/>
            <color theme="1"/>
            <rFont val="Arial"/>
            <family val="2"/>
          </rPr>
          <t>Forecast as % of revenue for maximum simplicity. It is encouraged to build a more complex model using bond yields, exchange rates and exposure to each region (not always necessary)</t>
        </r>
      </text>
    </comment>
    <comment ref="B124" authorId="4" shapeId="0" xr:uid="{2F160C86-2084-43FA-B62E-276F2D8D06DE}">
      <text>
        <r>
          <rPr>
            <sz val="11"/>
            <color theme="1"/>
            <rFont val="Arial"/>
            <family val="2"/>
          </rPr>
          <t xml:space="preserve">There's no correlation possible, so we predict little growth until a new aquisition is made.
</t>
        </r>
      </text>
    </comment>
    <comment ref="B143" authorId="4" shapeId="0" xr:uid="{07DEC049-FA01-42AA-A3A6-B285295173D4}">
      <text>
        <r>
          <rPr>
            <sz val="11"/>
            <color theme="1"/>
            <rFont val="Arial"/>
            <family val="2"/>
          </rPr>
          <t xml:space="preserve">Usually part of SG&amp;A expenses, but sometimes can be part of R&amp;D expenses, i.e. tech/engineering companies </t>
        </r>
      </text>
    </comment>
    <comment ref="B159" authorId="4" shapeId="0" xr:uid="{220CD1FA-4A1B-45DE-AE72-39D2F3D0D2D3}">
      <text>
        <r>
          <rPr>
            <sz val="11"/>
            <color theme="1"/>
            <rFont val="Arial"/>
            <family val="2"/>
          </rPr>
          <t>Forecast separately based on what you find to be the best factor</t>
        </r>
      </text>
    </comment>
    <comment ref="H166" authorId="3" shapeId="0" xr:uid="{7ACF93B4-245D-49F9-AE4C-AD3A280578CE}">
      <text>
        <r>
          <rPr>
            <sz val="11"/>
            <color theme="1"/>
            <rFont val="Arial"/>
            <family val="2"/>
          </rPr>
          <t xml:space="preserve">Guest:
Company didn't pay dividends since 2016
</t>
        </r>
      </text>
    </comment>
    <comment ref="K168" authorId="1" shapeId="0" xr:uid="{0EDDFF27-9334-4BF5-B2CA-EAB0DD65E210}">
      <text>
        <r>
          <rPr>
            <sz val="11"/>
            <color theme="1"/>
            <rFont val="Arial"/>
            <family val="2"/>
          </rPr>
          <t>José Ricardo Ramos Duro Godinho:
Current buyback plan ends here, but we believe it should carry on, having the same weight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Raul Vasconcelos</author>
  </authors>
  <commentList>
    <comment ref="L4" authorId="0" shapeId="0" xr:uid="{E7B0FE6F-E574-4115-9E72-9DCA50475640}">
      <text>
        <r>
          <rPr>
            <b/>
            <sz val="9"/>
            <color rgb="FF000000"/>
            <rFont val="Tahoma"/>
            <family val="2"/>
          </rPr>
          <t>User:</t>
        </r>
        <r>
          <rPr>
            <sz val="9"/>
            <color rgb="FF000000"/>
            <rFont val="Tahoma"/>
            <family val="2"/>
          </rPr>
          <t xml:space="preserve">
</t>
        </r>
        <r>
          <rPr>
            <sz val="9"/>
            <color rgb="FF000000"/>
            <rFont val="Tahoma"/>
            <family val="2"/>
          </rPr>
          <t xml:space="preserve">Company changed their Fiscal Year end from December to March. (Only the first 3 months from 2019 are not counted)
</t>
        </r>
      </text>
    </comment>
    <comment ref="B10" authorId="0" shapeId="0" xr:uid="{0497380E-2336-404A-BD8F-6B58BF5940DA}">
      <text>
        <r>
          <rPr>
            <b/>
            <sz val="9"/>
            <color rgb="FF000000"/>
            <rFont val="Tahoma"/>
            <family val="2"/>
          </rPr>
          <t>User:</t>
        </r>
        <r>
          <rPr>
            <sz val="9"/>
            <color rgb="FF000000"/>
            <rFont val="Tahoma"/>
            <family val="2"/>
          </rPr>
          <t xml:space="preserve">
</t>
        </r>
        <r>
          <rPr>
            <sz val="9"/>
            <color rgb="FF000000"/>
            <rFont val="Tahoma"/>
            <family val="2"/>
          </rPr>
          <t>They don't disclose</t>
        </r>
      </text>
    </comment>
    <comment ref="B13" authorId="0" shapeId="0" xr:uid="{D88539A1-B8C1-4E6A-AE40-4BAD520245B3}">
      <text>
        <r>
          <rPr>
            <b/>
            <sz val="9"/>
            <color rgb="FF000000"/>
            <rFont val="Tahoma"/>
            <family val="2"/>
          </rPr>
          <t>User:</t>
        </r>
        <r>
          <rPr>
            <sz val="9"/>
            <color rgb="FF000000"/>
            <rFont val="Tahoma"/>
            <family val="2"/>
          </rPr>
          <t xml:space="preserve">
</t>
        </r>
        <r>
          <rPr>
            <sz val="9"/>
            <color rgb="FF000000"/>
            <rFont val="Tahoma"/>
            <family val="2"/>
          </rPr>
          <t xml:space="preserve">Company only reports D&amp;A together
</t>
        </r>
        <r>
          <rPr>
            <sz val="9"/>
            <color rgb="FF000000"/>
            <rFont val="Tahoma"/>
            <family val="2"/>
          </rPr>
          <t>Predict D&amp;A together</t>
        </r>
      </text>
    </comment>
    <comment ref="B50" authorId="1" shapeId="0" xr:uid="{00000000-0006-0000-0800-000002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 ref="B55" authorId="1" shapeId="0" xr:uid="{00000000-0006-0000-0800-000003000000}">
      <text>
        <r>
          <rPr>
            <b/>
            <sz val="9"/>
            <color indexed="81"/>
            <rFont val="Tahoma"/>
            <family val="2"/>
          </rPr>
          <t>Raul Vasconcelos:</t>
        </r>
        <r>
          <rPr>
            <sz val="9"/>
            <color indexed="81"/>
            <rFont val="Tahoma"/>
            <family val="2"/>
          </rPr>
          <t xml:space="preserve">
Should include all interest-bearing liabilities with exception of Lease Liabilities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1">
    <bk>
      <extLst>
        <ext uri="{3e2802c4-a4d2-4d8b-9148-e3be6c30e623}">
          <xlrd:rvb i="0"/>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0"/>
        </ext>
      </extLst>
    </bk>
    <bk>
      <extLst>
        <ext uri="{3e2802c4-a4d2-4d8b-9148-e3be6c30e623}">
          <xlrd:rvb i="22"/>
        </ext>
      </extLst>
    </bk>
    <bk>
      <extLst>
        <ext uri="{3e2802c4-a4d2-4d8b-9148-e3be6c30e623}">
          <xlrd:rvb i="25"/>
        </ext>
      </extLst>
    </bk>
    <bk>
      <extLst>
        <ext uri="{3e2802c4-a4d2-4d8b-9148-e3be6c30e623}">
          <xlrd:rvb i="28"/>
        </ext>
      </extLst>
    </bk>
  </futureMetadata>
  <futureMetadata name="XLDAPR" count="1">
    <bk>
      <extLst>
        <ext uri="{bdbb8cdc-fa1e-496e-a857-3c3f30c029c3}">
          <xda:dynamicArrayProperties fDynamic="1" fCollapsed="0"/>
        </ext>
      </extLst>
    </bk>
  </futureMetadata>
  <cellMetadata count="1">
    <bk>
      <rc t="2" v="0"/>
    </bk>
  </cell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<sst xmlns="http://schemas.openxmlformats.org/spreadsheetml/2006/main" count="7974" uniqueCount="1366">
  <si>
    <t xml:space="preserve">             |   EQUITY RESEARCH </t>
  </si>
  <si>
    <t>Lisbon Investment Society Equity Research</t>
  </si>
  <si>
    <t>April 8, 2025</t>
  </si>
  <si>
    <t>Buy</t>
  </si>
  <si>
    <t>E.L.F. Beauty is an American cosmetics company known for its affordable, cruelty-free, and vegan makeup and skincare products. It offers a wide range of items including foundations, lipsticks, primers, and skincare treatments, all designed to deliver high quality at accessible prices. Being extremely popular on social media, it has been growing rapidely for the past years.</t>
  </si>
  <si>
    <t>EXCHANGE:(TICKER)</t>
  </si>
  <si>
    <t>Investment Thesis</t>
  </si>
  <si>
    <r>
      <rPr>
        <u/>
        <sz val="11"/>
        <color theme="1"/>
        <rFont val="Arial"/>
        <family val="2"/>
      </rPr>
      <t>We rate E.L.F Beauty as a Buy,</t>
    </r>
    <r>
      <rPr>
        <sz val="11"/>
        <color theme="1"/>
        <rFont val="Arial"/>
        <family val="2"/>
      </rPr>
      <t xml:space="preserve"> supported by strong growth, fundamentals, digital presence and future stategy in a fast-growing beauty sector.  For the base of your DCF, we estimated E.L.F's future market share in their main market (USA) and also in the international market individualy in order to forecast their future revenues. After carefull consideration of each estimate, we reach a fair stock price of $110,06. We believe that E.L.F is well positioned to continue capturing value in a sector undergoing structural digital transformation and that it will continue to outperform the market and that although tarriffs are a big concern, the stock price has overreacted, creating an interesting opportunity to buy. At the same time, we are not confortable setting a strong buy rating due to global uncertainty.</t>
    </r>
  </si>
  <si>
    <t>Operating Metrics</t>
  </si>
  <si>
    <t>Valuation Multiples</t>
  </si>
  <si>
    <t>Miguel Wever</t>
  </si>
  <si>
    <t xml:space="preserve">Market Share (US only) </t>
  </si>
  <si>
    <t>EV / Sales</t>
  </si>
  <si>
    <t>l61728@aln.iseg.ulisboa.pt</t>
  </si>
  <si>
    <t>Market Share (non-US)</t>
  </si>
  <si>
    <t>Price / Sales</t>
  </si>
  <si>
    <t>(+351) 935 248 695</t>
  </si>
  <si>
    <t>EV / EBITDA</t>
  </si>
  <si>
    <t>Mariana Gomes</t>
  </si>
  <si>
    <t>EV / EBIT</t>
  </si>
  <si>
    <t>l63852@aln.iseg.ulisboa.pt</t>
  </si>
  <si>
    <t>Price / Earnings</t>
  </si>
  <si>
    <t>(+351) 917 778 745</t>
  </si>
  <si>
    <t>Price / Book</t>
  </si>
  <si>
    <t>Dmitriy Zaev</t>
  </si>
  <si>
    <t>l61121@aln.iseg.ulisboa.pt</t>
  </si>
  <si>
    <t>Year</t>
  </si>
  <si>
    <t>Net Sales</t>
  </si>
  <si>
    <t>EBIT Margin</t>
  </si>
  <si>
    <t>FCFF</t>
  </si>
  <si>
    <t>Net Capex</t>
  </si>
  <si>
    <t>Profitability Ratios</t>
  </si>
  <si>
    <t>(+7) 981  806-15-95</t>
  </si>
  <si>
    <t>Return on Assets</t>
  </si>
  <si>
    <t>José Godinho</t>
  </si>
  <si>
    <t>Return on Equity</t>
  </si>
  <si>
    <t>l61474@aln.iseg.ulisboa.pt</t>
  </si>
  <si>
    <t>Return on Total Capital</t>
  </si>
  <si>
    <t xml:space="preserve">(+351) 934 684 550 </t>
  </si>
  <si>
    <t>EBITDA Margin</t>
  </si>
  <si>
    <t>Statistics</t>
  </si>
  <si>
    <t>Gross Profit Margin</t>
  </si>
  <si>
    <t>Beta</t>
  </si>
  <si>
    <t>SG&amp;A Margin</t>
  </si>
  <si>
    <t>% Float</t>
  </si>
  <si>
    <t>Net Income Margin</t>
  </si>
  <si>
    <t>% Held by Insiders</t>
  </si>
  <si>
    <t>% Held by Institutions</t>
  </si>
  <si>
    <t>SWOT Analysis</t>
  </si>
  <si>
    <t>Liquidity Ratios</t>
  </si>
  <si>
    <t>Short % of Float</t>
  </si>
  <si>
    <t>Strengths</t>
  </si>
  <si>
    <t>Weaknesses</t>
  </si>
  <si>
    <t>Cash Ratio</t>
  </si>
  <si>
    <r>
      <rPr>
        <b/>
        <sz val="9"/>
        <color theme="1"/>
        <rFont val="Arial"/>
        <family val="2"/>
      </rPr>
      <t>Affordable and High-Quality Products</t>
    </r>
    <r>
      <rPr>
        <sz val="9"/>
        <color theme="1"/>
        <rFont val="Arial"/>
        <family val="2"/>
      </rPr>
      <t xml:space="preserve">; </t>
    </r>
    <r>
      <rPr>
        <b/>
        <sz val="9"/>
        <color theme="1"/>
        <rFont val="Arial"/>
        <family val="2"/>
      </rPr>
      <t>Strong Brand Identity and Digital Presence:</t>
    </r>
    <r>
      <rPr>
        <sz val="9"/>
        <color theme="1"/>
        <rFont val="Arial"/>
        <family val="2"/>
      </rPr>
      <t xml:space="preserve"> Huge on TikTok and has big influencer support, digital sales account for 22% of revenue; </t>
    </r>
    <r>
      <rPr>
        <b/>
        <sz val="9"/>
        <color theme="1"/>
        <rFont val="Arial"/>
        <family val="2"/>
      </rPr>
      <t>Cruelty-Free and Vegan Products</t>
    </r>
    <r>
      <rPr>
        <sz val="9"/>
        <color theme="1"/>
        <rFont val="Arial"/>
        <family val="2"/>
      </rPr>
      <t xml:space="preserve">; </t>
    </r>
  </si>
  <si>
    <r>
      <rPr>
        <b/>
        <sz val="9"/>
        <color rgb="FF000000"/>
        <rFont val="Arial"/>
        <family val="2"/>
      </rPr>
      <t xml:space="preserve">Tarriff implications: </t>
    </r>
    <r>
      <rPr>
        <sz val="9"/>
        <color rgb="FF000000"/>
        <rFont val="Arial"/>
        <family val="2"/>
      </rPr>
      <t xml:space="preserve">China is a big supplier; </t>
    </r>
    <r>
      <rPr>
        <b/>
        <sz val="9"/>
        <color rgb="FF000000"/>
        <rFont val="Arial"/>
        <family val="2"/>
      </rPr>
      <t xml:space="preserve">Dependence on Third-Party Retailers; Brand Perception: </t>
    </r>
    <r>
      <rPr>
        <sz val="9"/>
        <color rgb="FF000000"/>
        <rFont val="Arial"/>
        <family val="2"/>
      </rPr>
      <t>Some consumers may associate low price with lower quality</t>
    </r>
  </si>
  <si>
    <t>Quick Ratio</t>
  </si>
  <si>
    <t>Major Holders</t>
  </si>
  <si>
    <t>Current Ratio</t>
  </si>
  <si>
    <t>Baillie Gifford &amp; Co</t>
  </si>
  <si>
    <t>Vanguard Group Inc.</t>
  </si>
  <si>
    <t>Opportunities</t>
  </si>
  <si>
    <t>Threats</t>
  </si>
  <si>
    <t>Cash Flow Ratios</t>
  </si>
  <si>
    <t>BlackRock Inc.</t>
  </si>
  <si>
    <r>
      <rPr>
        <b/>
        <sz val="9"/>
        <color theme="1"/>
        <rFont val="Arial"/>
        <family val="2"/>
      </rPr>
      <t xml:space="preserve">Growing E-commerce Market; Global Expansion; Product Innovation: </t>
    </r>
    <r>
      <rPr>
        <sz val="9"/>
        <color theme="1"/>
        <rFont val="Arial"/>
        <family val="2"/>
      </rPr>
      <t>Developing new products in response to trends</t>
    </r>
  </si>
  <si>
    <r>
      <rPr>
        <b/>
        <sz val="9"/>
        <color rgb="FF000000"/>
        <rFont val="Arial"/>
        <family val="2"/>
      </rPr>
      <t xml:space="preserve">Intense Competition: </t>
    </r>
    <r>
      <rPr>
        <sz val="9"/>
        <color rgb="FF000000"/>
        <rFont val="Arial"/>
        <family val="2"/>
      </rPr>
      <t xml:space="preserve">The beauty industry is highly competitive with huge giants; </t>
    </r>
    <r>
      <rPr>
        <b/>
        <sz val="9"/>
        <color rgb="FF000000"/>
        <rFont val="Arial"/>
        <family val="2"/>
      </rPr>
      <t xml:space="preserve">Economic Downturns; Changing Consumer Preferences: </t>
    </r>
    <r>
      <rPr>
        <sz val="9"/>
        <color rgb="FF000000"/>
        <rFont val="Arial"/>
        <family val="2"/>
      </rPr>
      <t>Shifts in consumer preferences towards premium or luxury brands</t>
    </r>
  </si>
  <si>
    <t>Cash Conversion Cycle</t>
  </si>
  <si>
    <t>JPMorgan Chase &amp; Co.</t>
  </si>
  <si>
    <t>Net Income / Op Cash Flow</t>
  </si>
  <si>
    <t>William Blair Inv. Man LLC.</t>
  </si>
  <si>
    <t>Chg in Cash / Op Cash Flow</t>
  </si>
  <si>
    <t>Wellington Management Group LLP</t>
  </si>
  <si>
    <t>Champlain Investment Partners LLC</t>
  </si>
  <si>
    <t>Revenue by Region</t>
  </si>
  <si>
    <t>Revenue by Segment</t>
  </si>
  <si>
    <t>Leverage Ratios</t>
  </si>
  <si>
    <t>Clearbridge Investments LLC</t>
  </si>
  <si>
    <t>Total Debt / Equity</t>
  </si>
  <si>
    <t>State Street Corporation</t>
  </si>
  <si>
    <t>Total Debt / Capital</t>
  </si>
  <si>
    <t>Morgan Stanley</t>
  </si>
  <si>
    <t>Total Liabilities / Total Assets</t>
  </si>
  <si>
    <t>Total Debt / EBITDA</t>
  </si>
  <si>
    <t>Board of Directors</t>
  </si>
  <si>
    <t>Total Debt / (EBITDA - Capex)</t>
  </si>
  <si>
    <r>
      <rPr>
        <b/>
        <sz val="11"/>
        <color rgb="FF000000"/>
        <rFont val="Arial"/>
        <family val="2"/>
      </rPr>
      <t xml:space="preserve">T. Amin </t>
    </r>
    <r>
      <rPr>
        <sz val="11"/>
        <color rgb="FF000000"/>
        <rFont val="Arial"/>
        <family val="2"/>
      </rPr>
      <t xml:space="preserve">(Chairman, CEO 2014–present) [Non-Indep.], Nom. &amp; Gov. </t>
    </r>
    <r>
      <rPr>
        <b/>
        <sz val="11"/>
        <color rgb="FF000000"/>
        <rFont val="Arial"/>
        <family val="2"/>
      </rPr>
      <t>T. Daniele</t>
    </r>
    <r>
      <rPr>
        <sz val="11"/>
        <color rgb="FF000000"/>
        <rFont val="Arial"/>
        <family val="2"/>
      </rPr>
      <t xml:space="preserve"> [Indep.], Audit &amp; Risk. </t>
    </r>
    <r>
      <rPr>
        <b/>
        <sz val="11"/>
        <color rgb="FF000000"/>
        <rFont val="Arial"/>
        <family val="2"/>
      </rPr>
      <t>L. Keith</t>
    </r>
    <r>
      <rPr>
        <sz val="11"/>
        <color rgb="FF000000"/>
        <rFont val="Arial"/>
        <family val="2"/>
      </rPr>
      <t xml:space="preserve"> [Indep.], Comp. </t>
    </r>
    <r>
      <rPr>
        <b/>
        <sz val="11"/>
        <color rgb="FF000000"/>
        <rFont val="Arial"/>
        <family val="2"/>
      </rPr>
      <t>L. Cooks Levitan</t>
    </r>
    <r>
      <rPr>
        <sz val="11"/>
        <color rgb="FF000000"/>
        <rFont val="Arial"/>
        <family val="2"/>
      </rPr>
      <t xml:space="preserve"> [Indep.], Chair Comp.​ </t>
    </r>
    <r>
      <rPr>
        <b/>
        <sz val="11"/>
        <color rgb="FF000000"/>
        <rFont val="Arial"/>
        <family val="2"/>
      </rPr>
      <t>K. Mitchell</t>
    </r>
    <r>
      <rPr>
        <sz val="11"/>
        <color rgb="FF000000"/>
        <rFont val="Arial"/>
        <family val="2"/>
      </rPr>
      <t xml:space="preserve"> [Indep.], Nom. &amp; Gov. </t>
    </r>
    <r>
      <rPr>
        <b/>
        <sz val="11"/>
        <color rgb="FF000000"/>
        <rFont val="Arial"/>
        <family val="2"/>
      </rPr>
      <t>B. Pritchard</t>
    </r>
    <r>
      <rPr>
        <sz val="11"/>
        <color rgb="FF000000"/>
        <rFont val="Arial"/>
        <family val="2"/>
      </rPr>
      <t xml:space="preserve"> [Indep.], Lead Indep. Dir., Audit &amp; Risk. </t>
    </r>
    <r>
      <rPr>
        <b/>
        <sz val="11"/>
        <color rgb="FF000000"/>
        <rFont val="Arial"/>
        <family val="2"/>
      </rPr>
      <t>G. Tait</t>
    </r>
    <r>
      <rPr>
        <sz val="11"/>
        <color rgb="FF000000"/>
        <rFont val="Arial"/>
        <family val="2"/>
      </rPr>
      <t xml:space="preserve"> [Indep.], Chair Audit &amp; Risk.​ </t>
    </r>
    <r>
      <rPr>
        <b/>
        <sz val="11"/>
        <color rgb="FF000000"/>
        <rFont val="Arial"/>
        <family val="2"/>
      </rPr>
      <t>M. Watson</t>
    </r>
    <r>
      <rPr>
        <sz val="11"/>
        <color rgb="FF000000"/>
        <rFont val="Arial"/>
        <family val="2"/>
      </rPr>
      <t xml:space="preserve"> [Indep.], Nom. &amp; Gov. </t>
    </r>
    <r>
      <rPr>
        <b/>
        <sz val="11"/>
        <color rgb="FF000000"/>
        <rFont val="Arial"/>
        <family val="2"/>
      </rPr>
      <t>M. Ferreras</t>
    </r>
    <r>
      <rPr>
        <sz val="11"/>
        <color rgb="FF000000"/>
        <rFont val="Arial"/>
        <family val="2"/>
      </rPr>
      <t xml:space="preserve"> [Indep.], Comp.
</t>
    </r>
  </si>
  <si>
    <t>Net Debt / EBITDA</t>
  </si>
  <si>
    <t>Solvency Ratios</t>
  </si>
  <si>
    <t>EBIT / Interest Expense</t>
  </si>
  <si>
    <t>EBITDA / Interest Expense</t>
  </si>
  <si>
    <t>(EBITDA - Capex) / Interest Expense</t>
  </si>
  <si>
    <t>Debt Schedule</t>
  </si>
  <si>
    <t>Stock Performance</t>
  </si>
  <si>
    <t>ESG Traffic Light</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</si>
  <si>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</si>
  <si>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</si>
  <si>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</si>
  <si>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</si>
  <si>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</si>
  <si>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</si>
  <si>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</si>
  <si>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</si>
  <si>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</si>
  <si>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</si>
  <si>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</si>
  <si>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</si>
  <si>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</si>
  <si>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Disclaimer:
This material has been prepared solely for educational and informational purposes, based on information available to the general public and from sources considered reliable. This research is part of the activities of the Lisbon Investment Society (LIS). It does not constitute, and should not be interpreted as, investment advice, financial advice, or a recommendation to buy or sell any financial instruments. The views expressed are those of the authors and do not necessarily reflect the official position of LIS. The authors assume no responsibility for the accuracy of the information provided, neither should anything contained herein be taken as an indication that any result will be achieved. Investors should conduct their own research and consult with qualified financial advisors before making any investment decisions.</t>
  </si>
  <si>
    <t>Extra Notes</t>
  </si>
  <si>
    <t>Segments</t>
  </si>
  <si>
    <t>Regions</t>
  </si>
  <si>
    <t>Weight</t>
  </si>
  <si>
    <t>United States</t>
  </si>
  <si>
    <t>Other International</t>
  </si>
  <si>
    <t>Canada</t>
  </si>
  <si>
    <t>Australia</t>
  </si>
  <si>
    <t>United Kingdom</t>
  </si>
  <si>
    <t>Saudi Arabia</t>
  </si>
  <si>
    <t>France</t>
  </si>
  <si>
    <t>Colombia</t>
  </si>
  <si>
    <t>Total</t>
  </si>
  <si>
    <t>Spain</t>
  </si>
  <si>
    <t>Germany</t>
  </si>
  <si>
    <t>Mexico</t>
  </si>
  <si>
    <t>Italy</t>
  </si>
  <si>
    <t>Beauty and Cosmetics</t>
  </si>
  <si>
    <t>Netherlands</t>
  </si>
  <si>
    <t>Sweden</t>
  </si>
  <si>
    <t>Norway</t>
  </si>
  <si>
    <t>Denmark</t>
  </si>
  <si>
    <t>Finland</t>
  </si>
  <si>
    <t>Categories</t>
  </si>
  <si>
    <t>Description</t>
  </si>
  <si>
    <t>Graphs</t>
  </si>
  <si>
    <t>Eye, lip and face makeup</t>
  </si>
  <si>
    <t>Includes products designed to enhance and alter appearance, helping individuals achieve various looks. It can be divided in three subcategorys: eye makeup, lip makeup and face makeup.</t>
  </si>
  <si>
    <t xml:space="preserve">Skin care </t>
  </si>
  <si>
    <t>Promotes healthy skin, offering a range of products to various skin concerns, including acne, sensitivity and dryness. The products are designed to cleanse, treat, hydrate and protect the skin.</t>
  </si>
  <si>
    <t>Beauty tools and acessories</t>
  </si>
  <si>
    <t>Includes products designed to enhance the application, blending and maintenance of makeup and skincare. Help users achieve professional-looking results and improve the overall effectiveness of beauty routines.</t>
  </si>
  <si>
    <t>Products</t>
  </si>
  <si>
    <t>Product 3</t>
  </si>
  <si>
    <t>Product 4</t>
  </si>
  <si>
    <t>Product 5</t>
  </si>
  <si>
    <t>Company's Strategy / Extra Notes</t>
  </si>
  <si>
    <t xml:space="preserve">Business strategy relies on offering affordable, innovative and high-quality products to achieve high, sustainable and profitable growth. </t>
  </si>
  <si>
    <t>Strategic focus areas: value proposition, digital leadership, powerhouse innovation, disruptive marketing engine.</t>
  </si>
  <si>
    <t>Geographic expansion is a top priority, including both retail and online international distribution, having recently expanded to Mexico and Germany.</t>
  </si>
  <si>
    <t>Its main focus is delivering clean, vegan and cruelty-free products, continuing to move towards sustainable packaging and ethical sourcing.</t>
  </si>
  <si>
    <t>While organic growth is key, the company is starting to acquire mission-aligned brands with complementary values, such as Naturium in 2024, to expand into performance skincare.</t>
  </si>
  <si>
    <t>It is actively introducing new products to the market and expanding beyond color cosmetics into skincare, hybrid beauty and adjacent categories, reflecting the importance to meet consumer demand.</t>
  </si>
  <si>
    <t>It doesn't have a dividend policiy, focusing on reinvestment and growth, not near-term shareholder payouts.</t>
  </si>
  <si>
    <t>It has unusually high gross margins, aproximately 71%, which is well above average, revealing excellent supply chain and pricing strategy.</t>
  </si>
  <si>
    <t>It operates with low leverage, also meaning a high investment capacity that gives the company flexibility to acquire and expand more.</t>
  </si>
  <si>
    <t>It relies on a strong social media presence and viral marketing campains, deeply investing in direct-to-consumer channels, making it a priority to lead the beauty industry in digital engagement and e-commerce.</t>
  </si>
  <si>
    <t>Cosmetics</t>
  </si>
  <si>
    <t>Skincare</t>
  </si>
  <si>
    <t>Others</t>
  </si>
  <si>
    <t>Industry Overview</t>
  </si>
  <si>
    <t>Sales Growth Forecast</t>
  </si>
  <si>
    <t>Sources</t>
  </si>
  <si>
    <t>Color Cosmetics</t>
  </si>
  <si>
    <t>Grand View Research</t>
  </si>
  <si>
    <t>Statista</t>
  </si>
  <si>
    <t>Personal care</t>
  </si>
  <si>
    <t>Weighted Average</t>
  </si>
  <si>
    <t>Key Drivers</t>
  </si>
  <si>
    <t>Inclusive and Accessible Products</t>
  </si>
  <si>
    <t>Focuses on clean, vegan, cruelty-free products at affordable price points, disrupting industry norms.</t>
  </si>
  <si>
    <t>Powerhouse Innovation</t>
  </si>
  <si>
    <t>Recognized for rapid product development and first-to-market launches, including dermatologist-developed formulas</t>
  </si>
  <si>
    <t>Digital Marketing Leadership</t>
  </si>
  <si>
    <t>Leverages social media platforms to connect with consumers and drive engagement.</t>
  </si>
  <si>
    <t>Retail Partnerships</t>
  </si>
  <si>
    <t>Strong relationships with major retailers like Target, Walmart, and Ulta Beauty expand distribution channels domestically and internationally.</t>
  </si>
  <si>
    <t>Industry Trends</t>
  </si>
  <si>
    <t>Increased Premiumization</t>
  </si>
  <si>
    <t>Consumers trading up for high-quality, prestige-inspired products at accessible price points.</t>
  </si>
  <si>
    <t>Sustainability and Corporate Social Responsibility</t>
  </si>
  <si>
    <t>Growing consumer demand for clean ingredients, cruelty-free formulations, and environmentally friendly packaging.</t>
  </si>
  <si>
    <t>Market Share</t>
  </si>
  <si>
    <t>Headquarters</t>
  </si>
  <si>
    <t>Revenues</t>
  </si>
  <si>
    <t>(in MM of USD)</t>
  </si>
  <si>
    <t>L'Oréal S.A.</t>
  </si>
  <si>
    <t>Estee Lauder Companies Inc.</t>
  </si>
  <si>
    <t>Coty Inc.</t>
  </si>
  <si>
    <t>Ultra Beauty</t>
  </si>
  <si>
    <t>Shiseido Company</t>
  </si>
  <si>
    <t>Japan</t>
  </si>
  <si>
    <t>Natura &amp;Co Holding S.A.</t>
  </si>
  <si>
    <t>Brazil</t>
  </si>
  <si>
    <t>--</t>
  </si>
  <si>
    <t>Industry Size</t>
  </si>
  <si>
    <t>Porter's Five Forces Analysis</t>
  </si>
  <si>
    <t>Rating</t>
  </si>
  <si>
    <t>Graph</t>
  </si>
  <si>
    <t>Threat of New Entrants</t>
  </si>
  <si>
    <t>Economies of scale</t>
  </si>
  <si>
    <t>Product differentiation</t>
  </si>
  <si>
    <t>Capital requirements</t>
  </si>
  <si>
    <t>Access to distribution channels</t>
  </si>
  <si>
    <t>Regulations</t>
  </si>
  <si>
    <t>Switching costs</t>
  </si>
  <si>
    <t>Bargaining Power of Suppliers</t>
  </si>
  <si>
    <t>Number of suppliers</t>
  </si>
  <si>
    <t>Uniqueness</t>
  </si>
  <si>
    <t>Switching Costs</t>
  </si>
  <si>
    <t>Forward Integration</t>
  </si>
  <si>
    <t>Industry Importance</t>
  </si>
  <si>
    <t>Bargaining Power of Customers</t>
  </si>
  <si>
    <t>Number of buyers</t>
  </si>
  <si>
    <t>Purchase size</t>
  </si>
  <si>
    <t>Price sensitivity</t>
  </si>
  <si>
    <t>Informed buyers</t>
  </si>
  <si>
    <t>Competitive Rivalry</t>
  </si>
  <si>
    <t>Number of competitors</t>
  </si>
  <si>
    <t>Industry growth</t>
  </si>
  <si>
    <t>Similarities in what's offered</t>
  </si>
  <si>
    <t>Exit barriers</t>
  </si>
  <si>
    <t>Fixed costs</t>
  </si>
  <si>
    <t>Threat of Substitutes</t>
  </si>
  <si>
    <t>Relative price performance</t>
  </si>
  <si>
    <t>Customer willingness to go elsewhere</t>
  </si>
  <si>
    <t>The sense that products are similar</t>
  </si>
  <si>
    <t>Availability of close substitutes</t>
  </si>
  <si>
    <t>Revenue Growth</t>
  </si>
  <si>
    <t>Profit Margin</t>
  </si>
  <si>
    <t>EV / Revenue</t>
  </si>
  <si>
    <t>Peers</t>
  </si>
  <si>
    <t>Ticker</t>
  </si>
  <si>
    <t>L'Oreal S.A.</t>
  </si>
  <si>
    <t>Estée Lauder Companies Inc.</t>
  </si>
  <si>
    <t>Ulta Beauty</t>
  </si>
  <si>
    <t>Average</t>
  </si>
  <si>
    <t>Deviation from Average</t>
  </si>
  <si>
    <t>Trading Multiple</t>
  </si>
  <si>
    <t>Net</t>
  </si>
  <si>
    <t>Preferred</t>
  </si>
  <si>
    <t>Non-Controlling</t>
  </si>
  <si>
    <t>Equity Value</t>
  </si>
  <si>
    <t>Implied Upside (Downside)</t>
  </si>
  <si>
    <t>Implied Share Price</t>
  </si>
  <si>
    <t>Revenue</t>
  </si>
  <si>
    <t>EBITDA</t>
  </si>
  <si>
    <t>P/E</t>
  </si>
  <si>
    <t>Debt</t>
  </si>
  <si>
    <t>Stock</t>
  </si>
  <si>
    <t>Interest</t>
  </si>
  <si>
    <t>Current Price</t>
  </si>
  <si>
    <t>Second Minimum</t>
  </si>
  <si>
    <t>Median</t>
  </si>
  <si>
    <t>Second Maximum</t>
  </si>
  <si>
    <t>Profitability</t>
  </si>
  <si>
    <t xml:space="preserve">  </t>
  </si>
  <si>
    <t>Operating Margin</t>
  </si>
  <si>
    <t>ROA (%)</t>
  </si>
  <si>
    <t>Financial Cost of Debt</t>
  </si>
  <si>
    <t>Return on Equity (RoE)</t>
  </si>
  <si>
    <t>Return on Invested Capital (ROIC)</t>
  </si>
  <si>
    <t>Solvency</t>
  </si>
  <si>
    <t>Debt/Assets</t>
  </si>
  <si>
    <t>Net Debt/EBITDA</t>
  </si>
  <si>
    <t>Interest Coverage Ratio</t>
  </si>
  <si>
    <t>Liquidity</t>
  </si>
  <si>
    <t>Activity</t>
  </si>
  <si>
    <t>Inventory Turnover</t>
  </si>
  <si>
    <t>Acc. Receivable Turnover</t>
  </si>
  <si>
    <t>Payables Turnover</t>
  </si>
  <si>
    <t>Fixed Asset Turnover</t>
  </si>
  <si>
    <t>Total Asset Turnover</t>
  </si>
  <si>
    <t>Cash Cycle (days)</t>
  </si>
  <si>
    <t>Cash Flow</t>
  </si>
  <si>
    <t>Cash Flow Margin</t>
  </si>
  <si>
    <t>Cash Flow to Net Income</t>
  </si>
  <si>
    <t>CFO to Net Income</t>
  </si>
  <si>
    <t>Net Capex to CFO</t>
  </si>
  <si>
    <t>CFI to CFO</t>
  </si>
  <si>
    <t>Net Financing to CFO</t>
  </si>
  <si>
    <t>Debt Borrowing to Debt Repayment</t>
  </si>
  <si>
    <t>CFF to CFO</t>
  </si>
  <si>
    <t>Payout Ratio</t>
  </si>
  <si>
    <t>Stock Information</t>
  </si>
  <si>
    <t>(%) Float</t>
  </si>
  <si>
    <t>β (Levered)</t>
  </si>
  <si>
    <t>β (Unlevered)</t>
  </si>
  <si>
    <t>Short % Float</t>
  </si>
  <si>
    <t>1 day</t>
  </si>
  <si>
    <t>1 month</t>
  </si>
  <si>
    <t>YTD</t>
  </si>
  <si>
    <t>Extra</t>
  </si>
  <si>
    <t>% Revenues in the US</t>
  </si>
  <si>
    <t>Income Statement</t>
  </si>
  <si>
    <t>PEER 7</t>
  </si>
  <si>
    <t>PEER 8</t>
  </si>
  <si>
    <t>PEER 9</t>
  </si>
  <si>
    <t>PEER 10</t>
  </si>
  <si>
    <t>EBITDA (2023)</t>
  </si>
  <si>
    <t>Net Income (2023)</t>
  </si>
  <si>
    <t>COGS (Cost of Goods Sold)</t>
  </si>
  <si>
    <t>Gross Profit</t>
  </si>
  <si>
    <t>Operating Income (EBIT)</t>
  </si>
  <si>
    <t>Net Interest Expense (Income)</t>
  </si>
  <si>
    <t>Pre-Tax Income (EBT)</t>
  </si>
  <si>
    <t>Tax Expense (Benefits)</t>
  </si>
  <si>
    <t>Net Income</t>
  </si>
  <si>
    <t>EPS basic</t>
  </si>
  <si>
    <t>R&amp;D (Research &amp; Development)</t>
  </si>
  <si>
    <t>-</t>
  </si>
  <si>
    <t>Balance Sheet</t>
  </si>
  <si>
    <t>Cash &amp; Cash Equivalents</t>
  </si>
  <si>
    <t>Accounts Receivable</t>
  </si>
  <si>
    <t>Beginning Inventory</t>
  </si>
  <si>
    <t>Ending Inventory</t>
  </si>
  <si>
    <t>Current Assets</t>
  </si>
  <si>
    <t>Net PP&amp;E (Property, Plant and Equipment)</t>
  </si>
  <si>
    <t>Total Assets</t>
  </si>
  <si>
    <t>Accounts Payable</t>
  </si>
  <si>
    <t>Current Liabilities</t>
  </si>
  <si>
    <t>Long-term debt</t>
  </si>
  <si>
    <t>Total Debt</t>
  </si>
  <si>
    <t>Shareholder's Equity</t>
  </si>
  <si>
    <t>Cash Flow Statement</t>
  </si>
  <si>
    <t>Operating Cash Flow</t>
  </si>
  <si>
    <t>Investing Cash Flow</t>
  </si>
  <si>
    <t>Debt Borrowing</t>
  </si>
  <si>
    <t>Debt Repayment</t>
  </si>
  <si>
    <t>Financing Cash Flow</t>
  </si>
  <si>
    <t>Net Changes in Cash</t>
  </si>
  <si>
    <t>Environmental, Social and Governance Analysis</t>
  </si>
  <si>
    <t>Author:</t>
  </si>
  <si>
    <t>Highlights</t>
  </si>
  <si>
    <t>Recent News</t>
  </si>
  <si>
    <t>The company operates with 100% renewable electricity in all the offices and US retail distribution center.</t>
  </si>
  <si>
    <t>Deadline alert: until May 5, 2025, investors who suffered a loss on elf investments should contact Glancy Prongay and Murray LLP to recover the loss under the federal securities laws. - GlobeNewswire - 14/04/2025</t>
  </si>
  <si>
    <t>e.l.f. beauty accused of inflating revenue and profit figures in financial reports. The inventory levels in Q2 FY 2024 were not equivalent to its revenue figures. The company refuted the claims. - Beauty Packaging</t>
  </si>
  <si>
    <t>Overview</t>
  </si>
  <si>
    <t>.</t>
  </si>
  <si>
    <t>It has a 90% overall employee engagement and 96% of employees would recommend it as a great place to work.</t>
  </si>
  <si>
    <t>Last Update</t>
  </si>
  <si>
    <t>It is ranked as 1 of only 4 U.S. public companies with a board of directores made of at least 2/3 women and 1/3 diverse.</t>
  </si>
  <si>
    <t>Latest year with data</t>
  </si>
  <si>
    <t xml:space="preserve">The company is currently facing legal challenges related to allegations of securities fraud and financial misreporting. </t>
  </si>
  <si>
    <t>GICS Sector</t>
  </si>
  <si>
    <t>Consumer Staples</t>
  </si>
  <si>
    <t>It is a cruelty free and affordable brand focused on diversity, inclusivity and ethics.</t>
  </si>
  <si>
    <t>GICS Industry Group</t>
  </si>
  <si>
    <t>Personal Care Products</t>
  </si>
  <si>
    <t>It is significantly reducing overall waste and water usage, implementing sustainability measures.</t>
  </si>
  <si>
    <t>Final Review</t>
  </si>
  <si>
    <t>Good</t>
  </si>
  <si>
    <t>ESG Scores</t>
  </si>
  <si>
    <t>GHG Scope 1 and 2 Emissions :</t>
  </si>
  <si>
    <t>Water, Waste, Energy Management:</t>
  </si>
  <si>
    <t>C-</t>
  </si>
  <si>
    <t>BBB</t>
  </si>
  <si>
    <t>Industry ESG Overview:</t>
  </si>
  <si>
    <t>The cosmetics industry is evolving to meet consumer demand for sustainable and accountable practices. The industry has complex supply chains and inconsistent data making it difficult to ensure traceability. ESG investments can push the industry to be cleaner and fairer, transforming the industry towards a more ethical and inclusive.</t>
  </si>
  <si>
    <t>ENVIRONMENTAL</t>
  </si>
  <si>
    <t>Targets</t>
  </si>
  <si>
    <t>Improvements</t>
  </si>
  <si>
    <t>Comments</t>
  </si>
  <si>
    <t>GHG (or CO2) Scope 1 Emissions</t>
  </si>
  <si>
    <t> </t>
  </si>
  <si>
    <t>By 2030, reduce its scope 1 and scope 2 emissions by 42% by 2030 from FY 2022 as baseline.</t>
  </si>
  <si>
    <t>Transition from 6% to 100% renewable electricity in al its offices and its US retail distribution center.</t>
  </si>
  <si>
    <t>Achievieng 100% renewable electricity has a bigger impact in scope 2.</t>
  </si>
  <si>
    <t>Water Consumption</t>
  </si>
  <si>
    <t>Reduce water withdrawn by over 350 cubic meters per year by replacing water with compressed air in cleaning glass bottles.</t>
  </si>
  <si>
    <t>Making FY 2022 a baseline to identify water reduction opportunities; successful water reduction initiative saved 1400 cubic meters of water annually.</t>
  </si>
  <si>
    <t>The reformulation of product SKUs to incorporate clean ingredients can affect the water usage. Although the volume of products produced was not reported, assuming the net sales are proportional to units, from 2022 to 2023, i noticed net sales increased 48% but water usage only increased 30%. However, from 2023 to 2024, net sales increased 77% and water usage increased 80%.</t>
  </si>
  <si>
    <t>Energy Consumption</t>
  </si>
  <si>
    <t>Continue meeting its commitment of sourcing 100% renewable energy for all directly managed facilities.</t>
  </si>
  <si>
    <t>From FY 2023 to FY 2024, the solar energy representation of total supplier energy utilization went form 2% to 4%. In FY 2024, were introduced biofuels for drayage activities, reducing the reliance on fossil fuels for transportation.</t>
  </si>
  <si>
    <t>Waste Management</t>
  </si>
  <si>
    <t>By FY 2030, achieve a 20% reduction in packaging intensity and guarantee that 50% of all packaging contain recycled content or responsibly sourced bio-based content. Eliminate anually 400 tons of packaging through lightweight.</t>
  </si>
  <si>
    <t>Elimination of more than 2.5 million pounds of excess packaging since 2019; over 1.3 million pounds of material recycled per year achieving an 85% waste diversion rate; new  shipping recycled and smaller envelopes.</t>
  </si>
  <si>
    <t xml:space="preserve">Sustainable packaging materials and efforts to reduce overall packaging volume; Establishment of a free mail-back recycling program with TerraCycle to dispose e.l.f. packaging. </t>
  </si>
  <si>
    <t>Other</t>
  </si>
  <si>
    <t>SOCIAL</t>
  </si>
  <si>
    <t>Important Sources:</t>
  </si>
  <si>
    <t>Annual Report</t>
  </si>
  <si>
    <t>Employee Turnover %</t>
  </si>
  <si>
    <t>Continue having the employee engagement at least 10 pp above the industry benchmark.</t>
  </si>
  <si>
    <t>The employee engagement % relative to industry benchmark went from 15 pp above the industry benchmark in FY 2022 to 19 pp in FY 2023. The job satisfaction increased in FY 2022 to FY 2023 from 22pp above the benchmark  to 25pp.</t>
  </si>
  <si>
    <t xml:space="preserve">There is a 90% overall employee engagement. However, some employees report a high workload in peak periods and a lack of intermediate managers. </t>
  </si>
  <si>
    <t>https://investor.elfbeauty.com/stock-and-financial/press-releases/landing-news/2023/21-09-2023</t>
  </si>
  <si>
    <t>Sustainability Report</t>
  </si>
  <si>
    <t>Proxy Statement</t>
  </si>
  <si>
    <t>Salaries &amp; Compensation</t>
  </si>
  <si>
    <t>Maintain the comprehensive compensation package.</t>
  </si>
  <si>
    <t>Since 2014, they have granted $180 million in equity to the team, excluding the Executive Team.</t>
  </si>
  <si>
    <t>"All full-time employees receive a base salary, are bonus eligible under the same bonus plan tied to our financial performance and receive an equity award in e.l.f. Beauty stock." - annual report 2024; it offers benefits such as healthcare, retirement, parental leave, from the start; Inclusion of flexible time off.</t>
  </si>
  <si>
    <t>Reputation</t>
  </si>
  <si>
    <t>Be seen as a company that operates with integrity, is transparent and acts ethically in its business dealings. Continue being recognized as a great place to work. Continue strenghtening its reputation as a welcoming and affordable brand for.a diverse consumer base.</t>
  </si>
  <si>
    <t>In FY 2022, 95% recommended the company as a great place to work and it increased to 96% in FY 2024.</t>
  </si>
  <si>
    <t>Discrimination Events</t>
  </si>
  <si>
    <t>Maintain a workplace and brand free from discrimination.</t>
  </si>
  <si>
    <t>In 2024, it was reported a sponsorship of the NACD Center for Inclusive Governance by e.l.f. beauty inc., promoting board diversity and inclusion and the creation of companies with more inclusive leadership.</t>
  </si>
  <si>
    <t>The company distinguishes itself in this area, as of April 2025, there are no publicly reported lawsuits or controversies related to discrimination.</t>
  </si>
  <si>
    <t>Work Safety</t>
  </si>
  <si>
    <t>Continue enhancing safety training and real-time incident reported systems.</t>
  </si>
  <si>
    <t xml:space="preserve">The company already declared that has implemented measures to avoid similiar issues. </t>
  </si>
  <si>
    <t xml:space="preserve">There are also some dangerous chemicals used to make its products. </t>
  </si>
  <si>
    <t>Damage to consumer health</t>
  </si>
  <si>
    <t>Continue formulating clean products.</t>
  </si>
  <si>
    <t>In FY 2024, reformulated over 100 product SKUs to exclude many ingredients above and beyond FDA and EUCR restrictions. In FY 2024, 100% of the products had a glossary of key ingredients publicly available online.</t>
  </si>
  <si>
    <t>The company chooses not to use over 2500 ingredients well above the 11 ingredients restricted by the FDA. e.l.f. beauty inc. regularly evaluates the list of ingredients chosen not to include in their products.</t>
  </si>
  <si>
    <t>Pension Plan</t>
  </si>
  <si>
    <t>Continue supporting long-term employee well-being.</t>
  </si>
  <si>
    <t>Established a 401(k) plan and an "Equity Award Retirement Policy", reserving stock options, RSUs and PSUs, for retirement-eligible employees.</t>
  </si>
  <si>
    <t>Supply chain</t>
  </si>
  <si>
    <t>By FY 2025, achieve the 100% of the % of paper boxes made with are FSC-certified paper, maintain the 100% of the % of paper cartons that are FSC-certified and increase to 100% the % of wood brush handles made with FSC-certified wood. By FY 2027, the goal is to achieve 100% of RSPO-certified palm oil-based ingredients. The FY 2027 goal is to maintain the 100% of responsibly sourced mica.</t>
  </si>
  <si>
    <t>From FY 2023 to FY 2024, the palm oil-related ingredients the company's suppliers bought that were from RSPO-certified sources improved from 50% to 75%. In FY 2024, 100% of their mica was responsibly sourced. Increase of the % of paper product boxes made with FSC-certified paper from 23% in FY 2022 to 75% in FY 2023.</t>
  </si>
  <si>
    <t xml:space="preserve">The company is highly competitive in the affordable beauty sector, having a completely different supply chain strategy from big luxury companies, that focus on vertical integrated production. There has been a commitment to cruelty-free products since the beginning. </t>
  </si>
  <si>
    <t>Community involvement</t>
  </si>
  <si>
    <t>Continue donating 2% of prior year profits. It is focusing on partnerships that help communities facing disadvanatges (racial and women injustice, underserved students).</t>
  </si>
  <si>
    <t xml:space="preserve">In FY 2024, the company donated 2% of prior year profits to many charities to drive positive impact in their communities ($1.2 million). </t>
  </si>
  <si>
    <t xml:space="preserve">It has already done many programs (such as e.l.f. Cares) , campaigns, collaborations and partnerships to promote awareness in mainly mental health and social justice . It promotes self-expression and confidence-building. The company is supporting women's empowerment through sports, with sponsorships and brand partnerships. </t>
  </si>
  <si>
    <t>Public Sector</t>
  </si>
  <si>
    <t>Always comply with state regulation.</t>
  </si>
  <si>
    <t>It ensured compliance with all regulatory requirements and participated in initiatives that promote ethical business practices.</t>
  </si>
  <si>
    <t>The company is not partly state-owned, it is a publicly traded company. This sector is highly regulated to ensure that companies operate legally and maintain consumer trust. The governmentral interference aims to ensure consumer safety.</t>
  </si>
  <si>
    <t>Litigation</t>
  </si>
  <si>
    <t>It aims to operate within the bounds of all laws and regulations.</t>
  </si>
  <si>
    <t>After the 2019 situation of North Korea, it implemented many measures and the problem did not happen again.</t>
  </si>
  <si>
    <t xml:space="preserve">In 2020, it faced a class action lawsuit alleging the declaration of oil-free products that contained oils. The company is currently facing legal challenges related to allegations of securities' fraud and financial misreporting.  However, they are are only allegations, not findings. Also, there isn't a clear history of the company being found guilty, it actually won a case (dupe mascara with Benefit cosmetics). It is also facing a class acton lawsuit alleging it sells some products in oversized containers that are up to half empty. </t>
  </si>
  <si>
    <t>GOVERNANCE</t>
  </si>
  <si>
    <t>Diversity (Gender, Age, Industry, Region)</t>
  </si>
  <si>
    <t>By 2027, help double the rate at which women and people of color are added to the boards of directors of U.S. based, publicly traded companies.</t>
  </si>
  <si>
    <t>The % of women in the board increased from 56% in FY 2022 to 67% in FY 2024.</t>
  </si>
  <si>
    <t xml:space="preserve">In september 2024, the employees' base was 78% women, 44% diverse and 72% millennial and Gen Z. The company is ranked as 1 of only 4 U.S. public companies with a board of directors made of at least 2/3 women and 1/3 diverse. </t>
  </si>
  <si>
    <t xml:space="preserve"> </t>
  </si>
  <si>
    <t>% Independence</t>
  </si>
  <si>
    <t>Maintain a high % of independence in the board.</t>
  </si>
  <si>
    <t>It ensured that a majority of the board members are independent, contributing to stronger supervision and governance practices.</t>
  </si>
  <si>
    <t>In the last proxy statement, it was reported that the % of independence is 89%.</t>
  </si>
  <si>
    <t>Average time as independent directors</t>
  </si>
  <si>
    <t>Maintain a balanced board tenure, preserving institucional knowledge and strategic continuity.</t>
  </si>
  <si>
    <t>It has maintained a balanced tenure, combining deeper knowledge with new perspetives.</t>
  </si>
  <si>
    <t>The average tenure was 5.2 years in FY 2023.</t>
  </si>
  <si>
    <t>Departures of C-level executives</t>
  </si>
  <si>
    <t>Strenghtening leadership continuity to reduce unexpected c-level departures.</t>
  </si>
  <si>
    <t>It has demonstrated stability on the team.</t>
  </si>
  <si>
    <t>It was recently announced that Beth Pritchard, a Director of the board, resigned after serving this role since November 2017. It was reported that it was not due to any disagreement with the company.</t>
  </si>
  <si>
    <t>CEO/Chairman duality</t>
  </si>
  <si>
    <t>The company hasn't showed any intention to change the structure where Taran P. Amin holds both positions.</t>
  </si>
  <si>
    <t>Since FY 2020, there has been an independent lead director.</t>
  </si>
  <si>
    <t>The CEO is the same person and the Chairman since 2014, therefore it is not independent. This can lead to conflicts of interest. However, it seems to be working as the company continues improving.</t>
  </si>
  <si>
    <t>Transparency when reporting</t>
  </si>
  <si>
    <t>Expand ESG disclosures, providing regular updates on key performance indicators.</t>
  </si>
  <si>
    <t>The company started releasing annual impact reports since FY 2022.</t>
  </si>
  <si>
    <t>It isn't very transparent in some topics, such as the energy consumption and waste management. It also seems to lack some transparency regarding financial reporting.</t>
  </si>
  <si>
    <t>Time taken to report</t>
  </si>
  <si>
    <t>Take the least time possible to report so stakeholders have acess to actual and actionable information.</t>
  </si>
  <si>
    <t>It seems that there hasn't been any improvement in the time taken to report since the company releases its annual reports in may.</t>
  </si>
  <si>
    <t>It takes usually 2 months to release the annual report. However, the impact report was released only 6 to 7 months after the end of the FY.</t>
  </si>
  <si>
    <t>CEO or Chairman in other boards?</t>
  </si>
  <si>
    <t>Taran Amin could expand his board presence in tech-driven or sustainability-focused organizations that align with clean beauty and digital innovation.</t>
  </si>
  <si>
    <t>The CEO has expanded his strategic influence by being a part of boards in consumer goods, wellness, private equity and academic leadership companies.</t>
  </si>
  <si>
    <t>The CEO is on boards of other public companies and is the President and CEO of another company and Vice President of another. It accumulates shareman, president and CEO functions.</t>
  </si>
  <si>
    <t>Audit / Consulting</t>
  </si>
  <si>
    <t>The company aims to continue with Deloitte as their independent registered public accounting firm in FY 2025.</t>
  </si>
  <si>
    <t>The audit fees increased from FY 2023 to FY 2024.</t>
  </si>
  <si>
    <t>The increase of the audit fees can reveal a more detailed audit. The audit fees are ranging the same values within its peers.</t>
  </si>
  <si>
    <t>ESG-compensation related</t>
  </si>
  <si>
    <t>Management compensation schemes</t>
  </si>
  <si>
    <t>Incorporate long-term performance indicators to drive sustainable value creation.</t>
  </si>
  <si>
    <t>Over the years, the stock awards value for each manager has increased, maintaining their salary and non equity incentive plan compensation.</t>
  </si>
  <si>
    <t>The percentage of stock awards in the total amount received by managers is aproximately 85%. There aren't any option awards. It can become a risk to have such a high dependence on stocks, that may drive the stock price up without increasing the profitability of the company. The company has option awards.</t>
  </si>
  <si>
    <t>ESG Inputs</t>
  </si>
  <si>
    <t>x</t>
  </si>
  <si>
    <t>Total GHG Scope 1 Emissions</t>
  </si>
  <si>
    <t>https://www.elfbeauty.com/pdfs/e-l-f-beauty-climate-change-and-emissions-policy-sept-2024-vdraft.pdf</t>
  </si>
  <si>
    <t>Total GHG Scope 2 (Location-Based) Emissions</t>
  </si>
  <si>
    <t>—</t>
  </si>
  <si>
    <t>Total Energy Usage</t>
  </si>
  <si>
    <t>Total Water Consumption</t>
  </si>
  <si>
    <t>Total Waste Production</t>
  </si>
  <si>
    <t>GHG Scope 1 and 2 Emissions</t>
  </si>
  <si>
    <t>Inputs - ESG</t>
  </si>
  <si>
    <t>GHG_SCOPE_1</t>
  </si>
  <si>
    <t>FY 2014</t>
  </si>
  <si>
    <t>FY 2015</t>
  </si>
  <si>
    <t>FY 2016</t>
  </si>
  <si>
    <t>FY 2017</t>
  </si>
  <si>
    <t>FY 2018</t>
  </si>
  <si>
    <t>FY 2019</t>
  </si>
  <si>
    <t>FY 2020</t>
  </si>
  <si>
    <t>FY 2021</t>
  </si>
  <si>
    <t>FY 2022</t>
  </si>
  <si>
    <t>FY 2023</t>
  </si>
  <si>
    <t>FY 2024</t>
  </si>
  <si>
    <t>ELF BEAUTY INC</t>
  </si>
  <si>
    <t>OSISKO GOLD ROYALTIES LTD</t>
  </si>
  <si>
    <t>OLAPLEX HOLDINGS INC</t>
  </si>
  <si>
    <t>EDGEWELL PERSONAL CARE CO</t>
  </si>
  <si>
    <t>ULTA BEAUTY INC</t>
  </si>
  <si>
    <t>SHISEIDO LTD-SPONSORED ADR</t>
  </si>
  <si>
    <t>NATURA &amp;CO HOLDING-ADR</t>
  </si>
  <si>
    <t>GHG_SCOPE_2_MARKET_BASED</t>
  </si>
  <si>
    <t>ENERGY_CONSUMPTION</t>
  </si>
  <si>
    <t>WATER_CONSMPTN</t>
  </si>
  <si>
    <t>TOTAL_WASTE</t>
  </si>
  <si>
    <t>ELF US Equity</t>
  </si>
  <si>
    <t>OR US Equity</t>
  </si>
  <si>
    <t>OLPX US Equity</t>
  </si>
  <si>
    <t>EPC US Equity</t>
  </si>
  <si>
    <t>ULTA US Equity</t>
  </si>
  <si>
    <t>SSDOY US Equity</t>
  </si>
  <si>
    <t>NTCO US Equity</t>
  </si>
  <si>
    <t>DCF</t>
  </si>
  <si>
    <t>Key Assumptions</t>
  </si>
  <si>
    <t>Switches</t>
  </si>
  <si>
    <t>Bear Case</t>
  </si>
  <si>
    <t>Base Case</t>
  </si>
  <si>
    <t>Bull Case</t>
  </si>
  <si>
    <t>FCFE</t>
  </si>
  <si>
    <t>Tax Shield</t>
  </si>
  <si>
    <t>Total Payout</t>
  </si>
  <si>
    <t>NOPAT</t>
  </si>
  <si>
    <t>Cash Balance</t>
  </si>
  <si>
    <t>Total Liabilities</t>
  </si>
  <si>
    <t>Most Recent Fiscal Year</t>
  </si>
  <si>
    <t>EBIT</t>
  </si>
  <si>
    <t>End of Fiscal Year</t>
  </si>
  <si>
    <t>WACC</t>
  </si>
  <si>
    <t>Most Recent Quarter End Date</t>
  </si>
  <si>
    <t>TGR</t>
  </si>
  <si>
    <t>Valuation Date</t>
  </si>
  <si>
    <t>Operating Assumptions</t>
  </si>
  <si>
    <t>Global:</t>
  </si>
  <si>
    <t>Market Size (Fortune Business Insights)</t>
  </si>
  <si>
    <t xml:space="preserve">   Growth Rate </t>
  </si>
  <si>
    <t>Market Size (Statista)</t>
  </si>
  <si>
    <t>Growth Rate</t>
  </si>
  <si>
    <t>Average (%)</t>
  </si>
  <si>
    <t xml:space="preserve">Market Share </t>
  </si>
  <si>
    <t>Prediction of market share results</t>
  </si>
  <si>
    <t>US:</t>
  </si>
  <si>
    <t>Doesn't say nominal numbers, but growth is close</t>
  </si>
  <si>
    <t xml:space="preserve">Market Share (US revenue only) </t>
  </si>
  <si>
    <t>Prediction of market share</t>
  </si>
  <si>
    <t>Global "Minus" US</t>
  </si>
  <si>
    <t>Market Size (based on averages)</t>
  </si>
  <si>
    <t>Market Share (non-US revenue only)</t>
  </si>
  <si>
    <t>Weighted Average of expected revenue:</t>
  </si>
  <si>
    <t>Prediction:</t>
  </si>
  <si>
    <t>Current Average is:</t>
  </si>
  <si>
    <t>US =</t>
  </si>
  <si>
    <t>Rest of the World =</t>
  </si>
  <si>
    <t>In millions of USD</t>
  </si>
  <si>
    <t>Revenue (Sales)</t>
  </si>
  <si>
    <t>% of growth</t>
  </si>
  <si>
    <t>% of revenue</t>
  </si>
  <si>
    <t>SG&amp;A (Selling, General &amp; Administrative)</t>
  </si>
  <si>
    <t>Other Operating (Income) Expenses</t>
  </si>
  <si>
    <t>D&amp;A (Depreciation &amp; Amortization)</t>
  </si>
  <si>
    <t>% of PP&amp;E+ROU Assets+Intangibles excl. Goodwill</t>
  </si>
  <si>
    <t>Depreciation Expense</t>
  </si>
  <si>
    <t>% of PP&amp;E+ROU Assets</t>
  </si>
  <si>
    <t>Amortization Expense</t>
  </si>
  <si>
    <t>% of Intangibles excl. Goodwill</t>
  </si>
  <si>
    <t>% of Net Debt</t>
  </si>
  <si>
    <t>Interest Expense</t>
  </si>
  <si>
    <t>% of Debt</t>
  </si>
  <si>
    <t>Interest Income</t>
  </si>
  <si>
    <t>% Cash &amp; Cash Eq. &amp; ST Investments</t>
  </si>
  <si>
    <t>FX (Gain) Loss</t>
  </si>
  <si>
    <t>Other Non-Operating (Income) Expenses</t>
  </si>
  <si>
    <t>% of EBT</t>
  </si>
  <si>
    <t>Assets</t>
  </si>
  <si>
    <t>Cash &amp; Cash Equivalents &amp; ST Investments</t>
  </si>
  <si>
    <t>DSO</t>
  </si>
  <si>
    <t>Inventory</t>
  </si>
  <si>
    <t>DIH</t>
  </si>
  <si>
    <t>Prepaid expenses and Other Current Assets</t>
  </si>
  <si>
    <t>Net PP&amp;E (Property, Plant and Equipment) + ROU Assets</t>
  </si>
  <si>
    <t>Gross PP&amp;E (Property, Plant and Equipment) + ROU Assets</t>
  </si>
  <si>
    <t>Right-of-Use Assets</t>
  </si>
  <si>
    <t>Accumulated Depreciation</t>
  </si>
  <si>
    <t>Intangibles excl. Goodwill</t>
  </si>
  <si>
    <t>growing rate %</t>
  </si>
  <si>
    <t>Liabilities</t>
  </si>
  <si>
    <t>DPO</t>
  </si>
  <si>
    <t>Accrued Expenses and Other Current Liabilities</t>
  </si>
  <si>
    <t>growing with revenue</t>
  </si>
  <si>
    <t>Total Borrowings</t>
  </si>
  <si>
    <t>Total Leases</t>
  </si>
  <si>
    <t>% of revenues</t>
  </si>
  <si>
    <t>Stock Based Compensation</t>
  </si>
  <si>
    <t>% of SG&amp;A</t>
  </si>
  <si>
    <t>Changes in Net Working Capital</t>
  </si>
  <si>
    <t>Other Operating Adjustments</t>
  </si>
  <si>
    <t>Net CapEx</t>
  </si>
  <si>
    <t>Acquisition of Fixed &amp; Intangibles</t>
  </si>
  <si>
    <t>Disposal of Fixed &amp; Intangibles</t>
  </si>
  <si>
    <t>Disposal Rate (% Gross PP&amp;E)</t>
  </si>
  <si>
    <t>Net Cash from Investments &amp; Acquisitions</t>
  </si>
  <si>
    <t>Other Investing Inflows (Outflows)</t>
  </si>
  <si>
    <t>Dividends</t>
  </si>
  <si>
    <t>Dividend payout</t>
  </si>
  <si>
    <t>Increase (Repurchase) of Shares</t>
  </si>
  <si>
    <t>Company has plan to buyback:</t>
  </si>
  <si>
    <t>Repurchase payout</t>
  </si>
  <si>
    <t>M$ (Our estimate says it ends in 2028)</t>
  </si>
  <si>
    <t>Lease Payments</t>
  </si>
  <si>
    <t>We predict it will carry on</t>
  </si>
  <si>
    <t>% of Right-of-Use Assets</t>
  </si>
  <si>
    <t>total debt paid</t>
  </si>
  <si>
    <t>% of FCFE</t>
  </si>
  <si>
    <t>Other Financing Inflows (Outflows)</t>
  </si>
  <si>
    <t>FCFF Valuation</t>
  </si>
  <si>
    <t>Depreciation &amp; Amortization</t>
  </si>
  <si>
    <t>Changes in NWC</t>
  </si>
  <si>
    <t>FCFF 2025</t>
  </si>
  <si>
    <t>Present Value of FCFF</t>
  </si>
  <si>
    <t>FCFF 2026</t>
  </si>
  <si>
    <t>Sensitivity to the Period</t>
  </si>
  <si>
    <t>Period</t>
  </si>
  <si>
    <t>Terminal Value</t>
  </si>
  <si>
    <t>Present Value of Terminal Value</t>
  </si>
  <si>
    <t>Enterprise Value</t>
  </si>
  <si>
    <t>(+) Cash</t>
  </si>
  <si>
    <t>(-) Minority Interest</t>
  </si>
  <si>
    <t>(-) Preferred Stock</t>
  </si>
  <si>
    <t>(-) Debt</t>
  </si>
  <si>
    <t>Shares outstanding</t>
  </si>
  <si>
    <t>Implicit Stock Value</t>
  </si>
  <si>
    <t>Stock value</t>
  </si>
  <si>
    <t>Upside (downside)</t>
  </si>
  <si>
    <t>APV Valuation</t>
  </si>
  <si>
    <t>Unlevered Present Value of FCFF</t>
  </si>
  <si>
    <t>Present Value of Tax Shield</t>
  </si>
  <si>
    <t>Terminal Value of Unlevered FCFF</t>
  </si>
  <si>
    <t>Present Value of Unlevered FCFF Terminal Value</t>
  </si>
  <si>
    <t>Terminal Value of Tax Shield</t>
  </si>
  <si>
    <t>Present Value of Tax Shield Terminal Value</t>
  </si>
  <si>
    <t>APV</t>
  </si>
  <si>
    <t>FCFE Valuation</t>
  </si>
  <si>
    <t>Debt Borrowing (Repayment)</t>
  </si>
  <si>
    <t>Present Value of FCFE</t>
  </si>
  <si>
    <t>DDM</t>
  </si>
  <si>
    <t>Total Payout Ratio</t>
  </si>
  <si>
    <t>Plowback Ratio</t>
  </si>
  <si>
    <t>Present Value of Total Payout</t>
  </si>
  <si>
    <t>Trump's new tariffs will hit this company really hard, but they might be a opportunity for a bigger expansion on the Asian market (where the company's products come from).</t>
  </si>
  <si>
    <t>That should lead to lower margins, but the reduction of costs related to logistics should help counter that reduction a little.</t>
  </si>
  <si>
    <t>Sensitivity Analysis</t>
  </si>
  <si>
    <t>Stock Price (in USD)</t>
  </si>
  <si>
    <t>Notes</t>
  </si>
  <si>
    <t>Variables</t>
  </si>
  <si>
    <t>St Dev</t>
  </si>
  <si>
    <t>Reference</t>
  </si>
  <si>
    <t>E.L.F Beauty</t>
  </si>
  <si>
    <t>L'oreal</t>
  </si>
  <si>
    <t>Estée Lauder</t>
  </si>
  <si>
    <t>Coty</t>
  </si>
  <si>
    <t>WACC = % of Equity x Cost of Equity + % de Debt x Cost of Debt x (1 - Tax Rate)</t>
  </si>
  <si>
    <t>Cost of Equity = Risk-Free Rate + Beta x Equity Risk Premium</t>
  </si>
  <si>
    <t>Region</t>
  </si>
  <si>
    <t>ERP</t>
  </si>
  <si>
    <t>Beta (Unlevered)</t>
  </si>
  <si>
    <r>
      <rPr>
        <sz val="11"/>
        <color rgb="FF000000"/>
        <rFont val="Arial"/>
        <family val="2"/>
      </rPr>
      <t>Market Cap</t>
    </r>
    <r>
      <rPr>
        <sz val="9"/>
        <color rgb="FF000000"/>
        <rFont val="Arial"/>
        <family val="2"/>
      </rPr>
      <t xml:space="preserve"> </t>
    </r>
    <r>
      <rPr>
        <i/>
        <sz val="9"/>
        <color rgb="FF000000"/>
        <rFont val="Arial"/>
        <family val="2"/>
      </rPr>
      <t>(in millions)</t>
    </r>
  </si>
  <si>
    <t>% of Equity</t>
  </si>
  <si>
    <t>Rest of the World</t>
  </si>
  <si>
    <t>Cost of Equity</t>
  </si>
  <si>
    <t>Risk-Free Rate</t>
  </si>
  <si>
    <t>Unlevered Beta</t>
  </si>
  <si>
    <t>Equity Risk Premium</t>
  </si>
  <si>
    <t>Unlevered Cost of Equity</t>
  </si>
  <si>
    <r>
      <rPr>
        <sz val="11"/>
        <color rgb="FF000000"/>
        <rFont val="Arial"/>
        <family val="2"/>
      </rPr>
      <t>Debt</t>
    </r>
    <r>
      <rPr>
        <i/>
        <sz val="9"/>
        <color rgb="FF000000"/>
        <rFont val="Arial"/>
        <family val="2"/>
      </rPr>
      <t xml:space="preserve"> (in millions)</t>
    </r>
  </si>
  <si>
    <t>Cost of debt</t>
  </si>
  <si>
    <t>Tax Rate</t>
  </si>
  <si>
    <t>Multiples</t>
  </si>
  <si>
    <t>Valuation</t>
  </si>
  <si>
    <t>EBT Margin</t>
  </si>
  <si>
    <t>Efficiency</t>
  </si>
  <si>
    <t>Days Sales Outstanding</t>
  </si>
  <si>
    <t>Days Payable Outstanding</t>
  </si>
  <si>
    <t>Days Inventory Outstanding</t>
  </si>
  <si>
    <t>Leverage</t>
  </si>
  <si>
    <t>Interest Coverage</t>
  </si>
  <si>
    <t>Debt Repayment to Debt Borrowing</t>
  </si>
  <si>
    <t>Sensitivity Analisys - FCFF</t>
  </si>
  <si>
    <t>Simulations: 10,000</t>
  </si>
  <si>
    <t>Upside</t>
  </si>
  <si>
    <t>min</t>
  </si>
  <si>
    <t>mean</t>
  </si>
  <si>
    <t>median</t>
  </si>
  <si>
    <t>max</t>
  </si>
  <si>
    <t>st dev</t>
  </si>
  <si>
    <t>Iterations</t>
  </si>
  <si>
    <t>Inputs</t>
  </si>
  <si>
    <t>in millions of USD</t>
  </si>
  <si>
    <t>EPS diluted</t>
  </si>
  <si>
    <t>Basic Weighted Average Shares</t>
  </si>
  <si>
    <t>Diluted Weighted Average Shares</t>
  </si>
  <si>
    <t>Short-Term Investments</t>
  </si>
  <si>
    <t>Gross PP&amp;E (Property, Plant and Equipment)</t>
  </si>
  <si>
    <t>Intangibles</t>
  </si>
  <si>
    <t>Goodwill</t>
  </si>
  <si>
    <t>Other Non-Current Assets</t>
  </si>
  <si>
    <t>Non-Current Assets</t>
  </si>
  <si>
    <t>Short-Term Debt</t>
  </si>
  <si>
    <t>Short-Term Borrowings</t>
  </si>
  <si>
    <t>Current Portion of Lease Liabilities</t>
  </si>
  <si>
    <t>Long-Term Debt</t>
  </si>
  <si>
    <t>Long-Term Borrowings</t>
  </si>
  <si>
    <t>Long-Term Operating Lease Liabilities</t>
  </si>
  <si>
    <t>Other Non-Current Liabilities</t>
  </si>
  <si>
    <t>Non-Current Liabilities</t>
  </si>
  <si>
    <t>Non-Controlling Interest</t>
  </si>
  <si>
    <t>D&amp;A (Depreciation and Amortization)</t>
  </si>
  <si>
    <t>(Increase) Decrease in Accounts Receivable</t>
  </si>
  <si>
    <t>(Increase) Decrease in Inventories</t>
  </si>
  <si>
    <t>Increase (Decrease) in Other</t>
  </si>
  <si>
    <t>Acquisitions</t>
  </si>
  <si>
    <t>Divestitures</t>
  </si>
  <si>
    <t>Increase in LT Investment</t>
  </si>
  <si>
    <t>Decrease in LT Investment</t>
  </si>
  <si>
    <t>Effect of Foreign Exchange</t>
  </si>
  <si>
    <t>in billionsof USD</t>
  </si>
  <si>
    <t>Capital Structure</t>
  </si>
  <si>
    <t>Market Capitalization</t>
  </si>
  <si>
    <t>Preferred Stock</t>
  </si>
  <si>
    <t>Cash</t>
  </si>
  <si>
    <t>v</t>
  </si>
  <si>
    <t>Fixed</t>
  </si>
  <si>
    <t>Floating</t>
  </si>
  <si>
    <t>Additional</t>
  </si>
  <si>
    <t>Net Debt</t>
  </si>
  <si>
    <t>Effective Tax Rate</t>
  </si>
  <si>
    <t>elf Beauty Inc (ELF US) - GAAP</t>
  </si>
  <si>
    <t>In Millions of USD except Per Share</t>
  </si>
  <si>
    <t>Last 12M</t>
  </si>
  <si>
    <t>12 Months Ending</t>
  </si>
  <si>
    <t xml:space="preserve">    + Sales &amp; Services Revenue</t>
  </si>
  <si>
    <t xml:space="preserve">  - Cost of Revenue</t>
  </si>
  <si>
    <t xml:space="preserve">    + Cost of Goods &amp; Services</t>
  </si>
  <si>
    <t xml:space="preserve">  + Other Operating Income</t>
  </si>
  <si>
    <t xml:space="preserve">  - Operating Expenses</t>
  </si>
  <si>
    <t xml:space="preserve">    + Selling, General &amp; Admin</t>
  </si>
  <si>
    <t xml:space="preserve">    + Research &amp; Development</t>
  </si>
  <si>
    <t xml:space="preserve">    + Other Operating Expense</t>
  </si>
  <si>
    <t>Operating Income (Loss)</t>
  </si>
  <si>
    <t xml:space="preserve">  - Non-Operating (Income) Loss</t>
  </si>
  <si>
    <t xml:space="preserve">    + Interest Expense, Net</t>
  </si>
  <si>
    <t xml:space="preserve">    + Interest Expense</t>
  </si>
  <si>
    <t xml:space="preserve">    - Interest Income</t>
  </si>
  <si>
    <t xml:space="preserve">    + Foreign Exch (Gain) Loss</t>
  </si>
  <si>
    <t xml:space="preserve">    + Other Non-Op (Income) Loss</t>
  </si>
  <si>
    <t>Pretax Income</t>
  </si>
  <si>
    <t xml:space="preserve">  - Income Tax Expense (Benefit)</t>
  </si>
  <si>
    <t xml:space="preserve">    + Current Income Tax</t>
  </si>
  <si>
    <t xml:space="preserve">    + Deferred Income Tax</t>
  </si>
  <si>
    <t>Income (Loss) from Cont Ops</t>
  </si>
  <si>
    <t xml:space="preserve">  - Net Extraordinary Losses (Gains)</t>
  </si>
  <si>
    <t xml:space="preserve">    + Discontinued Operations</t>
  </si>
  <si>
    <t xml:space="preserve">    + XO &amp; Accounting Changes</t>
  </si>
  <si>
    <t>Income (Loss) Incl. MI</t>
  </si>
  <si>
    <t xml:space="preserve">  - Minority Interest</t>
  </si>
  <si>
    <t>Net Income, GAAP</t>
  </si>
  <si>
    <t xml:space="preserve">  - Preferred Dividends</t>
  </si>
  <si>
    <t xml:space="preserve">  - Other Adjustments</t>
  </si>
  <si>
    <t>Net Income Avail to Common, GAAP</t>
  </si>
  <si>
    <t>Net Income Avail to Common, Adj</t>
  </si>
  <si>
    <t xml:space="preserve">  Net Abnormal Losses (Gains)</t>
  </si>
  <si>
    <t xml:space="preserve">  Net Extraordinary Losses (Gains)</t>
  </si>
  <si>
    <t>Basic Weighted Avg Shares</t>
  </si>
  <si>
    <t>Basic EPS, GAAP</t>
  </si>
  <si>
    <t>Basic EPS from Cont Ops, GAAP</t>
  </si>
  <si>
    <t>Basic EPS from Cont Ops, Adjusted</t>
  </si>
  <si>
    <t>Diluted Weighted Avg Shares</t>
  </si>
  <si>
    <t>Diluted EPS, GAAP</t>
  </si>
  <si>
    <t>Diluted EPS from Cont Ops, GAAP</t>
  </si>
  <si>
    <t>Diluted EPS from Cont Ops, Adjusted</t>
  </si>
  <si>
    <t>Reference Items</t>
  </si>
  <si>
    <t>Accounting Standard</t>
  </si>
  <si>
    <t>US GAAP</t>
  </si>
  <si>
    <t>EBITDA Margin (T12M)</t>
  </si>
  <si>
    <t>EBITA</t>
  </si>
  <si>
    <t>Gross Margin</t>
  </si>
  <si>
    <t>Sales per Employee</t>
  </si>
  <si>
    <t>Dividends per Share</t>
  </si>
  <si>
    <t>Total Cash Common Dividends</t>
  </si>
  <si>
    <t>Rental Expense</t>
  </si>
  <si>
    <t>Source: Bloomberg</t>
  </si>
  <si>
    <t>Right click to show data transparency (not supported for all values)</t>
  </si>
  <si>
    <t>Inputs - Peers</t>
  </si>
  <si>
    <t>Mln USD</t>
  </si>
  <si>
    <t>Uber Technologies</t>
  </si>
  <si>
    <t>OR FP Equity</t>
  </si>
  <si>
    <t>EL US Equity</t>
  </si>
  <si>
    <t>COTY US Equity</t>
  </si>
  <si>
    <t>4911 JT Equity</t>
  </si>
  <si>
    <t>NTCO3 BZ Equity</t>
  </si>
  <si>
    <t>SALES_REV_TURN</t>
  </si>
  <si>
    <t>NET_INCOME</t>
  </si>
  <si>
    <t>IS_COGS_TO_FE_AND_PP_AND_G</t>
  </si>
  <si>
    <t>GROSS_PROFIT</t>
  </si>
  <si>
    <t>IS_OPER_INC</t>
  </si>
  <si>
    <t>IS_NET_INTEREST_EXPENSE</t>
  </si>
  <si>
    <t>PRETAX_INC</t>
  </si>
  <si>
    <t>IS_INC_TAX_EXP</t>
  </si>
  <si>
    <t>IS_EPS</t>
  </si>
  <si>
    <t>IS_OPERATING_EXPENSES_RD</t>
  </si>
  <si>
    <t xml:space="preserve">                              -  </t>
  </si>
  <si>
    <t>CASH_CASH_EQTY_STI_DETAILED</t>
  </si>
  <si>
    <t>BS_ACCT_NOTE_RCV</t>
  </si>
  <si>
    <t>BS_INVENTORIES</t>
  </si>
  <si>
    <t>BS_CUR_ASSET_REPORT</t>
  </si>
  <si>
    <t>BS_NET_FIX_ASSET</t>
  </si>
  <si>
    <t>BS_TOT_ASSET</t>
  </si>
  <si>
    <t>ACCT_PAYABLE_ACCRUALS_DETAILED</t>
  </si>
  <si>
    <t>BS_CUR_LIAB</t>
  </si>
  <si>
    <t>BS_LT_BORROW</t>
  </si>
  <si>
    <t>SHORT_AND_LONG_TERM_DEBT</t>
  </si>
  <si>
    <t>TOTAL_EQUITY</t>
  </si>
  <si>
    <t>CF_CASH_FROM_OPER</t>
  </si>
  <si>
    <t>FIXED_INTANG_ASST_CHANGE</t>
  </si>
  <si>
    <t>CF_CASH_FROM_INV_ACT</t>
  </si>
  <si>
    <t>DEBT BORROWING</t>
  </si>
  <si>
    <t>DEBT REPAYMENT</t>
  </si>
  <si>
    <t>CFF_ACTIVITIES_DETAILED</t>
  </si>
  <si>
    <t>CF_NET_CHNG_CASH</t>
  </si>
  <si>
    <t>CF_NET_CHG_ST_DEBT_CPTL_LEAS</t>
  </si>
  <si>
    <t xml:space="preserve"> — </t>
  </si>
  <si>
    <t>CF_LT_DEBT_CAP_LEAS_PROCEEDS</t>
  </si>
  <si>
    <t>CF_LT_DEBT_CAP_LEAS_PAYMENT</t>
  </si>
  <si>
    <t>elf Beauty Inc (ELF US) - Adjusted</t>
  </si>
  <si>
    <t>Pretax Income (Loss), Adjusted</t>
  </si>
  <si>
    <t xml:space="preserve">  - Abnormal Losses (Gains)</t>
  </si>
  <si>
    <t xml:space="preserve">    + Disposal of Assets</t>
  </si>
  <si>
    <t xml:space="preserve">    + Early Extinguishment of Debt</t>
  </si>
  <si>
    <t xml:space="preserve">    + Restructuring</t>
  </si>
  <si>
    <t xml:space="preserve">    + Unrealized Investments</t>
  </si>
  <si>
    <t xml:space="preserve">    + Other Abnormal Items</t>
  </si>
  <si>
    <t>Pretax Income (Loss), GAAP</t>
  </si>
  <si>
    <t>elf Beauty Inc (ELF US) - Standardized</t>
  </si>
  <si>
    <t>DEBT</t>
  </si>
  <si>
    <t xml:space="preserve">  + Cash, Cash Equivalents &amp; STI</t>
  </si>
  <si>
    <t xml:space="preserve">    + Cash &amp; Cash Equivalents</t>
  </si>
  <si>
    <t xml:space="preserve">    + ST Investments</t>
  </si>
  <si>
    <t xml:space="preserve">  + Accounts &amp; Notes Receiv</t>
  </si>
  <si>
    <t xml:space="preserve">    + Accounts Receivable, Net</t>
  </si>
  <si>
    <t xml:space="preserve">    + Notes Receivable, Net</t>
  </si>
  <si>
    <t xml:space="preserve">  + Inventories</t>
  </si>
  <si>
    <t xml:space="preserve">  + Other ST Assets</t>
  </si>
  <si>
    <t xml:space="preserve">    + Derivative &amp; Hedging Assets</t>
  </si>
  <si>
    <t xml:space="preserve">    + Misc ST Assets</t>
  </si>
  <si>
    <t>Total Current Assets</t>
  </si>
  <si>
    <t xml:space="preserve">  + Property, Plant &amp; Equip, Net</t>
  </si>
  <si>
    <t xml:space="preserve">    + Property, Plant &amp; Equip</t>
  </si>
  <si>
    <t xml:space="preserve">    - Accumulated Depreciation</t>
  </si>
  <si>
    <t xml:space="preserve">  + LT Investments &amp; Receivables</t>
  </si>
  <si>
    <t xml:space="preserve">    + LT Investments</t>
  </si>
  <si>
    <t xml:space="preserve">  + Other LT Assets</t>
  </si>
  <si>
    <t xml:space="preserve">    + Total Intangible Assets</t>
  </si>
  <si>
    <t xml:space="preserve">    + Goodwill</t>
  </si>
  <si>
    <t xml:space="preserve">    + Other Intangible Assets</t>
  </si>
  <si>
    <t xml:space="preserve">    + Deferred Tax Assets</t>
  </si>
  <si>
    <t xml:space="preserve">    + Misc LT Assets</t>
  </si>
  <si>
    <t>Total Noncurrent Assets</t>
  </si>
  <si>
    <t>Liabilities &amp; Shareholders' Equity</t>
  </si>
  <si>
    <t xml:space="preserve">  + Payables &amp; Accruals</t>
  </si>
  <si>
    <t xml:space="preserve">    + Accounts Payable</t>
  </si>
  <si>
    <t xml:space="preserve">    + Other Payables &amp; Accruals</t>
  </si>
  <si>
    <t xml:space="preserve">  + ST Debt</t>
  </si>
  <si>
    <t xml:space="preserve">    + ST Borrowings</t>
  </si>
  <si>
    <t xml:space="preserve">    + ST Lease Liabilities</t>
  </si>
  <si>
    <t xml:space="preserve">      + ST Finance Leases</t>
  </si>
  <si>
    <t xml:space="preserve">      + ST Operating Leases</t>
  </si>
  <si>
    <t xml:space="preserve">    + Current Portion of LT Debt</t>
  </si>
  <si>
    <t xml:space="preserve">  + Other ST Liabilities</t>
  </si>
  <si>
    <t xml:space="preserve">    + Deferred Revenue</t>
  </si>
  <si>
    <t xml:space="preserve">    + Derivatives &amp; Hedging</t>
  </si>
  <si>
    <t xml:space="preserve">    + Misc ST Liabilities</t>
  </si>
  <si>
    <t>Total Current Liabilities</t>
  </si>
  <si>
    <t xml:space="preserve">  + LT Debt</t>
  </si>
  <si>
    <t xml:space="preserve">    + LT Borrowings</t>
  </si>
  <si>
    <t xml:space="preserve">    + LT Lease Liabilities</t>
  </si>
  <si>
    <t xml:space="preserve">      + LT Finance Leases</t>
  </si>
  <si>
    <t xml:space="preserve">      + LT Operating Leases</t>
  </si>
  <si>
    <t xml:space="preserve">  + Other LT Liabilities</t>
  </si>
  <si>
    <t xml:space="preserve">    + Accrued Liabilities</t>
  </si>
  <si>
    <t xml:space="preserve">    + Pension Liabilities</t>
  </si>
  <si>
    <t xml:space="preserve">    + Deferred Tax Liabilities</t>
  </si>
  <si>
    <t xml:space="preserve">    + Misc LT Liabilities</t>
  </si>
  <si>
    <t>Total Noncurrent Liabilities</t>
  </si>
  <si>
    <t xml:space="preserve">  + Preferred Equity and Hybrid Capital</t>
  </si>
  <si>
    <t xml:space="preserve">  + Share Capital &amp; APIC</t>
  </si>
  <si>
    <t xml:space="preserve">    + Common Stock</t>
  </si>
  <si>
    <t xml:space="preserve">    + Additional Paid in Capital</t>
  </si>
  <si>
    <t xml:space="preserve">  - Treasury Stock</t>
  </si>
  <si>
    <t xml:space="preserve">  + Retained Earnings</t>
  </si>
  <si>
    <t xml:space="preserve">  + Other Equity</t>
  </si>
  <si>
    <t>Equity Before Minority Interest</t>
  </si>
  <si>
    <t xml:space="preserve">  + Minority/Non Controlling Interest</t>
  </si>
  <si>
    <t>Total Equity</t>
  </si>
  <si>
    <t>Total Liabilities &amp; Equity</t>
  </si>
  <si>
    <t>Shares Outstanding</t>
  </si>
  <si>
    <t>Number of Treasury Shares</t>
  </si>
  <si>
    <t>Pension Obligations</t>
  </si>
  <si>
    <t>Future Minimum Operating Lease Obligations</t>
  </si>
  <si>
    <t>Capital Leases - Total</t>
  </si>
  <si>
    <t>Options Granted During Period</t>
  </si>
  <si>
    <t>Options Outstanding at Period End</t>
  </si>
  <si>
    <t>Net Debt to Equity</t>
  </si>
  <si>
    <t>Tangible Common Equity Ratio</t>
  </si>
  <si>
    <t>Number of Employees</t>
  </si>
  <si>
    <t>Cash from Operating Activities</t>
  </si>
  <si>
    <t xml:space="preserve">  + Net Income</t>
  </si>
  <si>
    <t xml:space="preserve">  + Depreciation &amp; Amortization</t>
  </si>
  <si>
    <t xml:space="preserve">  + Non-Cash Items</t>
  </si>
  <si>
    <t xml:space="preserve">    + Stock-Based Compensation</t>
  </si>
  <si>
    <t xml:space="preserve">    + Deferred Income Taxes</t>
  </si>
  <si>
    <t xml:space="preserve">    + Other Non-Cash Adj</t>
  </si>
  <si>
    <t xml:space="preserve">  + Chg in Non-Cash Work Cap</t>
  </si>
  <si>
    <t xml:space="preserve">    + (Inc) Dec in Accts Receiv</t>
  </si>
  <si>
    <t xml:space="preserve">    + (Inc) Dec in Inventories</t>
  </si>
  <si>
    <t xml:space="preserve">    + Inc (Dec) in Other</t>
  </si>
  <si>
    <t xml:space="preserve">  + Net Cash From Disc Ops</t>
  </si>
  <si>
    <t>Cash from Investing Activities</t>
  </si>
  <si>
    <t xml:space="preserve">  + Change in Fixed &amp; Intang</t>
  </si>
  <si>
    <t xml:space="preserve">    + Disp in Fixed &amp; Intang</t>
  </si>
  <si>
    <t xml:space="preserve">    + Disp of Fixed Prod Assets</t>
  </si>
  <si>
    <t xml:space="preserve">    + Disp of Intangible Assets</t>
  </si>
  <si>
    <t xml:space="preserve">    + Acq of Fixed &amp; Intang</t>
  </si>
  <si>
    <t xml:space="preserve">    + Acq of Fixed Prod Assets</t>
  </si>
  <si>
    <t xml:space="preserve">    + Acq of Intangible Assets</t>
  </si>
  <si>
    <t xml:space="preserve">  + Net Change in LT Investment</t>
  </si>
  <si>
    <t xml:space="preserve">    + Dec in LT Investment</t>
  </si>
  <si>
    <t xml:space="preserve">    + Inc in LT Investment</t>
  </si>
  <si>
    <t xml:space="preserve">  + Net Cash From Acq &amp; Div</t>
  </si>
  <si>
    <t xml:space="preserve">    + Cash from Divestitures</t>
  </si>
  <si>
    <t xml:space="preserve">    + Cash for Acq of Subs</t>
  </si>
  <si>
    <t xml:space="preserve">    + Cash for JVs</t>
  </si>
  <si>
    <t xml:space="preserve">  + Other Investing Activities</t>
  </si>
  <si>
    <t>Cash from Financing Activities</t>
  </si>
  <si>
    <t xml:space="preserve">  + Dividends Paid</t>
  </si>
  <si>
    <t xml:space="preserve">  + Cash From (Repayment) Debt</t>
  </si>
  <si>
    <t xml:space="preserve">    + Cash From (Repay) ST Debt</t>
  </si>
  <si>
    <t xml:space="preserve">    + Cash From LT Debt</t>
  </si>
  <si>
    <t xml:space="preserve">    + Repayments of LT Debt</t>
  </si>
  <si>
    <t xml:space="preserve">  + Cash (Repurchase) of Equity</t>
  </si>
  <si>
    <t xml:space="preserve">    + Increase in Capital Stock</t>
  </si>
  <si>
    <t xml:space="preserve">    + Decrease in Capital Stock</t>
  </si>
  <si>
    <t xml:space="preserve">  + Other Financing Activities</t>
  </si>
  <si>
    <t xml:space="preserve">  Effect of Foreign Exchange Rates</t>
  </si>
  <si>
    <t>Cash Paid for Taxes</t>
  </si>
  <si>
    <t>Cash Paid for Interest</t>
  </si>
  <si>
    <t>Trailing 12M EBITDA Margin</t>
  </si>
  <si>
    <t>Net Cash Paid for Acquisitions</t>
  </si>
  <si>
    <t>Free Cash Flow</t>
  </si>
  <si>
    <t>Free Cash Flow to Firm</t>
  </si>
  <si>
    <t>Free Cash Flow to Equity</t>
  </si>
  <si>
    <t>Free Cash Flow per Basic Share</t>
  </si>
  <si>
    <t>Price to Free Cash Flow</t>
  </si>
  <si>
    <t>elf Beauty Inc (ELF US) - Profitability</t>
  </si>
  <si>
    <t>Returns</t>
  </si>
  <si>
    <t>Return on Common Equity</t>
  </si>
  <si>
    <t>Return on Capital</t>
  </si>
  <si>
    <t>Return on Invested Capital</t>
  </si>
  <si>
    <t>Margins</t>
  </si>
  <si>
    <t>Incremental Operating Margin</t>
  </si>
  <si>
    <t>Pretax Margin</t>
  </si>
  <si>
    <t>Income before XO Margin</t>
  </si>
  <si>
    <t>Net Income to Common Margin</t>
  </si>
  <si>
    <t>Dvd Payout Ratio</t>
  </si>
  <si>
    <t>Sustainable Growth Rate</t>
  </si>
  <si>
    <t>elf Beauty Inc (ELF US) - By Measure</t>
  </si>
  <si>
    <t xml:space="preserve">  Cosmetics</t>
  </si>
  <si>
    <t>Percentage of Revenue</t>
  </si>
  <si>
    <t xml:space="preserve">  Target</t>
  </si>
  <si>
    <t xml:space="preserve">  Walmart</t>
  </si>
  <si>
    <t xml:space="preserve">  Ulta Beauty</t>
  </si>
  <si>
    <t>Operating Income</t>
  </si>
  <si>
    <t>Income Taxes</t>
  </si>
  <si>
    <t>Property/Plant/Equipment</t>
  </si>
  <si>
    <t>Depreciation and Amortization</t>
  </si>
  <si>
    <t>Depreciation</t>
  </si>
  <si>
    <t>R&amp;D Expenses</t>
  </si>
  <si>
    <t>Capital Expenditures</t>
  </si>
  <si>
    <t>Mining - Exploration Expenses</t>
  </si>
  <si>
    <t>elf Beauty Inc (ELF US) - By Geography</t>
  </si>
  <si>
    <t xml:space="preserve">  United States</t>
  </si>
  <si>
    <t xml:space="preserve">  International</t>
  </si>
  <si>
    <t xml:space="preserve">  Corporate</t>
  </si>
  <si>
    <t>elf Beauty Inc (ELF US) - Overview</t>
  </si>
  <si>
    <t>ESG Financial Materiality Scores</t>
  </si>
  <si>
    <t>BESG ESG Score</t>
  </si>
  <si>
    <t>BESG Environmental Pillar Score</t>
  </si>
  <si>
    <t>BESG Social Pillar Score</t>
  </si>
  <si>
    <t>BESG Governance Pillar Score</t>
  </si>
  <si>
    <t>ESG Disclosure Scores</t>
  </si>
  <si>
    <t>ESG Disclosure Score</t>
  </si>
  <si>
    <t>Environmental Disclosure Score</t>
  </si>
  <si>
    <t>Social Disclosure Score</t>
  </si>
  <si>
    <t>Governance Disclosure Score</t>
  </si>
  <si>
    <t>Environmental</t>
  </si>
  <si>
    <t>Air Quality</t>
  </si>
  <si>
    <t>Climate Change</t>
  </si>
  <si>
    <t>Emissions Reduction Initiatives</t>
  </si>
  <si>
    <t>No</t>
  </si>
  <si>
    <t>n/a</t>
  </si>
  <si>
    <t>Transition Plan Claim</t>
  </si>
  <si>
    <t>Climate Change Policy</t>
  </si>
  <si>
    <t>Climate Change Opportunities Discussed</t>
  </si>
  <si>
    <t>Risks of Climate Change Discussed</t>
  </si>
  <si>
    <t>GHG Scope 1</t>
  </si>
  <si>
    <t>GHG Scope 2 Location-Based</t>
  </si>
  <si>
    <t>GHG Scope 3</t>
  </si>
  <si>
    <t>Energy</t>
  </si>
  <si>
    <t>Energy Efficiency Policy</t>
  </si>
  <si>
    <t>Materials &amp; Waste</t>
  </si>
  <si>
    <t>Waste Reduction Policy</t>
  </si>
  <si>
    <t>Plastic Packaging Recycled Content Target Indicatr</t>
  </si>
  <si>
    <t>Plastic Packaging RRC Target Indicator</t>
  </si>
  <si>
    <t>Supply Chain</t>
  </si>
  <si>
    <t>Environmental Supply Chain Management</t>
  </si>
  <si>
    <t>Water</t>
  </si>
  <si>
    <t>Water Policy</t>
  </si>
  <si>
    <t>Total Water Withdrawal</t>
  </si>
  <si>
    <t>Ecological &amp; Biodiversity Impacts</t>
  </si>
  <si>
    <t>Biodiversity Policy</t>
  </si>
  <si>
    <t>Adopts TNFD Recommendations</t>
  </si>
  <si>
    <t>Zero Deforestation Policy</t>
  </si>
  <si>
    <t>Board Level Oversight of Biodiversity</t>
  </si>
  <si>
    <t>Executive Level Oversight of Biodiversity</t>
  </si>
  <si>
    <t>Social</t>
  </si>
  <si>
    <t>Community &amp; Customers</t>
  </si>
  <si>
    <t>Human Rights Policy</t>
  </si>
  <si>
    <t>Policy Against Child Labor</t>
  </si>
  <si>
    <t>Quality Assurance and Recall Policy</t>
  </si>
  <si>
    <t>Yes</t>
  </si>
  <si>
    <t>Consumer Data Protection Policy</t>
  </si>
  <si>
    <t>Diversity</t>
  </si>
  <si>
    <t>Equal Opportunity Policy</t>
  </si>
  <si>
    <t>Gender Pay Gap Breakout</t>
  </si>
  <si>
    <t>Pct Women in Workforce</t>
  </si>
  <si>
    <t>Pct Minorities in Workforce</t>
  </si>
  <si>
    <t>Ethics &amp; Compliance</t>
  </si>
  <si>
    <t>Business Ethics Policy</t>
  </si>
  <si>
    <t>Anti-Bribery Ethics Policy</t>
  </si>
  <si>
    <t>Health &amp; Safety</t>
  </si>
  <si>
    <t>Health and Safety Policy</t>
  </si>
  <si>
    <t>Human Capital</t>
  </si>
  <si>
    <t>Training Policy</t>
  </si>
  <si>
    <t>Fair Remuneration Policy</t>
  </si>
  <si>
    <t>Number of Employees - CSR</t>
  </si>
  <si>
    <t>Pct Employees Unionized</t>
  </si>
  <si>
    <t>Company Discloses Employee Engagement Score</t>
  </si>
  <si>
    <t>Social Supply Chain Management</t>
  </si>
  <si>
    <t>Governance</t>
  </si>
  <si>
    <t>Audit Risk &amp; Oversight</t>
  </si>
  <si>
    <t>Years Auditor Employed</t>
  </si>
  <si>
    <t>Size of Audit Committee</t>
  </si>
  <si>
    <t>Number of Independent Directors on Audit Committee</t>
  </si>
  <si>
    <t>Audit Committee Meetings</t>
  </si>
  <si>
    <t>Audit Committee Meeting Attendance Percentage</t>
  </si>
  <si>
    <t>Board Composition</t>
  </si>
  <si>
    <t>Company Conducts Board Evaluations</t>
  </si>
  <si>
    <t>Board Size</t>
  </si>
  <si>
    <t>Number of Executives / Company Managers</t>
  </si>
  <si>
    <t>Number of Non Executive Directors on Board</t>
  </si>
  <si>
    <t>Number of Board Meetings for the Year</t>
  </si>
  <si>
    <t>Board Meeting Attendance Pct</t>
  </si>
  <si>
    <t>Compensation</t>
  </si>
  <si>
    <t>Company Has Executive Share Ownership Guidelines</t>
  </si>
  <si>
    <t>Director Share Ownership Guidelines</t>
  </si>
  <si>
    <t>Size of Compensation Committee</t>
  </si>
  <si>
    <t>Num of Independent Directors on Compensation Cmte</t>
  </si>
  <si>
    <t>Number of Compensation Committee Meetings</t>
  </si>
  <si>
    <t>Compensation Committee Meeting Attendance %</t>
  </si>
  <si>
    <t>Number of Female Executives</t>
  </si>
  <si>
    <t>Number of Women on Board</t>
  </si>
  <si>
    <t>Age of the Youngest Director</t>
  </si>
  <si>
    <t>Age of the Oldest Director</t>
  </si>
  <si>
    <t>Independence</t>
  </si>
  <si>
    <t>Number of Independent Directors</t>
  </si>
  <si>
    <t>Nominations &amp; Governance Oversight</t>
  </si>
  <si>
    <t>Size of Nomination Committee</t>
  </si>
  <si>
    <t>Num of Independent Directors on Nomination Cmte</t>
  </si>
  <si>
    <t>Number of Nomination Committee Meetings</t>
  </si>
  <si>
    <t>Nomination Committee Meeting Attendance Percentage</t>
  </si>
  <si>
    <t>Sustainability Governance</t>
  </si>
  <si>
    <t>Verification Type</t>
  </si>
  <si>
    <t>Employee CSR Training</t>
  </si>
  <si>
    <t>Tenure</t>
  </si>
  <si>
    <t>Board Duration (Years)</t>
  </si>
  <si>
    <t>elf Beauty Inc (ELF US) - Environmental</t>
  </si>
  <si>
    <t>Scope of Company Reporting</t>
  </si>
  <si>
    <t>GRI Criteria Compliance</t>
  </si>
  <si>
    <t>GRI Checked</t>
  </si>
  <si>
    <t>SASB Reporting Company</t>
  </si>
  <si>
    <t>Adopts TCFD Recommendations</t>
  </si>
  <si>
    <t>Emissions</t>
  </si>
  <si>
    <t>Total GHG Emissions</t>
  </si>
  <si>
    <t>Scope 3 Purchased Goods and Services Emissions</t>
  </si>
  <si>
    <t>Scope 3 Emissions Other</t>
  </si>
  <si>
    <t>Total Water Use</t>
  </si>
  <si>
    <t>Water Stress Exposure %</t>
  </si>
  <si>
    <t>Material</t>
  </si>
  <si>
    <t>Spills</t>
  </si>
  <si>
    <t>Environmental Fines</t>
  </si>
  <si>
    <t>Investments/Costs</t>
  </si>
  <si>
    <t>Certified Sites</t>
  </si>
  <si>
    <t>Number of Sites</t>
  </si>
  <si>
    <t>Operational Policy</t>
  </si>
  <si>
    <t>Renewable Electricity Target Policy</t>
  </si>
  <si>
    <t>Environmental Quality Management Policy</t>
  </si>
  <si>
    <t>Green Building Policy</t>
  </si>
  <si>
    <t>Sustainable Packaging</t>
  </si>
  <si>
    <t>New Products - Climate Change</t>
  </si>
  <si>
    <t>Internal Carbon Pricing</t>
  </si>
  <si>
    <t>Product Lifecycle Design</t>
  </si>
  <si>
    <t>Customer Efficiency Initiatives</t>
  </si>
  <si>
    <t>Biodiversity</t>
  </si>
  <si>
    <t>Commitment to External Biodiv Rel Initiatives</t>
  </si>
  <si>
    <t>Biodiversity Risks and Opportunities Discussed</t>
  </si>
  <si>
    <t>Impact of Comp Value Chain on Biodiv Assessed</t>
  </si>
  <si>
    <t>elf Beauty Inc (ELF US) - Social</t>
  </si>
  <si>
    <t>Employees</t>
  </si>
  <si>
    <t>Number of Part-Time Employees</t>
  </si>
  <si>
    <t>Employee Diversity</t>
  </si>
  <si>
    <t>Published United States EEO-1 Data</t>
  </si>
  <si>
    <t>Inclusive Culture</t>
  </si>
  <si>
    <t>Flexible Working Policy Indicator</t>
  </si>
  <si>
    <t>Female Leadership Action Plan</t>
  </si>
  <si>
    <t>Gender Pay Gap</t>
  </si>
  <si>
    <t>Action Plan to Close Gender Pay Gap</t>
  </si>
  <si>
    <t>Employee Training</t>
  </si>
  <si>
    <t>Safety</t>
  </si>
  <si>
    <t>Sustain Sup Guidelines Encomp ESG Area Pub Disclsd</t>
  </si>
  <si>
    <t>Human Rights &amp; Modern Slavery</t>
  </si>
  <si>
    <t>Human Rights Due Diligence Process</t>
  </si>
  <si>
    <t>Human Rights Remediation Process</t>
  </si>
  <si>
    <t>Modern Slavery Statement</t>
  </si>
  <si>
    <t>Supply Chain Modern Slavery Assessment</t>
  </si>
  <si>
    <t>Has Issued Recall Due to Serious Illness/Injury and/or Fatality? (Y/N)</t>
  </si>
  <si>
    <t>Policy</t>
  </si>
  <si>
    <t>Employee Protection / Whistle Blower Policy</t>
  </si>
  <si>
    <t>Intellectual Property Rights Protection Policy</t>
  </si>
  <si>
    <t>Community Engagement Policy</t>
  </si>
  <si>
    <t>Access and Affordability Policy</t>
  </si>
  <si>
    <t>Political Involvement Policy</t>
  </si>
  <si>
    <t>Anti - Competition Policy</t>
  </si>
  <si>
    <t>Product Data Security Policy</t>
  </si>
  <si>
    <t>Sustainable Development Goals Target Policy</t>
  </si>
  <si>
    <t>Framework Engagement</t>
  </si>
  <si>
    <t>UN Global Compact Signatory</t>
  </si>
  <si>
    <t>SDGs Target Policy</t>
  </si>
  <si>
    <t>Black Economic Empowerment (BEE)</t>
  </si>
  <si>
    <t>Fines</t>
  </si>
  <si>
    <t>elf Beauty Inc (ELF US) - Governance</t>
  </si>
  <si>
    <t>Board Structure</t>
  </si>
  <si>
    <t>Unitary or Two Tier Board System</t>
  </si>
  <si>
    <t># Employee Representatives on Board</t>
  </si>
  <si>
    <t>Classified Board System</t>
  </si>
  <si>
    <t>Board Independence</t>
  </si>
  <si>
    <t># Non Exec Dir on Board</t>
  </si>
  <si>
    <t>% Non Exec Dir on Board</t>
  </si>
  <si>
    <t># Independent Directors</t>
  </si>
  <si>
    <t>% Independent Directors</t>
  </si>
  <si>
    <t>CEO Duality</t>
  </si>
  <si>
    <t>Independent Chairperson</t>
  </si>
  <si>
    <t>Independent Lead Director</t>
  </si>
  <si>
    <t>Presiding Director</t>
  </si>
  <si>
    <t>Former CEO or its Equivalent on Board</t>
  </si>
  <si>
    <t>Board &amp; Exec Diversity</t>
  </si>
  <si>
    <t># Women on Board</t>
  </si>
  <si>
    <t>% Women on Board</t>
  </si>
  <si>
    <t>Female Chief Executive Officer or Equivalent</t>
  </si>
  <si>
    <t>Female Chairperson or Equivalent</t>
  </si>
  <si>
    <t># Executives / Company Mgrs</t>
  </si>
  <si>
    <t>CEO or Equivalent Appointed from Within</t>
  </si>
  <si>
    <t># Female Executives</t>
  </si>
  <si>
    <t>% Female Executives</t>
  </si>
  <si>
    <t>Board of Directors Age Range</t>
  </si>
  <si>
    <t>Board Average Age</t>
  </si>
  <si>
    <t>Board Diversity Breakout Code</t>
  </si>
  <si>
    <t>Board Meetings</t>
  </si>
  <si>
    <t># Board Meetings</t>
  </si>
  <si>
    <t>Board Meeting Attendance %</t>
  </si>
  <si>
    <t>Independent Directors Board Meeting Attendance %</t>
  </si>
  <si>
    <t># Dir Attending Less than 75% of Mtgs</t>
  </si>
  <si>
    <t>Audit Committee</t>
  </si>
  <si>
    <t># Independent Dir on Audit Cmte</t>
  </si>
  <si>
    <t>% Independent Dir on Audit Cmte</t>
  </si>
  <si>
    <t>Independent Audit Committee Chairperson</t>
  </si>
  <si>
    <t># Non Exec Dir on Audit Cmte</t>
  </si>
  <si>
    <t>Compensation Committee</t>
  </si>
  <si>
    <t># Independent Dir on Comp Cmte</t>
  </si>
  <si>
    <t>% Independent Dir on Comp Cmte</t>
  </si>
  <si>
    <t>Independent Compensation Committee Chairperson</t>
  </si>
  <si>
    <t># Non Exec Dir on Comp Cmte</t>
  </si>
  <si>
    <t># Comp Committee Meetings</t>
  </si>
  <si>
    <t>Outside Compensation Advisors Appointed</t>
  </si>
  <si>
    <t>Executive Compensation Consultant Srvcs Provided</t>
  </si>
  <si>
    <t>Nomination Committee</t>
  </si>
  <si>
    <t># Independent Dir on Nom Cmte</t>
  </si>
  <si>
    <t>Pct of Ind Directors on Nomination Committee</t>
  </si>
  <si>
    <t>Independent Nomination Committee Chairperson</t>
  </si>
  <si>
    <t># Non Exec Dir on Nom Cmte</t>
  </si>
  <si>
    <t># Nom Cmte Meetings</t>
  </si>
  <si>
    <t>CSR/Sustainability Committee</t>
  </si>
  <si>
    <t>Size of CSR Sustainability Committee</t>
  </si>
  <si>
    <t>Num Independent Directors on CSR Committee</t>
  </si>
  <si>
    <t>Pct Independent Directors on CSR Committee</t>
  </si>
  <si>
    <t>CSR Committee Chairperson Independent</t>
  </si>
  <si>
    <t>Num of Non Exec Directors on CSR Committee</t>
  </si>
  <si>
    <t>Number of CSR Sustainability Committee Meetings</t>
  </si>
  <si>
    <t>Percent of CSR Sustainability Committee Attendance</t>
  </si>
  <si>
    <t>Board &amp; Exec Activities</t>
  </si>
  <si>
    <t>Non-Executive Director with Responsibility for CSR</t>
  </si>
  <si>
    <t>Executive Director with Responsibility for CSR</t>
  </si>
  <si>
    <t>Executive Compensation Linked to ESG</t>
  </si>
  <si>
    <t>Executive Compensation Linked to Climate</t>
  </si>
  <si>
    <t>ESG Linked Compensation for Board</t>
  </si>
  <si>
    <t>Clawback Provision for Executive Compensation</t>
  </si>
  <si>
    <t>Chg of Ctrl Benefits/Golden Parachute Agreements</t>
  </si>
  <si>
    <t>Comp Discloses CEO or Equivalent Pay Ratio Flg</t>
  </si>
  <si>
    <t>CEO or Equivalent Pay Ratio (Median Employee)</t>
  </si>
  <si>
    <t>CEO Pay Ratio Median Employee Compensation</t>
  </si>
  <si>
    <t>CEO Pay Ratio CEO or Equivalent Total Comp</t>
  </si>
  <si>
    <t>Tax Compliance</t>
  </si>
  <si>
    <t>Global Tax Strategy</t>
  </si>
  <si>
    <t>Governance Body Responsible for Compliance</t>
  </si>
  <si>
    <t>Tax Disclosed in Jurisdiction of Incorporation</t>
  </si>
  <si>
    <t>Tax Disclosed in Each Key Jurisdiction</t>
  </si>
  <si>
    <t>Tax Risk Integrated Into Risk Managemnt System</t>
  </si>
  <si>
    <t>Shareholder Rights</t>
  </si>
  <si>
    <t>Special Meetings Allowed</t>
  </si>
  <si>
    <t>Action By Written Consent</t>
  </si>
  <si>
    <t>Poison Pill Plan</t>
  </si>
  <si>
    <t>Shareholder Approved Poison Pill</t>
  </si>
  <si>
    <t>Poison Pill TIDE Provision</t>
  </si>
  <si>
    <t>Poison Pill Sunset Provision</t>
  </si>
  <si>
    <t>Controlled Company</t>
  </si>
  <si>
    <t>Cumulative Voting System</t>
  </si>
  <si>
    <t>Supermajority Bylaw Provision</t>
  </si>
  <si>
    <t>Blank Check Preferred Authorized</t>
  </si>
  <si>
    <t>Dual Class Unequal Voting Rights - Common</t>
  </si>
  <si>
    <t>Director Election Vote Policy</t>
  </si>
  <si>
    <t>Proxy Access Policy</t>
  </si>
  <si>
    <t>Executive Director Board Duration</t>
  </si>
  <si>
    <t>AGM Voting Results</t>
  </si>
  <si>
    <t>Say On Pay Provision</t>
  </si>
  <si>
    <t>Frequency of Say on Pay Votes</t>
  </si>
  <si>
    <t>Say on Pay Support Level</t>
  </si>
  <si>
    <t>Say on Pay Number of Votes FOR</t>
  </si>
  <si>
    <t>Say on Pay Number of Votes AGAINST</t>
  </si>
  <si>
    <t>Say On Pay Number of Votes - ABSTAIN</t>
  </si>
  <si>
    <t>Say On Pay Number of Votes - BROKER NON VOTE</t>
  </si>
  <si>
    <t>Auditor Ratification</t>
  </si>
  <si>
    <t>Auditor Ratification Support Level</t>
  </si>
  <si>
    <t>Auditor Ratification Number of Votes - FOR</t>
  </si>
  <si>
    <t>Auditor Ratification Number of Votes - AGAINST</t>
  </si>
  <si>
    <t>Auditor Ratification Number of Votes - ABSTAIN</t>
  </si>
  <si>
    <t>Auditor Ratification Number Votes BROKER NON VOTE</t>
  </si>
  <si>
    <t>Director Compensation</t>
  </si>
  <si>
    <t>elf Beauty Inc (ELF US) - Exec &amp; Dir Comp</t>
  </si>
  <si>
    <t>Executive Compensation</t>
  </si>
  <si>
    <t>Total Compensation Paid</t>
  </si>
  <si>
    <t>Total Salaries and Bonuses Paid</t>
  </si>
  <si>
    <t xml:space="preserve">  Non Equity Incentives Granted</t>
  </si>
  <si>
    <t xml:space="preserve">  Total Salaries Paid</t>
  </si>
  <si>
    <t xml:space="preserve">  Total Bonuses Paid</t>
  </si>
  <si>
    <t>All Other Compensation Paid</t>
  </si>
  <si>
    <t xml:space="preserve">  Stock Awards Granted</t>
  </si>
  <si>
    <t xml:space="preserve">  Option Awards Granted</t>
  </si>
  <si>
    <t xml:space="preserve">  Pension &amp; Nonqual Defined Pension</t>
  </si>
  <si>
    <t xml:space="preserve">  Total Other Compensation Paid</t>
  </si>
  <si>
    <t># of Exec Changes in Fiscal Year</t>
  </si>
  <si>
    <t>Date of Last Executive Change</t>
  </si>
  <si>
    <t># Execs Included in Compensation</t>
  </si>
  <si>
    <t>CEO</t>
  </si>
  <si>
    <t># of CEO and Equiv Changes in FY</t>
  </si>
  <si>
    <t>Date of Last CEO and Equiv Change</t>
  </si>
  <si>
    <t># CEO and Equiv Included in Comp</t>
  </si>
  <si>
    <t>CEO Tenure at Fiscal Year End</t>
  </si>
  <si>
    <t>Other C-Suite</t>
  </si>
  <si>
    <t>Total Comp Paid to CFO and Equiv</t>
  </si>
  <si>
    <t>Total Comp Paid to COO and Equiv</t>
  </si>
  <si>
    <t>Board Compensation</t>
  </si>
  <si>
    <t xml:space="preserve">  Fees Paid in Cash</t>
  </si>
  <si>
    <t># of Board Changes in Fiscal Year</t>
  </si>
  <si>
    <t>Date of Last Board Change</t>
  </si>
  <si>
    <t># Directors Included in Comp</t>
  </si>
  <si>
    <t>elf Beauty Inc (ELF US) - ESG Ratios</t>
  </si>
  <si>
    <t>Disclosure Scores</t>
  </si>
  <si>
    <t>Greenhouse Gases</t>
  </si>
  <si>
    <t>GHG Intensity per Sales</t>
  </si>
  <si>
    <t>GHG Scope 1 Intensity per Sales</t>
  </si>
  <si>
    <t>GHG Scope 2 Intensity per Sales</t>
  </si>
  <si>
    <t>GHG Intensity per EBITDA</t>
  </si>
  <si>
    <t>GHG/CO2 Intensity / Gross Fixed Assets</t>
  </si>
  <si>
    <t>GHG/CO2 Intensity / Net Fixed Assets</t>
  </si>
  <si>
    <t>GHG Intensity per Employee</t>
  </si>
  <si>
    <t>GHG Intensity per Assets</t>
  </si>
  <si>
    <t>Scope 3 GHG per Employee</t>
  </si>
  <si>
    <t>Carbon Dioxide</t>
  </si>
  <si>
    <t>Water Intensity per Sales</t>
  </si>
  <si>
    <t>Water Intensity per EBITDA</t>
  </si>
  <si>
    <t>Water Intensity per Employee</t>
  </si>
  <si>
    <t>Water Intensity per Assets</t>
  </si>
  <si>
    <t>Waste</t>
  </si>
  <si>
    <t>Other Environmental</t>
  </si>
  <si>
    <t>R&amp;D Expenditures per Cash Flow</t>
  </si>
  <si>
    <t>Actual Net Income per Employee</t>
  </si>
  <si>
    <t>Actual Cash Flow per Employee</t>
  </si>
  <si>
    <t>Percentage of Non-Executive Directors on Board</t>
  </si>
  <si>
    <t>Pct Independent Directors</t>
  </si>
  <si>
    <t>Percentage of Female Executives</t>
  </si>
  <si>
    <t>Pct of Independent Directors on Audit Committee</t>
  </si>
  <si>
    <t>Pct of Ind Directors on Compensation Committee</t>
  </si>
  <si>
    <t>elf Beauty Inc (ELF US) - CDP</t>
  </si>
  <si>
    <t>Reporting Period</t>
  </si>
  <si>
    <t>Start Date of CDP Reporting Year</t>
  </si>
  <si>
    <t>End Date of CDP Reporting Year</t>
  </si>
  <si>
    <t>CDP Survey Year</t>
  </si>
  <si>
    <t>CDP Reported Fiscal Year</t>
  </si>
  <si>
    <t>Governance and Strategy</t>
  </si>
  <si>
    <t>Incentives Mgt Climate Change</t>
  </si>
  <si>
    <t>Engages Policy Climate Change</t>
  </si>
  <si>
    <t>Internal Price of Carbon</t>
  </si>
  <si>
    <t>3rd Party Avoided Emissions</t>
  </si>
  <si>
    <t>Emission Reduction Activities</t>
  </si>
  <si>
    <t>Value Chain Engagement</t>
  </si>
  <si>
    <t>Board Level Oversight for Climate Related Issues</t>
  </si>
  <si>
    <t>Climate Related Opportunities - Substantive Impact</t>
  </si>
  <si>
    <t>Climate Related Risks - Substantive Impact</t>
  </si>
  <si>
    <t>GHG Emissions</t>
  </si>
  <si>
    <t>Co Uses GHG/other Methodology</t>
  </si>
  <si>
    <t>Scope 1 Activity Emissions Globally</t>
  </si>
  <si>
    <t>Location-based Scope 2</t>
  </si>
  <si>
    <t>Market-based Scope 2</t>
  </si>
  <si>
    <t>CDP Estimation Scope 1 Emissions</t>
  </si>
  <si>
    <t>Scope 3 Purch Goods/Srvcs</t>
  </si>
  <si>
    <t>Scope 3 Fuel and Energy Related Activities</t>
  </si>
  <si>
    <t>Scope 3 Upstream Transport and Distribution</t>
  </si>
  <si>
    <t>Scope 3 Waste Generated in Operations</t>
  </si>
  <si>
    <t>Scope 3 Employee Commuting</t>
  </si>
  <si>
    <t>Scope 3 Employee Business Travel</t>
  </si>
  <si>
    <t>Scope 3 Downstream Transport and Distribution</t>
  </si>
  <si>
    <t>Scope 3 End of Life Treatment of Sold Products</t>
  </si>
  <si>
    <t>Energy Use</t>
  </si>
  <si>
    <t>Total Energy Consumption</t>
  </si>
  <si>
    <t>Total Energy Consumption - Renewable</t>
  </si>
  <si>
    <t>Total Energy Consumption - Non-Renewable</t>
  </si>
  <si>
    <t>Total Fuel Consumption</t>
  </si>
  <si>
    <t>Fuel Consumption - Renewable</t>
  </si>
  <si>
    <t>Fuel Consumption - Non-Renewable</t>
  </si>
  <si>
    <t>Total Purchased Elec Consumption</t>
  </si>
  <si>
    <t>Purchased Electricity Consumption - Renewable</t>
  </si>
  <si>
    <t>Purchased Electricity Consumption - Non-Renewable</t>
  </si>
  <si>
    <t>Total Electricity Consumption</t>
  </si>
  <si>
    <t>Total Electricity Consumption - Renewable</t>
  </si>
  <si>
    <t>Total Electricity Consumption - Non-Renewable</t>
  </si>
  <si>
    <t>Fuel Used - Other Non-Renewable Fuels</t>
  </si>
  <si>
    <t>Low Carbon Energy</t>
  </si>
  <si>
    <t>Trading</t>
  </si>
  <si>
    <t>Targets and Initiatives</t>
  </si>
  <si>
    <t>Emission Red 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</si>
</sst>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 &quot;€&quot;_-;\-* #,##0.00\ &quot;€&quot;_-;_-* &quot;-&quot;??\ &quot;€&quot;_-;_-@_-"/>
    <numFmt numFmtId="165" formatCode="0&quot;A&quot;"/>
    <numFmt numFmtId="166" formatCode="0&quot;E&quot;"/>
    <numFmt numFmtId="167" formatCode="_-* #,##0.00\ _€_-;\-* #,##0.00\ _€_-;_-* &quot;-&quot;??\ _€_-;_-@_-"/>
    <numFmt numFmtId="168" formatCode="0.00\x"/>
    <numFmt numFmtId="169" formatCode="0.00&quot;M&quot;"/>
    <numFmt numFmtId="170" formatCode="0.0%"/>
    <numFmt numFmtId="171" formatCode="&quot;$&quot;#,##0"/>
    <numFmt numFmtId="172" formatCode="_(* #,##0_);_(* \(#,##0\);_(* &quot;-&quot;??_);_(@_)"/>
    <numFmt numFmtId="173" formatCode="0.0"/>
    <numFmt numFmtId="174" formatCode="&quot;$&quot;#,##0.00"/>
    <numFmt numFmtId="175" formatCode="_([$$-409]* #,##0_);_([$$-409]* \(#,##0\);_([$$-409]* &quot;-&quot;??_);_(@_)"/>
    <numFmt numFmtId="176" formatCode="_([$$-409]* #,##0.00_);_([$$-409]* \(#,##0.00\);_([$$-409]* &quot;-&quot;??_);_(@_)"/>
    <numFmt numFmtId="177" formatCode="#,##0.0"/>
    <numFmt numFmtId="178" formatCode="[$-409]d\-mmm;@"/>
    <numFmt numFmtId="179" formatCode="0.000%"/>
    <numFmt numFmtId="180" formatCode="0&quot;+&quot;"/>
    <numFmt numFmtId="181" formatCode="_([$$-409]* #,##0.000_);_([$$-409]* \(#,##0.000\);_([$$-409]* &quot;-&quot;??_);_(@_)"/>
    <numFmt numFmtId="182" formatCode="0.00000"/>
  </numFmts>
  <fonts count="118">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b/>
      <sz val="12"/>
      <color theme="0"/>
      <name val="Arial"/>
      <family val="2"/>
    </font>
    <font>
      <sz val="11"/>
      <color rgb="FF000000"/>
      <name val="Arial"/>
      <family val="2"/>
    </font>
    <font>
      <b/>
      <sz val="11"/>
      <color rgb="FF000000"/>
      <name val="Arial"/>
      <family val="2"/>
    </font>
    <font>
      <u/>
      <sz val="11"/>
      <color theme="10"/>
      <name val="Arial"/>
      <family val="2"/>
    </font>
    <font>
      <sz val="11"/>
      <name val="Arial"/>
      <family val="2"/>
    </font>
    <font>
      <sz val="10"/>
      <color theme="1"/>
      <name val="Arial"/>
      <family val="2"/>
    </font>
    <font>
      <sz val="12"/>
      <name val="Arial"/>
      <family val="2"/>
    </font>
    <font>
      <sz val="12"/>
      <color theme="1"/>
      <name val="Arial"/>
      <family val="2"/>
    </font>
    <font>
      <sz val="10"/>
      <name val="Arial"/>
      <family val="2"/>
    </font>
    <font>
      <i/>
      <sz val="9"/>
      <color rgb="FF000000"/>
      <name val="Arial"/>
      <family val="2"/>
    </font>
    <font>
      <b/>
      <sz val="10"/>
      <color theme="1"/>
      <name val="Arial"/>
      <family val="2"/>
    </font>
    <font>
      <b/>
      <sz val="11"/>
      <color rgb="FF7B1314"/>
      <name val="Arial"/>
      <family val="2"/>
    </font>
    <font>
      <b/>
      <sz val="16"/>
      <color theme="1"/>
      <name val="Arial"/>
      <family val="2"/>
    </font>
    <font>
      <b/>
      <sz val="10"/>
      <name val="Arial"/>
      <family val="2"/>
    </font>
    <font>
      <sz val="12"/>
      <color theme="0"/>
      <name val="Arial"/>
      <family val="2"/>
    </font>
    <font>
      <b/>
      <i/>
      <sz val="12"/>
      <color theme="0"/>
      <name val="Arial"/>
      <family val="2"/>
    </font>
    <font>
      <b/>
      <sz val="12"/>
      <color rgb="FF7B1314"/>
      <name val="Arial"/>
      <family val="2"/>
    </font>
    <font>
      <b/>
      <sz val="12"/>
      <color rgb="FFFFFFFF"/>
      <name val="Arial"/>
      <family val="2"/>
    </font>
    <font>
      <i/>
      <sz val="8"/>
      <color theme="0"/>
      <name val="Arial"/>
      <family val="2"/>
    </font>
    <font>
      <i/>
      <sz val="11"/>
      <color theme="1"/>
      <name val="Arial"/>
      <family val="2"/>
    </font>
    <font>
      <sz val="9"/>
      <color indexed="81"/>
      <name val="Tahoma"/>
      <family val="2"/>
    </font>
    <font>
      <b/>
      <sz val="9"/>
      <color indexed="81"/>
      <name val="Tahoma"/>
      <family val="2"/>
    </font>
    <font>
      <sz val="11"/>
      <color rgb="FF00B050"/>
      <name val="Arial"/>
      <family val="2"/>
    </font>
    <font>
      <b/>
      <sz val="11"/>
      <name val="Arial"/>
      <family val="2"/>
    </font>
    <font>
      <sz val="11"/>
      <color theme="1"/>
      <name val="Arial"/>
      <family val="2"/>
    </font>
    <font>
      <b/>
      <sz val="12"/>
      <color rgb="FF000000"/>
      <name val="Arial"/>
      <family val="2"/>
    </font>
    <font>
      <sz val="11"/>
      <color rgb="FF0070C0"/>
      <name val="Arial"/>
      <family val="2"/>
    </font>
    <font>
      <sz val="9"/>
      <color rgb="FF000000"/>
      <name val="Arial"/>
      <family val="2"/>
    </font>
    <font>
      <b/>
      <u/>
      <sz val="12"/>
      <name val="Arial"/>
      <family val="2"/>
    </font>
    <font>
      <sz val="12"/>
      <color rgb="FF0070C0"/>
      <name val="Arial"/>
      <family val="2"/>
    </font>
    <font>
      <sz val="12"/>
      <color rgb="FF000000"/>
      <name val="Arial"/>
      <family val="2"/>
    </font>
    <font>
      <sz val="12"/>
      <color rgb="FF00B050"/>
      <name val="Arial"/>
      <family val="2"/>
    </font>
    <font>
      <b/>
      <sz val="12"/>
      <name val="Arial"/>
      <family val="2"/>
    </font>
    <font>
      <i/>
      <sz val="12"/>
      <name val="Arial"/>
      <family val="2"/>
    </font>
    <font>
      <i/>
      <sz val="8"/>
      <color theme="1"/>
      <name val="Arial"/>
      <family val="2"/>
    </font>
    <font>
      <b/>
      <sz val="12"/>
      <color theme="1"/>
      <name val="Arial"/>
      <family val="2"/>
    </font>
    <font>
      <i/>
      <sz val="12"/>
      <color theme="1"/>
      <name val="Arial"/>
      <family val="2"/>
    </font>
    <font>
      <b/>
      <sz val="11"/>
      <color rgb="FF00B050"/>
      <name val="Arial"/>
      <family val="2"/>
    </font>
    <font>
      <b/>
      <sz val="12"/>
      <color rgb="FF00B050"/>
      <name val="Arial"/>
      <family val="2"/>
    </font>
    <font>
      <b/>
      <sz val="10"/>
      <color indexed="9"/>
      <name val="Arial"/>
      <family val="2"/>
    </font>
    <font>
      <i/>
      <sz val="11"/>
      <color rgb="FF00B050"/>
      <name val="Arial"/>
      <family val="2"/>
    </font>
    <font>
      <i/>
      <sz val="11"/>
      <color rgb="FF000000"/>
      <name val="Arial"/>
      <family val="2"/>
    </font>
    <font>
      <i/>
      <sz val="11"/>
      <color rgb="FF0070C0"/>
      <name val="Arial"/>
      <family val="2"/>
    </font>
    <font>
      <i/>
      <sz val="11"/>
      <color theme="1" tint="0.499984740745262"/>
      <name val="Arial"/>
      <family val="2"/>
    </font>
    <font>
      <sz val="11"/>
      <color theme="1" tint="0.499984740745262"/>
      <name val="Arial"/>
      <family val="2"/>
    </font>
    <font>
      <i/>
      <sz val="12"/>
      <color rgb="FF00B050"/>
      <name val="Arial"/>
      <family val="2"/>
    </font>
    <font>
      <sz val="12"/>
      <color theme="1" tint="0.499984740745262"/>
      <name val="Arial"/>
      <family val="2"/>
    </font>
    <font>
      <sz val="11"/>
      <color theme="0"/>
      <name val="Consolas"/>
      <family val="3"/>
    </font>
    <font>
      <sz val="11"/>
      <name val="Arial"/>
      <family val="2"/>
    </font>
    <font>
      <b/>
      <sz val="9"/>
      <color theme="0"/>
      <name val="Arial"/>
      <family val="2"/>
    </font>
    <font>
      <sz val="9"/>
      <color theme="0"/>
      <name val="Arial"/>
      <family val="2"/>
    </font>
    <font>
      <sz val="9"/>
      <name val="Arial"/>
      <family val="2"/>
    </font>
    <font>
      <sz val="10"/>
      <color theme="1" tint="0.249977111117893"/>
      <name val="Arial"/>
      <family val="2"/>
    </font>
    <font>
      <sz val="11"/>
      <color theme="1"/>
      <name val="Arial"/>
      <family val="2"/>
    </font>
    <font>
      <sz val="14"/>
      <color theme="1"/>
      <name val="Arial"/>
      <family val="2"/>
    </font>
    <font>
      <i/>
      <sz val="10"/>
      <color theme="0" tint="-0.34998626667073579"/>
      <name val="Arial"/>
      <family val="2"/>
    </font>
    <font>
      <sz val="11"/>
      <color theme="1" tint="0.249977111117893"/>
      <name val="Arial"/>
      <family val="2"/>
    </font>
    <font>
      <b/>
      <sz val="14"/>
      <color rgb="FF7B1314"/>
      <name val="Arial"/>
      <family val="2"/>
    </font>
    <font>
      <sz val="9"/>
      <color theme="1" tint="0.249977111117893"/>
      <name val="Arial"/>
      <family val="2"/>
    </font>
    <font>
      <sz val="9"/>
      <color theme="1"/>
      <name val="Arial"/>
      <family val="2"/>
    </font>
    <font>
      <b/>
      <sz val="16"/>
      <color rgb="FF000000"/>
      <name val="Arial"/>
      <family val="2"/>
    </font>
    <font>
      <b/>
      <sz val="11"/>
      <color rgb="FFFFFFFF"/>
      <name val="Arial"/>
      <family val="2"/>
    </font>
    <font>
      <sz val="11"/>
      <color rgb="FFFFFFFF"/>
      <name val="Arial"/>
      <family val="2"/>
    </font>
    <font>
      <sz val="16"/>
      <color theme="1"/>
      <name val="Arial"/>
      <family val="2"/>
    </font>
    <font>
      <b/>
      <sz val="16"/>
      <name val="Arial"/>
      <family val="2"/>
    </font>
    <font>
      <b/>
      <sz val="16"/>
      <color rgb="FF7B1314"/>
      <name val="Arial"/>
      <family val="2"/>
    </font>
    <font>
      <b/>
      <sz val="11"/>
      <color indexed="9"/>
      <name val="Calibri"/>
      <family val="2"/>
    </font>
    <font>
      <b/>
      <sz val="11"/>
      <color rgb="FFFFFFFF"/>
      <name val="Calibri"/>
      <family val="2"/>
    </font>
    <font>
      <b/>
      <sz val="16"/>
      <color rgb="FFFFFFFF"/>
      <name val="Arial"/>
      <family val="2"/>
    </font>
    <font>
      <sz val="10"/>
      <name val="Calibri"/>
      <family val="2"/>
    </font>
    <font>
      <b/>
      <sz val="10"/>
      <color rgb="FFFFFFFF"/>
      <name val="Arial"/>
      <family val="2"/>
    </font>
    <font>
      <b/>
      <sz val="10"/>
      <color rgb="FF000000"/>
      <name val="Arial"/>
      <family val="2"/>
    </font>
    <font>
      <sz val="10"/>
      <color rgb="FF333333"/>
      <name val="Arial"/>
      <family val="2"/>
    </font>
    <font>
      <sz val="10"/>
      <color rgb="FF000000"/>
      <name val="Arial"/>
      <family val="2"/>
    </font>
    <font>
      <i/>
      <sz val="10"/>
      <color rgb="FF333333"/>
      <name val="Arial"/>
      <family val="2"/>
    </font>
    <font>
      <i/>
      <sz val="10"/>
      <color rgb="FF000000"/>
      <name val="Arial"/>
      <family val="2"/>
    </font>
    <font>
      <sz val="11"/>
      <color rgb="FF000000"/>
      <name val="Calibri"/>
      <family val="2"/>
    </font>
    <font>
      <b/>
      <sz val="9"/>
      <color rgb="FF000000"/>
      <name val="Tahoma"/>
      <family val="2"/>
    </font>
    <font>
      <sz val="9"/>
      <color rgb="FF000000"/>
      <name val="Tahoma"/>
      <family val="2"/>
    </font>
    <font>
      <sz val="11"/>
      <color theme="8"/>
      <name val="Arial"/>
      <family val="2"/>
    </font>
    <font>
      <sz val="12"/>
      <color rgb="FF242424"/>
      <name val="Arial"/>
      <family val="2"/>
    </font>
    <font>
      <i/>
      <sz val="11"/>
      <name val="Arial"/>
      <family val="2"/>
    </font>
    <font>
      <sz val="10"/>
      <color rgb="FF92D050"/>
      <name val="Arial"/>
      <family val="2"/>
    </font>
    <font>
      <b/>
      <sz val="11"/>
      <color rgb="FF242424"/>
      <name val="Arial"/>
      <family val="2"/>
    </font>
    <font>
      <b/>
      <sz val="9"/>
      <color theme="1"/>
      <name val="Arial"/>
      <family val="2"/>
    </font>
    <font>
      <b/>
      <sz val="9"/>
      <color rgb="FF000000"/>
      <name val="Arial"/>
      <family val="2"/>
    </font>
    <font>
      <sz val="10"/>
      <name val="Arial"/>
      <family val="2"/>
      <charset val="1"/>
    </font>
    <font>
      <sz val="10"/>
      <color rgb="FF92D050"/>
      <name val="Arial"/>
      <family val="2"/>
      <charset val="1"/>
    </font>
    <font>
      <sz val="10"/>
      <color rgb="FFFF0000"/>
      <name val="Arial"/>
      <family val="2"/>
      <charset val="1"/>
    </font>
    <font>
      <u/>
      <sz val="11"/>
      <color theme="1"/>
      <name val="Arial"/>
      <family val="2"/>
    </font>
    <font>
      <b/>
      <sz val="10"/>
      <color rgb="FF333333"/>
      <name val="Arial"/>
      <family val="2"/>
    </font>
    <font>
      <sz val="18"/>
      <name val="Calibri"/>
      <family val="2"/>
    </font>
    <font>
      <sz val="11"/>
      <name val="Calibri"/>
      <family val="2"/>
    </font>
    <font>
      <i/>
      <sz val="11"/>
      <color rgb="FF000000"/>
      <name val="Calibri"/>
      <family val="2"/>
    </font>
    <font>
      <b/>
      <sz val="11"/>
      <color rgb="FF000000"/>
      <name val="Calibri"/>
      <family val="2"/>
    </font>
    <font>
      <sz val="8"/>
      <color theme="0"/>
      <name val="Arial"/>
      <family val="2"/>
    </font>
    <font>
      <sz val="10"/>
      <color theme="8"/>
      <name val="Arial"/>
      <family val="2"/>
    </font>
    <font>
      <sz val="11"/>
      <color theme="8"/>
      <name val="Calibri"/>
      <family val="2"/>
    </font>
    <font>
      <b/>
      <sz val="11"/>
      <color theme="0"/>
      <name val="Arial Nova Light"/>
      <family val="2"/>
    </font>
    <font>
      <sz val="11"/>
      <color rgb="FF000000"/>
      <name val="Arial Nova Light"/>
      <family val="2"/>
    </font>
    <font>
      <sz val="11"/>
      <color rgb="FF0070C0"/>
      <name val="Arial Nova Light"/>
      <family val="2"/>
    </font>
    <font>
      <b/>
      <sz val="11"/>
      <name val="Arial Nova Light"/>
      <family val="2"/>
    </font>
    <font>
      <sz val="11"/>
      <color theme="1"/>
      <name val="Arial Nova Light"/>
      <family val="2"/>
    </font>
    <font>
      <sz val="11"/>
      <name val="Arial Nova Light"/>
      <family val="2"/>
    </font>
    <font>
      <sz val="11"/>
      <color theme="0"/>
      <name val="Arial Nova Light"/>
      <family val="2"/>
    </font>
    <font>
      <b/>
      <sz val="9"/>
      <color theme="0"/>
      <name val="Arial Nova Light"/>
      <family val="2"/>
    </font>
    <font>
      <sz val="9"/>
      <color theme="0"/>
      <name val="Arial Nova Light"/>
      <family val="2"/>
    </font>
    <font>
      <sz val="8"/>
      <color theme="0"/>
      <name val="Arial Nova Light"/>
      <family val="2"/>
    </font>
    <font>
      <sz val="9"/>
      <name val="Arial Nova Light"/>
      <family val="2"/>
    </font>
    <font>
      <sz val="11"/>
      <color rgb="FF00B050"/>
      <name val="Arial Nova Light"/>
      <family val="2"/>
    </font>
    <font>
      <b/>
      <sz val="12"/>
      <color rgb="FF7B1314"/>
      <name val="Arial Nova Light"/>
      <family val="2"/>
    </font>
    <font>
      <sz val="12"/>
      <color theme="1"/>
      <name val="Arial Nova Light"/>
      <family val="2"/>
    </font>
  </fonts>
  <fills count="22">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D9D9D9"/>
        <bgColor indexed="64"/>
      </patternFill>
    </fill>
    <fill>
      <patternFill patternType="solid">
        <fgColor rgb="FF4F81BD"/>
        <bgColor indexed="64"/>
      </patternFill>
    </fill>
    <fill>
      <patternFill patternType="solid">
        <fgColor rgb="FF7B1314"/>
        <bgColor rgb="FF000000"/>
      </patternFill>
    </fill>
    <fill>
      <patternFill patternType="solid">
        <fgColor rgb="FFD9D9D9"/>
        <bgColor rgb="FF000000"/>
      </patternFill>
    </fill>
    <fill>
      <patternFill patternType="solid">
        <fgColor rgb="FF4F81BD"/>
        <bgColor rgb="FF000000"/>
      </patternFill>
    </fill>
    <fill>
      <patternFill patternType="solid">
        <fgColor rgb="FFFFFFFF"/>
        <bgColor rgb="FF000000"/>
      </patternFill>
    </fill>
    <fill>
      <patternFill patternType="solid">
        <fgColor rgb="FFD8D8D8"/>
        <bgColor rgb="FF000000"/>
      </patternFill>
    </fill>
    <fill>
      <patternFill patternType="solid">
        <fgColor rgb="FFF2F2F2"/>
        <bgColor rgb="FF000000"/>
      </patternFill>
    </fill>
    <fill>
      <patternFill patternType="solid">
        <fgColor theme="5"/>
        <bgColor indexed="64"/>
      </patternFill>
    </fill>
    <fill>
      <patternFill patternType="solid">
        <fgColor rgb="FFFFFFFF"/>
        <bgColor indexed="64"/>
      </patternFill>
    </fill>
    <fill>
      <patternFill patternType="solid">
        <fgColor theme="2"/>
        <bgColor indexed="64"/>
      </patternFill>
    </fill>
  </fills>
  <borders count="90">
    <border>
      <left/>
      <right/>
      <top/>
      <bottom/>
      <diagonal/>
    </border>
    <border>
      <left/>
      <right style="dotted">
        <color indexed="64"/>
      </right>
      <top/>
      <bottom/>
      <diagonal/>
    </border>
    <border>
      <left/>
      <right style="dotted">
        <color rgb="FF000000"/>
      </right>
      <top/>
      <bottom/>
      <diagonal/>
    </border>
    <border>
      <left/>
      <right/>
      <top/>
      <bottom style="thick">
        <color indexed="64"/>
      </bottom>
      <diagonal/>
    </border>
    <border>
      <left/>
      <right style="thin">
        <color rgb="FF7B1314"/>
      </right>
      <top/>
      <bottom/>
      <diagonal/>
    </border>
    <border>
      <left style="thin">
        <color rgb="FF7B1314"/>
      </left>
      <right/>
      <top/>
      <bottom/>
      <diagonal/>
    </border>
    <border>
      <left/>
      <right style="thin">
        <color rgb="FF7B1314"/>
      </right>
      <top/>
      <bottom style="dotted">
        <color indexed="64"/>
      </bottom>
      <diagonal/>
    </border>
    <border>
      <left/>
      <right/>
      <top/>
      <bottom style="dotted">
        <color indexed="64"/>
      </bottom>
      <diagonal/>
    </border>
    <border>
      <left/>
      <right/>
      <top/>
      <bottom style="thin">
        <color rgb="FF000000"/>
      </bottom>
      <diagonal/>
    </border>
    <border>
      <left/>
      <right/>
      <top/>
      <bottom style="thin">
        <color indexed="64"/>
      </bottom>
      <diagonal/>
    </border>
    <border>
      <left/>
      <right style="medium">
        <color rgb="FF7B1314"/>
      </right>
      <top/>
      <bottom/>
      <diagonal/>
    </border>
    <border>
      <left/>
      <right/>
      <top style="thick">
        <color indexed="64"/>
      </top>
      <bottom/>
      <diagonal/>
    </border>
    <border>
      <left/>
      <right/>
      <top style="medium">
        <color auto="1"/>
      </top>
      <bottom/>
      <diagonal/>
    </border>
    <border>
      <left/>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indexed="64"/>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thin">
        <color rgb="FF000000"/>
      </right>
      <top/>
      <bottom/>
      <diagonal/>
    </border>
    <border>
      <left/>
      <right style="hair">
        <color indexed="64"/>
      </right>
      <top style="dotted">
        <color rgb="FF000000"/>
      </top>
      <bottom style="hair">
        <color indexed="64"/>
      </bottom>
      <diagonal/>
    </border>
    <border>
      <left/>
      <right style="hair">
        <color indexed="64"/>
      </right>
      <top style="hair">
        <color indexed="64"/>
      </top>
      <bottom style="hair">
        <color indexed="64"/>
      </bottom>
      <diagonal/>
    </border>
    <border>
      <left/>
      <right style="dotted">
        <color rgb="FF000000"/>
      </right>
      <top style="hair">
        <color indexed="64"/>
      </top>
      <bottom style="hair">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rgb="FF000000"/>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thin">
        <color rgb="FF000000"/>
      </right>
      <top style="dotted">
        <color indexed="64"/>
      </top>
      <bottom/>
      <diagonal/>
    </border>
    <border>
      <left style="dotted">
        <color indexed="64"/>
      </left>
      <right/>
      <top/>
      <bottom style="dotted">
        <color indexed="64"/>
      </bottom>
      <diagonal/>
    </border>
    <border>
      <left/>
      <right style="thin">
        <color rgb="FF000000"/>
      </right>
      <top/>
      <bottom style="dotted">
        <color indexed="64"/>
      </bottom>
      <diagonal/>
    </border>
    <border>
      <left/>
      <right style="dotted">
        <color rgb="FF000000"/>
      </right>
      <top/>
      <bottom style="dotted">
        <color indexed="64"/>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indexed="64"/>
      </right>
      <top/>
      <bottom/>
      <diagonal/>
    </border>
    <border>
      <left/>
      <right/>
      <top style="thin">
        <color indexed="64"/>
      </top>
      <bottom/>
      <diagonal/>
    </border>
    <border>
      <left/>
      <right/>
      <top/>
      <bottom style="medium">
        <color rgb="FF000000"/>
      </bottom>
      <diagonal/>
    </border>
    <border>
      <left/>
      <right style="thin">
        <color rgb="FF000000"/>
      </right>
      <top style="dotted">
        <color indexed="64"/>
      </top>
      <bottom style="dotted">
        <color indexed="64"/>
      </bottom>
      <diagonal/>
    </border>
    <border>
      <left/>
      <right style="dotted">
        <color rgb="FF000000"/>
      </right>
      <top style="dotted">
        <color indexed="64"/>
      </top>
      <bottom/>
      <diagonal/>
    </border>
    <border>
      <left/>
      <right style="thin">
        <color rgb="FF000000"/>
      </right>
      <top style="thin">
        <color rgb="FF000000"/>
      </top>
      <bottom/>
      <diagonal/>
    </border>
    <border>
      <left style="thin">
        <color rgb="FF7B1314"/>
      </left>
      <right/>
      <top/>
      <bottom style="dotted">
        <color rgb="FF000000"/>
      </bottom>
      <diagonal/>
    </border>
    <border>
      <left/>
      <right style="thin">
        <color rgb="FF7B1314"/>
      </right>
      <top/>
      <bottom style="dotted">
        <color rgb="FF000000"/>
      </bottom>
      <diagonal/>
    </border>
    <border>
      <left/>
      <right/>
      <top/>
      <bottom style="thin">
        <color theme="0"/>
      </bottom>
      <diagonal/>
    </border>
    <border>
      <left/>
      <right style="thin">
        <color theme="1"/>
      </right>
      <top/>
      <bottom/>
      <diagonal/>
    </border>
    <border>
      <left/>
      <right style="thin">
        <color theme="1"/>
      </right>
      <top/>
      <bottom style="thin">
        <color rgb="FF000000"/>
      </bottom>
      <diagonal/>
    </border>
    <border>
      <left/>
      <right style="dotted">
        <color indexed="64"/>
      </right>
      <top style="dotted">
        <color rgb="FF000000"/>
      </top>
      <bottom style="dotted">
        <color rgb="FF000000"/>
      </bottom>
      <diagonal/>
    </border>
    <border>
      <left/>
      <right style="dotted">
        <color theme="0"/>
      </right>
      <top/>
      <bottom/>
      <diagonal/>
    </border>
    <border>
      <left/>
      <right style="dotted">
        <color theme="0"/>
      </right>
      <top/>
      <bottom style="thin">
        <color theme="0"/>
      </bottom>
      <diagonal/>
    </border>
    <border>
      <left style="dotted">
        <color theme="0"/>
      </left>
      <right/>
      <top/>
      <bottom/>
      <diagonal/>
    </border>
    <border>
      <left style="dotted">
        <color theme="0"/>
      </left>
      <right/>
      <top/>
      <bottom style="thin">
        <color theme="0"/>
      </bottom>
      <diagonal/>
    </border>
    <border>
      <left style="dotted">
        <color indexed="64"/>
      </left>
      <right style="dotted">
        <color indexed="64"/>
      </right>
      <top/>
      <bottom/>
      <diagonal/>
    </border>
    <border>
      <left style="thin">
        <color rgb="FF7B1314"/>
      </left>
      <right style="thin">
        <color rgb="FF7B1314"/>
      </right>
      <top/>
      <bottom/>
      <diagonal/>
    </border>
    <border>
      <left/>
      <right/>
      <top/>
      <bottom style="thin">
        <color theme="4"/>
      </bottom>
      <diagonal/>
    </border>
    <border>
      <left/>
      <right style="thin">
        <color theme="4"/>
      </right>
      <top/>
      <bottom style="thin">
        <color theme="4"/>
      </bottom>
      <diagonal/>
    </border>
    <border>
      <left/>
      <right style="thin">
        <color theme="4"/>
      </right>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diagonal/>
    </border>
    <border>
      <left style="thin">
        <color theme="4"/>
      </left>
      <right/>
      <top/>
      <bottom/>
      <diagonal/>
    </border>
    <border>
      <left/>
      <right style="dotted">
        <color indexed="64"/>
      </right>
      <top style="dotted">
        <color indexed="64"/>
      </top>
      <bottom/>
      <diagonal/>
    </border>
    <border>
      <left/>
      <right style="dotted">
        <color indexed="64"/>
      </right>
      <top/>
      <bottom style="dotted">
        <color indexed="64"/>
      </bottom>
      <diagonal/>
    </border>
    <border>
      <left/>
      <right style="medium">
        <color indexed="64"/>
      </right>
      <top style="medium">
        <color auto="1"/>
      </top>
      <bottom/>
      <diagonal/>
    </border>
    <border>
      <left style="thin">
        <color indexed="64"/>
      </left>
      <right style="thin">
        <color indexed="64"/>
      </right>
      <top/>
      <bottom style="thin">
        <color rgb="FF000000"/>
      </bottom>
      <diagonal/>
    </border>
    <border>
      <left style="medium">
        <color indexed="64"/>
      </left>
      <right/>
      <top style="medium">
        <color indexed="64"/>
      </top>
      <bottom/>
      <diagonal/>
    </border>
    <border>
      <left/>
      <right/>
      <top/>
      <bottom style="thin">
        <color theme="0" tint="-0.1499984740745262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rgb="FF000000"/>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theme="4"/>
      </right>
      <top/>
      <bottom style="thin">
        <color indexed="64"/>
      </bottom>
      <diagonal/>
    </border>
    <border>
      <left style="thin">
        <color theme="1"/>
      </left>
      <right style="thin">
        <color indexed="64"/>
      </right>
      <top/>
      <bottom/>
      <diagonal/>
    </border>
    <border>
      <left style="thin">
        <color theme="1"/>
      </left>
      <right style="thin">
        <color indexed="64"/>
      </right>
      <top/>
      <bottom style="thin">
        <color indexed="64"/>
      </bottom>
      <diagonal/>
    </border>
  </borders>
  <cellStyleXfs count="13">
    <xf numFmtId="0" fontId="0" fillId="0" borderId="0"/>
    <xf numFmtId="167" fontId="2" fillId="0" borderId="0" applyFont="0" applyFill="0" applyBorder="0" applyAlignment="0" applyProtection="0"/>
    <xf numFmtId="9" fontId="2" fillId="0" borderId="0" applyFont="0" applyFill="0" applyBorder="0" applyAlignment="0" applyProtection="0"/>
    <xf numFmtId="0" fontId="9" fillId="0" borderId="0" applyNumberFormat="0" applyFill="0" applyBorder="0" applyAlignment="0" applyProtection="0"/>
    <xf numFmtId="9" fontId="14" fillId="0" borderId="0" applyFont="0" applyFill="0" applyBorder="0" applyAlignment="0" applyProtection="0"/>
    <xf numFmtId="0" fontId="14" fillId="0" borderId="0"/>
    <xf numFmtId="0" fontId="14"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45" fillId="12" borderId="43">
      <alignment horizontal="right"/>
    </xf>
    <xf numFmtId="0" fontId="72" fillId="12" borderId="0"/>
  </cellStyleXfs>
  <cellXfs count="1086">
    <xf numFmtId="0" fontId="0" fillId="0" borderId="0" xfId="0"/>
    <xf numFmtId="0" fontId="3" fillId="0" borderId="0" xfId="0" applyFont="1"/>
    <xf numFmtId="0" fontId="4" fillId="2" borderId="0" xfId="0" applyFont="1" applyFill="1"/>
    <xf numFmtId="0" fontId="5" fillId="2" borderId="0" xfId="0" applyFont="1" applyFill="1"/>
    <xf numFmtId="165" fontId="4" fillId="2" borderId="0" xfId="0" applyNumberFormat="1" applyFont="1" applyFill="1"/>
    <xf numFmtId="166" fontId="4" fillId="2" borderId="0" xfId="0" applyNumberFormat="1" applyFont="1" applyFill="1"/>
    <xf numFmtId="0" fontId="0" fillId="0" borderId="0" xfId="0" applyAlignment="1">
      <alignment horizontal="center"/>
    </xf>
    <xf numFmtId="0" fontId="6" fillId="2" borderId="0" xfId="0" applyFont="1" applyFill="1" applyAlignment="1">
      <alignment horizontal="left"/>
    </xf>
    <xf numFmtId="0" fontId="0" fillId="0" borderId="0" xfId="0" applyAlignment="1">
      <alignment horizontal="left"/>
    </xf>
    <xf numFmtId="165" fontId="4" fillId="2" borderId="1" xfId="0" applyNumberFormat="1" applyFont="1" applyFill="1" applyBorder="1"/>
    <xf numFmtId="0" fontId="10" fillId="0" borderId="0" xfId="0" applyFont="1"/>
    <xf numFmtId="0" fontId="11" fillId="0" borderId="0" xfId="0" applyFont="1"/>
    <xf numFmtId="3" fontId="11" fillId="0" borderId="0" xfId="1" applyNumberFormat="1" applyFont="1" applyBorder="1" applyAlignment="1">
      <alignment horizontal="right"/>
    </xf>
    <xf numFmtId="3" fontId="11" fillId="0" borderId="2" xfId="1" applyNumberFormat="1" applyFont="1" applyBorder="1" applyAlignment="1">
      <alignment horizontal="right"/>
    </xf>
    <xf numFmtId="3" fontId="11" fillId="3" borderId="0" xfId="1" applyNumberFormat="1" applyFont="1" applyFill="1" applyAlignment="1">
      <alignment horizontal="right"/>
    </xf>
    <xf numFmtId="0" fontId="12" fillId="0" borderId="0" xfId="0" applyFont="1" applyAlignment="1">
      <alignment horizontal="left"/>
    </xf>
    <xf numFmtId="168" fontId="0" fillId="0" borderId="0" xfId="1" applyNumberFormat="1" applyFont="1" applyAlignment="1">
      <alignment horizontal="right"/>
    </xf>
    <xf numFmtId="10" fontId="0" fillId="0" borderId="0" xfId="2" applyNumberFormat="1" applyFont="1"/>
    <xf numFmtId="3" fontId="13" fillId="0" borderId="0" xfId="0" applyNumberFormat="1" applyFont="1" applyAlignment="1">
      <alignment horizontal="left"/>
    </xf>
    <xf numFmtId="4" fontId="11" fillId="0" borderId="0" xfId="1" applyNumberFormat="1" applyFont="1" applyBorder="1" applyAlignment="1">
      <alignment horizontal="right"/>
    </xf>
    <xf numFmtId="4" fontId="11" fillId="0" borderId="2" xfId="1" applyNumberFormat="1" applyFont="1" applyBorder="1" applyAlignment="1">
      <alignment horizontal="right"/>
    </xf>
    <xf numFmtId="4" fontId="11" fillId="3" borderId="0" xfId="1" applyNumberFormat="1" applyFont="1" applyFill="1" applyAlignment="1">
      <alignment horizontal="right"/>
    </xf>
    <xf numFmtId="170" fontId="12" fillId="0" borderId="0" xfId="4" applyNumberFormat="1" applyFont="1" applyAlignment="1">
      <alignment horizontal="left"/>
    </xf>
    <xf numFmtId="0" fontId="3" fillId="0" borderId="0" xfId="0" applyFont="1" applyAlignment="1">
      <alignment horizontal="left" indent="1"/>
    </xf>
    <xf numFmtId="0" fontId="3" fillId="0" borderId="0" xfId="0" applyFont="1" applyAlignment="1">
      <alignment horizontal="right"/>
    </xf>
    <xf numFmtId="0" fontId="0" fillId="0" borderId="0" xfId="0" applyAlignment="1">
      <alignment horizontal="left" indent="1"/>
    </xf>
    <xf numFmtId="0" fontId="0" fillId="0" borderId="0" xfId="0" applyAlignment="1">
      <alignment horizontal="right"/>
    </xf>
    <xf numFmtId="3" fontId="0" fillId="0" borderId="0" xfId="0" applyNumberFormat="1"/>
    <xf numFmtId="0" fontId="4" fillId="2" borderId="4" xfId="0" applyFont="1" applyFill="1" applyBorder="1" applyAlignment="1">
      <alignment horizontal="center"/>
    </xf>
    <xf numFmtId="165" fontId="16" fillId="0" borderId="4" xfId="0" applyNumberFormat="1" applyFont="1" applyBorder="1" applyAlignment="1">
      <alignment horizontal="center"/>
    </xf>
    <xf numFmtId="166" fontId="16" fillId="3" borderId="4" xfId="0" applyNumberFormat="1" applyFont="1" applyFill="1" applyBorder="1" applyAlignment="1">
      <alignment horizontal="center"/>
    </xf>
    <xf numFmtId="170" fontId="12" fillId="4" borderId="0" xfId="4" applyNumberFormat="1" applyFont="1" applyFill="1" applyAlignment="1">
      <alignment horizontal="left"/>
    </xf>
    <xf numFmtId="10" fontId="0" fillId="0" borderId="0" xfId="0" applyNumberFormat="1"/>
    <xf numFmtId="0" fontId="13" fillId="0" borderId="0" xfId="0" applyFont="1" applyAlignment="1">
      <alignment horizontal="left"/>
    </xf>
    <xf numFmtId="43" fontId="0" fillId="0" borderId="0" xfId="0" applyNumberFormat="1"/>
    <xf numFmtId="0" fontId="0" fillId="0" borderId="0" xfId="0" applyAlignment="1">
      <alignment indent="1"/>
    </xf>
    <xf numFmtId="0" fontId="0" fillId="0" borderId="8" xfId="0" applyBorder="1" applyAlignment="1">
      <alignment horizontal="left" indent="1"/>
    </xf>
    <xf numFmtId="0" fontId="0" fillId="0" borderId="9" xfId="0" applyBorder="1"/>
    <xf numFmtId="0" fontId="0" fillId="0" borderId="8" xfId="0" applyBorder="1"/>
    <xf numFmtId="1" fontId="0" fillId="0" borderId="0" xfId="0" applyNumberFormat="1"/>
    <xf numFmtId="0" fontId="18" fillId="0" borderId="9" xfId="0" applyFont="1" applyBorder="1"/>
    <xf numFmtId="0" fontId="13" fillId="0" borderId="9" xfId="0" applyFont="1" applyBorder="1"/>
    <xf numFmtId="0" fontId="13" fillId="0" borderId="9" xfId="0" applyFont="1" applyBorder="1" applyAlignment="1">
      <alignment horizontal="center"/>
    </xf>
    <xf numFmtId="0" fontId="19" fillId="0" borderId="0" xfId="5" applyFont="1" applyAlignment="1">
      <alignment vertical="center"/>
    </xf>
    <xf numFmtId="0" fontId="14" fillId="0" borderId="0" xfId="5" applyAlignment="1">
      <alignment vertical="center"/>
    </xf>
    <xf numFmtId="0" fontId="0" fillId="0" borderId="11" xfId="0" applyBorder="1" applyAlignment="1">
      <alignment horizontal="left" indent="1"/>
    </xf>
    <xf numFmtId="14" fontId="3" fillId="0" borderId="11" xfId="0" applyNumberFormat="1" applyFont="1" applyBorder="1"/>
    <xf numFmtId="0" fontId="3" fillId="0" borderId="11" xfId="0" applyFont="1" applyBorder="1" applyAlignment="1">
      <alignment horizontal="left" indent="1"/>
    </xf>
    <xf numFmtId="14" fontId="0" fillId="0" borderId="11" xfId="0" applyNumberFormat="1" applyBorder="1"/>
    <xf numFmtId="173" fontId="3" fillId="9" borderId="0" xfId="0" applyNumberFormat="1" applyFont="1" applyFill="1"/>
    <xf numFmtId="0" fontId="3" fillId="6" borderId="0" xfId="0" applyFont="1" applyFill="1" applyAlignment="1">
      <alignment horizontal="right"/>
    </xf>
    <xf numFmtId="0" fontId="6" fillId="2" borderId="0" xfId="0" applyFont="1" applyFill="1"/>
    <xf numFmtId="0" fontId="13" fillId="11" borderId="0" xfId="0" applyFont="1" applyFill="1"/>
    <xf numFmtId="0" fontId="14" fillId="0" borderId="3" xfId="5" applyBorder="1" applyAlignment="1">
      <alignment vertical="center"/>
    </xf>
    <xf numFmtId="0" fontId="19" fillId="0" borderId="3" xfId="5" applyFont="1" applyBorder="1" applyAlignment="1">
      <alignment vertical="center"/>
    </xf>
    <xf numFmtId="0" fontId="20" fillId="2" borderId="0" xfId="0" applyFont="1" applyFill="1"/>
    <xf numFmtId="1" fontId="6" fillId="2" borderId="0" xfId="0" applyNumberFormat="1" applyFont="1" applyFill="1"/>
    <xf numFmtId="1" fontId="6" fillId="2" borderId="0" xfId="0" applyNumberFormat="1" applyFont="1" applyFill="1" applyAlignment="1">
      <alignment horizontal="center"/>
    </xf>
    <xf numFmtId="1" fontId="21" fillId="2" borderId="0" xfId="0" applyNumberFormat="1" applyFont="1" applyFill="1"/>
    <xf numFmtId="0" fontId="13" fillId="11" borderId="0" xfId="0" applyFont="1" applyFill="1" applyAlignment="1">
      <alignment horizontal="center"/>
    </xf>
    <xf numFmtId="0" fontId="9" fillId="0" borderId="0" xfId="3"/>
    <xf numFmtId="10" fontId="0" fillId="3" borderId="0" xfId="2" applyNumberFormat="1" applyFont="1" applyFill="1"/>
    <xf numFmtId="10" fontId="0" fillId="0" borderId="0" xfId="2" applyNumberFormat="1" applyFont="1" applyAlignment="1">
      <alignment horizontal="center"/>
    </xf>
    <xf numFmtId="170" fontId="0" fillId="0" borderId="0" xfId="2" applyNumberFormat="1" applyFont="1"/>
    <xf numFmtId="10" fontId="3" fillId="0" borderId="0" xfId="2" applyNumberFormat="1" applyFont="1" applyFill="1"/>
    <xf numFmtId="10" fontId="3" fillId="0" borderId="0" xfId="2" applyNumberFormat="1" applyFont="1" applyAlignment="1">
      <alignment horizontal="center"/>
    </xf>
    <xf numFmtId="170" fontId="3" fillId="0" borderId="0" xfId="2" applyNumberFormat="1" applyFont="1"/>
    <xf numFmtId="0" fontId="22" fillId="5" borderId="0" xfId="0" applyFont="1" applyFill="1"/>
    <xf numFmtId="0" fontId="13" fillId="5" borderId="0" xfId="0" applyFont="1" applyFill="1"/>
    <xf numFmtId="0" fontId="13" fillId="2" borderId="0" xfId="0" applyFont="1" applyFill="1"/>
    <xf numFmtId="0" fontId="0" fillId="0" borderId="0" xfId="0" applyAlignment="1">
      <alignment horizontal="left" vertical="center"/>
    </xf>
    <xf numFmtId="37" fontId="0" fillId="0" borderId="0" xfId="0" applyNumberFormat="1"/>
    <xf numFmtId="1" fontId="23" fillId="2" borderId="0" xfId="0" applyNumberFormat="1" applyFont="1" applyFill="1" applyAlignment="1">
      <alignment horizontal="center"/>
    </xf>
    <xf numFmtId="1" fontId="24" fillId="2" borderId="0" xfId="0" applyNumberFormat="1" applyFont="1" applyFill="1"/>
    <xf numFmtId="0" fontId="3" fillId="0" borderId="8" xfId="0" applyFont="1" applyBorder="1"/>
    <xf numFmtId="0" fontId="3" fillId="4" borderId="8" xfId="0" applyFont="1" applyFill="1" applyBorder="1"/>
    <xf numFmtId="3" fontId="3" fillId="3" borderId="8" xfId="0" applyNumberFormat="1" applyFont="1" applyFill="1" applyBorder="1" applyAlignment="1">
      <alignment horizontal="center"/>
    </xf>
    <xf numFmtId="9" fontId="3" fillId="0" borderId="8" xfId="0" applyNumberFormat="1" applyFont="1" applyBorder="1" applyAlignment="1">
      <alignment horizontal="center"/>
    </xf>
    <xf numFmtId="0" fontId="0" fillId="4" borderId="0" xfId="0" applyFill="1"/>
    <xf numFmtId="3" fontId="0" fillId="3" borderId="0" xfId="0" applyNumberFormat="1" applyFill="1" applyAlignment="1">
      <alignment horizontal="center"/>
    </xf>
    <xf numFmtId="0" fontId="0" fillId="4" borderId="8" xfId="0" quotePrefix="1" applyFill="1" applyBorder="1"/>
    <xf numFmtId="0" fontId="0" fillId="0" borderId="0" xfId="0" quotePrefix="1"/>
    <xf numFmtId="9" fontId="3" fillId="0" borderId="0" xfId="0" applyNumberFormat="1" applyFont="1" applyAlignment="1">
      <alignment horizontal="center"/>
    </xf>
    <xf numFmtId="0" fontId="25" fillId="0" borderId="0" xfId="0" applyFont="1"/>
    <xf numFmtId="0" fontId="3" fillId="0" borderId="0" xfId="0" applyFont="1" applyAlignment="1">
      <alignment horizontal="center"/>
    </xf>
    <xf numFmtId="0" fontId="0" fillId="3" borderId="0" xfId="0" applyFill="1" applyAlignment="1">
      <alignment horizontal="center"/>
    </xf>
    <xf numFmtId="37" fontId="0" fillId="3" borderId="0" xfId="0" applyNumberFormat="1" applyFill="1" applyAlignment="1">
      <alignment horizontal="center" vertical="center"/>
    </xf>
    <xf numFmtId="37" fontId="28" fillId="3" borderId="0" xfId="0" applyNumberFormat="1" applyFont="1" applyFill="1" applyAlignment="1">
      <alignment horizontal="center" vertical="center"/>
    </xf>
    <xf numFmtId="9" fontId="0" fillId="0" borderId="0" xfId="2" applyFont="1"/>
    <xf numFmtId="37" fontId="0" fillId="3" borderId="0" xfId="0" applyNumberFormat="1" applyFill="1"/>
    <xf numFmtId="170" fontId="3" fillId="0" borderId="0" xfId="2" applyNumberFormat="1" applyFont="1" applyFill="1"/>
    <xf numFmtId="37" fontId="3" fillId="0" borderId="0" xfId="0" applyNumberFormat="1" applyFont="1"/>
    <xf numFmtId="9" fontId="0" fillId="0" borderId="0" xfId="0" applyNumberFormat="1"/>
    <xf numFmtId="9" fontId="0" fillId="0" borderId="0" xfId="2" applyFont="1" applyFill="1"/>
    <xf numFmtId="0" fontId="22" fillId="5" borderId="0" xfId="0" applyFont="1" applyFill="1" applyAlignment="1">
      <alignment horizontal="center"/>
    </xf>
    <xf numFmtId="0" fontId="13" fillId="5" borderId="0" xfId="0" applyFont="1" applyFill="1" applyAlignment="1">
      <alignment horizontal="center"/>
    </xf>
    <xf numFmtId="0" fontId="13" fillId="2" borderId="0" xfId="0" applyFont="1" applyFill="1" applyAlignment="1">
      <alignment horizontal="center"/>
    </xf>
    <xf numFmtId="10" fontId="0" fillId="0" borderId="0" xfId="2" applyNumberFormat="1" applyFont="1" applyFill="1" applyAlignment="1">
      <alignment horizontal="center"/>
    </xf>
    <xf numFmtId="1" fontId="6" fillId="2" borderId="4" xfId="0" applyNumberFormat="1" applyFont="1" applyFill="1" applyBorder="1"/>
    <xf numFmtId="166" fontId="6" fillId="2" borderId="0" xfId="0" applyNumberFormat="1" applyFont="1" applyFill="1"/>
    <xf numFmtId="0" fontId="13" fillId="11" borderId="4" xfId="0" applyFont="1" applyFill="1" applyBorder="1"/>
    <xf numFmtId="37" fontId="0" fillId="3" borderId="17" xfId="0" applyNumberFormat="1" applyFill="1" applyBorder="1"/>
    <xf numFmtId="1" fontId="0" fillId="0" borderId="0" xfId="2" applyNumberFormat="1" applyFont="1" applyAlignment="1">
      <alignment horizontal="right"/>
    </xf>
    <xf numFmtId="170" fontId="0" fillId="0" borderId="0" xfId="2" applyNumberFormat="1" applyFont="1" applyFill="1"/>
    <xf numFmtId="170" fontId="0" fillId="0" borderId="0" xfId="2" applyNumberFormat="1" applyFont="1" applyBorder="1"/>
    <xf numFmtId="170" fontId="0" fillId="0" borderId="4" xfId="2" applyNumberFormat="1" applyFont="1" applyFill="1" applyBorder="1"/>
    <xf numFmtId="170" fontId="0" fillId="3" borderId="0" xfId="2" applyNumberFormat="1" applyFont="1" applyFill="1"/>
    <xf numFmtId="170" fontId="0" fillId="0" borderId="17" xfId="2" applyNumberFormat="1" applyFont="1" applyBorder="1"/>
    <xf numFmtId="37" fontId="0" fillId="3" borderId="4" xfId="0" applyNumberFormat="1" applyFill="1" applyBorder="1"/>
    <xf numFmtId="37" fontId="3" fillId="0" borderId="4" xfId="0" applyNumberFormat="1" applyFont="1" applyBorder="1"/>
    <xf numFmtId="0" fontId="0" fillId="2" borderId="0" xfId="0" applyFill="1"/>
    <xf numFmtId="0" fontId="5" fillId="2" borderId="0" xfId="0" applyFont="1" applyFill="1" applyAlignment="1">
      <alignment horizontal="right"/>
    </xf>
    <xf numFmtId="0" fontId="4" fillId="11" borderId="0" xfId="0" applyFont="1" applyFill="1"/>
    <xf numFmtId="0" fontId="5" fillId="11" borderId="0" xfId="0" applyFont="1" applyFill="1"/>
    <xf numFmtId="0" fontId="0" fillId="11" borderId="0" xfId="0" applyFill="1"/>
    <xf numFmtId="0" fontId="5" fillId="11" borderId="0" xfId="0" applyFont="1" applyFill="1" applyAlignment="1">
      <alignment horizontal="right"/>
    </xf>
    <xf numFmtId="0" fontId="5" fillId="5" borderId="0" xfId="0" applyFont="1" applyFill="1" applyAlignment="1">
      <alignment horizontal="right"/>
    </xf>
    <xf numFmtId="0" fontId="7" fillId="0" borderId="0" xfId="0" applyFont="1"/>
    <xf numFmtId="175" fontId="0" fillId="0" borderId="0" xfId="9" applyNumberFormat="1" applyFont="1" applyFill="1" applyAlignment="1">
      <alignment horizontal="right"/>
    </xf>
    <xf numFmtId="10" fontId="28" fillId="4" borderId="0" xfId="0" applyNumberFormat="1" applyFont="1" applyFill="1"/>
    <xf numFmtId="10" fontId="32" fillId="3" borderId="0" xfId="0" applyNumberFormat="1" applyFont="1" applyFill="1"/>
    <xf numFmtId="10" fontId="0" fillId="3" borderId="24" xfId="2" applyNumberFormat="1" applyFont="1" applyFill="1" applyBorder="1"/>
    <xf numFmtId="2" fontId="0" fillId="0" borderId="0" xfId="0" applyNumberFormat="1"/>
    <xf numFmtId="3" fontId="0" fillId="3" borderId="24" xfId="0" applyNumberFormat="1" applyFill="1" applyBorder="1"/>
    <xf numFmtId="10" fontId="3" fillId="0" borderId="0" xfId="2" applyNumberFormat="1" applyFont="1"/>
    <xf numFmtId="0" fontId="13" fillId="0" borderId="0" xfId="0" applyFont="1"/>
    <xf numFmtId="0" fontId="20" fillId="0" borderId="0" xfId="0" applyFont="1"/>
    <xf numFmtId="0" fontId="6" fillId="11" borderId="0" xfId="0" applyFont="1" applyFill="1"/>
    <xf numFmtId="0" fontId="20" fillId="11" borderId="0" xfId="0" applyFont="1" applyFill="1"/>
    <xf numFmtId="0" fontId="34" fillId="0" borderId="0" xfId="0" applyFont="1"/>
    <xf numFmtId="0" fontId="12" fillId="0" borderId="0" xfId="0" applyFont="1"/>
    <xf numFmtId="0" fontId="13" fillId="0" borderId="0" xfId="0" applyFont="1" applyAlignment="1">
      <alignment wrapText="1"/>
    </xf>
    <xf numFmtId="10" fontId="13" fillId="0" borderId="0" xfId="0" applyNumberFormat="1" applyFont="1"/>
    <xf numFmtId="9" fontId="12" fillId="0" borderId="0" xfId="2" applyFont="1"/>
    <xf numFmtId="10" fontId="12" fillId="0" borderId="0" xfId="2" applyNumberFormat="1" applyFont="1" applyFill="1" applyBorder="1" applyAlignment="1">
      <alignment horizontal="center"/>
    </xf>
    <xf numFmtId="43" fontId="12" fillId="0" borderId="0" xfId="0" applyNumberFormat="1" applyFont="1"/>
    <xf numFmtId="165" fontId="6" fillId="2" borderId="0" xfId="0" applyNumberFormat="1" applyFont="1" applyFill="1"/>
    <xf numFmtId="165" fontId="6" fillId="2" borderId="26" xfId="0" applyNumberFormat="1" applyFont="1" applyFill="1" applyBorder="1"/>
    <xf numFmtId="0" fontId="13" fillId="5" borderId="26" xfId="0" applyFont="1" applyFill="1" applyBorder="1"/>
    <xf numFmtId="3" fontId="37" fillId="0" borderId="0" xfId="0" applyNumberFormat="1" applyFont="1"/>
    <xf numFmtId="3" fontId="12" fillId="0" borderId="0" xfId="0" applyNumberFormat="1" applyFont="1"/>
    <xf numFmtId="4" fontId="36" fillId="0" borderId="0" xfId="0" applyNumberFormat="1" applyFont="1"/>
    <xf numFmtId="170" fontId="35" fillId="5" borderId="0" xfId="0" applyNumberFormat="1" applyFont="1" applyFill="1"/>
    <xf numFmtId="3" fontId="13" fillId="0" borderId="0" xfId="0" applyNumberFormat="1" applyFont="1"/>
    <xf numFmtId="0" fontId="40" fillId="0" borderId="0" xfId="0" applyFont="1"/>
    <xf numFmtId="0" fontId="13" fillId="0" borderId="26" xfId="0" applyFont="1" applyBorder="1"/>
    <xf numFmtId="166" fontId="6" fillId="0" borderId="0" xfId="0" applyNumberFormat="1" applyFont="1"/>
    <xf numFmtId="0" fontId="41" fillId="0" borderId="0" xfId="0" applyFont="1"/>
    <xf numFmtId="172" fontId="37" fillId="0" borderId="0" xfId="1" applyNumberFormat="1" applyFont="1" applyFill="1"/>
    <xf numFmtId="172" fontId="12" fillId="0" borderId="0" xfId="1" applyNumberFormat="1" applyFont="1" applyFill="1"/>
    <xf numFmtId="0" fontId="42" fillId="0" borderId="0" xfId="0" applyFont="1"/>
    <xf numFmtId="170" fontId="12" fillId="0" borderId="0" xfId="2" applyNumberFormat="1" applyFont="1" applyFill="1"/>
    <xf numFmtId="170" fontId="13" fillId="0" borderId="0" xfId="2" applyNumberFormat="1" applyFont="1" applyFill="1"/>
    <xf numFmtId="170" fontId="13" fillId="0" borderId="17" xfId="2" applyNumberFormat="1" applyFont="1" applyFill="1" applyBorder="1"/>
    <xf numFmtId="170" fontId="12" fillId="0" borderId="0" xfId="2" applyNumberFormat="1" applyFont="1" applyFill="1" applyBorder="1"/>
    <xf numFmtId="172" fontId="12" fillId="0" borderId="0" xfId="1" applyNumberFormat="1" applyFont="1" applyFill="1" applyBorder="1"/>
    <xf numFmtId="0" fontId="13" fillId="0" borderId="17" xfId="0" applyFont="1" applyBorder="1"/>
    <xf numFmtId="9" fontId="12" fillId="0" borderId="0" xfId="2" applyFont="1" applyFill="1" applyBorder="1"/>
    <xf numFmtId="170" fontId="35" fillId="0" borderId="0" xfId="2" applyNumberFormat="1" applyFont="1" applyFill="1"/>
    <xf numFmtId="37" fontId="12" fillId="0" borderId="0" xfId="1" applyNumberFormat="1" applyFont="1" applyFill="1" applyAlignment="1">
      <alignment wrapText="1"/>
    </xf>
    <xf numFmtId="170" fontId="13" fillId="0" borderId="26" xfId="2" applyNumberFormat="1" applyFont="1" applyFill="1" applyBorder="1"/>
    <xf numFmtId="165" fontId="6" fillId="2" borderId="17" xfId="0" applyNumberFormat="1" applyFont="1" applyFill="1" applyBorder="1"/>
    <xf numFmtId="0" fontId="42" fillId="11" borderId="0" xfId="0" applyFont="1" applyFill="1"/>
    <xf numFmtId="0" fontId="13" fillId="11" borderId="17" xfId="0" applyFont="1" applyFill="1" applyBorder="1"/>
    <xf numFmtId="37" fontId="37" fillId="0" borderId="0" xfId="1" applyNumberFormat="1" applyFont="1" applyFill="1" applyAlignment="1">
      <alignment wrapText="1"/>
    </xf>
    <xf numFmtId="37" fontId="37" fillId="0" borderId="17" xfId="1" applyNumberFormat="1" applyFont="1" applyFill="1" applyBorder="1"/>
    <xf numFmtId="172" fontId="13" fillId="0" borderId="0" xfId="0" applyNumberFormat="1" applyFont="1"/>
    <xf numFmtId="3" fontId="35" fillId="0" borderId="0" xfId="0" applyNumberFormat="1" applyFont="1"/>
    <xf numFmtId="3" fontId="35" fillId="0" borderId="17" xfId="0" applyNumberFormat="1" applyFont="1" applyBorder="1"/>
    <xf numFmtId="170" fontId="12" fillId="0" borderId="0" xfId="0" applyNumberFormat="1" applyFont="1"/>
    <xf numFmtId="0" fontId="37" fillId="11" borderId="0" xfId="0" applyFont="1" applyFill="1"/>
    <xf numFmtId="0" fontId="37" fillId="11" borderId="17" xfId="0" applyFont="1" applyFill="1" applyBorder="1"/>
    <xf numFmtId="172" fontId="36" fillId="0" borderId="0" xfId="1" applyNumberFormat="1" applyFont="1" applyFill="1"/>
    <xf numFmtId="172" fontId="12" fillId="0" borderId="17" xfId="1" applyNumberFormat="1" applyFont="1" applyFill="1" applyBorder="1"/>
    <xf numFmtId="172" fontId="13" fillId="0" borderId="0" xfId="1" applyNumberFormat="1" applyFont="1" applyFill="1"/>
    <xf numFmtId="170" fontId="13" fillId="0" borderId="0" xfId="2" applyNumberFormat="1" applyFont="1"/>
    <xf numFmtId="0" fontId="13" fillId="0" borderId="30" xfId="0" applyFont="1" applyBorder="1"/>
    <xf numFmtId="0" fontId="13" fillId="0" borderId="31" xfId="0" applyFont="1" applyBorder="1"/>
    <xf numFmtId="172" fontId="13" fillId="0" borderId="31" xfId="0" applyNumberFormat="1" applyFont="1" applyBorder="1"/>
    <xf numFmtId="172" fontId="13" fillId="0" borderId="0" xfId="1" applyNumberFormat="1" applyFont="1" applyFill="1" applyBorder="1"/>
    <xf numFmtId="172" fontId="12" fillId="0" borderId="26" xfId="1" applyNumberFormat="1" applyFont="1" applyFill="1" applyBorder="1"/>
    <xf numFmtId="0" fontId="13" fillId="0" borderId="33" xfId="0" applyFont="1" applyBorder="1"/>
    <xf numFmtId="0" fontId="13" fillId="0" borderId="34" xfId="0" applyFont="1" applyBorder="1"/>
    <xf numFmtId="172" fontId="13" fillId="0" borderId="34" xfId="0" applyNumberFormat="1" applyFont="1" applyBorder="1"/>
    <xf numFmtId="172" fontId="13" fillId="0" borderId="35" xfId="0" applyNumberFormat="1" applyFont="1" applyBorder="1"/>
    <xf numFmtId="0" fontId="13" fillId="0" borderId="36" xfId="0" applyFont="1" applyBorder="1"/>
    <xf numFmtId="0" fontId="13" fillId="0" borderId="7" xfId="0" applyFont="1" applyBorder="1"/>
    <xf numFmtId="0" fontId="13" fillId="0" borderId="37" xfId="0" applyFont="1" applyBorder="1"/>
    <xf numFmtId="172" fontId="13" fillId="0" borderId="7" xfId="0" applyNumberFormat="1" applyFont="1" applyBorder="1"/>
    <xf numFmtId="172" fontId="13" fillId="0" borderId="38" xfId="0" applyNumberFormat="1" applyFont="1" applyBorder="1"/>
    <xf numFmtId="2" fontId="13" fillId="0" borderId="0" xfId="0" applyNumberFormat="1" applyFont="1"/>
    <xf numFmtId="14" fontId="20" fillId="0" borderId="0" xfId="0" applyNumberFormat="1" applyFont="1"/>
    <xf numFmtId="0" fontId="20" fillId="0" borderId="26" xfId="0" applyFont="1" applyBorder="1"/>
    <xf numFmtId="172" fontId="36" fillId="0" borderId="0" xfId="1" applyNumberFormat="1" applyFont="1"/>
    <xf numFmtId="14" fontId="13" fillId="0" borderId="0" xfId="0" applyNumberFormat="1" applyFont="1"/>
    <xf numFmtId="172" fontId="13" fillId="0" borderId="0" xfId="1" applyNumberFormat="1" applyFont="1"/>
    <xf numFmtId="0" fontId="36" fillId="0" borderId="0" xfId="0" applyFont="1"/>
    <xf numFmtId="0" fontId="32" fillId="0" borderId="0" xfId="0" applyFont="1"/>
    <xf numFmtId="172" fontId="13" fillId="4" borderId="0" xfId="0" applyNumberFormat="1" applyFont="1" applyFill="1"/>
    <xf numFmtId="43" fontId="13" fillId="0" borderId="0" xfId="0" applyNumberFormat="1" applyFont="1"/>
    <xf numFmtId="176" fontId="13" fillId="0" borderId="0" xfId="0" applyNumberFormat="1" applyFont="1"/>
    <xf numFmtId="0" fontId="41" fillId="0" borderId="26" xfId="0" applyFont="1" applyBorder="1"/>
    <xf numFmtId="10" fontId="41" fillId="0" borderId="0" xfId="0" applyNumberFormat="1" applyFont="1"/>
    <xf numFmtId="0" fontId="13" fillId="11" borderId="26" xfId="0" applyFont="1" applyFill="1" applyBorder="1"/>
    <xf numFmtId="172" fontId="13" fillId="0" borderId="26" xfId="0" applyNumberFormat="1" applyFont="1" applyBorder="1"/>
    <xf numFmtId="37" fontId="13" fillId="0" borderId="0" xfId="0" applyNumberFormat="1" applyFont="1"/>
    <xf numFmtId="37" fontId="13" fillId="0" borderId="26" xfId="0" applyNumberFormat="1" applyFont="1" applyBorder="1"/>
    <xf numFmtId="9" fontId="13" fillId="0" borderId="0" xfId="0" applyNumberFormat="1" applyFont="1"/>
    <xf numFmtId="9" fontId="13" fillId="0" borderId="26" xfId="0" applyNumberFormat="1" applyFont="1" applyBorder="1"/>
    <xf numFmtId="9" fontId="35" fillId="0" borderId="0" xfId="0" applyNumberFormat="1" applyFont="1"/>
    <xf numFmtId="172" fontId="13" fillId="0" borderId="0" xfId="0" applyNumberFormat="1" applyFont="1" applyAlignment="1">
      <alignment horizontal="left"/>
    </xf>
    <xf numFmtId="0" fontId="13" fillId="0" borderId="39" xfId="0" applyFont="1" applyBorder="1"/>
    <xf numFmtId="0" fontId="13" fillId="0" borderId="40" xfId="0" applyFont="1" applyBorder="1"/>
    <xf numFmtId="0" fontId="13" fillId="0" borderId="41" xfId="0" applyFont="1" applyBorder="1"/>
    <xf numFmtId="172" fontId="13" fillId="0" borderId="40" xfId="0" applyNumberFormat="1" applyFont="1" applyBorder="1"/>
    <xf numFmtId="9" fontId="41" fillId="0" borderId="0" xfId="0" applyNumberFormat="1" applyFont="1"/>
    <xf numFmtId="0" fontId="13" fillId="0" borderId="9" xfId="0" applyFont="1" applyBorder="1" applyAlignment="1">
      <alignment horizontal="right"/>
    </xf>
    <xf numFmtId="0" fontId="23" fillId="2" borderId="0" xfId="0" applyFont="1" applyFill="1"/>
    <xf numFmtId="1" fontId="6" fillId="2" borderId="0" xfId="0" applyNumberFormat="1" applyFont="1" applyFill="1" applyAlignment="1">
      <alignment horizontal="right"/>
    </xf>
    <xf numFmtId="0" fontId="13" fillId="11" borderId="0" xfId="0" applyFont="1" applyFill="1" applyAlignment="1">
      <alignment horizontal="right"/>
    </xf>
    <xf numFmtId="37" fontId="28" fillId="3" borderId="0" xfId="0" applyNumberFormat="1" applyFont="1" applyFill="1" applyAlignment="1">
      <alignment horizontal="right"/>
    </xf>
    <xf numFmtId="37" fontId="3" fillId="4" borderId="0" xfId="0" applyNumberFormat="1" applyFont="1" applyFill="1" applyAlignment="1">
      <alignment horizontal="right"/>
    </xf>
    <xf numFmtId="37" fontId="3" fillId="0" borderId="0" xfId="0" applyNumberFormat="1" applyFont="1" applyAlignment="1">
      <alignment horizontal="right"/>
    </xf>
    <xf numFmtId="39" fontId="43" fillId="3" borderId="0" xfId="0" applyNumberFormat="1" applyFont="1" applyFill="1" applyAlignment="1">
      <alignment horizontal="right"/>
    </xf>
    <xf numFmtId="9" fontId="13" fillId="11" borderId="0" xfId="2" applyFont="1" applyFill="1" applyBorder="1"/>
    <xf numFmtId="9" fontId="13" fillId="11" borderId="0" xfId="2" applyFont="1" applyFill="1" applyBorder="1" applyAlignment="1">
      <alignment horizontal="right"/>
    </xf>
    <xf numFmtId="37" fontId="7" fillId="4" borderId="8" xfId="0" applyNumberFormat="1" applyFont="1" applyFill="1" applyBorder="1" applyAlignment="1">
      <alignment horizontal="right"/>
    </xf>
    <xf numFmtId="10" fontId="0" fillId="0" borderId="8" xfId="2" applyNumberFormat="1" applyFont="1" applyBorder="1" applyAlignment="1">
      <alignment horizontal="center"/>
    </xf>
    <xf numFmtId="10" fontId="3" fillId="0" borderId="8" xfId="2" applyNumberFormat="1" applyFont="1" applyBorder="1" applyAlignment="1">
      <alignment horizontal="center"/>
    </xf>
    <xf numFmtId="37" fontId="7" fillId="4" borderId="0" xfId="0" applyNumberFormat="1" applyFont="1" applyFill="1" applyAlignment="1">
      <alignment horizontal="right"/>
    </xf>
    <xf numFmtId="37" fontId="43" fillId="3" borderId="0" xfId="0" applyNumberFormat="1" applyFont="1" applyFill="1" applyAlignment="1">
      <alignment horizontal="right"/>
    </xf>
    <xf numFmtId="10" fontId="3" fillId="0" borderId="0" xfId="2" applyNumberFormat="1" applyFont="1" applyBorder="1" applyAlignment="1">
      <alignment horizontal="center"/>
    </xf>
    <xf numFmtId="0" fontId="3" fillId="0" borderId="20" xfId="0" applyFont="1" applyBorder="1"/>
    <xf numFmtId="37" fontId="3" fillId="0" borderId="20" xfId="0" applyNumberFormat="1" applyFont="1" applyBorder="1" applyAlignment="1">
      <alignment horizontal="right"/>
    </xf>
    <xf numFmtId="10" fontId="3" fillId="0" borderId="20" xfId="2" applyNumberFormat="1" applyFont="1" applyBorder="1" applyAlignment="1">
      <alignment horizontal="center"/>
    </xf>
    <xf numFmtId="37" fontId="7" fillId="0" borderId="8" xfId="0" applyNumberFormat="1" applyFont="1" applyBorder="1" applyAlignment="1">
      <alignment horizontal="right"/>
    </xf>
    <xf numFmtId="37" fontId="0" fillId="0" borderId="0" xfId="0" applyNumberFormat="1" applyAlignment="1">
      <alignment horizontal="right"/>
    </xf>
    <xf numFmtId="2" fontId="0" fillId="0" borderId="0" xfId="0" applyNumberFormat="1" applyAlignment="1">
      <alignment horizontal="right"/>
    </xf>
    <xf numFmtId="0" fontId="32" fillId="3" borderId="0" xfId="0" applyFont="1" applyFill="1" applyAlignment="1">
      <alignment horizontal="right"/>
    </xf>
    <xf numFmtId="172" fontId="0" fillId="0" borderId="0" xfId="0" applyNumberFormat="1" applyAlignment="1">
      <alignment horizontal="right"/>
    </xf>
    <xf numFmtId="0" fontId="6" fillId="2" borderId="0" xfId="0" applyFont="1" applyFill="1" applyAlignment="1">
      <alignment horizontal="right"/>
    </xf>
    <xf numFmtId="0" fontId="13" fillId="0" borderId="0" xfId="0" applyFont="1" applyAlignment="1">
      <alignment horizontal="center"/>
    </xf>
    <xf numFmtId="0" fontId="13" fillId="4" borderId="0" xfId="0" applyFont="1" applyFill="1"/>
    <xf numFmtId="0" fontId="18" fillId="0" borderId="9" xfId="10" applyFont="1" applyBorder="1" applyAlignment="1">
      <alignment horizontal="left"/>
    </xf>
    <xf numFmtId="0" fontId="30" fillId="0" borderId="9" xfId="10" applyFont="1" applyBorder="1"/>
    <xf numFmtId="0" fontId="0" fillId="0" borderId="9" xfId="10" applyFont="1" applyBorder="1" applyAlignment="1">
      <alignment horizontal="right"/>
    </xf>
    <xf numFmtId="0" fontId="13" fillId="11" borderId="0" xfId="0" applyFont="1" applyFill="1" applyAlignment="1">
      <alignment horizontal="left"/>
    </xf>
    <xf numFmtId="170" fontId="12" fillId="0" borderId="0" xfId="4" applyNumberFormat="1" applyFont="1" applyFill="1" applyBorder="1" applyAlignment="1">
      <alignment horizontal="left"/>
    </xf>
    <xf numFmtId="170" fontId="38" fillId="0" borderId="0" xfId="4" applyNumberFormat="1" applyFont="1" applyFill="1" applyBorder="1" applyAlignment="1">
      <alignment horizontal="left"/>
    </xf>
    <xf numFmtId="0" fontId="13" fillId="0" borderId="0" xfId="0" applyFont="1" applyAlignment="1">
      <alignment horizontal="right"/>
    </xf>
    <xf numFmtId="170" fontId="12" fillId="4" borderId="0" xfId="4" applyNumberFormat="1" applyFont="1" applyFill="1" applyBorder="1" applyAlignment="1">
      <alignment horizontal="left"/>
    </xf>
    <xf numFmtId="10" fontId="0" fillId="0" borderId="0" xfId="2" applyNumberFormat="1" applyFont="1" applyAlignment="1">
      <alignment horizontal="right"/>
    </xf>
    <xf numFmtId="10" fontId="13" fillId="0" borderId="0" xfId="0" applyNumberFormat="1" applyFont="1" applyAlignment="1">
      <alignment horizontal="right"/>
    </xf>
    <xf numFmtId="39" fontId="0" fillId="0" borderId="0" xfId="1" applyNumberFormat="1" applyFont="1" applyAlignment="1">
      <alignment horizontal="right"/>
    </xf>
    <xf numFmtId="0" fontId="0" fillId="0" borderId="0" xfId="0" quotePrefix="1" applyAlignment="1">
      <alignment horizontal="right"/>
    </xf>
    <xf numFmtId="37" fontId="43" fillId="3" borderId="8" xfId="0" applyNumberFormat="1" applyFont="1" applyFill="1" applyBorder="1" applyAlignment="1">
      <alignment horizontal="right"/>
    </xf>
    <xf numFmtId="37" fontId="7" fillId="0" borderId="0" xfId="0" applyNumberFormat="1" applyFont="1" applyAlignment="1">
      <alignment horizontal="right"/>
    </xf>
    <xf numFmtId="0" fontId="25" fillId="0" borderId="0" xfId="0" applyFont="1" applyAlignment="1">
      <alignment horizontal="left" indent="1"/>
    </xf>
    <xf numFmtId="37" fontId="46" fillId="3" borderId="0" xfId="0" applyNumberFormat="1" applyFont="1" applyFill="1" applyAlignment="1">
      <alignment horizontal="right"/>
    </xf>
    <xf numFmtId="37" fontId="47" fillId="4" borderId="0" xfId="0" applyNumberFormat="1" applyFont="1" applyFill="1" applyAlignment="1">
      <alignment horizontal="right"/>
    </xf>
    <xf numFmtId="0" fontId="3" fillId="0" borderId="19" xfId="0" applyFont="1" applyBorder="1"/>
    <xf numFmtId="37" fontId="43" fillId="3" borderId="19" xfId="0" applyNumberFormat="1" applyFont="1" applyFill="1" applyBorder="1" applyAlignment="1">
      <alignment horizontal="right"/>
    </xf>
    <xf numFmtId="10" fontId="3" fillId="0" borderId="19" xfId="2" applyNumberFormat="1" applyFont="1" applyBorder="1" applyAlignment="1">
      <alignment horizontal="center"/>
    </xf>
    <xf numFmtId="0" fontId="3" fillId="0" borderId="47" xfId="0" applyFont="1" applyBorder="1"/>
    <xf numFmtId="10" fontId="3" fillId="0" borderId="47" xfId="2" applyNumberFormat="1" applyFont="1" applyBorder="1" applyAlignment="1">
      <alignment horizontal="center"/>
    </xf>
    <xf numFmtId="37" fontId="43" fillId="0" borderId="19" xfId="0" applyNumberFormat="1" applyFont="1" applyBorder="1" applyAlignment="1">
      <alignment horizontal="right"/>
    </xf>
    <xf numFmtId="0" fontId="0" fillId="0" borderId="47" xfId="0" applyBorder="1"/>
    <xf numFmtId="37" fontId="43" fillId="3" borderId="47" xfId="0" applyNumberFormat="1" applyFont="1" applyFill="1" applyBorder="1" applyAlignment="1">
      <alignment horizontal="right"/>
    </xf>
    <xf numFmtId="172" fontId="37" fillId="0" borderId="26" xfId="1" applyNumberFormat="1" applyFont="1" applyFill="1" applyBorder="1"/>
    <xf numFmtId="0" fontId="42" fillId="4" borderId="0" xfId="0" applyFont="1" applyFill="1"/>
    <xf numFmtId="170" fontId="13" fillId="4" borderId="0" xfId="2" applyNumberFormat="1" applyFont="1" applyFill="1"/>
    <xf numFmtId="170" fontId="13" fillId="4" borderId="17" xfId="2" applyNumberFormat="1" applyFont="1" applyFill="1" applyBorder="1"/>
    <xf numFmtId="170" fontId="35" fillId="4" borderId="0" xfId="2" applyNumberFormat="1" applyFont="1" applyFill="1"/>
    <xf numFmtId="9" fontId="12" fillId="4" borderId="0" xfId="2" applyFont="1" applyFill="1" applyBorder="1"/>
    <xf numFmtId="37" fontId="48" fillId="3" borderId="0" xfId="0" applyNumberFormat="1" applyFont="1" applyFill="1" applyAlignment="1">
      <alignment horizontal="right"/>
    </xf>
    <xf numFmtId="0" fontId="13" fillId="0" borderId="0" xfId="0" applyFont="1" applyAlignment="1">
      <alignment horizontal="left" indent="1"/>
    </xf>
    <xf numFmtId="0" fontId="49" fillId="0" borderId="0" xfId="0" applyFont="1"/>
    <xf numFmtId="0" fontId="49" fillId="0" borderId="0" xfId="0" applyFont="1" applyAlignment="1">
      <alignment horizontal="left"/>
    </xf>
    <xf numFmtId="170" fontId="49" fillId="0" borderId="0" xfId="2" applyNumberFormat="1" applyFont="1" applyFill="1"/>
    <xf numFmtId="170" fontId="49" fillId="0" borderId="0" xfId="1" applyNumberFormat="1" applyFont="1" applyFill="1"/>
    <xf numFmtId="170" fontId="49" fillId="0" borderId="17" xfId="1" applyNumberFormat="1" applyFont="1" applyFill="1" applyBorder="1"/>
    <xf numFmtId="170" fontId="49" fillId="4" borderId="0" xfId="1" applyNumberFormat="1" applyFont="1" applyFill="1"/>
    <xf numFmtId="170" fontId="49" fillId="0" borderId="26" xfId="2" applyNumberFormat="1" applyFont="1" applyFill="1" applyBorder="1"/>
    <xf numFmtId="170" fontId="49" fillId="0" borderId="17" xfId="2" applyNumberFormat="1" applyFont="1" applyFill="1" applyBorder="1"/>
    <xf numFmtId="170" fontId="50" fillId="0" borderId="0" xfId="2" applyNumberFormat="1" applyFont="1" applyFill="1"/>
    <xf numFmtId="0" fontId="49" fillId="0" borderId="0" xfId="0" applyFont="1" applyAlignment="1">
      <alignment horizontal="left" indent="1"/>
    </xf>
    <xf numFmtId="0" fontId="50" fillId="0" borderId="0" xfId="0" applyFont="1"/>
    <xf numFmtId="37" fontId="32" fillId="3" borderId="0" xfId="0" applyNumberFormat="1" applyFont="1" applyFill="1" applyAlignment="1">
      <alignment horizontal="right"/>
    </xf>
    <xf numFmtId="37" fontId="37" fillId="0" borderId="17" xfId="1" applyNumberFormat="1" applyFont="1" applyBorder="1"/>
    <xf numFmtId="37" fontId="37" fillId="0" borderId="0" xfId="1" applyNumberFormat="1" applyFont="1" applyAlignment="1">
      <alignment wrapText="1"/>
    </xf>
    <xf numFmtId="3" fontId="36" fillId="0" borderId="0" xfId="0" applyNumberFormat="1" applyFont="1"/>
    <xf numFmtId="170" fontId="49" fillId="0" borderId="0" xfId="2" applyNumberFormat="1" applyFont="1"/>
    <xf numFmtId="170" fontId="49" fillId="0" borderId="26" xfId="2" applyNumberFormat="1" applyFont="1" applyBorder="1"/>
    <xf numFmtId="172" fontId="37" fillId="0" borderId="0" xfId="1" applyNumberFormat="1" applyFont="1"/>
    <xf numFmtId="172" fontId="37" fillId="0" borderId="26" xfId="1" applyNumberFormat="1" applyFont="1" applyBorder="1"/>
    <xf numFmtId="170" fontId="35" fillId="0" borderId="0" xfId="0" applyNumberFormat="1" applyFont="1"/>
    <xf numFmtId="170" fontId="49" fillId="0" borderId="0" xfId="2" applyNumberFormat="1" applyFont="1" applyFill="1" applyBorder="1"/>
    <xf numFmtId="0" fontId="13" fillId="0" borderId="0" xfId="0" applyFont="1" applyAlignment="1">
      <alignment horizontal="left" indent="2"/>
    </xf>
    <xf numFmtId="0" fontId="49" fillId="0" borderId="0" xfId="0" applyFont="1" applyAlignment="1">
      <alignment horizontal="left" indent="2"/>
    </xf>
    <xf numFmtId="0" fontId="42" fillId="0" borderId="0" xfId="0" applyFont="1" applyAlignment="1">
      <alignment horizontal="left" indent="2"/>
    </xf>
    <xf numFmtId="172" fontId="51" fillId="0" borderId="0" xfId="1" applyNumberFormat="1" applyFont="1" applyFill="1"/>
    <xf numFmtId="172" fontId="51" fillId="0" borderId="26" xfId="1" applyNumberFormat="1" applyFont="1" applyFill="1" applyBorder="1"/>
    <xf numFmtId="172" fontId="39" fillId="0" borderId="0" xfId="1" applyNumberFormat="1" applyFont="1" applyFill="1"/>
    <xf numFmtId="172" fontId="20" fillId="0" borderId="0" xfId="1" applyNumberFormat="1" applyFont="1" applyFill="1"/>
    <xf numFmtId="170" fontId="48" fillId="5" borderId="0" xfId="2" applyNumberFormat="1" applyFont="1" applyFill="1"/>
    <xf numFmtId="37" fontId="12" fillId="0" borderId="0" xfId="1" applyNumberFormat="1" applyFont="1" applyAlignment="1">
      <alignment wrapText="1"/>
    </xf>
    <xf numFmtId="170" fontId="32" fillId="5" borderId="0" xfId="2" applyNumberFormat="1" applyFont="1" applyFill="1"/>
    <xf numFmtId="170" fontId="48" fillId="5" borderId="0" xfId="0" applyNumberFormat="1" applyFont="1" applyFill="1"/>
    <xf numFmtId="170" fontId="49" fillId="0" borderId="0" xfId="0" applyNumberFormat="1" applyFont="1"/>
    <xf numFmtId="170" fontId="49" fillId="0" borderId="17" xfId="0" applyNumberFormat="1" applyFont="1" applyBorder="1"/>
    <xf numFmtId="1" fontId="48" fillId="5" borderId="0" xfId="0" applyNumberFormat="1" applyFont="1" applyFill="1"/>
    <xf numFmtId="177" fontId="49" fillId="0" borderId="0" xfId="0" applyNumberFormat="1" applyFont="1"/>
    <xf numFmtId="177" fontId="49" fillId="0" borderId="17" xfId="0" applyNumberFormat="1" applyFont="1" applyBorder="1"/>
    <xf numFmtId="177" fontId="48" fillId="5" borderId="0" xfId="0" applyNumberFormat="1" applyFont="1" applyFill="1"/>
    <xf numFmtId="0" fontId="42" fillId="0" borderId="0" xfId="0" applyFont="1" applyAlignment="1">
      <alignment horizontal="left" indent="1"/>
    </xf>
    <xf numFmtId="170" fontId="50" fillId="0" borderId="17" xfId="2" applyNumberFormat="1" applyFont="1" applyFill="1" applyBorder="1"/>
    <xf numFmtId="172" fontId="51" fillId="0" borderId="0" xfId="1" applyNumberFormat="1" applyFont="1" applyFill="1" applyAlignment="1">
      <alignment horizontal="right"/>
    </xf>
    <xf numFmtId="172" fontId="51" fillId="0" borderId="26" xfId="1" applyNumberFormat="1" applyFont="1" applyBorder="1" applyAlignment="1">
      <alignment horizontal="right"/>
    </xf>
    <xf numFmtId="172" fontId="42" fillId="0" borderId="0" xfId="0" applyNumberFormat="1" applyFont="1" applyAlignment="1">
      <alignment horizontal="right"/>
    </xf>
    <xf numFmtId="172" fontId="51" fillId="0" borderId="0" xfId="1" applyNumberFormat="1" applyFont="1"/>
    <xf numFmtId="172" fontId="51" fillId="0" borderId="26" xfId="1" applyNumberFormat="1" applyFont="1" applyBorder="1"/>
    <xf numFmtId="172" fontId="42" fillId="0" borderId="0" xfId="0" applyNumberFormat="1" applyFont="1"/>
    <xf numFmtId="172" fontId="37" fillId="0" borderId="0" xfId="1" applyNumberFormat="1" applyFont="1" applyBorder="1"/>
    <xf numFmtId="172" fontId="51" fillId="0" borderId="26" xfId="1" applyNumberFormat="1" applyFont="1" applyFill="1" applyBorder="1" applyAlignment="1">
      <alignment horizontal="right"/>
    </xf>
    <xf numFmtId="0" fontId="25" fillId="0" borderId="0" xfId="0" applyFont="1" applyAlignment="1">
      <alignment horizontal="left" indent="2"/>
    </xf>
    <xf numFmtId="170" fontId="12" fillId="4" borderId="0" xfId="0" applyNumberFormat="1" applyFont="1" applyFill="1"/>
    <xf numFmtId="170" fontId="12" fillId="4" borderId="17" xfId="0" applyNumberFormat="1" applyFont="1" applyFill="1" applyBorder="1"/>
    <xf numFmtId="170" fontId="35" fillId="4" borderId="0" xfId="0" applyNumberFormat="1" applyFont="1" applyFill="1"/>
    <xf numFmtId="170" fontId="12" fillId="0" borderId="26" xfId="0" applyNumberFormat="1" applyFont="1" applyBorder="1"/>
    <xf numFmtId="0" fontId="52" fillId="0" borderId="0" xfId="0" applyFont="1"/>
    <xf numFmtId="172" fontId="13" fillId="0" borderId="32" xfId="0" applyNumberFormat="1" applyFont="1" applyBorder="1"/>
    <xf numFmtId="172" fontId="13" fillId="0" borderId="48" xfId="0" applyNumberFormat="1" applyFont="1" applyBorder="1"/>
    <xf numFmtId="172" fontId="13" fillId="0" borderId="49" xfId="0" applyNumberFormat="1" applyFont="1" applyBorder="1"/>
    <xf numFmtId="170" fontId="48" fillId="0" borderId="0" xfId="0" applyNumberFormat="1" applyFont="1"/>
    <xf numFmtId="172" fontId="35" fillId="5" borderId="0" xfId="1" applyNumberFormat="1" applyFont="1" applyFill="1"/>
    <xf numFmtId="172" fontId="35" fillId="5" borderId="0" xfId="0" applyNumberFormat="1" applyFont="1" applyFill="1"/>
    <xf numFmtId="172" fontId="51" fillId="0" borderId="0" xfId="1" applyNumberFormat="1" applyFont="1" applyBorder="1"/>
    <xf numFmtId="9" fontId="49" fillId="0" borderId="0" xfId="0" applyNumberFormat="1" applyFont="1"/>
    <xf numFmtId="9" fontId="49" fillId="0" borderId="26" xfId="0" applyNumberFormat="1" applyFont="1" applyBorder="1"/>
    <xf numFmtId="9" fontId="48" fillId="5" borderId="0" xfId="0" applyNumberFormat="1" applyFont="1" applyFill="1"/>
    <xf numFmtId="172" fontId="37" fillId="0" borderId="0" xfId="1" applyNumberFormat="1" applyFont="1" applyFill="1" applyBorder="1"/>
    <xf numFmtId="0" fontId="13" fillId="0" borderId="22" xfId="0" applyFont="1" applyBorder="1"/>
    <xf numFmtId="172" fontId="37" fillId="0" borderId="22" xfId="1" applyNumberFormat="1" applyFont="1" applyBorder="1"/>
    <xf numFmtId="172" fontId="37" fillId="0" borderId="50" xfId="1" applyNumberFormat="1" applyFont="1" applyBorder="1"/>
    <xf numFmtId="172" fontId="13" fillId="0" borderId="22" xfId="0" applyNumberFormat="1" applyFont="1" applyBorder="1"/>
    <xf numFmtId="172" fontId="44" fillId="0" borderId="0" xfId="1" applyNumberFormat="1" applyFont="1" applyBorder="1"/>
    <xf numFmtId="172" fontId="44" fillId="0" borderId="26" xfId="1" applyNumberFormat="1" applyFont="1" applyBorder="1"/>
    <xf numFmtId="172" fontId="44" fillId="0" borderId="22" xfId="1" applyNumberFormat="1" applyFont="1" applyFill="1" applyBorder="1"/>
    <xf numFmtId="172" fontId="44" fillId="0" borderId="50" xfId="1" applyNumberFormat="1" applyFont="1" applyFill="1" applyBorder="1"/>
    <xf numFmtId="172" fontId="41" fillId="0" borderId="22" xfId="0" applyNumberFormat="1" applyFont="1" applyBorder="1"/>
    <xf numFmtId="172" fontId="41" fillId="0" borderId="0" xfId="0" applyNumberFormat="1" applyFont="1"/>
    <xf numFmtId="0" fontId="35" fillId="5" borderId="0" xfId="0" applyFont="1" applyFill="1" applyAlignment="1">
      <alignment horizontal="right"/>
    </xf>
    <xf numFmtId="14" fontId="35" fillId="5" borderId="0" xfId="0" applyNumberFormat="1" applyFont="1" applyFill="1" applyAlignment="1">
      <alignment horizontal="right"/>
    </xf>
    <xf numFmtId="165" fontId="4" fillId="2" borderId="2" xfId="0" applyNumberFormat="1" applyFont="1" applyFill="1" applyBorder="1"/>
    <xf numFmtId="168" fontId="0" fillId="0" borderId="2" xfId="1" applyNumberFormat="1" applyFont="1" applyBorder="1" applyAlignment="1">
      <alignment horizontal="right"/>
    </xf>
    <xf numFmtId="0" fontId="0" fillId="0" borderId="2" xfId="0" applyBorder="1" applyAlignment="1">
      <alignment horizontal="right"/>
    </xf>
    <xf numFmtId="0" fontId="13" fillId="11" borderId="2" xfId="0" applyFont="1" applyFill="1" applyBorder="1" applyAlignment="1">
      <alignment horizontal="right"/>
    </xf>
    <xf numFmtId="0" fontId="13" fillId="0" borderId="2" xfId="0" applyFont="1" applyBorder="1" applyAlignment="1">
      <alignment horizontal="right"/>
    </xf>
    <xf numFmtId="10" fontId="0" fillId="0" borderId="2" xfId="2" applyNumberFormat="1" applyFont="1" applyBorder="1" applyAlignment="1">
      <alignment horizontal="right"/>
    </xf>
    <xf numFmtId="10" fontId="13" fillId="0" borderId="2" xfId="0" applyNumberFormat="1" applyFont="1" applyBorder="1" applyAlignment="1">
      <alignment horizontal="right"/>
    </xf>
    <xf numFmtId="39" fontId="0" fillId="0" borderId="2" xfId="1" applyNumberFormat="1" applyFont="1" applyBorder="1" applyAlignment="1">
      <alignment horizontal="right"/>
    </xf>
    <xf numFmtId="168" fontId="0" fillId="3" borderId="0" xfId="1" applyNumberFormat="1" applyFont="1" applyFill="1" applyAlignment="1">
      <alignment horizontal="right"/>
    </xf>
    <xf numFmtId="0" fontId="13" fillId="3" borderId="0" xfId="0" applyFont="1" applyFill="1" applyAlignment="1">
      <alignment horizontal="right"/>
    </xf>
    <xf numFmtId="10" fontId="0" fillId="3" borderId="0" xfId="2" applyNumberFormat="1" applyFont="1" applyFill="1" applyAlignment="1">
      <alignment horizontal="right"/>
    </xf>
    <xf numFmtId="10" fontId="13" fillId="3" borderId="0" xfId="0" applyNumberFormat="1" applyFont="1" applyFill="1" applyAlignment="1">
      <alignment horizontal="right"/>
    </xf>
    <xf numFmtId="39" fontId="0" fillId="3" borderId="0" xfId="1" applyNumberFormat="1" applyFont="1" applyFill="1" applyAlignment="1">
      <alignment horizontal="right"/>
    </xf>
    <xf numFmtId="0" fontId="0" fillId="3" borderId="0" xfId="0" applyFill="1" applyAlignment="1">
      <alignment horizontal="right"/>
    </xf>
    <xf numFmtId="0" fontId="53" fillId="0" borderId="0" xfId="0" applyFont="1"/>
    <xf numFmtId="37" fontId="46" fillId="0" borderId="0" xfId="1" applyNumberFormat="1" applyFont="1" applyBorder="1"/>
    <xf numFmtId="37" fontId="46" fillId="0" borderId="26" xfId="1" applyNumberFormat="1" applyFont="1" applyBorder="1"/>
    <xf numFmtId="37" fontId="46" fillId="0" borderId="0" xfId="1" applyNumberFormat="1" applyFont="1" applyFill="1" applyBorder="1"/>
    <xf numFmtId="37" fontId="46" fillId="0" borderId="17" xfId="1" applyNumberFormat="1" applyFont="1" applyFill="1" applyBorder="1"/>
    <xf numFmtId="10" fontId="0" fillId="0" borderId="0" xfId="1" applyNumberFormat="1" applyFont="1" applyAlignment="1">
      <alignment horizontal="right"/>
    </xf>
    <xf numFmtId="10" fontId="0" fillId="0" borderId="2" xfId="1" applyNumberFormat="1" applyFont="1" applyBorder="1" applyAlignment="1">
      <alignment horizontal="right"/>
    </xf>
    <xf numFmtId="10" fontId="0" fillId="3" borderId="0" xfId="1" applyNumberFormat="1" applyFont="1" applyFill="1" applyAlignment="1">
      <alignment horizontal="right"/>
    </xf>
    <xf numFmtId="166" fontId="6" fillId="2" borderId="0" xfId="0" applyNumberFormat="1" applyFont="1" applyFill="1" applyAlignment="1">
      <alignment horizontal="right"/>
    </xf>
    <xf numFmtId="165" fontId="6" fillId="2" borderId="0" xfId="0" applyNumberFormat="1" applyFont="1" applyFill="1" applyAlignment="1">
      <alignment horizontal="right"/>
    </xf>
    <xf numFmtId="165" fontId="6" fillId="2" borderId="2" xfId="0" applyNumberFormat="1" applyFont="1" applyFill="1" applyBorder="1" applyAlignment="1">
      <alignment horizontal="right"/>
    </xf>
    <xf numFmtId="168" fontId="0" fillId="0" borderId="0" xfId="1" applyNumberFormat="1" applyFont="1" applyBorder="1" applyAlignment="1">
      <alignment horizontal="right"/>
    </xf>
    <xf numFmtId="0" fontId="54" fillId="0" borderId="0" xfId="5" applyFont="1"/>
    <xf numFmtId="0" fontId="29" fillId="0" borderId="0" xfId="5" applyFont="1"/>
    <xf numFmtId="0" fontId="29" fillId="5" borderId="0" xfId="5" applyFont="1" applyFill="1"/>
    <xf numFmtId="0" fontId="54" fillId="0" borderId="0" xfId="5" applyFont="1" applyAlignment="1">
      <alignment vertical="center"/>
    </xf>
    <xf numFmtId="0" fontId="13" fillId="0" borderId="8" xfId="0" applyFont="1" applyBorder="1"/>
    <xf numFmtId="172" fontId="37" fillId="0" borderId="8" xfId="1" applyNumberFormat="1" applyFont="1" applyFill="1" applyBorder="1"/>
    <xf numFmtId="172" fontId="37" fillId="0" borderId="23" xfId="1" applyNumberFormat="1" applyFont="1" applyFill="1" applyBorder="1"/>
    <xf numFmtId="172" fontId="13" fillId="0" borderId="8" xfId="0" applyNumberFormat="1" applyFont="1" applyBorder="1"/>
    <xf numFmtId="172" fontId="42" fillId="0" borderId="8" xfId="0" applyNumberFormat="1" applyFont="1" applyBorder="1"/>
    <xf numFmtId="0" fontId="29" fillId="0" borderId="0" xfId="5" applyFont="1" applyAlignment="1">
      <alignment vertical="center"/>
    </xf>
    <xf numFmtId="0" fontId="55" fillId="2" borderId="0" xfId="5" applyFont="1" applyFill="1" applyAlignment="1">
      <alignment horizontal="center" vertical="center"/>
    </xf>
    <xf numFmtId="0" fontId="56" fillId="2" borderId="21" xfId="5" applyFont="1" applyFill="1" applyBorder="1" applyAlignment="1">
      <alignment horizontal="center" vertical="center" wrapText="1"/>
    </xf>
    <xf numFmtId="0" fontId="56" fillId="2" borderId="54" xfId="5" applyFont="1" applyFill="1" applyBorder="1" applyAlignment="1">
      <alignment horizontal="center" vertical="center" wrapText="1"/>
    </xf>
    <xf numFmtId="0" fontId="56" fillId="2" borderId="0" xfId="5" applyFont="1" applyFill="1" applyAlignment="1">
      <alignment horizontal="center" vertical="center" wrapText="1"/>
    </xf>
    <xf numFmtId="0" fontId="57" fillId="5" borderId="21" xfId="5" applyFont="1" applyFill="1" applyBorder="1"/>
    <xf numFmtId="0" fontId="57" fillId="5" borderId="54" xfId="5" applyFont="1" applyFill="1" applyBorder="1"/>
    <xf numFmtId="0" fontId="57" fillId="5" borderId="0" xfId="5" applyFont="1" applyFill="1"/>
    <xf numFmtId="0" fontId="57" fillId="5" borderId="26" xfId="5" applyFont="1" applyFill="1" applyBorder="1"/>
    <xf numFmtId="2" fontId="29" fillId="5" borderId="0" xfId="2" applyNumberFormat="1" applyFont="1" applyFill="1" applyBorder="1" applyAlignment="1">
      <alignment horizontal="center" vertical="center"/>
    </xf>
    <xf numFmtId="10" fontId="7" fillId="3" borderId="24" xfId="2" applyNumberFormat="1" applyFont="1" applyFill="1" applyBorder="1"/>
    <xf numFmtId="43" fontId="41" fillId="0" borderId="0" xfId="0" applyNumberFormat="1" applyFont="1"/>
    <xf numFmtId="0" fontId="31" fillId="0" borderId="0" xfId="0" applyFont="1"/>
    <xf numFmtId="165" fontId="16" fillId="0" borderId="37" xfId="0" applyNumberFormat="1" applyFont="1" applyBorder="1" applyAlignment="1">
      <alignment horizontal="center"/>
    </xf>
    <xf numFmtId="2" fontId="3" fillId="0" borderId="0" xfId="0" applyNumberFormat="1" applyFont="1" applyAlignment="1">
      <alignment horizontal="center"/>
    </xf>
    <xf numFmtId="0" fontId="10" fillId="0" borderId="0" xfId="5" applyFont="1"/>
    <xf numFmtId="0" fontId="4" fillId="4" borderId="0" xfId="5" applyFont="1" applyFill="1" applyAlignment="1">
      <alignment vertical="center" wrapText="1"/>
    </xf>
    <xf numFmtId="0" fontId="4" fillId="2" borderId="0" xfId="5" applyFont="1" applyFill="1"/>
    <xf numFmtId="0" fontId="4" fillId="2" borderId="0" xfId="5" applyFont="1" applyFill="1" applyAlignment="1">
      <alignment horizontal="center"/>
    </xf>
    <xf numFmtId="0" fontId="4" fillId="0" borderId="0" xfId="5" applyFont="1"/>
    <xf numFmtId="0" fontId="4" fillId="0" borderId="53" xfId="5" applyFont="1" applyBorder="1"/>
    <xf numFmtId="0" fontId="5" fillId="0" borderId="53" xfId="5" applyFont="1" applyBorder="1"/>
    <xf numFmtId="0" fontId="10" fillId="0" borderId="0" xfId="5" applyFont="1" applyAlignment="1">
      <alignment vertical="center"/>
    </xf>
    <xf numFmtId="0" fontId="7" fillId="0" borderId="0" xfId="5" applyFont="1" applyAlignment="1">
      <alignment vertical="center"/>
    </xf>
    <xf numFmtId="0" fontId="32" fillId="0" borderId="0" xfId="5" applyFont="1" applyAlignment="1">
      <alignment vertical="center"/>
    </xf>
    <xf numFmtId="173" fontId="10" fillId="0" borderId="0" xfId="5" applyNumberFormat="1" applyFont="1" applyAlignment="1">
      <alignment vertical="center"/>
    </xf>
    <xf numFmtId="4" fontId="10" fillId="0" borderId="0" xfId="5" applyNumberFormat="1" applyFont="1" applyAlignment="1">
      <alignment vertical="center"/>
    </xf>
    <xf numFmtId="2" fontId="10" fillId="0" borderId="0" xfId="5" applyNumberFormat="1" applyFont="1" applyAlignment="1">
      <alignment vertical="center"/>
    </xf>
    <xf numFmtId="3" fontId="10" fillId="0" borderId="0" xfId="5" applyNumberFormat="1" applyFont="1" applyAlignment="1">
      <alignment vertical="center"/>
    </xf>
    <xf numFmtId="10" fontId="10" fillId="0" borderId="0" xfId="5" applyNumberFormat="1" applyFont="1" applyAlignment="1">
      <alignment vertical="center"/>
    </xf>
    <xf numFmtId="174" fontId="32" fillId="0" borderId="0" xfId="5" applyNumberFormat="1" applyFont="1" applyAlignment="1">
      <alignment vertical="center"/>
    </xf>
    <xf numFmtId="170" fontId="10" fillId="0" borderId="0" xfId="5" applyNumberFormat="1" applyFont="1" applyAlignment="1">
      <alignment vertical="center"/>
    </xf>
    <xf numFmtId="0" fontId="7" fillId="0" borderId="0" xfId="5" applyFont="1"/>
    <xf numFmtId="4" fontId="10" fillId="0" borderId="0" xfId="5" applyNumberFormat="1" applyFont="1" applyAlignment="1">
      <alignment horizontal="center"/>
    </xf>
    <xf numFmtId="3" fontId="10" fillId="0" borderId="0" xfId="5" applyNumberFormat="1" applyFont="1"/>
    <xf numFmtId="2" fontId="10" fillId="0" borderId="0" xfId="5" applyNumberFormat="1" applyFont="1"/>
    <xf numFmtId="174" fontId="32" fillId="0" borderId="0" xfId="5" applyNumberFormat="1" applyFont="1"/>
    <xf numFmtId="0" fontId="7" fillId="0" borderId="0" xfId="5" applyFont="1" applyAlignment="1">
      <alignment vertical="center" wrapText="1"/>
    </xf>
    <xf numFmtId="2" fontId="10" fillId="0" borderId="0" xfId="2" applyNumberFormat="1" applyFont="1" applyFill="1" applyBorder="1" applyAlignment="1"/>
    <xf numFmtId="9" fontId="10" fillId="0" borderId="0" xfId="2" applyFont="1" applyFill="1" applyBorder="1" applyAlignment="1"/>
    <xf numFmtId="0" fontId="10" fillId="5" borderId="0" xfId="5" applyFont="1" applyFill="1"/>
    <xf numFmtId="9" fontId="10" fillId="0" borderId="0" xfId="5" applyNumberFormat="1" applyFont="1"/>
    <xf numFmtId="0" fontId="5" fillId="2" borderId="0" xfId="5" applyFont="1" applyFill="1"/>
    <xf numFmtId="0" fontId="5" fillId="0" borderId="0" xfId="5" applyFont="1"/>
    <xf numFmtId="0" fontId="4" fillId="2" borderId="0" xfId="5" applyFont="1" applyFill="1" applyAlignment="1">
      <alignment horizontal="left"/>
    </xf>
    <xf numFmtId="0" fontId="4" fillId="5" borderId="0" xfId="5" applyFont="1" applyFill="1" applyAlignment="1">
      <alignment horizontal="left"/>
    </xf>
    <xf numFmtId="0" fontId="5" fillId="5" borderId="0" xfId="5" applyFont="1" applyFill="1"/>
    <xf numFmtId="3" fontId="10" fillId="0" borderId="0" xfId="5" applyNumberFormat="1" applyFont="1" applyAlignment="1">
      <alignment horizontal="center"/>
    </xf>
    <xf numFmtId="174" fontId="10" fillId="0" borderId="0" xfId="5" applyNumberFormat="1" applyFont="1" applyAlignment="1">
      <alignment horizontal="center"/>
    </xf>
    <xf numFmtId="0" fontId="10" fillId="0" borderId="0" xfId="5" applyFont="1" applyAlignment="1">
      <alignment horizontal="center"/>
    </xf>
    <xf numFmtId="0" fontId="4" fillId="2" borderId="0" xfId="5" applyFont="1" applyFill="1" applyAlignment="1">
      <alignment horizontal="center" vertical="center"/>
    </xf>
    <xf numFmtId="0" fontId="10" fillId="5" borderId="0" xfId="5" applyFont="1" applyFill="1" applyAlignment="1">
      <alignment horizontal="center"/>
    </xf>
    <xf numFmtId="0" fontId="2" fillId="0" borderId="0" xfId="0" applyFont="1"/>
    <xf numFmtId="170" fontId="10" fillId="0" borderId="0" xfId="5" applyNumberFormat="1" applyFont="1" applyAlignment="1">
      <alignment horizontal="center"/>
    </xf>
    <xf numFmtId="168" fontId="2" fillId="0" borderId="0" xfId="1" applyNumberFormat="1" applyFont="1" applyAlignment="1">
      <alignment horizontal="center"/>
    </xf>
    <xf numFmtId="10" fontId="32" fillId="3" borderId="0" xfId="5" applyNumberFormat="1" applyFont="1" applyFill="1" applyAlignment="1">
      <alignment horizontal="center"/>
    </xf>
    <xf numFmtId="10" fontId="10" fillId="0" borderId="0" xfId="5" applyNumberFormat="1" applyFont="1" applyAlignment="1">
      <alignment horizontal="center"/>
    </xf>
    <xf numFmtId="0" fontId="5" fillId="2" borderId="0" xfId="5" applyFont="1" applyFill="1" applyAlignment="1">
      <alignment horizontal="left"/>
    </xf>
    <xf numFmtId="0" fontId="5" fillId="5" borderId="0" xfId="5" applyFont="1" applyFill="1" applyAlignment="1">
      <alignment horizontal="left"/>
    </xf>
    <xf numFmtId="1" fontId="10" fillId="4" borderId="8" xfId="8" applyNumberFormat="1" applyFont="1" applyFill="1" applyBorder="1" applyAlignment="1">
      <alignment horizontal="left" vertical="center"/>
    </xf>
    <xf numFmtId="0" fontId="10" fillId="0" borderId="8" xfId="5" applyFont="1" applyBorder="1"/>
    <xf numFmtId="37" fontId="28" fillId="0" borderId="18" xfId="8" applyNumberFormat="1" applyFont="1" applyBorder="1" applyAlignment="1">
      <alignment horizontal="center"/>
    </xf>
    <xf numFmtId="37" fontId="32" fillId="3" borderId="55" xfId="8" applyNumberFormat="1" applyFont="1" applyFill="1" applyBorder="1" applyAlignment="1">
      <alignment horizontal="center"/>
    </xf>
    <xf numFmtId="37" fontId="32" fillId="3" borderId="8" xfId="5" applyNumberFormat="1" applyFont="1" applyFill="1" applyBorder="1" applyAlignment="1">
      <alignment horizontal="center"/>
    </xf>
    <xf numFmtId="1" fontId="10" fillId="4" borderId="0" xfId="8" applyNumberFormat="1" applyFont="1" applyFill="1" applyAlignment="1">
      <alignment horizontal="left" vertical="center"/>
    </xf>
    <xf numFmtId="37" fontId="28" fillId="0" borderId="21" xfId="8" applyNumberFormat="1" applyFont="1" applyBorder="1" applyAlignment="1">
      <alignment horizontal="center"/>
    </xf>
    <xf numFmtId="37" fontId="32" fillId="3" borderId="54" xfId="8" applyNumberFormat="1" applyFont="1" applyFill="1" applyBorder="1" applyAlignment="1">
      <alignment horizontal="center"/>
    </xf>
    <xf numFmtId="37" fontId="32" fillId="3" borderId="0" xfId="5" applyNumberFormat="1" applyFont="1" applyFill="1" applyAlignment="1">
      <alignment horizontal="center"/>
    </xf>
    <xf numFmtId="37" fontId="32" fillId="3" borderId="54" xfId="8" applyNumberFormat="1" applyFont="1" applyFill="1" applyBorder="1" applyAlignment="1">
      <alignment horizontal="center" wrapText="1"/>
    </xf>
    <xf numFmtId="1" fontId="2" fillId="4" borderId="0" xfId="8" applyNumberFormat="1" applyFont="1" applyFill="1" applyAlignment="1">
      <alignment horizontal="left"/>
    </xf>
    <xf numFmtId="1" fontId="2" fillId="0" borderId="0" xfId="8" applyNumberFormat="1" applyFont="1" applyAlignment="1">
      <alignment horizontal="left"/>
    </xf>
    <xf numFmtId="37" fontId="7" fillId="3" borderId="0" xfId="5" applyNumberFormat="1" applyFont="1" applyFill="1" applyAlignment="1">
      <alignment horizontal="center"/>
    </xf>
    <xf numFmtId="39" fontId="32" fillId="3" borderId="54" xfId="8" applyNumberFormat="1" applyFont="1" applyFill="1" applyBorder="1" applyAlignment="1">
      <alignment horizontal="center" wrapText="1"/>
    </xf>
    <xf numFmtId="39" fontId="32" fillId="3" borderId="0" xfId="5" applyNumberFormat="1" applyFont="1" applyFill="1" applyAlignment="1">
      <alignment horizontal="center"/>
    </xf>
    <xf numFmtId="1" fontId="28" fillId="0" borderId="21" xfId="8" applyNumberFormat="1" applyFont="1" applyBorder="1" applyAlignment="1">
      <alignment horizontal="center" wrapText="1"/>
    </xf>
    <xf numFmtId="1" fontId="28" fillId="0" borderId="54" xfId="8" applyNumberFormat="1" applyFont="1" applyBorder="1" applyAlignment="1">
      <alignment horizontal="center" wrapText="1"/>
    </xf>
    <xf numFmtId="1" fontId="28" fillId="0" borderId="26" xfId="8" applyNumberFormat="1" applyFont="1" applyBorder="1" applyAlignment="1">
      <alignment horizontal="center" wrapText="1"/>
    </xf>
    <xf numFmtId="0" fontId="10" fillId="2" borderId="21" xfId="5" applyFont="1" applyFill="1" applyBorder="1"/>
    <xf numFmtId="0" fontId="10" fillId="2" borderId="54" xfId="5" applyFont="1" applyFill="1" applyBorder="1"/>
    <xf numFmtId="0" fontId="10" fillId="2" borderId="26" xfId="5" applyFont="1" applyFill="1" applyBorder="1"/>
    <xf numFmtId="0" fontId="10" fillId="2" borderId="0" xfId="5" applyFont="1" applyFill="1" applyAlignment="1">
      <alignment horizontal="center"/>
    </xf>
    <xf numFmtId="0" fontId="10" fillId="5" borderId="21" xfId="5" applyFont="1" applyFill="1" applyBorder="1"/>
    <xf numFmtId="0" fontId="10" fillId="5" borderId="54" xfId="5" applyFont="1" applyFill="1" applyBorder="1"/>
    <xf numFmtId="0" fontId="10" fillId="5" borderId="26" xfId="5" applyFont="1" applyFill="1" applyBorder="1"/>
    <xf numFmtId="0" fontId="10" fillId="0" borderId="54" xfId="5" applyFont="1" applyBorder="1"/>
    <xf numFmtId="37" fontId="28" fillId="0" borderId="54" xfId="8" applyNumberFormat="1" applyFont="1" applyBorder="1" applyAlignment="1">
      <alignment horizontal="center"/>
    </xf>
    <xf numFmtId="0" fontId="36" fillId="0" borderId="0" xfId="0" applyFont="1" applyAlignment="1">
      <alignment horizontal="left" indent="1"/>
    </xf>
    <xf numFmtId="172" fontId="31" fillId="0" borderId="0" xfId="1" applyNumberFormat="1" applyFont="1" applyBorder="1"/>
    <xf numFmtId="0" fontId="36" fillId="0" borderId="22" xfId="0" applyFont="1" applyBorder="1"/>
    <xf numFmtId="37" fontId="8" fillId="4" borderId="0" xfId="0" applyNumberFormat="1" applyFont="1" applyFill="1" applyAlignment="1">
      <alignment horizontal="right"/>
    </xf>
    <xf numFmtId="0" fontId="2" fillId="0" borderId="9" xfId="10" applyFont="1" applyBorder="1"/>
    <xf numFmtId="0" fontId="2" fillId="0" borderId="9" xfId="10" applyFont="1" applyBorder="1" applyAlignment="1">
      <alignment horizontal="right"/>
    </xf>
    <xf numFmtId="14" fontId="4" fillId="2" borderId="0" xfId="0" applyNumberFormat="1" applyFont="1" applyFill="1" applyAlignment="1">
      <alignment horizontal="right"/>
    </xf>
    <xf numFmtId="39" fontId="7" fillId="0" borderId="0" xfId="0" applyNumberFormat="1" applyFont="1" applyAlignment="1">
      <alignment horizontal="right"/>
    </xf>
    <xf numFmtId="172" fontId="13" fillId="0" borderId="56" xfId="0" applyNumberFormat="1" applyFont="1" applyBorder="1"/>
    <xf numFmtId="0" fontId="4" fillId="2" borderId="57" xfId="5" applyFont="1" applyFill="1" applyBorder="1" applyAlignment="1">
      <alignment horizontal="center"/>
    </xf>
    <xf numFmtId="170" fontId="29" fillId="0" borderId="0" xfId="5" applyNumberFormat="1" applyFont="1" applyAlignment="1">
      <alignment horizontal="center" vertical="center"/>
    </xf>
    <xf numFmtId="170" fontId="29" fillId="0" borderId="57" xfId="5" applyNumberFormat="1" applyFont="1" applyBorder="1" applyAlignment="1">
      <alignment horizontal="center" vertical="center"/>
    </xf>
    <xf numFmtId="170" fontId="10" fillId="0" borderId="0" xfId="5" applyNumberFormat="1" applyFont="1" applyAlignment="1">
      <alignment horizontal="center" vertical="center"/>
    </xf>
    <xf numFmtId="170" fontId="10" fillId="0" borderId="57" xfId="5" applyNumberFormat="1" applyFont="1" applyBorder="1" applyAlignment="1">
      <alignment horizontal="center" vertical="center"/>
    </xf>
    <xf numFmtId="170" fontId="29" fillId="5" borderId="0" xfId="5" applyNumberFormat="1" applyFont="1" applyFill="1" applyAlignment="1">
      <alignment horizontal="center" vertical="center"/>
    </xf>
    <xf numFmtId="170" fontId="29" fillId="5" borderId="57" xfId="5" applyNumberFormat="1" applyFont="1" applyFill="1" applyBorder="1" applyAlignment="1">
      <alignment horizontal="center" vertical="center"/>
    </xf>
    <xf numFmtId="170" fontId="10" fillId="5" borderId="0" xfId="5" applyNumberFormat="1" applyFont="1" applyFill="1" applyAlignment="1">
      <alignment horizontal="center" vertical="center"/>
    </xf>
    <xf numFmtId="170" fontId="10" fillId="5" borderId="57" xfId="5" applyNumberFormat="1" applyFont="1" applyFill="1" applyBorder="1" applyAlignment="1">
      <alignment horizontal="center" vertical="center"/>
    </xf>
    <xf numFmtId="0" fontId="4" fillId="2" borderId="59" xfId="5" applyFont="1" applyFill="1" applyBorder="1" applyAlignment="1">
      <alignment horizontal="center"/>
    </xf>
    <xf numFmtId="170" fontId="29" fillId="4" borderId="59" xfId="5" applyNumberFormat="1" applyFont="1" applyFill="1" applyBorder="1" applyAlignment="1">
      <alignment horizontal="center" vertical="center"/>
    </xf>
    <xf numFmtId="170" fontId="29" fillId="4" borderId="57" xfId="5" applyNumberFormat="1" applyFont="1" applyFill="1" applyBorder="1" applyAlignment="1">
      <alignment horizontal="center" vertical="center"/>
    </xf>
    <xf numFmtId="170" fontId="10" fillId="0" borderId="59" xfId="5" applyNumberFormat="1" applyFont="1" applyBorder="1" applyAlignment="1">
      <alignment horizontal="center" vertical="center"/>
    </xf>
    <xf numFmtId="170" fontId="29" fillId="5" borderId="59" xfId="5" applyNumberFormat="1" applyFont="1" applyFill="1" applyBorder="1" applyAlignment="1">
      <alignment horizontal="center" vertical="center"/>
    </xf>
    <xf numFmtId="170" fontId="10" fillId="5" borderId="59" xfId="5" applyNumberFormat="1" applyFont="1" applyFill="1" applyBorder="1" applyAlignment="1">
      <alignment horizontal="center" vertical="center"/>
    </xf>
    <xf numFmtId="170" fontId="29" fillId="0" borderId="59" xfId="5" applyNumberFormat="1" applyFont="1" applyBorder="1" applyAlignment="1">
      <alignment horizontal="center" vertical="center"/>
    </xf>
    <xf numFmtId="170" fontId="10" fillId="0" borderId="59" xfId="2" applyNumberFormat="1" applyFont="1" applyBorder="1" applyAlignment="1">
      <alignment horizontal="center" vertical="center"/>
    </xf>
    <xf numFmtId="9" fontId="29" fillId="5" borderId="59" xfId="2" applyFont="1" applyFill="1" applyBorder="1" applyAlignment="1">
      <alignment horizontal="center" vertical="center"/>
    </xf>
    <xf numFmtId="9" fontId="29" fillId="5" borderId="57" xfId="2" applyFont="1" applyFill="1" applyBorder="1" applyAlignment="1">
      <alignment horizontal="center" vertical="center"/>
    </xf>
    <xf numFmtId="0" fontId="4" fillId="2" borderId="57" xfId="5" applyFont="1" applyFill="1" applyBorder="1"/>
    <xf numFmtId="2" fontId="10" fillId="0" borderId="59" xfId="5" applyNumberFormat="1" applyFont="1" applyBorder="1" applyAlignment="1">
      <alignment horizontal="center" vertical="center"/>
    </xf>
    <xf numFmtId="2" fontId="10" fillId="0" borderId="57" xfId="5" applyNumberFormat="1" applyFont="1" applyBorder="1" applyAlignment="1">
      <alignment horizontal="center" vertical="center"/>
    </xf>
    <xf numFmtId="2" fontId="29" fillId="5" borderId="59" xfId="2" applyNumberFormat="1" applyFont="1" applyFill="1" applyBorder="1" applyAlignment="1">
      <alignment horizontal="center" vertical="center"/>
    </xf>
    <xf numFmtId="2" fontId="29" fillId="5" borderId="57" xfId="2" applyNumberFormat="1" applyFont="1" applyFill="1" applyBorder="1" applyAlignment="1">
      <alignment horizontal="center" vertical="center"/>
    </xf>
    <xf numFmtId="2" fontId="10" fillId="5" borderId="57" xfId="5" applyNumberFormat="1" applyFont="1" applyFill="1" applyBorder="1" applyAlignment="1">
      <alignment horizontal="center" vertical="center"/>
    </xf>
    <xf numFmtId="0" fontId="4" fillId="2" borderId="59" xfId="5" applyFont="1" applyFill="1" applyBorder="1"/>
    <xf numFmtId="0" fontId="5" fillId="5" borderId="4" xfId="5" applyFont="1" applyFill="1" applyBorder="1"/>
    <xf numFmtId="2" fontId="10" fillId="0" borderId="4" xfId="5" applyNumberFormat="1" applyFont="1" applyBorder="1" applyAlignment="1">
      <alignment horizontal="center"/>
    </xf>
    <xf numFmtId="3" fontId="10" fillId="0" borderId="4" xfId="5" applyNumberFormat="1" applyFont="1" applyBorder="1" applyAlignment="1">
      <alignment horizontal="center"/>
    </xf>
    <xf numFmtId="0" fontId="5" fillId="5" borderId="1" xfId="5" applyFont="1" applyFill="1" applyBorder="1"/>
    <xf numFmtId="2" fontId="10" fillId="0" borderId="1" xfId="5" applyNumberFormat="1" applyFont="1" applyBorder="1" applyAlignment="1">
      <alignment horizontal="center"/>
    </xf>
    <xf numFmtId="0" fontId="5" fillId="5" borderId="61" xfId="5" applyFont="1" applyFill="1" applyBorder="1"/>
    <xf numFmtId="2" fontId="10" fillId="0" borderId="61" xfId="5" applyNumberFormat="1" applyFont="1" applyBorder="1" applyAlignment="1">
      <alignment horizontal="center"/>
    </xf>
    <xf numFmtId="170" fontId="10" fillId="0" borderId="0" xfId="2" applyNumberFormat="1" applyFont="1" applyAlignment="1">
      <alignment horizontal="center"/>
    </xf>
    <xf numFmtId="0" fontId="4" fillId="0" borderId="0" xfId="5" applyFont="1" applyAlignment="1">
      <alignment horizontal="center"/>
    </xf>
    <xf numFmtId="0" fontId="5" fillId="0" borderId="0" xfId="5" applyFont="1" applyAlignment="1">
      <alignment horizontal="center"/>
    </xf>
    <xf numFmtId="2" fontId="5" fillId="0" borderId="0" xfId="2" applyNumberFormat="1" applyFont="1" applyFill="1" applyBorder="1" applyAlignment="1"/>
    <xf numFmtId="2" fontId="5" fillId="0" borderId="0" xfId="5" applyNumberFormat="1" applyFont="1"/>
    <xf numFmtId="174" fontId="5" fillId="0" borderId="0" xfId="5" applyNumberFormat="1" applyFont="1" applyAlignment="1">
      <alignment horizontal="center"/>
    </xf>
    <xf numFmtId="2" fontId="29" fillId="0" borderId="59" xfId="5" applyNumberFormat="1" applyFont="1" applyBorder="1" applyAlignment="1">
      <alignment horizontal="center" vertical="center"/>
    </xf>
    <xf numFmtId="2" fontId="29" fillId="0" borderId="57" xfId="5" applyNumberFormat="1" applyFont="1" applyBorder="1" applyAlignment="1">
      <alignment horizontal="center" vertical="center"/>
    </xf>
    <xf numFmtId="2" fontId="10" fillId="5" borderId="0" xfId="5" applyNumberFormat="1" applyFont="1" applyFill="1" applyAlignment="1">
      <alignment horizontal="center" vertical="center"/>
    </xf>
    <xf numFmtId="10" fontId="11" fillId="3" borderId="0" xfId="1" applyNumberFormat="1" applyFont="1" applyFill="1" applyAlignment="1">
      <alignment horizontal="right"/>
    </xf>
    <xf numFmtId="10" fontId="11" fillId="0" borderId="2" xfId="1" applyNumberFormat="1" applyFont="1" applyBorder="1" applyAlignment="1">
      <alignment horizontal="right"/>
    </xf>
    <xf numFmtId="10" fontId="11" fillId="0" borderId="0" xfId="1" applyNumberFormat="1" applyFont="1" applyBorder="1" applyAlignment="1">
      <alignment horizontal="right"/>
    </xf>
    <xf numFmtId="0" fontId="59" fillId="0" borderId="0" xfId="0" applyFont="1"/>
    <xf numFmtId="0" fontId="60" fillId="0" borderId="0" xfId="0" applyFont="1"/>
    <xf numFmtId="0" fontId="59" fillId="5" borderId="0" xfId="0" applyFont="1" applyFill="1"/>
    <xf numFmtId="0" fontId="61" fillId="0" borderId="0" xfId="0" applyFont="1" applyAlignment="1">
      <alignment horizontal="left" indent="2"/>
    </xf>
    <xf numFmtId="0" fontId="59" fillId="2" borderId="0" xfId="0" applyFont="1" applyFill="1"/>
    <xf numFmtId="0" fontId="60" fillId="2" borderId="0" xfId="0" applyFont="1" applyFill="1"/>
    <xf numFmtId="0" fontId="60" fillId="5" borderId="0" xfId="0" applyFont="1" applyFill="1"/>
    <xf numFmtId="0" fontId="62" fillId="0" borderId="0" xfId="0" applyFont="1"/>
    <xf numFmtId="0" fontId="63" fillId="0" borderId="0" xfId="0" applyFont="1"/>
    <xf numFmtId="0" fontId="4" fillId="2" borderId="0" xfId="0" applyFont="1" applyFill="1" applyAlignment="1">
      <alignment horizontal="right"/>
    </xf>
    <xf numFmtId="0" fontId="4" fillId="2" borderId="5" xfId="0" applyFont="1" applyFill="1" applyBorder="1" applyAlignment="1">
      <alignment horizontal="right"/>
    </xf>
    <xf numFmtId="166" fontId="4" fillId="2" borderId="5" xfId="0" applyNumberFormat="1" applyFont="1" applyFill="1" applyBorder="1" applyAlignment="1">
      <alignment horizontal="right"/>
    </xf>
    <xf numFmtId="171" fontId="11" fillId="0" borderId="0" xfId="0" applyNumberFormat="1" applyFont="1" applyAlignment="1">
      <alignment horizontal="right"/>
    </xf>
    <xf numFmtId="170" fontId="11" fillId="0" borderId="5" xfId="2" applyNumberFormat="1" applyFont="1" applyBorder="1" applyAlignment="1">
      <alignment horizontal="right"/>
    </xf>
    <xf numFmtId="171" fontId="11" fillId="0" borderId="5" xfId="2" applyNumberFormat="1" applyFont="1" applyBorder="1" applyAlignment="1">
      <alignment horizontal="right"/>
    </xf>
    <xf numFmtId="171" fontId="11" fillId="0" borderId="5" xfId="1" applyNumberFormat="1" applyFont="1" applyBorder="1" applyAlignment="1">
      <alignment horizontal="right"/>
    </xf>
    <xf numFmtId="3" fontId="11" fillId="0" borderId="5" xfId="0" applyNumberFormat="1" applyFont="1" applyBorder="1" applyAlignment="1">
      <alignment horizontal="right"/>
    </xf>
    <xf numFmtId="170" fontId="11" fillId="0" borderId="62" xfId="2" applyNumberFormat="1" applyFont="1" applyBorder="1" applyAlignment="1">
      <alignment horizontal="right"/>
    </xf>
    <xf numFmtId="3" fontId="11" fillId="0" borderId="4" xfId="2" applyNumberFormat="1" applyFont="1" applyBorder="1" applyAlignment="1">
      <alignment horizontal="right"/>
    </xf>
    <xf numFmtId="3" fontId="11" fillId="0" borderId="0" xfId="2" applyNumberFormat="1" applyFont="1" applyBorder="1" applyAlignment="1">
      <alignment horizontal="right"/>
    </xf>
    <xf numFmtId="3" fontId="11" fillId="0" borderId="52" xfId="0" applyNumberFormat="1" applyFont="1" applyBorder="1" applyAlignment="1">
      <alignment horizontal="right"/>
    </xf>
    <xf numFmtId="170" fontId="11" fillId="0" borderId="6" xfId="2" applyNumberFormat="1" applyFont="1" applyBorder="1" applyAlignment="1">
      <alignment horizontal="right"/>
    </xf>
    <xf numFmtId="3" fontId="11" fillId="0" borderId="52" xfId="2" applyNumberFormat="1" applyFont="1" applyBorder="1" applyAlignment="1">
      <alignment horizontal="right"/>
    </xf>
    <xf numFmtId="3" fontId="11" fillId="0" borderId="7" xfId="2" applyNumberFormat="1" applyFont="1" applyBorder="1" applyAlignment="1">
      <alignment horizontal="right"/>
    </xf>
    <xf numFmtId="3" fontId="11" fillId="3" borderId="0" xfId="0" applyNumberFormat="1" applyFont="1" applyFill="1" applyAlignment="1">
      <alignment horizontal="right"/>
    </xf>
    <xf numFmtId="170" fontId="11" fillId="3" borderId="62" xfId="2" applyNumberFormat="1" applyFont="1" applyFill="1" applyBorder="1" applyAlignment="1">
      <alignment horizontal="right"/>
    </xf>
    <xf numFmtId="3" fontId="11" fillId="3" borderId="4" xfId="2" applyNumberFormat="1" applyFont="1" applyFill="1" applyBorder="1" applyAlignment="1">
      <alignment horizontal="right"/>
    </xf>
    <xf numFmtId="178" fontId="0" fillId="0" borderId="0" xfId="0" applyNumberFormat="1"/>
    <xf numFmtId="0" fontId="17" fillId="5" borderId="63" xfId="0" applyFont="1" applyFill="1" applyBorder="1"/>
    <xf numFmtId="0" fontId="17" fillId="5" borderId="64" xfId="0" applyFont="1" applyFill="1" applyBorder="1"/>
    <xf numFmtId="0" fontId="4" fillId="2" borderId="0" xfId="0" applyFont="1" applyFill="1" applyAlignment="1">
      <alignment horizontal="left"/>
    </xf>
    <xf numFmtId="0" fontId="7" fillId="0" borderId="0" xfId="0" applyFont="1" applyAlignment="1">
      <alignment vertical="center" wrapText="1"/>
    </xf>
    <xf numFmtId="10" fontId="0" fillId="0" borderId="8" xfId="0" applyNumberFormat="1" applyBorder="1"/>
    <xf numFmtId="169" fontId="5" fillId="0" borderId="0" xfId="0" applyNumberFormat="1" applyFont="1"/>
    <xf numFmtId="170" fontId="13" fillId="5" borderId="27" xfId="2" applyNumberFormat="1" applyFont="1" applyFill="1" applyBorder="1"/>
    <xf numFmtId="170" fontId="12" fillId="5" borderId="28" xfId="2" applyNumberFormat="1" applyFont="1" applyFill="1" applyBorder="1"/>
    <xf numFmtId="170" fontId="12" fillId="5" borderId="29" xfId="2" applyNumberFormat="1" applyFont="1" applyFill="1" applyBorder="1"/>
    <xf numFmtId="170" fontId="13" fillId="5" borderId="28" xfId="2" applyNumberFormat="1" applyFont="1" applyFill="1" applyBorder="1"/>
    <xf numFmtId="1" fontId="35" fillId="5" borderId="25" xfId="0" applyNumberFormat="1" applyFont="1" applyFill="1" applyBorder="1" applyAlignment="1">
      <alignment horizontal="center"/>
    </xf>
    <xf numFmtId="10" fontId="12" fillId="5" borderId="25" xfId="2" applyNumberFormat="1" applyFont="1" applyFill="1" applyBorder="1" applyAlignment="1">
      <alignment horizontal="center"/>
    </xf>
    <xf numFmtId="10" fontId="36" fillId="5" borderId="25" xfId="0" applyNumberFormat="1" applyFont="1" applyFill="1" applyBorder="1" applyAlignment="1">
      <alignment horizontal="center"/>
    </xf>
    <xf numFmtId="10" fontId="37" fillId="5" borderId="25" xfId="0" applyNumberFormat="1" applyFont="1" applyFill="1" applyBorder="1" applyAlignment="1">
      <alignment horizontal="center"/>
    </xf>
    <xf numFmtId="10" fontId="35" fillId="5" borderId="25" xfId="0" applyNumberFormat="1" applyFont="1" applyFill="1" applyBorder="1" applyAlignment="1">
      <alignment horizontal="center"/>
    </xf>
    <xf numFmtId="10" fontId="36" fillId="5" borderId="25" xfId="2" applyNumberFormat="1" applyFont="1" applyFill="1" applyBorder="1" applyAlignment="1">
      <alignment horizontal="center"/>
    </xf>
    <xf numFmtId="0" fontId="64" fillId="0" borderId="0" xfId="0" applyFont="1" applyAlignment="1">
      <alignment horizontal="left" vertical="top" indent="1"/>
    </xf>
    <xf numFmtId="0" fontId="8" fillId="0" borderId="0" xfId="5" applyFont="1"/>
    <xf numFmtId="171" fontId="11" fillId="0" borderId="51" xfId="1" applyNumberFormat="1" applyFont="1" applyBorder="1" applyAlignment="1">
      <alignment horizontal="right"/>
    </xf>
    <xf numFmtId="0" fontId="4" fillId="2" borderId="0" xfId="5" applyFont="1" applyFill="1" applyAlignment="1">
      <alignment horizontal="left" vertical="center"/>
    </xf>
    <xf numFmtId="0" fontId="4" fillId="2" borderId="0" xfId="5" applyFont="1" applyFill="1" applyAlignment="1">
      <alignment vertical="center"/>
    </xf>
    <xf numFmtId="0" fontId="2" fillId="0" borderId="0" xfId="0" applyFont="1" applyAlignment="1">
      <alignment vertical="center"/>
    </xf>
    <xf numFmtId="0" fontId="4" fillId="2" borderId="0" xfId="5" applyFont="1" applyFill="1" applyAlignment="1">
      <alignment horizontal="center" wrapText="1"/>
    </xf>
    <xf numFmtId="170" fontId="46" fillId="0" borderId="0" xfId="0" applyNumberFormat="1" applyFont="1"/>
    <xf numFmtId="0" fontId="12" fillId="0" borderId="0" xfId="0" applyFont="1" applyAlignment="1">
      <alignment horizontal="left" indent="1"/>
    </xf>
    <xf numFmtId="0" fontId="59" fillId="0" borderId="10" xfId="0" applyFont="1" applyBorder="1"/>
    <xf numFmtId="166" fontId="4" fillId="0" borderId="10" xfId="0" applyNumberFormat="1" applyFont="1" applyBorder="1"/>
    <xf numFmtId="168" fontId="0" fillId="0" borderId="10" xfId="1" applyNumberFormat="1" applyFont="1" applyFill="1" applyBorder="1" applyAlignment="1">
      <alignment horizontal="right"/>
    </xf>
    <xf numFmtId="0" fontId="0" fillId="0" borderId="10" xfId="0" applyBorder="1"/>
    <xf numFmtId="165" fontId="4" fillId="0" borderId="10" xfId="0" applyNumberFormat="1" applyFont="1" applyBorder="1"/>
    <xf numFmtId="0" fontId="66" fillId="0" borderId="0" xfId="3" applyFont="1" applyBorder="1" applyAlignment="1"/>
    <xf numFmtId="49" fontId="58" fillId="0" borderId="0" xfId="0" applyNumberFormat="1" applyFont="1"/>
    <xf numFmtId="0" fontId="0" fillId="0" borderId="46" xfId="0" applyBorder="1"/>
    <xf numFmtId="0" fontId="0" fillId="0" borderId="42" xfId="0" applyBorder="1"/>
    <xf numFmtId="0" fontId="0" fillId="0" borderId="13" xfId="0" applyBorder="1"/>
    <xf numFmtId="0" fontId="0" fillId="0" borderId="15" xfId="0" applyBorder="1"/>
    <xf numFmtId="172" fontId="13" fillId="0" borderId="70" xfId="0" applyNumberFormat="1" applyFont="1" applyBorder="1"/>
    <xf numFmtId="172" fontId="13" fillId="0" borderId="71" xfId="0" applyNumberFormat="1" applyFont="1" applyBorder="1"/>
    <xf numFmtId="172" fontId="12" fillId="0" borderId="0" xfId="0" applyNumberFormat="1" applyFont="1"/>
    <xf numFmtId="9" fontId="12" fillId="0" borderId="0" xfId="0" applyNumberFormat="1" applyFont="1"/>
    <xf numFmtId="10" fontId="0" fillId="0" borderId="14" xfId="2" applyNumberFormat="1" applyFont="1" applyBorder="1"/>
    <xf numFmtId="10" fontId="0" fillId="0" borderId="16" xfId="2" applyNumberFormat="1" applyFont="1" applyBorder="1"/>
    <xf numFmtId="0" fontId="0" fillId="0" borderId="16" xfId="0" applyBorder="1"/>
    <xf numFmtId="0" fontId="0" fillId="0" borderId="12" xfId="0" applyBorder="1"/>
    <xf numFmtId="0" fontId="0" fillId="0" borderId="72" xfId="0" applyBorder="1"/>
    <xf numFmtId="0" fontId="17" fillId="0" borderId="0" xfId="0" applyFont="1"/>
    <xf numFmtId="2" fontId="0" fillId="0" borderId="0" xfId="0" applyNumberFormat="1" applyAlignment="1">
      <alignment horizontal="center"/>
    </xf>
    <xf numFmtId="2" fontId="0" fillId="0" borderId="15" xfId="0" applyNumberFormat="1" applyBorder="1" applyAlignment="1">
      <alignment horizontal="center"/>
    </xf>
    <xf numFmtId="10" fontId="0" fillId="0" borderId="15" xfId="2" applyNumberFormat="1" applyFont="1" applyBorder="1"/>
    <xf numFmtId="0" fontId="3" fillId="0" borderId="12" xfId="0" applyFont="1" applyBorder="1"/>
    <xf numFmtId="10" fontId="2" fillId="0" borderId="14" xfId="2" applyNumberFormat="1" applyFont="1" applyBorder="1"/>
    <xf numFmtId="10" fontId="2" fillId="0" borderId="16" xfId="2" applyNumberFormat="1" applyFont="1" applyBorder="1"/>
    <xf numFmtId="179" fontId="0" fillId="0" borderId="0" xfId="0" applyNumberFormat="1"/>
    <xf numFmtId="0" fontId="17" fillId="0" borderId="9" xfId="0" applyFont="1" applyBorder="1"/>
    <xf numFmtId="0" fontId="0" fillId="0" borderId="0" xfId="0" applyAlignment="1">
      <alignment horizontal="left" vertical="top" wrapText="1"/>
    </xf>
    <xf numFmtId="0" fontId="18" fillId="0" borderId="8" xfId="0" applyFont="1" applyBorder="1"/>
    <xf numFmtId="9" fontId="13" fillId="11" borderId="0" xfId="0" applyNumberFormat="1" applyFont="1" applyFill="1"/>
    <xf numFmtId="9" fontId="13" fillId="11" borderId="0" xfId="0" applyNumberFormat="1" applyFont="1" applyFill="1" applyAlignment="1">
      <alignment horizontal="right"/>
    </xf>
    <xf numFmtId="9" fontId="13" fillId="11" borderId="0" xfId="0" applyNumberFormat="1" applyFont="1" applyFill="1" applyAlignment="1">
      <alignment horizontal="center"/>
    </xf>
    <xf numFmtId="4" fontId="32" fillId="0" borderId="0" xfId="0" applyNumberFormat="1" applyFont="1"/>
    <xf numFmtId="0" fontId="0" fillId="3" borderId="0" xfId="0" applyFill="1"/>
    <xf numFmtId="0" fontId="32" fillId="3" borderId="0" xfId="0" applyFont="1" applyFill="1"/>
    <xf numFmtId="4" fontId="32" fillId="3" borderId="0" xfId="0" applyNumberFormat="1" applyFont="1" applyFill="1"/>
    <xf numFmtId="37" fontId="28" fillId="0" borderId="0" xfId="8" applyNumberFormat="1" applyFont="1" applyAlignment="1">
      <alignment horizontal="center"/>
    </xf>
    <xf numFmtId="37" fontId="32" fillId="0" borderId="0" xfId="8" applyNumberFormat="1" applyFont="1" applyAlignment="1">
      <alignment horizontal="center" wrapText="1"/>
    </xf>
    <xf numFmtId="37" fontId="32" fillId="0" borderId="0" xfId="5" applyNumberFormat="1" applyFont="1" applyAlignment="1">
      <alignment horizontal="center"/>
    </xf>
    <xf numFmtId="37" fontId="28" fillId="0" borderId="17" xfId="8" applyNumberFormat="1" applyFont="1" applyBorder="1" applyAlignment="1">
      <alignment horizontal="center"/>
    </xf>
    <xf numFmtId="0" fontId="10" fillId="2" borderId="45" xfId="5" applyFont="1" applyFill="1" applyBorder="1"/>
    <xf numFmtId="0" fontId="10" fillId="5" borderId="17" xfId="5" applyFont="1" applyFill="1" applyBorder="1"/>
    <xf numFmtId="37" fontId="32" fillId="3" borderId="44" xfId="8" applyNumberFormat="1" applyFont="1" applyFill="1" applyBorder="1" applyAlignment="1">
      <alignment horizontal="center" wrapText="1"/>
    </xf>
    <xf numFmtId="0" fontId="10" fillId="2" borderId="44" xfId="5" applyFont="1" applyFill="1" applyBorder="1"/>
    <xf numFmtId="0" fontId="10" fillId="5" borderId="44" xfId="5" applyFont="1" applyFill="1" applyBorder="1"/>
    <xf numFmtId="0" fontId="56" fillId="2" borderId="17" xfId="5" applyFont="1" applyFill="1" applyBorder="1" applyAlignment="1">
      <alignment horizontal="center" vertical="center" wrapText="1"/>
    </xf>
    <xf numFmtId="0" fontId="57" fillId="5" borderId="17" xfId="5" applyFont="1" applyFill="1" applyBorder="1"/>
    <xf numFmtId="37" fontId="32" fillId="3" borderId="17" xfId="8" applyNumberFormat="1" applyFont="1" applyFill="1" applyBorder="1" applyAlignment="1">
      <alignment horizontal="center" wrapText="1"/>
    </xf>
    <xf numFmtId="1" fontId="28" fillId="0" borderId="17" xfId="8" applyNumberFormat="1" applyFont="1" applyBorder="1" applyAlignment="1">
      <alignment horizontal="center" wrapText="1"/>
    </xf>
    <xf numFmtId="0" fontId="10" fillId="2" borderId="17" xfId="5" applyFont="1" applyFill="1" applyBorder="1"/>
    <xf numFmtId="0" fontId="56" fillId="2" borderId="44" xfId="5" applyFont="1" applyFill="1" applyBorder="1" applyAlignment="1">
      <alignment horizontal="center" vertical="center" wrapText="1"/>
    </xf>
    <xf numFmtId="0" fontId="57" fillId="5" borderId="44" xfId="5" applyFont="1" applyFill="1" applyBorder="1"/>
    <xf numFmtId="37" fontId="32" fillId="3" borderId="73" xfId="8" applyNumberFormat="1" applyFont="1" applyFill="1" applyBorder="1" applyAlignment="1">
      <alignment horizontal="center"/>
    </xf>
    <xf numFmtId="37" fontId="32" fillId="3" borderId="44" xfId="8" applyNumberFormat="1" applyFont="1" applyFill="1" applyBorder="1" applyAlignment="1">
      <alignment horizontal="center"/>
    </xf>
    <xf numFmtId="39" fontId="32" fillId="3" borderId="44" xfId="8" applyNumberFormat="1" applyFont="1" applyFill="1" applyBorder="1" applyAlignment="1">
      <alignment horizontal="center" wrapText="1"/>
    </xf>
    <xf numFmtId="1" fontId="28" fillId="0" borderId="44" xfId="8" applyNumberFormat="1" applyFont="1" applyBorder="1" applyAlignment="1">
      <alignment horizontal="center" wrapText="1"/>
    </xf>
    <xf numFmtId="37" fontId="7" fillId="3" borderId="44" xfId="8" applyNumberFormat="1" applyFont="1" applyFill="1" applyBorder="1" applyAlignment="1">
      <alignment horizontal="center" wrapText="1"/>
    </xf>
    <xf numFmtId="168" fontId="10" fillId="0" borderId="0" xfId="5" applyNumberFormat="1" applyFont="1" applyAlignment="1">
      <alignment horizontal="center"/>
    </xf>
    <xf numFmtId="10" fontId="10" fillId="0" borderId="0" xfId="2" applyNumberFormat="1" applyFont="1" applyAlignment="1">
      <alignment horizontal="center"/>
    </xf>
    <xf numFmtId="2" fontId="10" fillId="0" borderId="0" xfId="2" applyNumberFormat="1" applyFont="1" applyAlignment="1">
      <alignment horizontal="center"/>
    </xf>
    <xf numFmtId="0" fontId="10" fillId="3" borderId="0" xfId="0" applyFont="1" applyFill="1"/>
    <xf numFmtId="0" fontId="0" fillId="0" borderId="8" xfId="0" applyBorder="1" applyAlignment="1">
      <alignment horizontal="center"/>
    </xf>
    <xf numFmtId="9" fontId="0" fillId="0" borderId="0" xfId="2" applyFont="1" applyAlignment="1">
      <alignment horizontal="center"/>
    </xf>
    <xf numFmtId="9" fontId="0" fillId="3" borderId="0" xfId="2" applyFont="1" applyFill="1" applyAlignment="1">
      <alignment horizontal="center"/>
    </xf>
    <xf numFmtId="172" fontId="20" fillId="0" borderId="0" xfId="0" applyNumberFormat="1" applyFont="1"/>
    <xf numFmtId="0" fontId="19" fillId="8" borderId="0" xfId="5" applyFont="1" applyFill="1" applyAlignment="1">
      <alignment horizontal="center" vertical="center"/>
    </xf>
    <xf numFmtId="0" fontId="67" fillId="13" borderId="0" xfId="0" applyFont="1" applyFill="1"/>
    <xf numFmtId="0" fontId="68" fillId="13" borderId="0" xfId="0" applyFont="1" applyFill="1"/>
    <xf numFmtId="0" fontId="68" fillId="14" borderId="0" xfId="0" applyFont="1" applyFill="1"/>
    <xf numFmtId="0" fontId="8" fillId="0" borderId="0" xfId="0" applyFont="1"/>
    <xf numFmtId="4" fontId="0" fillId="0" borderId="0" xfId="0" applyNumberFormat="1"/>
    <xf numFmtId="4" fontId="8" fillId="0" borderId="0" xfId="0" applyNumberFormat="1" applyFont="1"/>
    <xf numFmtId="0" fontId="2" fillId="2" borderId="0" xfId="0" applyFont="1" applyFill="1"/>
    <xf numFmtId="0" fontId="2" fillId="5" borderId="0" xfId="0" applyFont="1" applyFill="1"/>
    <xf numFmtId="0" fontId="2" fillId="0" borderId="10" xfId="0" applyFont="1" applyBorder="1"/>
    <xf numFmtId="0" fontId="2" fillId="0" borderId="10" xfId="0" applyFont="1" applyBorder="1" applyAlignment="1">
      <alignment horizontal="left" vertical="top" wrapText="1"/>
    </xf>
    <xf numFmtId="0" fontId="8" fillId="0" borderId="0" xfId="3" applyFont="1" applyBorder="1"/>
    <xf numFmtId="0" fontId="2" fillId="0" borderId="0" xfId="0" applyFont="1" applyAlignment="1">
      <alignment vertical="top" wrapText="1"/>
    </xf>
    <xf numFmtId="0" fontId="2" fillId="0" borderId="10" xfId="0" applyFont="1" applyBorder="1" applyAlignment="1">
      <alignment vertical="top" wrapText="1"/>
    </xf>
    <xf numFmtId="0" fontId="16" fillId="5" borderId="0" xfId="0" applyFont="1" applyFill="1"/>
    <xf numFmtId="0" fontId="2" fillId="0" borderId="0" xfId="0" applyFont="1" applyAlignment="1">
      <alignment wrapText="1"/>
    </xf>
    <xf numFmtId="0" fontId="8" fillId="0" borderId="0" xfId="0" applyFont="1" applyAlignment="1">
      <alignment horizontal="left" indent="1"/>
    </xf>
    <xf numFmtId="0" fontId="2" fillId="0" borderId="8" xfId="0" applyFont="1" applyBorder="1"/>
    <xf numFmtId="10" fontId="2" fillId="0" borderId="0" xfId="0" applyNumberFormat="1" applyFont="1"/>
    <xf numFmtId="3" fontId="2" fillId="0" borderId="0" xfId="0" applyNumberFormat="1" applyFont="1"/>
    <xf numFmtId="0" fontId="2" fillId="0" borderId="0" xfId="0" applyFont="1" applyAlignment="1">
      <alignment horizontal="left" indent="1"/>
    </xf>
    <xf numFmtId="3" fontId="11" fillId="0" borderId="0" xfId="1" applyNumberFormat="1" applyFont="1" applyFill="1" applyBorder="1" applyAlignment="1">
      <alignment horizontal="right"/>
    </xf>
    <xf numFmtId="0" fontId="4" fillId="0" borderId="0" xfId="0" applyFont="1"/>
    <xf numFmtId="0" fontId="5" fillId="0" borderId="0" xfId="0" applyFont="1"/>
    <xf numFmtId="165" fontId="4" fillId="0" borderId="0" xfId="0" applyNumberFormat="1" applyFont="1"/>
    <xf numFmtId="0" fontId="3" fillId="0" borderId="0" xfId="0" applyFont="1" applyAlignment="1">
      <alignment vertical="center"/>
    </xf>
    <xf numFmtId="170" fontId="12" fillId="0" borderId="0" xfId="4" applyNumberFormat="1" applyFont="1" applyAlignment="1"/>
    <xf numFmtId="0" fontId="29" fillId="2" borderId="0" xfId="5" applyFont="1" applyFill="1"/>
    <xf numFmtId="1" fontId="14" fillId="0" borderId="0" xfId="5" applyNumberFormat="1" applyAlignment="1">
      <alignment vertical="center"/>
    </xf>
    <xf numFmtId="1" fontId="3" fillId="8" borderId="11" xfId="0" applyNumberFormat="1" applyFont="1" applyFill="1" applyBorder="1"/>
    <xf numFmtId="0" fontId="3" fillId="6" borderId="0" xfId="0" applyFont="1" applyFill="1"/>
    <xf numFmtId="0" fontId="69" fillId="0" borderId="0" xfId="0" applyFont="1"/>
    <xf numFmtId="0" fontId="70" fillId="0" borderId="9" xfId="0" applyFont="1" applyBorder="1"/>
    <xf numFmtId="0" fontId="0" fillId="0" borderId="74" xfId="0" applyBorder="1"/>
    <xf numFmtId="0" fontId="3" fillId="0" borderId="12" xfId="0" applyFont="1" applyBorder="1" applyAlignment="1">
      <alignment horizontal="center"/>
    </xf>
    <xf numFmtId="1" fontId="2" fillId="0" borderId="14" xfId="2" applyNumberFormat="1" applyFont="1" applyFill="1" applyBorder="1"/>
    <xf numFmtId="0" fontId="16" fillId="5" borderId="0" xfId="0" applyFont="1" applyFill="1" applyAlignment="1">
      <alignment vertical="center"/>
    </xf>
    <xf numFmtId="0" fontId="71" fillId="0" borderId="0" xfId="0" applyFont="1"/>
    <xf numFmtId="176" fontId="0" fillId="0" borderId="16" xfId="0" applyNumberFormat="1" applyBorder="1"/>
    <xf numFmtId="0" fontId="17" fillId="5" borderId="0" xfId="0" applyFont="1" applyFill="1"/>
    <xf numFmtId="10" fontId="0" fillId="0" borderId="14" xfId="2" applyNumberFormat="1" applyFont="1" applyFill="1" applyBorder="1"/>
    <xf numFmtId="170" fontId="0" fillId="0" borderId="0" xfId="2" applyNumberFormat="1" applyFont="1" applyAlignment="1">
      <alignment horizontal="center"/>
    </xf>
    <xf numFmtId="170" fontId="0" fillId="0" borderId="15" xfId="2" applyNumberFormat="1" applyFont="1" applyBorder="1" applyAlignment="1">
      <alignment horizontal="center"/>
    </xf>
    <xf numFmtId="170" fontId="0" fillId="0" borderId="15" xfId="2" applyNumberFormat="1" applyFont="1" applyBorder="1"/>
    <xf numFmtId="171" fontId="11" fillId="3" borderId="5" xfId="1" applyNumberFormat="1" applyFont="1" applyFill="1" applyBorder="1" applyAlignment="1">
      <alignment horizontal="right"/>
    </xf>
    <xf numFmtId="2" fontId="2" fillId="0" borderId="0" xfId="1" applyNumberFormat="1" applyFont="1" applyAlignment="1">
      <alignment horizontal="center"/>
    </xf>
    <xf numFmtId="2" fontId="10" fillId="0" borderId="0" xfId="5" applyNumberFormat="1" applyFont="1" applyAlignment="1">
      <alignment horizontal="center"/>
    </xf>
    <xf numFmtId="2" fontId="32" fillId="3" borderId="0" xfId="0" applyNumberFormat="1" applyFont="1" applyFill="1" applyAlignment="1">
      <alignment horizontal="right"/>
    </xf>
    <xf numFmtId="180" fontId="6" fillId="2" borderId="0" xfId="0" applyNumberFormat="1" applyFont="1" applyFill="1" applyAlignment="1">
      <alignment horizontal="right"/>
    </xf>
    <xf numFmtId="9" fontId="3" fillId="7" borderId="0" xfId="0" applyNumberFormat="1" applyFont="1" applyFill="1" applyAlignment="1">
      <alignment horizontal="right"/>
    </xf>
    <xf numFmtId="0" fontId="2" fillId="0" borderId="0" xfId="0" applyFont="1" applyAlignment="1">
      <alignment horizontal="center"/>
    </xf>
    <xf numFmtId="176" fontId="0" fillId="0" borderId="0" xfId="0" applyNumberFormat="1"/>
    <xf numFmtId="0" fontId="3" fillId="0" borderId="13" xfId="0" applyFont="1" applyBorder="1"/>
    <xf numFmtId="10" fontId="0" fillId="0" borderId="0" xfId="2" applyNumberFormat="1" applyFont="1" applyBorder="1"/>
    <xf numFmtId="0" fontId="0" fillId="0" borderId="14" xfId="0" applyBorder="1"/>
    <xf numFmtId="176" fontId="0" fillId="0" borderId="15" xfId="0" applyNumberFormat="1" applyBorder="1"/>
    <xf numFmtId="0" fontId="3" fillId="0" borderId="14" xfId="0" applyFont="1" applyBorder="1"/>
    <xf numFmtId="176" fontId="3" fillId="0" borderId="0" xfId="0" applyNumberFormat="1" applyFont="1"/>
    <xf numFmtId="170" fontId="2" fillId="0" borderId="0" xfId="2" applyNumberFormat="1" applyFont="1"/>
    <xf numFmtId="3" fontId="10" fillId="0" borderId="0" xfId="0" applyNumberFormat="1" applyFont="1"/>
    <xf numFmtId="0" fontId="0" fillId="3" borderId="24" xfId="2" applyNumberFormat="1" applyFont="1" applyFill="1" applyBorder="1"/>
    <xf numFmtId="0" fontId="73" fillId="15" borderId="0" xfId="0" applyFont="1" applyFill="1"/>
    <xf numFmtId="0" fontId="74" fillId="15" borderId="42" xfId="0" applyFont="1" applyFill="1" applyBorder="1" applyAlignment="1">
      <alignment readingOrder="1"/>
    </xf>
    <xf numFmtId="0" fontId="74" fillId="15" borderId="0" xfId="0" applyFont="1" applyFill="1" applyAlignment="1">
      <alignment readingOrder="1"/>
    </xf>
    <xf numFmtId="0" fontId="75" fillId="16" borderId="0" xfId="0" applyFont="1" applyFill="1"/>
    <xf numFmtId="0" fontId="76" fillId="15" borderId="76" xfId="0" applyFont="1" applyFill="1" applyBorder="1"/>
    <xf numFmtId="0" fontId="76" fillId="15" borderId="77" xfId="0" applyFont="1" applyFill="1" applyBorder="1"/>
    <xf numFmtId="0" fontId="76" fillId="15" borderId="43" xfId="0" applyFont="1" applyFill="1" applyBorder="1"/>
    <xf numFmtId="0" fontId="76" fillId="15" borderId="78" xfId="0" applyFont="1" applyFill="1" applyBorder="1"/>
    <xf numFmtId="14" fontId="76" fillId="15" borderId="78" xfId="0" applyNumberFormat="1" applyFont="1" applyFill="1" applyBorder="1"/>
    <xf numFmtId="0" fontId="77" fillId="16" borderId="79" xfId="0" applyFont="1" applyFill="1" applyBorder="1"/>
    <xf numFmtId="0" fontId="77" fillId="16" borderId="44" xfId="0" applyFont="1" applyFill="1" applyBorder="1"/>
    <xf numFmtId="0" fontId="77" fillId="16" borderId="17" xfId="0" applyFont="1" applyFill="1" applyBorder="1"/>
    <xf numFmtId="4" fontId="77" fillId="16" borderId="17" xfId="0" applyNumberFormat="1" applyFont="1" applyFill="1" applyBorder="1"/>
    <xf numFmtId="0" fontId="77" fillId="17" borderId="17" xfId="0" applyFont="1" applyFill="1" applyBorder="1"/>
    <xf numFmtId="4" fontId="77" fillId="17" borderId="17" xfId="0" applyNumberFormat="1" applyFont="1" applyFill="1" applyBorder="1"/>
    <xf numFmtId="0" fontId="78" fillId="16" borderId="79" xfId="0" applyFont="1" applyFill="1" applyBorder="1"/>
    <xf numFmtId="0" fontId="79" fillId="16" borderId="44" xfId="0" applyFont="1" applyFill="1" applyBorder="1"/>
    <xf numFmtId="0" fontId="79" fillId="16" borderId="17" xfId="0" applyFont="1" applyFill="1" applyBorder="1"/>
    <xf numFmtId="4" fontId="79" fillId="16" borderId="17" xfId="0" applyNumberFormat="1" applyFont="1" applyFill="1" applyBorder="1"/>
    <xf numFmtId="0" fontId="79" fillId="17" borderId="17" xfId="0" applyFont="1" applyFill="1" applyBorder="1"/>
    <xf numFmtId="4" fontId="79" fillId="17" borderId="17" xfId="0" applyNumberFormat="1" applyFont="1" applyFill="1" applyBorder="1"/>
    <xf numFmtId="0" fontId="80" fillId="16" borderId="79" xfId="0" applyFont="1" applyFill="1" applyBorder="1"/>
    <xf numFmtId="0" fontId="81" fillId="16" borderId="44" xfId="0" applyFont="1" applyFill="1" applyBorder="1"/>
    <xf numFmtId="0" fontId="81" fillId="16" borderId="17" xfId="0" applyFont="1" applyFill="1" applyBorder="1"/>
    <xf numFmtId="0" fontId="81" fillId="17" borderId="17" xfId="0" applyFont="1" applyFill="1" applyBorder="1"/>
    <xf numFmtId="0" fontId="81" fillId="18" borderId="46" xfId="0" applyFont="1" applyFill="1" applyBorder="1"/>
    <xf numFmtId="0" fontId="81" fillId="18" borderId="0" xfId="0" applyFont="1" applyFill="1"/>
    <xf numFmtId="14" fontId="76" fillId="15" borderId="43" xfId="0" applyNumberFormat="1" applyFont="1" applyFill="1" applyBorder="1"/>
    <xf numFmtId="0" fontId="77" fillId="16" borderId="0" xfId="0" applyFont="1" applyFill="1"/>
    <xf numFmtId="10" fontId="77" fillId="16" borderId="17" xfId="0" applyNumberFormat="1" applyFont="1" applyFill="1" applyBorder="1"/>
    <xf numFmtId="4" fontId="77" fillId="16" borderId="0" xfId="0" applyNumberFormat="1" applyFont="1" applyFill="1"/>
    <xf numFmtId="0" fontId="79" fillId="16" borderId="79" xfId="0" applyFont="1" applyFill="1" applyBorder="1"/>
    <xf numFmtId="0" fontId="79" fillId="16" borderId="0" xfId="0" applyFont="1" applyFill="1"/>
    <xf numFmtId="10" fontId="79" fillId="16" borderId="17" xfId="0" applyNumberFormat="1" applyFont="1" applyFill="1" applyBorder="1"/>
    <xf numFmtId="4" fontId="79" fillId="16" borderId="0" xfId="0" applyNumberFormat="1" applyFont="1" applyFill="1"/>
    <xf numFmtId="4" fontId="77" fillId="16" borderId="44" xfId="0" applyNumberFormat="1" applyFont="1" applyFill="1" applyBorder="1"/>
    <xf numFmtId="4" fontId="79" fillId="16" borderId="44" xfId="0" applyNumberFormat="1" applyFont="1" applyFill="1" applyBorder="1"/>
    <xf numFmtId="14" fontId="79" fillId="16" borderId="44" xfId="0" applyNumberFormat="1" applyFont="1" applyFill="1" applyBorder="1"/>
    <xf numFmtId="14" fontId="79" fillId="16" borderId="17" xfId="0" applyNumberFormat="1" applyFont="1" applyFill="1" applyBorder="1"/>
    <xf numFmtId="0" fontId="82" fillId="0" borderId="0" xfId="0" applyFont="1"/>
    <xf numFmtId="3" fontId="79" fillId="16" borderId="44" xfId="0" applyNumberFormat="1" applyFont="1" applyFill="1" applyBorder="1"/>
    <xf numFmtId="1" fontId="6" fillId="19" borderId="0" xfId="0" applyNumberFormat="1" applyFont="1" applyFill="1" applyAlignment="1">
      <alignment horizontal="right"/>
    </xf>
    <xf numFmtId="0" fontId="0" fillId="7" borderId="0" xfId="0" applyFill="1"/>
    <xf numFmtId="0" fontId="3" fillId="4" borderId="0" xfId="0" applyFont="1" applyFill="1"/>
    <xf numFmtId="14" fontId="4" fillId="19" borderId="0" xfId="0" applyNumberFormat="1" applyFont="1" applyFill="1" applyAlignment="1">
      <alignment horizontal="right"/>
    </xf>
    <xf numFmtId="37" fontId="85" fillId="3" borderId="0" xfId="0" applyNumberFormat="1" applyFont="1" applyFill="1" applyAlignment="1">
      <alignment horizontal="right"/>
    </xf>
    <xf numFmtId="0" fontId="42" fillId="9" borderId="0" xfId="0" applyFont="1" applyFill="1"/>
    <xf numFmtId="0" fontId="49" fillId="9" borderId="0" xfId="0" applyFont="1" applyFill="1"/>
    <xf numFmtId="0" fontId="13" fillId="9" borderId="0" xfId="0" applyFont="1" applyFill="1"/>
    <xf numFmtId="3" fontId="35" fillId="4" borderId="0" xfId="0" applyNumberFormat="1" applyFont="1" applyFill="1"/>
    <xf numFmtId="4" fontId="35" fillId="4" borderId="0" xfId="0" applyNumberFormat="1" applyFont="1" applyFill="1"/>
    <xf numFmtId="0" fontId="12" fillId="4" borderId="0" xfId="0" applyFont="1" applyFill="1"/>
    <xf numFmtId="3" fontId="12" fillId="4" borderId="0" xfId="0" applyNumberFormat="1" applyFont="1" applyFill="1"/>
    <xf numFmtId="2" fontId="12" fillId="4" borderId="0" xfId="0" applyNumberFormat="1" applyFont="1" applyFill="1"/>
    <xf numFmtId="3" fontId="12" fillId="0" borderId="80" xfId="0" applyNumberFormat="1" applyFont="1" applyBorder="1"/>
    <xf numFmtId="3" fontId="12" fillId="4" borderId="80" xfId="0" applyNumberFormat="1" applyFont="1" applyFill="1" applyBorder="1"/>
    <xf numFmtId="0" fontId="13" fillId="0" borderId="80" xfId="0" applyFont="1" applyBorder="1"/>
    <xf numFmtId="170" fontId="35" fillId="21" borderId="80" xfId="0" applyNumberFormat="1" applyFont="1" applyFill="1" applyBorder="1"/>
    <xf numFmtId="170" fontId="35" fillId="21" borderId="0" xfId="0" applyNumberFormat="1" applyFont="1" applyFill="1"/>
    <xf numFmtId="1" fontId="86" fillId="0" borderId="0" xfId="0" applyNumberFormat="1" applyFont="1"/>
    <xf numFmtId="3" fontId="87" fillId="0" borderId="0" xfId="0" applyNumberFormat="1" applyFont="1"/>
    <xf numFmtId="10" fontId="35" fillId="21" borderId="80" xfId="0" applyNumberFormat="1" applyFont="1" applyFill="1" applyBorder="1"/>
    <xf numFmtId="10" fontId="35" fillId="21" borderId="0" xfId="0" applyNumberFormat="1" applyFont="1" applyFill="1"/>
    <xf numFmtId="0" fontId="9" fillId="0" borderId="0" xfId="0" applyFont="1"/>
    <xf numFmtId="10" fontId="37" fillId="0" borderId="0" xfId="0" applyNumberFormat="1" applyFont="1"/>
    <xf numFmtId="10" fontId="12" fillId="4" borderId="80" xfId="0" applyNumberFormat="1" applyFont="1" applyFill="1" applyBorder="1"/>
    <xf numFmtId="10" fontId="12" fillId="4" borderId="0" xfId="0" applyNumberFormat="1" applyFont="1" applyFill="1"/>
    <xf numFmtId="172" fontId="12" fillId="0" borderId="80" xfId="0" applyNumberFormat="1" applyFont="1" applyBorder="1"/>
    <xf numFmtId="172" fontId="12" fillId="4" borderId="0" xfId="0" applyNumberFormat="1" applyFont="1" applyFill="1"/>
    <xf numFmtId="0" fontId="13" fillId="0" borderId="80" xfId="0" applyFont="1" applyBorder="1" applyAlignment="1">
      <alignment horizontal="center"/>
    </xf>
    <xf numFmtId="10" fontId="35" fillId="3" borderId="80" xfId="0" applyNumberFormat="1" applyFont="1" applyFill="1" applyBorder="1"/>
    <xf numFmtId="10" fontId="35" fillId="3" borderId="0" xfId="0" applyNumberFormat="1" applyFont="1" applyFill="1"/>
    <xf numFmtId="10" fontId="12" fillId="0" borderId="0" xfId="2" applyNumberFormat="1" applyFont="1" applyFill="1" applyBorder="1" applyAlignment="1">
      <alignment horizontal="left"/>
    </xf>
    <xf numFmtId="176" fontId="48" fillId="4" borderId="80" xfId="0" applyNumberFormat="1" applyFont="1" applyFill="1" applyBorder="1"/>
    <xf numFmtId="176" fontId="48" fillId="4" borderId="0" xfId="0" applyNumberFormat="1" applyFont="1" applyFill="1"/>
    <xf numFmtId="10" fontId="12" fillId="0" borderId="0" xfId="0" applyNumberFormat="1" applyFont="1"/>
    <xf numFmtId="4" fontId="13" fillId="0" borderId="0" xfId="0" applyNumberFormat="1" applyFont="1"/>
    <xf numFmtId="3" fontId="25" fillId="0" borderId="0" xfId="0" applyNumberFormat="1" applyFont="1"/>
    <xf numFmtId="10" fontId="12" fillId="0" borderId="0" xfId="2" applyNumberFormat="1" applyFont="1" applyFill="1" applyBorder="1" applyAlignment="1"/>
    <xf numFmtId="170" fontId="46" fillId="0" borderId="0" xfId="2" applyNumberFormat="1" applyFont="1"/>
    <xf numFmtId="170" fontId="48" fillId="0" borderId="0" xfId="2" applyNumberFormat="1" applyFont="1"/>
    <xf numFmtId="3" fontId="13" fillId="0" borderId="80" xfId="0" applyNumberFormat="1" applyFont="1" applyBorder="1"/>
    <xf numFmtId="10" fontId="12" fillId="7" borderId="0" xfId="0" applyNumberFormat="1" applyFont="1" applyFill="1"/>
    <xf numFmtId="10" fontId="5" fillId="0" borderId="0" xfId="0" applyNumberFormat="1" applyFont="1"/>
    <xf numFmtId="10" fontId="5" fillId="0" borderId="0" xfId="2" applyNumberFormat="1" applyFont="1"/>
    <xf numFmtId="9" fontId="5" fillId="0" borderId="0" xfId="2" applyFont="1"/>
    <xf numFmtId="9" fontId="5" fillId="0" borderId="0" xfId="0" applyNumberFormat="1" applyFont="1"/>
    <xf numFmtId="0" fontId="9" fillId="0" borderId="0" xfId="3" applyAlignment="1">
      <alignment horizontal="left" indent="1"/>
    </xf>
    <xf numFmtId="0" fontId="64" fillId="0" borderId="9" xfId="0" applyFont="1" applyBorder="1" applyAlignment="1">
      <alignment horizontal="left" vertical="top" indent="1"/>
    </xf>
    <xf numFmtId="170" fontId="12" fillId="0" borderId="84" xfId="0" applyNumberFormat="1" applyFont="1" applyBorder="1"/>
    <xf numFmtId="10" fontId="13" fillId="0" borderId="85" xfId="0" applyNumberFormat="1" applyFont="1" applyBorder="1"/>
    <xf numFmtId="10" fontId="12" fillId="0" borderId="86" xfId="0" applyNumberFormat="1" applyFont="1" applyBorder="1"/>
    <xf numFmtId="0" fontId="17" fillId="5" borderId="9" xfId="0" applyFont="1" applyFill="1" applyBorder="1"/>
    <xf numFmtId="0" fontId="17" fillId="5" borderId="87" xfId="0" applyFont="1" applyFill="1" applyBorder="1"/>
    <xf numFmtId="0" fontId="89" fillId="0" borderId="0" xfId="0" applyFont="1"/>
    <xf numFmtId="0" fontId="3" fillId="4" borderId="8" xfId="0" applyFont="1" applyFill="1" applyBorder="1" applyAlignment="1">
      <alignment wrapText="1"/>
    </xf>
    <xf numFmtId="1" fontId="13" fillId="0" borderId="0" xfId="0" applyNumberFormat="1" applyFont="1"/>
    <xf numFmtId="0" fontId="6" fillId="2" borderId="0" xfId="0" applyFont="1" applyFill="1" applyAlignment="1">
      <alignment wrapText="1"/>
    </xf>
    <xf numFmtId="10" fontId="0" fillId="0" borderId="0" xfId="2" applyNumberFormat="1" applyFont="1" applyAlignment="1">
      <alignment vertical="center"/>
    </xf>
    <xf numFmtId="0" fontId="0" fillId="0" borderId="8" xfId="0" applyBorder="1" applyAlignment="1">
      <alignment horizontal="left" vertical="center"/>
    </xf>
    <xf numFmtId="10" fontId="0" fillId="0" borderId="9" xfId="2" applyNumberFormat="1" applyFont="1" applyBorder="1" applyAlignment="1">
      <alignment vertical="center"/>
    </xf>
    <xf numFmtId="0" fontId="14" fillId="0" borderId="0" xfId="5" applyAlignment="1">
      <alignment vertical="center" wrapText="1"/>
    </xf>
    <xf numFmtId="0" fontId="32" fillId="3" borderId="0" xfId="0" applyFont="1" applyFill="1" applyAlignment="1">
      <alignment wrapText="1"/>
    </xf>
    <xf numFmtId="0" fontId="3" fillId="0" borderId="0" xfId="0" applyFont="1" applyAlignment="1">
      <alignment indent="1"/>
    </xf>
    <xf numFmtId="10" fontId="10" fillId="0" borderId="0" xfId="5" applyNumberFormat="1" applyFont="1" applyAlignment="1">
      <alignment horizontal="center" vertical="center"/>
    </xf>
    <xf numFmtId="0" fontId="2" fillId="0" borderId="0" xfId="0" applyFont="1" applyAlignment="1">
      <alignment vertical="center" wrapText="1"/>
    </xf>
    <xf numFmtId="10" fontId="11" fillId="0" borderId="0" xfId="2" applyNumberFormat="1" applyFont="1" applyBorder="1" applyAlignment="1">
      <alignment horizontal="right"/>
    </xf>
    <xf numFmtId="10" fontId="11" fillId="3" borderId="0" xfId="2" applyNumberFormat="1" applyFont="1" applyFill="1" applyBorder="1" applyAlignment="1">
      <alignment horizontal="right"/>
    </xf>
    <xf numFmtId="3" fontId="0" fillId="0" borderId="0" xfId="0" applyNumberFormat="1" applyAlignment="1">
      <alignment horizontal="center"/>
    </xf>
    <xf numFmtId="0" fontId="98" fillId="0" borderId="0" xfId="0" applyFont="1"/>
    <xf numFmtId="0" fontId="79" fillId="0" borderId="0" xfId="0" applyFont="1"/>
    <xf numFmtId="0" fontId="97" fillId="0" borderId="8" xfId="0" applyFont="1" applyBorder="1"/>
    <xf numFmtId="0" fontId="0" fillId="0" borderId="0" xfId="0" applyAlignment="1">
      <alignment vertical="top" wrapText="1"/>
    </xf>
    <xf numFmtId="0" fontId="0" fillId="0" borderId="0" xfId="0" applyAlignment="1">
      <alignment vertical="center" wrapText="1"/>
    </xf>
    <xf numFmtId="170" fontId="9" fillId="0" borderId="0" xfId="3" applyNumberFormat="1"/>
    <xf numFmtId="181" fontId="13" fillId="0" borderId="0" xfId="0" applyNumberFormat="1" applyFont="1"/>
    <xf numFmtId="9" fontId="13" fillId="0" borderId="0" xfId="2" applyFont="1"/>
    <xf numFmtId="10" fontId="13" fillId="0" borderId="0" xfId="2" applyNumberFormat="1" applyFont="1"/>
    <xf numFmtId="182" fontId="13" fillId="0" borderId="0" xfId="0" applyNumberFormat="1" applyFont="1"/>
    <xf numFmtId="10" fontId="20" fillId="0" borderId="0" xfId="0" applyNumberFormat="1" applyFont="1"/>
    <xf numFmtId="1" fontId="0" fillId="0" borderId="15" xfId="2" applyNumberFormat="1" applyFont="1" applyBorder="1"/>
    <xf numFmtId="1" fontId="2" fillId="0" borderId="72" xfId="2" applyNumberFormat="1" applyFont="1" applyBorder="1"/>
    <xf numFmtId="1" fontId="2" fillId="0" borderId="14" xfId="2" applyNumberFormat="1" applyFont="1" applyBorder="1"/>
    <xf numFmtId="1" fontId="0" fillId="0" borderId="16" xfId="2" applyNumberFormat="1" applyFont="1" applyBorder="1"/>
    <xf numFmtId="0" fontId="82" fillId="0" borderId="8" xfId="0" applyFont="1" applyBorder="1"/>
    <xf numFmtId="0" fontId="70" fillId="0" borderId="8" xfId="0" applyFont="1" applyBorder="1"/>
    <xf numFmtId="0" fontId="99" fillId="0" borderId="0" xfId="0" applyFont="1"/>
    <xf numFmtId="0" fontId="100" fillId="0" borderId="9" xfId="0" applyFont="1" applyBorder="1"/>
    <xf numFmtId="0" fontId="100" fillId="0" borderId="82" xfId="0" applyFont="1" applyBorder="1"/>
    <xf numFmtId="0" fontId="100" fillId="0" borderId="79" xfId="0" applyFont="1" applyBorder="1"/>
    <xf numFmtId="0" fontId="100" fillId="0" borderId="81" xfId="0" applyFont="1" applyBorder="1"/>
    <xf numFmtId="0" fontId="77" fillId="0" borderId="79" xfId="0" applyFont="1" applyBorder="1"/>
    <xf numFmtId="0" fontId="96" fillId="0" borderId="79" xfId="0" applyFont="1" applyBorder="1"/>
    <xf numFmtId="0" fontId="100" fillId="0" borderId="0" xfId="0" applyFont="1"/>
    <xf numFmtId="0" fontId="101" fillId="2" borderId="26" xfId="5" applyFont="1" applyFill="1" applyBorder="1" applyAlignment="1">
      <alignment horizontal="center" vertical="center" wrapText="1"/>
    </xf>
    <xf numFmtId="0" fontId="32" fillId="3" borderId="0" xfId="5" applyFont="1" applyFill="1" applyAlignment="1">
      <alignment horizontal="center"/>
    </xf>
    <xf numFmtId="37" fontId="7" fillId="3" borderId="54" xfId="8" applyNumberFormat="1" applyFont="1" applyFill="1" applyBorder="1" applyAlignment="1">
      <alignment horizontal="center" wrapText="1"/>
    </xf>
    <xf numFmtId="37" fontId="7" fillId="3" borderId="44" xfId="8" applyNumberFormat="1" applyFont="1" applyFill="1" applyBorder="1" applyAlignment="1">
      <alignment horizontal="center"/>
    </xf>
    <xf numFmtId="3" fontId="32" fillId="3" borderId="89" xfId="0" applyNumberFormat="1" applyFont="1" applyFill="1" applyBorder="1" applyAlignment="1">
      <alignment horizontal="center" vertical="center"/>
    </xf>
    <xf numFmtId="3" fontId="32" fillId="3" borderId="88" xfId="0" applyNumberFormat="1" applyFont="1" applyFill="1" applyBorder="1" applyAlignment="1">
      <alignment horizontal="center" vertical="center"/>
    </xf>
    <xf numFmtId="0" fontId="32" fillId="3" borderId="88" xfId="0" applyFont="1" applyFill="1" applyBorder="1" applyAlignment="1">
      <alignment horizontal="center" vertical="center"/>
    </xf>
    <xf numFmtId="3" fontId="32" fillId="3" borderId="17" xfId="0" applyNumberFormat="1" applyFont="1" applyFill="1" applyBorder="1" applyAlignment="1">
      <alignment horizontal="center" vertical="center"/>
    </xf>
    <xf numFmtId="0" fontId="32" fillId="3" borderId="17" xfId="0" applyFont="1" applyFill="1" applyBorder="1" applyAlignment="1">
      <alignment horizontal="center" vertical="center"/>
    </xf>
    <xf numFmtId="0" fontId="32" fillId="3" borderId="0" xfId="0" applyFont="1" applyFill="1" applyAlignment="1">
      <alignment horizontal="center" vertical="center"/>
    </xf>
    <xf numFmtId="3" fontId="32" fillId="3" borderId="0" xfId="0" applyNumberFormat="1" applyFont="1" applyFill="1" applyAlignment="1">
      <alignment horizontal="center" vertical="center"/>
    </xf>
    <xf numFmtId="3" fontId="32" fillId="3" borderId="44" xfId="0" applyNumberFormat="1" applyFont="1" applyFill="1" applyBorder="1" applyAlignment="1">
      <alignment horizontal="center" vertical="center"/>
    </xf>
    <xf numFmtId="0" fontId="32" fillId="3" borderId="44" xfId="0" applyFont="1" applyFill="1" applyBorder="1" applyAlignment="1">
      <alignment horizontal="center" vertical="center"/>
    </xf>
    <xf numFmtId="3" fontId="32" fillId="3" borderId="78" xfId="0" applyNumberFormat="1" applyFont="1" applyFill="1" applyBorder="1" applyAlignment="1">
      <alignment horizontal="center" vertical="center"/>
    </xf>
    <xf numFmtId="3" fontId="32" fillId="3" borderId="9" xfId="0" applyNumberFormat="1" applyFont="1" applyFill="1" applyBorder="1" applyAlignment="1">
      <alignment horizontal="center" vertical="center"/>
    </xf>
    <xf numFmtId="0" fontId="32" fillId="3" borderId="78" xfId="0" applyFont="1" applyFill="1" applyBorder="1" applyAlignment="1">
      <alignment horizontal="center" vertical="center"/>
    </xf>
    <xf numFmtId="0" fontId="32" fillId="3" borderId="9" xfId="0" applyFont="1" applyFill="1" applyBorder="1" applyAlignment="1">
      <alignment horizontal="center" vertical="center"/>
    </xf>
    <xf numFmtId="0" fontId="32" fillId="5" borderId="44" xfId="5" applyFont="1" applyFill="1" applyBorder="1" applyAlignment="1">
      <alignment horizontal="center" vertical="center"/>
    </xf>
    <xf numFmtId="37" fontId="32" fillId="3" borderId="0" xfId="8" applyNumberFormat="1" applyFont="1" applyFill="1" applyAlignment="1">
      <alignment horizontal="center" vertical="center" wrapText="1"/>
    </xf>
    <xf numFmtId="1" fontId="28" fillId="0" borderId="0" xfId="8" applyNumberFormat="1" applyFont="1" applyAlignment="1">
      <alignment horizontal="center" wrapText="1"/>
    </xf>
    <xf numFmtId="0" fontId="10" fillId="2" borderId="0" xfId="5" applyFont="1" applyFill="1"/>
    <xf numFmtId="37" fontId="32" fillId="3" borderId="0" xfId="8" applyNumberFormat="1" applyFont="1" applyFill="1" applyAlignment="1">
      <alignment horizontal="center" wrapText="1"/>
    </xf>
    <xf numFmtId="0" fontId="32" fillId="5" borderId="17" xfId="5" applyFont="1" applyFill="1" applyBorder="1" applyAlignment="1">
      <alignment horizontal="center" vertical="center"/>
    </xf>
    <xf numFmtId="1" fontId="32" fillId="0" borderId="44" xfId="8" applyNumberFormat="1" applyFont="1" applyBorder="1" applyAlignment="1">
      <alignment horizontal="center" vertical="center" wrapText="1"/>
    </xf>
    <xf numFmtId="37" fontId="32" fillId="3" borderId="44" xfId="8" applyNumberFormat="1" applyFont="1" applyFill="1" applyBorder="1" applyAlignment="1">
      <alignment horizontal="center" vertical="center" wrapText="1"/>
    </xf>
    <xf numFmtId="3" fontId="32" fillId="3" borderId="43" xfId="0" applyNumberFormat="1" applyFont="1" applyFill="1" applyBorder="1" applyAlignment="1">
      <alignment horizontal="center" vertical="center"/>
    </xf>
    <xf numFmtId="0" fontId="32" fillId="3" borderId="43" xfId="0" applyFont="1" applyFill="1" applyBorder="1" applyAlignment="1">
      <alignment horizontal="center" vertical="center"/>
    </xf>
    <xf numFmtId="0" fontId="32" fillId="2" borderId="44" xfId="5" applyFont="1" applyFill="1" applyBorder="1" applyAlignment="1">
      <alignment horizontal="center" vertical="center"/>
    </xf>
    <xf numFmtId="0" fontId="10" fillId="7" borderId="0" xfId="5" applyFont="1" applyFill="1"/>
    <xf numFmtId="2" fontId="0" fillId="0" borderId="0" xfId="2" applyNumberFormat="1" applyFont="1"/>
    <xf numFmtId="2" fontId="0" fillId="0" borderId="15" xfId="2" applyNumberFormat="1" applyFont="1" applyBorder="1"/>
    <xf numFmtId="0" fontId="13" fillId="0" borderId="15" xfId="0" applyFont="1" applyBorder="1"/>
    <xf numFmtId="0" fontId="41" fillId="0" borderId="13" xfId="0" applyFont="1" applyBorder="1"/>
    <xf numFmtId="0" fontId="102" fillId="0" borderId="0" xfId="0" applyFont="1"/>
    <xf numFmtId="0" fontId="32" fillId="0" borderId="0" xfId="0" applyFont="1" applyAlignment="1">
      <alignment horizontal="center"/>
    </xf>
    <xf numFmtId="0" fontId="102" fillId="16" borderId="0" xfId="0" applyFont="1" applyFill="1"/>
    <xf numFmtId="0" fontId="103" fillId="0" borderId="0" xfId="0" applyFont="1"/>
    <xf numFmtId="2" fontId="10" fillId="0" borderId="59" xfId="2" applyNumberFormat="1" applyFont="1" applyBorder="1" applyAlignment="1">
      <alignment horizontal="center" vertical="center"/>
    </xf>
    <xf numFmtId="0" fontId="104" fillId="2" borderId="0" xfId="5" applyFont="1" applyFill="1"/>
    <xf numFmtId="0" fontId="104" fillId="2" borderId="0" xfId="5" applyFont="1" applyFill="1" applyAlignment="1">
      <alignment horizontal="center"/>
    </xf>
    <xf numFmtId="0" fontId="104" fillId="2" borderId="57" xfId="5" applyFont="1" applyFill="1" applyBorder="1" applyAlignment="1">
      <alignment horizontal="center"/>
    </xf>
    <xf numFmtId="0" fontId="104" fillId="2" borderId="59" xfId="5" applyFont="1" applyFill="1" applyBorder="1" applyAlignment="1">
      <alignment horizontal="center"/>
    </xf>
    <xf numFmtId="0" fontId="104" fillId="2" borderId="57" xfId="5" applyFont="1" applyFill="1" applyBorder="1"/>
    <xf numFmtId="0" fontId="104" fillId="2" borderId="59" xfId="5" applyFont="1" applyFill="1" applyBorder="1"/>
    <xf numFmtId="0" fontId="105" fillId="0" borderId="0" xfId="5" applyFont="1" applyAlignment="1">
      <alignment vertical="center"/>
    </xf>
    <xf numFmtId="0" fontId="106" fillId="0" borderId="0" xfId="5" applyFont="1" applyAlignment="1">
      <alignment vertical="center"/>
    </xf>
    <xf numFmtId="170" fontId="107" fillId="0" borderId="0" xfId="5" applyNumberFormat="1" applyFont="1" applyAlignment="1">
      <alignment horizontal="center" vertical="center"/>
    </xf>
    <xf numFmtId="170" fontId="107" fillId="0" borderId="57" xfId="5" applyNumberFormat="1" applyFont="1" applyBorder="1" applyAlignment="1">
      <alignment horizontal="center" vertical="center"/>
    </xf>
    <xf numFmtId="170" fontId="107" fillId="4" borderId="59" xfId="5" applyNumberFormat="1" applyFont="1" applyFill="1" applyBorder="1" applyAlignment="1">
      <alignment horizontal="center" vertical="center"/>
    </xf>
    <xf numFmtId="170" fontId="107" fillId="4" borderId="57" xfId="5" applyNumberFormat="1" applyFont="1" applyFill="1" applyBorder="1" applyAlignment="1">
      <alignment horizontal="center" vertical="center"/>
    </xf>
    <xf numFmtId="170" fontId="107" fillId="0" borderId="59" xfId="5" applyNumberFormat="1" applyFont="1" applyBorder="1" applyAlignment="1">
      <alignment horizontal="center" vertical="center"/>
    </xf>
    <xf numFmtId="2" fontId="107" fillId="0" borderId="59" xfId="5" applyNumberFormat="1" applyFont="1" applyBorder="1" applyAlignment="1">
      <alignment horizontal="center" vertical="center"/>
    </xf>
    <xf numFmtId="2" fontId="107" fillId="0" borderId="57" xfId="5" applyNumberFormat="1" applyFont="1" applyBorder="1" applyAlignment="1">
      <alignment horizontal="center" vertical="center"/>
    </xf>
    <xf numFmtId="0" fontId="108" fillId="0" borderId="0" xfId="0" applyFont="1"/>
    <xf numFmtId="170" fontId="109" fillId="0" borderId="0" xfId="5" applyNumberFormat="1" applyFont="1" applyAlignment="1">
      <alignment horizontal="center" vertical="center"/>
    </xf>
    <xf numFmtId="170" fontId="109" fillId="0" borderId="57" xfId="5" applyNumberFormat="1" applyFont="1" applyBorder="1" applyAlignment="1">
      <alignment horizontal="center" vertical="center"/>
    </xf>
    <xf numFmtId="170" fontId="109" fillId="0" borderId="59" xfId="5" applyNumberFormat="1" applyFont="1" applyBorder="1" applyAlignment="1">
      <alignment horizontal="center" vertical="center"/>
    </xf>
    <xf numFmtId="2" fontId="109" fillId="0" borderId="59" xfId="5" applyNumberFormat="1" applyFont="1" applyBorder="1" applyAlignment="1">
      <alignment horizontal="center" vertical="center"/>
    </xf>
    <xf numFmtId="2" fontId="109" fillId="0" borderId="57" xfId="5" applyNumberFormat="1" applyFont="1" applyBorder="1" applyAlignment="1">
      <alignment horizontal="center" vertical="center"/>
    </xf>
    <xf numFmtId="0" fontId="106" fillId="0" borderId="0" xfId="5" applyFont="1" applyAlignment="1">
      <alignment horizontal="left" vertical="center"/>
    </xf>
    <xf numFmtId="170" fontId="109" fillId="0" borderId="59" xfId="2" applyNumberFormat="1" applyFont="1" applyBorder="1" applyAlignment="1">
      <alignment horizontal="center" vertical="center"/>
    </xf>
    <xf numFmtId="2" fontId="109" fillId="0" borderId="59" xfId="2" applyNumberFormat="1" applyFont="1" applyBorder="1" applyAlignment="1">
      <alignment horizontal="center" vertical="center"/>
    </xf>
    <xf numFmtId="0" fontId="107" fillId="5" borderId="0" xfId="5" applyFont="1" applyFill="1"/>
    <xf numFmtId="170" fontId="107" fillId="5" borderId="0" xfId="5" applyNumberFormat="1" applyFont="1" applyFill="1" applyAlignment="1">
      <alignment horizontal="center" vertical="center"/>
    </xf>
    <xf numFmtId="170" fontId="107" fillId="5" borderId="57" xfId="5" applyNumberFormat="1" applyFont="1" applyFill="1" applyBorder="1" applyAlignment="1">
      <alignment horizontal="center" vertical="center"/>
    </xf>
    <xf numFmtId="170" fontId="107" fillId="5" borderId="59" xfId="5" applyNumberFormat="1" applyFont="1" applyFill="1" applyBorder="1" applyAlignment="1">
      <alignment horizontal="center" vertical="center"/>
    </xf>
    <xf numFmtId="9" fontId="107" fillId="5" borderId="59" xfId="2" applyFont="1" applyFill="1" applyBorder="1" applyAlignment="1">
      <alignment horizontal="center" vertical="center"/>
    </xf>
    <xf numFmtId="9" fontId="107" fillId="5" borderId="57" xfId="2" applyFont="1" applyFill="1" applyBorder="1" applyAlignment="1">
      <alignment horizontal="center" vertical="center"/>
    </xf>
    <xf numFmtId="2" fontId="107" fillId="5" borderId="59" xfId="2" applyNumberFormat="1" applyFont="1" applyFill="1" applyBorder="1" applyAlignment="1">
      <alignment horizontal="center" vertical="center"/>
    </xf>
    <xf numFmtId="2" fontId="107" fillId="5" borderId="57" xfId="2" applyNumberFormat="1" applyFont="1" applyFill="1" applyBorder="1" applyAlignment="1">
      <alignment horizontal="center" vertical="center"/>
    </xf>
    <xf numFmtId="2" fontId="107" fillId="5" borderId="0" xfId="2" applyNumberFormat="1" applyFont="1" applyFill="1" applyBorder="1" applyAlignment="1">
      <alignment horizontal="center" vertical="center"/>
    </xf>
    <xf numFmtId="0" fontId="109" fillId="5" borderId="0" xfId="5" applyFont="1" applyFill="1"/>
    <xf numFmtId="170" fontId="109" fillId="5" borderId="0" xfId="5" applyNumberFormat="1" applyFont="1" applyFill="1" applyAlignment="1">
      <alignment horizontal="center" vertical="center"/>
    </xf>
    <xf numFmtId="170" fontId="109" fillId="5" borderId="57" xfId="5" applyNumberFormat="1" applyFont="1" applyFill="1" applyBorder="1" applyAlignment="1">
      <alignment horizontal="center" vertical="center"/>
    </xf>
    <xf numFmtId="170" fontId="109" fillId="5" borderId="59" xfId="5" applyNumberFormat="1" applyFont="1" applyFill="1" applyBorder="1" applyAlignment="1">
      <alignment horizontal="center" vertical="center"/>
    </xf>
    <xf numFmtId="2" fontId="109" fillId="5" borderId="0" xfId="5" applyNumberFormat="1" applyFont="1" applyFill="1" applyAlignment="1">
      <alignment horizontal="center" vertical="center"/>
    </xf>
    <xf numFmtId="2" fontId="109" fillId="5" borderId="57" xfId="5" applyNumberFormat="1" applyFont="1" applyFill="1" applyBorder="1" applyAlignment="1">
      <alignment horizontal="center" vertical="center"/>
    </xf>
    <xf numFmtId="0" fontId="109" fillId="0" borderId="0" xfId="5" applyFont="1"/>
    <xf numFmtId="0" fontId="104" fillId="2" borderId="0" xfId="5" applyFont="1" applyFill="1" applyAlignment="1">
      <alignment horizontal="center" wrapText="1"/>
    </xf>
    <xf numFmtId="0" fontId="110" fillId="5" borderId="1" xfId="5" applyFont="1" applyFill="1" applyBorder="1"/>
    <xf numFmtId="0" fontId="110" fillId="5" borderId="61" xfId="5" applyFont="1" applyFill="1" applyBorder="1"/>
    <xf numFmtId="0" fontId="110" fillId="5" borderId="4" xfId="5" applyFont="1" applyFill="1" applyBorder="1"/>
    <xf numFmtId="2" fontId="109" fillId="0" borderId="1" xfId="5" applyNumberFormat="1" applyFont="1" applyBorder="1" applyAlignment="1">
      <alignment horizontal="center"/>
    </xf>
    <xf numFmtId="2" fontId="109" fillId="0" borderId="61" xfId="5" applyNumberFormat="1" applyFont="1" applyBorder="1" applyAlignment="1">
      <alignment horizontal="center"/>
    </xf>
    <xf numFmtId="2" fontId="109" fillId="0" borderId="4" xfId="5" applyNumberFormat="1" applyFont="1" applyBorder="1" applyAlignment="1">
      <alignment horizontal="center"/>
    </xf>
    <xf numFmtId="0" fontId="111" fillId="2" borderId="0" xfId="5" applyFont="1" applyFill="1" applyAlignment="1">
      <alignment horizontal="center" vertical="center"/>
    </xf>
    <xf numFmtId="170" fontId="109" fillId="0" borderId="0" xfId="5" applyNumberFormat="1" applyFont="1" applyAlignment="1">
      <alignment horizontal="center"/>
    </xf>
    <xf numFmtId="168" fontId="108" fillId="0" borderId="0" xfId="1" applyNumberFormat="1" applyFont="1" applyAlignment="1">
      <alignment horizontal="center"/>
    </xf>
    <xf numFmtId="2" fontId="108" fillId="0" borderId="0" xfId="1" applyNumberFormat="1" applyFont="1" applyAlignment="1">
      <alignment horizontal="center"/>
    </xf>
    <xf numFmtId="2" fontId="109" fillId="0" borderId="0" xfId="5" applyNumberFormat="1" applyFont="1" applyAlignment="1">
      <alignment horizontal="center"/>
    </xf>
    <xf numFmtId="168" fontId="109" fillId="0" borderId="0" xfId="5" applyNumberFormat="1" applyFont="1" applyAlignment="1">
      <alignment horizontal="center"/>
    </xf>
    <xf numFmtId="10" fontId="109" fillId="0" borderId="0" xfId="2" applyNumberFormat="1" applyFont="1" applyAlignment="1">
      <alignment horizontal="center"/>
    </xf>
    <xf numFmtId="10" fontId="106" fillId="3" borderId="0" xfId="5" applyNumberFormat="1" applyFont="1" applyFill="1" applyAlignment="1">
      <alignment horizontal="center"/>
    </xf>
    <xf numFmtId="4" fontId="109" fillId="0" borderId="0" xfId="5" applyNumberFormat="1" applyFont="1" applyAlignment="1">
      <alignment horizontal="center"/>
    </xf>
    <xf numFmtId="10" fontId="109" fillId="0" borderId="0" xfId="5" applyNumberFormat="1" applyFont="1" applyAlignment="1">
      <alignment horizontal="center" vertical="center"/>
    </xf>
    <xf numFmtId="37" fontId="106" fillId="3" borderId="44" xfId="8" applyNumberFormat="1" applyFont="1" applyFill="1" applyBorder="1" applyAlignment="1">
      <alignment horizontal="center" wrapText="1"/>
    </xf>
    <xf numFmtId="10" fontId="109" fillId="0" borderId="0" xfId="5" applyNumberFormat="1" applyFont="1" applyAlignment="1">
      <alignment horizontal="center"/>
    </xf>
    <xf numFmtId="174" fontId="109" fillId="0" borderId="0" xfId="5" applyNumberFormat="1" applyFont="1" applyAlignment="1">
      <alignment horizontal="center"/>
    </xf>
    <xf numFmtId="0" fontId="104" fillId="2" borderId="0" xfId="5" applyFont="1" applyFill="1" applyAlignment="1">
      <alignment horizontal="left" vertical="center"/>
    </xf>
    <xf numFmtId="0" fontId="112" fillId="2" borderId="21" xfId="5" applyFont="1" applyFill="1" applyBorder="1" applyAlignment="1">
      <alignment horizontal="center" vertical="center" wrapText="1"/>
    </xf>
    <xf numFmtId="0" fontId="112" fillId="2" borderId="54" xfId="5" applyFont="1" applyFill="1" applyBorder="1" applyAlignment="1">
      <alignment horizontal="center" vertical="center" wrapText="1"/>
    </xf>
    <xf numFmtId="0" fontId="113" fillId="2" borderId="26" xfId="5" applyFont="1" applyFill="1" applyBorder="1" applyAlignment="1">
      <alignment horizontal="center" vertical="center" wrapText="1"/>
    </xf>
    <xf numFmtId="0" fontId="112" fillId="2" borderId="17" xfId="5" applyFont="1" applyFill="1" applyBorder="1" applyAlignment="1">
      <alignment horizontal="center" vertical="center" wrapText="1"/>
    </xf>
    <xf numFmtId="0" fontId="112" fillId="2" borderId="44" xfId="5" applyFont="1" applyFill="1" applyBorder="1" applyAlignment="1">
      <alignment horizontal="center" vertical="center" wrapText="1"/>
    </xf>
    <xf numFmtId="0" fontId="114" fillId="5" borderId="21" xfId="5" applyFont="1" applyFill="1" applyBorder="1"/>
    <xf numFmtId="0" fontId="114" fillId="5" borderId="54" xfId="5" applyFont="1" applyFill="1" applyBorder="1"/>
    <xf numFmtId="0" fontId="114" fillId="5" borderId="26" xfId="5" applyFont="1" applyFill="1" applyBorder="1"/>
    <xf numFmtId="0" fontId="114" fillId="5" borderId="17" xfId="5" applyFont="1" applyFill="1" applyBorder="1"/>
    <xf numFmtId="0" fontId="114" fillId="5" borderId="44" xfId="5" applyFont="1" applyFill="1" applyBorder="1"/>
    <xf numFmtId="37" fontId="115" fillId="0" borderId="18" xfId="8" applyNumberFormat="1" applyFont="1" applyBorder="1" applyAlignment="1">
      <alignment horizontal="center"/>
    </xf>
    <xf numFmtId="37" fontId="106" fillId="3" borderId="55" xfId="8" applyNumberFormat="1" applyFont="1" applyFill="1" applyBorder="1" applyAlignment="1">
      <alignment horizontal="center"/>
    </xf>
    <xf numFmtId="3" fontId="106" fillId="3" borderId="89" xfId="0" applyNumberFormat="1" applyFont="1" applyFill="1" applyBorder="1" applyAlignment="1">
      <alignment horizontal="center" vertical="center"/>
    </xf>
    <xf numFmtId="3" fontId="106" fillId="3" borderId="78" xfId="0" applyNumberFormat="1" applyFont="1" applyFill="1" applyBorder="1" applyAlignment="1">
      <alignment horizontal="center" vertical="center"/>
    </xf>
    <xf numFmtId="3" fontId="106" fillId="3" borderId="9" xfId="0" applyNumberFormat="1" applyFont="1" applyFill="1" applyBorder="1" applyAlignment="1">
      <alignment horizontal="center" vertical="center"/>
    </xf>
    <xf numFmtId="3" fontId="106" fillId="3" borderId="43" xfId="0" applyNumberFormat="1" applyFont="1" applyFill="1" applyBorder="1" applyAlignment="1">
      <alignment horizontal="center" vertical="center"/>
    </xf>
    <xf numFmtId="37" fontId="115" fillId="0" borderId="21" xfId="8" applyNumberFormat="1" applyFont="1" applyBorder="1" applyAlignment="1">
      <alignment horizontal="center"/>
    </xf>
    <xf numFmtId="37" fontId="106" fillId="3" borderId="54" xfId="8" applyNumberFormat="1" applyFont="1" applyFill="1" applyBorder="1" applyAlignment="1">
      <alignment horizontal="center"/>
    </xf>
    <xf numFmtId="3" fontId="106" fillId="3" borderId="88" xfId="0" applyNumberFormat="1" applyFont="1" applyFill="1" applyBorder="1" applyAlignment="1">
      <alignment horizontal="center" vertical="center"/>
    </xf>
    <xf numFmtId="3" fontId="106" fillId="3" borderId="17" xfId="0" applyNumberFormat="1" applyFont="1" applyFill="1" applyBorder="1" applyAlignment="1">
      <alignment horizontal="center" vertical="center"/>
    </xf>
    <xf numFmtId="3" fontId="106" fillId="3" borderId="0" xfId="0" applyNumberFormat="1" applyFont="1" applyFill="1" applyAlignment="1">
      <alignment horizontal="center" vertical="center"/>
    </xf>
    <xf numFmtId="3" fontId="106" fillId="3" borderId="44" xfId="0" applyNumberFormat="1" applyFont="1" applyFill="1" applyBorder="1" applyAlignment="1">
      <alignment horizontal="center" vertical="center"/>
    </xf>
    <xf numFmtId="0" fontId="106" fillId="3" borderId="17" xfId="0" applyFont="1" applyFill="1" applyBorder="1" applyAlignment="1">
      <alignment horizontal="center" vertical="center"/>
    </xf>
    <xf numFmtId="0" fontId="106" fillId="3" borderId="44" xfId="0" applyFont="1" applyFill="1" applyBorder="1" applyAlignment="1">
      <alignment horizontal="center" vertical="center"/>
    </xf>
    <xf numFmtId="0" fontId="106" fillId="3" borderId="78" xfId="0" applyFont="1" applyFill="1" applyBorder="1" applyAlignment="1">
      <alignment horizontal="center" vertical="center"/>
    </xf>
    <xf numFmtId="0" fontId="106" fillId="3" borderId="43" xfId="0" applyFont="1" applyFill="1" applyBorder="1" applyAlignment="1">
      <alignment horizontal="center" vertical="center"/>
    </xf>
    <xf numFmtId="37" fontId="106" fillId="3" borderId="54" xfId="8" applyNumberFormat="1" applyFont="1" applyFill="1" applyBorder="1" applyAlignment="1">
      <alignment horizontal="center" wrapText="1"/>
    </xf>
    <xf numFmtId="37" fontId="105" fillId="3" borderId="54" xfId="8" applyNumberFormat="1" applyFont="1" applyFill="1" applyBorder="1" applyAlignment="1">
      <alignment horizontal="center" wrapText="1"/>
    </xf>
    <xf numFmtId="0" fontId="106" fillId="3" borderId="88" xfId="0" applyFont="1" applyFill="1" applyBorder="1" applyAlignment="1">
      <alignment horizontal="center" vertical="center"/>
    </xf>
    <xf numFmtId="0" fontId="106" fillId="3" borderId="0" xfId="0" applyFont="1" applyFill="1" applyAlignment="1">
      <alignment horizontal="center" vertical="center"/>
    </xf>
    <xf numFmtId="39" fontId="106" fillId="3" borderId="54" xfId="8" applyNumberFormat="1" applyFont="1" applyFill="1" applyBorder="1" applyAlignment="1">
      <alignment horizontal="center" wrapText="1"/>
    </xf>
    <xf numFmtId="37" fontId="106" fillId="3" borderId="0" xfId="8" applyNumberFormat="1" applyFont="1" applyFill="1" applyAlignment="1">
      <alignment horizontal="center" vertical="center" wrapText="1"/>
    </xf>
    <xf numFmtId="1" fontId="115" fillId="0" borderId="21" xfId="8" applyNumberFormat="1" applyFont="1" applyBorder="1" applyAlignment="1">
      <alignment horizontal="center" wrapText="1"/>
    </xf>
    <xf numFmtId="1" fontId="115" fillId="0" borderId="54" xfId="8" applyNumberFormat="1" applyFont="1" applyBorder="1" applyAlignment="1">
      <alignment horizontal="center" wrapText="1"/>
    </xf>
    <xf numFmtId="1" fontId="115" fillId="0" borderId="26" xfId="8" applyNumberFormat="1" applyFont="1" applyBorder="1" applyAlignment="1">
      <alignment horizontal="center" wrapText="1"/>
    </xf>
    <xf numFmtId="1" fontId="115" fillId="0" borderId="17" xfId="8" applyNumberFormat="1" applyFont="1" applyBorder="1" applyAlignment="1">
      <alignment horizontal="center" wrapText="1"/>
    </xf>
    <xf numFmtId="1" fontId="115" fillId="0" borderId="0" xfId="8" applyNumberFormat="1" applyFont="1" applyAlignment="1">
      <alignment horizontal="center" wrapText="1"/>
    </xf>
    <xf numFmtId="1" fontId="106" fillId="0" borderId="44" xfId="8" applyNumberFormat="1" applyFont="1" applyBorder="1" applyAlignment="1">
      <alignment horizontal="center" vertical="center" wrapText="1"/>
    </xf>
    <xf numFmtId="0" fontId="109" fillId="2" borderId="21" xfId="5" applyFont="1" applyFill="1" applyBorder="1"/>
    <xf numFmtId="0" fontId="109" fillId="2" borderId="54" xfId="5" applyFont="1" applyFill="1" applyBorder="1"/>
    <xf numFmtId="0" fontId="109" fillId="2" borderId="26" xfId="5" applyFont="1" applyFill="1" applyBorder="1"/>
    <xf numFmtId="0" fontId="109" fillId="2" borderId="17" xfId="5" applyFont="1" applyFill="1" applyBorder="1"/>
    <xf numFmtId="0" fontId="109" fillId="2" borderId="0" xfId="5" applyFont="1" applyFill="1"/>
    <xf numFmtId="0" fontId="106" fillId="2" borderId="44" xfId="5" applyFont="1" applyFill="1" applyBorder="1" applyAlignment="1">
      <alignment horizontal="center" vertical="center"/>
    </xf>
    <xf numFmtId="0" fontId="109" fillId="5" borderId="21" xfId="5" applyFont="1" applyFill="1" applyBorder="1"/>
    <xf numFmtId="0" fontId="109" fillId="5" borderId="54" xfId="5" applyFont="1" applyFill="1" applyBorder="1"/>
    <xf numFmtId="0" fontId="109" fillId="5" borderId="26" xfId="5" applyFont="1" applyFill="1" applyBorder="1"/>
    <xf numFmtId="0" fontId="109" fillId="5" borderId="17" xfId="5" applyFont="1" applyFill="1" applyBorder="1"/>
    <xf numFmtId="0" fontId="106" fillId="5" borderId="44" xfId="5" applyFont="1" applyFill="1" applyBorder="1" applyAlignment="1">
      <alignment horizontal="center" vertical="center"/>
    </xf>
    <xf numFmtId="37" fontId="115" fillId="0" borderId="54" xfId="8" applyNumberFormat="1" applyFont="1" applyBorder="1" applyAlignment="1">
      <alignment horizontal="center"/>
    </xf>
    <xf numFmtId="0" fontId="106" fillId="3" borderId="0" xfId="5" applyFont="1" applyFill="1" applyAlignment="1">
      <alignment horizontal="center"/>
    </xf>
    <xf numFmtId="37" fontId="115" fillId="0" borderId="17" xfId="8" applyNumberFormat="1" applyFont="1" applyBorder="1" applyAlignment="1">
      <alignment horizontal="center"/>
    </xf>
    <xf numFmtId="37" fontId="106" fillId="3" borderId="17" xfId="8" applyNumberFormat="1" applyFont="1" applyFill="1" applyBorder="1" applyAlignment="1">
      <alignment horizontal="center" wrapText="1"/>
    </xf>
    <xf numFmtId="37" fontId="106" fillId="3" borderId="0" xfId="8" applyNumberFormat="1" applyFont="1" applyFill="1" applyAlignment="1">
      <alignment horizontal="center" wrapText="1"/>
    </xf>
    <xf numFmtId="37" fontId="106" fillId="3" borderId="44" xfId="8" applyNumberFormat="1" applyFont="1" applyFill="1" applyBorder="1" applyAlignment="1">
      <alignment horizontal="center" vertical="center" wrapText="1"/>
    </xf>
    <xf numFmtId="0" fontId="109" fillId="2" borderId="45" xfId="5" applyFont="1" applyFill="1" applyBorder="1"/>
    <xf numFmtId="0" fontId="109" fillId="2" borderId="44" xfId="5" applyFont="1" applyFill="1" applyBorder="1"/>
    <xf numFmtId="0" fontId="109" fillId="5" borderId="44" xfId="5" applyFont="1" applyFill="1" applyBorder="1"/>
    <xf numFmtId="37" fontId="115" fillId="0" borderId="0" xfId="8" applyNumberFormat="1" applyFont="1" applyAlignment="1">
      <alignment horizontal="center"/>
    </xf>
    <xf numFmtId="37" fontId="106" fillId="0" borderId="0" xfId="8" applyNumberFormat="1" applyFont="1" applyAlignment="1">
      <alignment horizontal="center" wrapText="1"/>
    </xf>
    <xf numFmtId="0" fontId="116" fillId="5" borderId="0" xfId="0" applyFont="1" applyFill="1"/>
    <xf numFmtId="0" fontId="117" fillId="5" borderId="0" xfId="0" applyFont="1" applyFill="1"/>
    <xf numFmtId="0" fontId="117" fillId="2" borderId="0" xfId="0" applyFont="1" applyFill="1"/>
    <xf numFmtId="0" fontId="107" fillId="2" borderId="0" xfId="5" applyFont="1" applyFill="1"/>
    <xf numFmtId="0" fontId="107" fillId="0" borderId="0" xfId="5" applyFont="1"/>
    <xf numFmtId="0" fontId="82" fillId="0" borderId="9" xfId="0" applyFont="1" applyBorder="1"/>
    <xf numFmtId="3" fontId="82" fillId="0" borderId="9" xfId="0" applyNumberFormat="1" applyFont="1" applyBorder="1"/>
    <xf numFmtId="3" fontId="82" fillId="0" borderId="0" xfId="0" applyNumberFormat="1" applyFont="1"/>
    <xf numFmtId="0" fontId="7" fillId="0" borderId="0" xfId="0" applyFont="1" applyAlignment="1">
      <alignment horizontal="left" wrapText="1"/>
    </xf>
    <xf numFmtId="0" fontId="7" fillId="0" borderId="8" xfId="0" applyFont="1" applyBorder="1" applyAlignment="1">
      <alignment horizontal="left" wrapText="1"/>
    </xf>
    <xf numFmtId="0" fontId="2" fillId="0" borderId="0" xfId="0" applyFont="1" applyAlignment="1">
      <alignment horizontal="left" vertical="top" wrapText="1"/>
    </xf>
    <xf numFmtId="0" fontId="0" fillId="0" borderId="0" xfId="0" applyAlignment="1">
      <alignment horizontal="left" vertical="top" wrapText="1"/>
    </xf>
    <xf numFmtId="0" fontId="65" fillId="0" borderId="66" xfId="0" applyFont="1" applyBorder="1" applyAlignment="1">
      <alignment horizontal="left" vertical="center" wrapText="1"/>
    </xf>
    <xf numFmtId="0" fontId="65" fillId="0" borderId="67" xfId="0" applyFont="1" applyBorder="1" applyAlignment="1">
      <alignment horizontal="left" vertical="center" wrapText="1"/>
    </xf>
    <xf numFmtId="0" fontId="65" fillId="0" borderId="0" xfId="0" applyFont="1" applyAlignment="1">
      <alignment horizontal="left" vertical="center" wrapText="1"/>
    </xf>
    <xf numFmtId="0" fontId="65" fillId="0" borderId="65" xfId="0" applyFont="1" applyBorder="1" applyAlignment="1">
      <alignment horizontal="left" vertical="center" wrapText="1"/>
    </xf>
    <xf numFmtId="0" fontId="33" fillId="0" borderId="68" xfId="0" applyFont="1" applyBorder="1" applyAlignment="1">
      <alignment horizontal="left" vertical="center" wrapText="1"/>
    </xf>
    <xf numFmtId="0" fontId="65" fillId="0" borderId="69" xfId="0" applyFont="1" applyBorder="1" applyAlignment="1">
      <alignment horizontal="left" vertical="center" wrapText="1"/>
    </xf>
    <xf numFmtId="0" fontId="33" fillId="0" borderId="66" xfId="0" applyFont="1" applyBorder="1" applyAlignment="1">
      <alignment horizontal="left" vertical="center" wrapText="1"/>
    </xf>
    <xf numFmtId="0" fontId="33" fillId="0" borderId="0" xfId="0" applyFont="1" applyAlignment="1">
      <alignment horizontal="left" vertical="center" wrapText="1"/>
    </xf>
    <xf numFmtId="0" fontId="65" fillId="0" borderId="46" xfId="0" applyFont="1" applyBorder="1" applyAlignment="1">
      <alignment horizontal="left" vertical="center" wrapText="1"/>
    </xf>
    <xf numFmtId="0" fontId="10" fillId="0" borderId="0" xfId="0" applyFont="1" applyAlignment="1">
      <alignment horizontal="left"/>
    </xf>
    <xf numFmtId="0" fontId="10" fillId="0" borderId="0" xfId="0" applyFont="1" applyAlignment="1">
      <alignment horizontal="center"/>
    </xf>
    <xf numFmtId="0" fontId="7" fillId="20" borderId="0" xfId="0" applyFont="1" applyFill="1" applyAlignment="1">
      <alignment horizontal="left" vertical="top" wrapText="1"/>
    </xf>
    <xf numFmtId="0" fontId="2" fillId="0" borderId="75" xfId="0" applyFont="1" applyBorder="1" applyAlignment="1">
      <alignment horizontal="center"/>
    </xf>
    <xf numFmtId="0" fontId="2" fillId="0" borderId="0" xfId="0" applyFont="1" applyAlignment="1">
      <alignment horizontal="center"/>
    </xf>
    <xf numFmtId="0" fontId="0" fillId="0" borderId="0" xfId="0" applyAlignment="1">
      <alignment horizontal="left" vertical="top"/>
    </xf>
    <xf numFmtId="0" fontId="0" fillId="0" borderId="0" xfId="0" applyAlignment="1">
      <alignment horizontal="left" vertical="center"/>
    </xf>
    <xf numFmtId="0" fontId="0" fillId="0" borderId="0" xfId="0" applyAlignment="1">
      <alignment vertical="top" wrapText="1"/>
    </xf>
    <xf numFmtId="0" fontId="0" fillId="0" borderId="81" xfId="0" applyBorder="1" applyAlignment="1">
      <alignment horizontal="left" vertical="center" wrapText="1"/>
    </xf>
    <xf numFmtId="0" fontId="0" fillId="0" borderId="9" xfId="0" applyBorder="1" applyAlignment="1">
      <alignment horizontal="left" vertical="center" wrapText="1"/>
    </xf>
    <xf numFmtId="0" fontId="0" fillId="0" borderId="78" xfId="0" applyBorder="1" applyAlignment="1">
      <alignment horizontal="left" vertical="center" wrapText="1"/>
    </xf>
    <xf numFmtId="0" fontId="3" fillId="0" borderId="81" xfId="0" applyFont="1" applyBorder="1" applyAlignment="1">
      <alignment horizontal="center" vertical="center"/>
    </xf>
    <xf numFmtId="0" fontId="3" fillId="0" borderId="9" xfId="0" applyFont="1" applyBorder="1" applyAlignment="1">
      <alignment horizontal="center" vertical="center"/>
    </xf>
    <xf numFmtId="0" fontId="3" fillId="0" borderId="79" xfId="0" applyFont="1" applyBorder="1" applyAlignment="1">
      <alignment horizontal="center" vertical="center"/>
    </xf>
    <xf numFmtId="0" fontId="3" fillId="0" borderId="0" xfId="0" applyFont="1" applyAlignment="1">
      <alignment horizontal="center" vertical="center"/>
    </xf>
    <xf numFmtId="0" fontId="0" fillId="0" borderId="79" xfId="0" applyBorder="1" applyAlignment="1">
      <alignment vertical="center" wrapText="1"/>
    </xf>
    <xf numFmtId="0" fontId="0" fillId="0" borderId="0" xfId="0" applyAlignment="1">
      <alignment vertical="center" wrapText="1"/>
    </xf>
    <xf numFmtId="0" fontId="0" fillId="0" borderId="17" xfId="0" applyBorder="1" applyAlignment="1">
      <alignment vertical="center" wrapText="1"/>
    </xf>
    <xf numFmtId="0" fontId="3" fillId="0" borderId="82" xfId="0" applyFont="1" applyBorder="1" applyAlignment="1">
      <alignment horizontal="center" vertical="center"/>
    </xf>
    <xf numFmtId="0" fontId="3" fillId="0" borderId="42" xfId="0" applyFont="1" applyBorder="1" applyAlignment="1">
      <alignment horizontal="center" vertical="center"/>
    </xf>
    <xf numFmtId="0" fontId="0" fillId="0" borderId="82" xfId="0" applyBorder="1" applyAlignment="1">
      <alignment vertical="center" wrapText="1"/>
    </xf>
    <xf numFmtId="0" fontId="0" fillId="0" borderId="42" xfId="0" applyBorder="1" applyAlignment="1">
      <alignment vertical="center" wrapText="1"/>
    </xf>
    <xf numFmtId="0" fontId="0" fillId="0" borderId="83" xfId="0" applyBorder="1" applyAlignment="1">
      <alignment vertical="center" wrapText="1"/>
    </xf>
    <xf numFmtId="0" fontId="6" fillId="2" borderId="0" xfId="0" applyFont="1" applyFill="1" applyAlignment="1">
      <alignment horizontal="center"/>
    </xf>
    <xf numFmtId="0" fontId="104" fillId="2" borderId="0" xfId="5" applyFont="1" applyFill="1" applyAlignment="1">
      <alignment horizontal="center" wrapText="1"/>
    </xf>
    <xf numFmtId="0" fontId="4" fillId="2" borderId="0" xfId="5" applyFont="1" applyFill="1" applyAlignment="1">
      <alignment horizontal="center" wrapText="1"/>
    </xf>
    <xf numFmtId="0" fontId="104" fillId="2" borderId="0" xfId="5" applyFont="1" applyFill="1" applyAlignment="1">
      <alignment horizontal="center"/>
    </xf>
    <xf numFmtId="0" fontId="104" fillId="2" borderId="57" xfId="5" applyFont="1" applyFill="1" applyBorder="1" applyAlignment="1">
      <alignment horizontal="center"/>
    </xf>
    <xf numFmtId="0" fontId="104" fillId="2" borderId="60" xfId="5" applyFont="1" applyFill="1" applyBorder="1" applyAlignment="1">
      <alignment horizontal="center"/>
    </xf>
    <xf numFmtId="0" fontId="104" fillId="2" borderId="58" xfId="5" applyFont="1" applyFill="1" applyBorder="1" applyAlignment="1">
      <alignment horizontal="center"/>
    </xf>
    <xf numFmtId="0" fontId="104" fillId="2" borderId="53" xfId="5" applyFont="1" applyFill="1" applyBorder="1" applyAlignment="1">
      <alignment horizontal="center"/>
    </xf>
    <xf numFmtId="0" fontId="4" fillId="2" borderId="0" xfId="5" applyFont="1" applyFill="1" applyAlignment="1">
      <alignment horizontal="center"/>
    </xf>
    <xf numFmtId="0" fontId="4" fillId="2" borderId="57" xfId="5" applyFont="1" applyFill="1" applyBorder="1" applyAlignment="1">
      <alignment horizontal="center"/>
    </xf>
    <xf numFmtId="0" fontId="4" fillId="2" borderId="53" xfId="5" applyFont="1" applyFill="1" applyBorder="1" applyAlignment="1">
      <alignment horizontal="center"/>
    </xf>
    <xf numFmtId="0" fontId="4" fillId="2" borderId="58" xfId="5" applyFont="1" applyFill="1" applyBorder="1" applyAlignment="1">
      <alignment horizontal="center"/>
    </xf>
    <xf numFmtId="0" fontId="4" fillId="2" borderId="60" xfId="5" applyFont="1" applyFill="1" applyBorder="1" applyAlignment="1">
      <alignment horizontal="center"/>
    </xf>
    <xf numFmtId="0" fontId="14" fillId="0" borderId="0" xfId="5" applyAlignment="1">
      <alignment horizontal="center" vertical="center" wrapText="1"/>
    </xf>
    <xf numFmtId="0" fontId="0" fillId="0" borderId="11" xfId="0" applyBorder="1" applyAlignment="1">
      <alignment horizontal="left" vertical="top" wrapText="1"/>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top" indent="1"/>
    </xf>
    <xf numFmtId="0" fontId="3" fillId="0" borderId="11" xfId="0" applyFont="1" applyBorder="1" applyAlignment="1">
      <alignment horizontal="left" vertical="top" wrapText="1" indent="1"/>
    </xf>
    <xf numFmtId="0" fontId="29" fillId="0" borderId="0" xfId="5" applyFont="1" applyAlignment="1">
      <alignment vertical="top" wrapText="1"/>
    </xf>
    <xf numFmtId="0" fontId="29" fillId="0" borderId="0" xfId="5" applyFont="1" applyAlignment="1">
      <alignment horizontal="left" vertical="center" wrapText="1"/>
    </xf>
    <xf numFmtId="0" fontId="14" fillId="10" borderId="12" xfId="5" applyFill="1" applyBorder="1" applyAlignment="1">
      <alignment horizontal="center" vertical="center"/>
    </xf>
    <xf numFmtId="0" fontId="14" fillId="10" borderId="0" xfId="5" applyFill="1" applyAlignment="1">
      <alignment horizontal="center" vertical="center"/>
    </xf>
    <xf numFmtId="0" fontId="14" fillId="0" borderId="12" xfId="5"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4" fillId="0" borderId="0" xfId="5" applyAlignment="1">
      <alignment horizontal="center" vertical="center"/>
    </xf>
    <xf numFmtId="0" fontId="14" fillId="8" borderId="0" xfId="5" applyFill="1" applyAlignment="1">
      <alignment horizontal="center" vertical="center"/>
    </xf>
    <xf numFmtId="0" fontId="88" fillId="8" borderId="0" xfId="5" applyFont="1" applyFill="1" applyAlignment="1">
      <alignment horizontal="center" vertical="center"/>
    </xf>
    <xf numFmtId="0" fontId="14" fillId="0" borderId="0" xfId="5" applyAlignment="1">
      <alignment horizontal="center" vertical="top" wrapText="1"/>
    </xf>
    <xf numFmtId="10" fontId="12" fillId="0" borderId="0" xfId="2" applyNumberFormat="1" applyFont="1" applyFill="1" applyBorder="1" applyAlignment="1">
      <alignment horizontal="center"/>
    </xf>
    <xf numFmtId="0" fontId="3" fillId="0" borderId="0" xfId="0" applyFont="1" applyAlignment="1">
      <alignment horizontal="left" vertical="center"/>
    </xf>
    <xf numFmtId="0" fontId="0" fillId="0" borderId="0" xfId="0" applyAlignment="1">
      <alignment horizontal="left" vertical="center" wrapText="1"/>
    </xf>
    <xf numFmtId="0" fontId="92" fillId="8" borderId="11" xfId="0" applyFont="1" applyFill="1" applyBorder="1" applyAlignment="1"/>
    <xf numFmtId="0" fontId="92" fillId="8" borderId="0" xfId="0" applyFont="1" applyFill="1" applyAlignment="1"/>
    <xf numFmtId="0" fontId="93" fillId="8" borderId="0" xfId="0" applyFont="1" applyFill="1" applyAlignment="1"/>
    <xf numFmtId="0" fontId="92" fillId="10" borderId="0" xfId="0" applyFont="1" applyFill="1" applyAlignment="1"/>
    <xf numFmtId="0" fontId="92" fillId="7" borderId="0" xfId="0" applyFont="1" applyFill="1" applyAlignment="1"/>
    <xf numFmtId="0" fontId="92" fillId="6" borderId="0" xfId="0" applyFont="1" applyFill="1" applyAlignment="1"/>
    <xf numFmtId="0" fontId="94" fillId="6" borderId="0" xfId="0" applyFont="1" applyFill="1" applyAlignment="1"/>
  </cellXfs>
  <cellStyles count="13">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10000000}"/>
    <cellStyle name="Normal" xfId="0" builtinId="0"/>
    <cellStyle name="Normal 2" xfId="8" xr:uid="{00000000-0005-0000-0000-000012000000}"/>
    <cellStyle name="Normal 2 2" xfId="5" xr:uid="{00000000-0005-0000-0000-000013000000}"/>
    <cellStyle name="Normal 3 2" xfId="6" xr:uid="{00000000-0005-0000-0000-000014000000}"/>
    <cellStyle name="Normal 6" xfId="10" xr:uid="{00000000-0005-0000-0000-000015000000}"/>
    <cellStyle name="Percent 2" xfId="4" xr:uid="{00000000-0005-0000-0000-000017000000}"/>
    <cellStyle name="Percentagem" xfId="2" builtinId="5"/>
    <cellStyle name="Porcentaje 3" xfId="7" xr:uid="{00000000-0005-0000-0000-000018000000}"/>
    <cellStyle name="Vírgula" xfId="1" builtinId="3"/>
  </cellStyles>
  <dxfs count="5">
    <dxf>
      <font>
        <color rgb="FF92D050"/>
      </font>
      <fill>
        <patternFill patternType="none">
          <bgColor auto="1"/>
        </patternFill>
      </fill>
    </dxf>
    <dxf>
      <font>
        <color rgb="FF00B050"/>
      </font>
    </dxf>
    <dxf>
      <font>
        <color rgb="FFFF0000"/>
      </font>
    </dxf>
    <dxf>
      <font>
        <color rgb="FFC00000"/>
      </font>
    </dxf>
    <dxf>
      <font>
        <color rgb="FFFFC000"/>
      </font>
      <fill>
        <patternFill patternType="none">
          <bgColor auto="1"/>
        </patternFill>
      </fill>
    </dxf>
  </dxfs>
  <tableStyles count="1" defaultTableStyle="TableStyleMedium2" defaultPivotStyle="PivotStyleLight16">
    <tableStyle name="Invisible" pivot="0" table="0" count="0" xr9:uid="{ECDA4F09-C95E-4AAD-B451-9F493AFCBDA2}"/>
  </tableStyles>
  <colors>
    <mruColors>
      <color rgb="FF0070C0"/>
      <color rgb="FF7B1314"/>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SupportingPropertyBagStructure" Target="richData/rdsupportingpropertybagstructure.xml"/><Relationship Id="rId21" Type="http://schemas.openxmlformats.org/officeDocument/2006/relationships/worksheet" Target="worksheets/sheet21.xml"/><Relationship Id="rId34" Type="http://schemas.openxmlformats.org/officeDocument/2006/relationships/sheetMetadata" Target="metadata.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Array" Target="richData/rdarray.xml"/><Relationship Id="rId40" Type="http://schemas.microsoft.com/office/2017/06/relationships/rdSupportingPropertyBag" Target="richData/rdsupportingpropertybag.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06/relationships/rdRichValue" Target="richData/rdrichvalue.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ichStyles" Target="richData/richStyles.xml"/><Relationship Id="rId46" Type="http://schemas.openxmlformats.org/officeDocument/2006/relationships/customXml" Target="../customXml/item3.xml"/><Relationship Id="rId20" Type="http://schemas.openxmlformats.org/officeDocument/2006/relationships/worksheet" Target="worksheets/sheet20.xml"/><Relationship Id="rId41"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48073010599060412"/>
          <c:h val="0.58797911667734915"/>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
          <c:y val="0.78547593616803535"/>
          <c:w val="0.91193917042870754"/>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7.7827080005605301E-2"/>
          <c:y val="1.2444568999010804E-2"/>
          <c:w val="0.81827696383999604"/>
          <c:h val="0.77530987711723032"/>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B058-4611-999B-36A98E9EC690}"/>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058-4611-999B-36A98E9EC690}"/>
              </c:ext>
            </c:extLst>
          </c:dPt>
          <c:dPt>
            <c:idx val="2"/>
            <c:bubble3D val="0"/>
            <c:spPr>
              <a:solidFill>
                <a:srgbClr val="7B1314"/>
              </a:solidFill>
              <a:ln w="19050">
                <a:solidFill>
                  <a:schemeClr val="lt1"/>
                </a:solidFill>
              </a:ln>
              <a:effectLst/>
            </c:spPr>
            <c:extLst>
              <c:ext xmlns:c16="http://schemas.microsoft.com/office/drawing/2014/chart" uri="{C3380CC4-5D6E-409C-BE32-E72D297353CC}">
                <c16:uniqueId val="{00000005-B058-4611-999B-36A98E9EC690}"/>
              </c:ext>
            </c:extLst>
          </c:dPt>
          <c:dPt>
            <c:idx val="3"/>
            <c:bubble3D val="0"/>
            <c:spPr>
              <a:solidFill>
                <a:srgbClr val="7B1314"/>
              </a:solidFill>
              <a:ln w="19050">
                <a:solidFill>
                  <a:schemeClr val="lt1"/>
                </a:solidFill>
              </a:ln>
              <a:effectLst/>
            </c:spPr>
            <c:extLst>
              <c:ext xmlns:c16="http://schemas.microsoft.com/office/drawing/2014/chart" uri="{C3380CC4-5D6E-409C-BE32-E72D297353CC}">
                <c16:uniqueId val="{00000007-B058-4611-999B-36A98E9EC690}"/>
              </c:ext>
            </c:extLst>
          </c:dPt>
          <c:dPt>
            <c:idx val="4"/>
            <c:bubble3D val="0"/>
            <c:spPr>
              <a:solidFill>
                <a:srgbClr val="7B1314"/>
              </a:solidFill>
              <a:ln w="19050">
                <a:solidFill>
                  <a:schemeClr val="lt1"/>
                </a:solidFill>
              </a:ln>
              <a:effectLst/>
            </c:spPr>
            <c:extLst>
              <c:ext xmlns:c16="http://schemas.microsoft.com/office/drawing/2014/chart" uri="{C3380CC4-5D6E-409C-BE32-E72D297353CC}">
                <c16:uniqueId val="{00000009-B058-4611-999B-36A98E9EC690}"/>
              </c:ext>
            </c:extLst>
          </c:dPt>
          <c:cat>
            <c:strRef>
              <c:f>Segments!$B$6:$B$7</c:f>
              <c:strCache>
                <c:ptCount val="2"/>
                <c:pt idx="0">
                  <c:v>United States</c:v>
                </c:pt>
                <c:pt idx="1">
                  <c:v>Other International</c:v>
                </c:pt>
              </c:strCache>
            </c:strRef>
          </c:cat>
          <c:val>
            <c:numRef>
              <c:f>Segments!$D$6:$D$7</c:f>
              <c:numCache>
                <c:formatCode>0.0%</c:formatCode>
                <c:ptCount val="2"/>
                <c:pt idx="0">
                  <c:v>0.84775390625000002</c:v>
                </c:pt>
                <c:pt idx="1">
                  <c:v>0.15224609375000001</c:v>
                </c:pt>
              </c:numCache>
            </c:numRef>
          </c:val>
          <c:extLst>
            <c:ext xmlns:c16="http://schemas.microsoft.com/office/drawing/2014/chart" uri="{C3380CC4-5D6E-409C-BE32-E72D297353CC}">
              <c16:uniqueId val="{0000000A-B058-4611-999B-36A98E9EC69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84039414564704851"/>
          <c:w val="0.96682457589059367"/>
          <c:h val="0.159606186873955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8383734549246683"/>
          <c:y val="2.8277260805995564E-2"/>
          <c:w val="0.60998885134394543"/>
          <c:h val="0.73875878730872724"/>
        </c:manualLayout>
      </c:layout>
      <c:doughnutChart>
        <c:varyColors val="1"/>
        <c:ser>
          <c:idx val="0"/>
          <c:order val="0"/>
          <c:tx>
            <c:v>Weights</c:v>
          </c:tx>
          <c:spPr>
            <a:solidFill>
              <a:srgbClr val="7B1314"/>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DDB5-499A-B104-6F6375BDBB19}"/>
              </c:ext>
            </c:extLst>
          </c:dPt>
          <c:cat>
            <c:strRef>
              <c:f>Segments!$B$17</c:f>
              <c:strCache>
                <c:ptCount val="1"/>
                <c:pt idx="0">
                  <c:v>Beauty and Cosmetics</c:v>
                </c:pt>
              </c:strCache>
            </c:strRef>
          </c:cat>
          <c:val>
            <c:numRef>
              <c:f>Segments!$D$17</c:f>
              <c:numCache>
                <c:formatCode>0.0%</c:formatCode>
                <c:ptCount val="1"/>
                <c:pt idx="0">
                  <c:v>1</c:v>
                </c:pt>
              </c:numCache>
            </c:numRef>
          </c:val>
          <c:extLst>
            <c:ext xmlns:c16="http://schemas.microsoft.com/office/drawing/2014/chart" uri="{C3380CC4-5D6E-409C-BE32-E72D297353CC}">
              <c16:uniqueId val="{0000000A-DDB5-499A-B104-6F6375BDBB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
          <c:y val="0.78547588479925956"/>
          <c:w val="1"/>
          <c:h val="0.21452406383196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Inputs!$B$107</c:f>
              <c:strCache>
                <c:ptCount val="1"/>
                <c:pt idx="0">
                  <c:v>Fixed</c:v>
                </c:pt>
              </c:strCache>
            </c:strRef>
          </c:tx>
          <c:spPr>
            <a:solidFill>
              <a:schemeClr val="accent1"/>
            </a:solidFill>
            <a:ln>
              <a:noFill/>
            </a:ln>
            <a:effectLst/>
          </c:spPr>
          <c:invertIfNegative val="0"/>
          <c:cat>
            <c:numRef>
              <c:f>Inputs!$H$104:$Q$104</c:f>
              <c:numCache>
                <c:formatCode>0</c:formatCode>
                <c:ptCount val="9"/>
                <c:pt idx="0">
                  <c:v>2026</c:v>
                </c:pt>
                <c:pt idx="1">
                  <c:v>2027</c:v>
                </c:pt>
                <c:pt idx="2">
                  <c:v>2028</c:v>
                </c:pt>
                <c:pt idx="3">
                  <c:v>2029</c:v>
                </c:pt>
                <c:pt idx="4">
                  <c:v>2030</c:v>
                </c:pt>
                <c:pt idx="5">
                  <c:v>2031</c:v>
                </c:pt>
                <c:pt idx="6">
                  <c:v>2032</c:v>
                </c:pt>
                <c:pt idx="7">
                  <c:v>2033</c:v>
                </c:pt>
                <c:pt idx="8" formatCode="0&quot;+&quot;">
                  <c:v>2034</c:v>
                </c:pt>
              </c:numCache>
            </c:numRef>
          </c:cat>
          <c:val>
            <c:numRef>
              <c:f>Inputs!$H$107:$Q$107</c:f>
              <c:numCache>
                <c:formatCode>General</c:formatCode>
                <c:ptCount val="9"/>
              </c:numCache>
            </c:numRef>
          </c:val>
          <c:extLst>
            <c:ext xmlns:c16="http://schemas.microsoft.com/office/drawing/2014/chart" uri="{C3380CC4-5D6E-409C-BE32-E72D297353CC}">
              <c16:uniqueId val="{00000000-C818-4D7E-86F0-AA705E8DA356}"/>
            </c:ext>
          </c:extLst>
        </c:ser>
        <c:ser>
          <c:idx val="1"/>
          <c:order val="1"/>
          <c:tx>
            <c:strRef>
              <c:f>Inputs!$B$107</c:f>
              <c:strCache>
                <c:ptCount val="1"/>
                <c:pt idx="0">
                  <c:v>Fixed</c:v>
                </c:pt>
              </c:strCache>
            </c:strRef>
          </c:tx>
          <c:spPr>
            <a:solidFill>
              <a:srgbClr val="002060"/>
            </a:solidFill>
            <a:ln>
              <a:noFill/>
            </a:ln>
            <a:effectLst/>
          </c:spPr>
          <c:invertIfNegative val="0"/>
          <c:cat>
            <c:numRef>
              <c:f>Inputs!$H$104:$Q$104</c:f>
              <c:numCache>
                <c:formatCode>0</c:formatCode>
                <c:ptCount val="9"/>
                <c:pt idx="0">
                  <c:v>2026</c:v>
                </c:pt>
                <c:pt idx="1">
                  <c:v>2027</c:v>
                </c:pt>
                <c:pt idx="2">
                  <c:v>2028</c:v>
                </c:pt>
                <c:pt idx="3">
                  <c:v>2029</c:v>
                </c:pt>
                <c:pt idx="4">
                  <c:v>2030</c:v>
                </c:pt>
                <c:pt idx="5">
                  <c:v>2031</c:v>
                </c:pt>
                <c:pt idx="6">
                  <c:v>2032</c:v>
                </c:pt>
                <c:pt idx="7">
                  <c:v>2033</c:v>
                </c:pt>
                <c:pt idx="8" formatCode="0&quot;+&quot;">
                  <c:v>2034</c:v>
                </c:pt>
              </c:numCache>
            </c:numRef>
          </c:cat>
          <c:val>
            <c:numRef>
              <c:f>Inputs!$H$108:$Q$108</c:f>
              <c:numCache>
                <c:formatCode>General</c:formatCode>
                <c:ptCount val="9"/>
              </c:numCache>
            </c:numRef>
          </c:val>
          <c:extLst>
            <c:ext xmlns:c16="http://schemas.microsoft.com/office/drawing/2014/chart" uri="{C3380CC4-5D6E-409C-BE32-E72D297353CC}">
              <c16:uniqueId val="{00000001-C818-4D7E-86F0-AA705E8DA356}"/>
            </c:ext>
          </c:extLst>
        </c:ser>
        <c:dLbls>
          <c:showLegendKey val="0"/>
          <c:showVal val="0"/>
          <c:showCatName val="0"/>
          <c:showSerName val="0"/>
          <c:showPercent val="0"/>
          <c:showBubbleSize val="0"/>
        </c:dLbls>
        <c:gapWidth val="150"/>
        <c:overlap val="100"/>
        <c:axId val="1004925920"/>
        <c:axId val="1004924280"/>
      </c:barChart>
      <c:catAx>
        <c:axId val="100492592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4280"/>
        <c:crosses val="autoZero"/>
        <c:auto val="1"/>
        <c:lblAlgn val="ctr"/>
        <c:lblOffset val="100"/>
        <c:noMultiLvlLbl val="0"/>
      </c:catAx>
      <c:valAx>
        <c:axId val="100492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2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Region</a:t>
            </a:r>
          </a:p>
        </c:rich>
      </c:tx>
      <c:layout>
        <c:manualLayout>
          <c:xMode val="edge"/>
          <c:yMode val="edge"/>
          <c:x val="0.19618186175987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46549027666"/>
          <c:y val="0.16130487604074661"/>
          <c:w val="0.58000814797057032"/>
          <c:h val="0.63288566647294286"/>
        </c:manualLayout>
      </c:layout>
      <c:pieChart>
        <c:varyColors val="1"/>
        <c:ser>
          <c:idx val="0"/>
          <c:order val="0"/>
          <c:tx>
            <c:v>Weights</c:v>
          </c:tx>
          <c:spPr>
            <a:solidFill>
              <a:srgbClr val="C0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5EA9-4D7B-8219-529372BAB69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A9-4D7B-8219-529372BAB69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F0B-4B5E-82ED-0B9DC81D228A}"/>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6F0B-4B5E-82ED-0B9DC81D228A}"/>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6F0B-4B5E-82ED-0B9DC81D228A}"/>
              </c:ext>
            </c:extLst>
          </c:dPt>
          <c:cat>
            <c:strRef>
              <c:f>Segments!$B$6:$B$10</c:f>
              <c:strCache>
                <c:ptCount val="2"/>
                <c:pt idx="0">
                  <c:v>United States</c:v>
                </c:pt>
                <c:pt idx="1">
                  <c:v>Other International</c:v>
                </c:pt>
              </c:strCache>
            </c:strRef>
          </c:cat>
          <c:val>
            <c:numRef>
              <c:f>Segments!$D$6:$D$10</c:f>
              <c:numCache>
                <c:formatCode>0.0%</c:formatCode>
                <c:ptCount val="5"/>
                <c:pt idx="0">
                  <c:v>0.84775390625000002</c:v>
                </c:pt>
                <c:pt idx="1">
                  <c:v>0.15224609375000001</c:v>
                </c:pt>
                <c:pt idx="2">
                  <c:v>0</c:v>
                </c:pt>
                <c:pt idx="3">
                  <c:v>0</c:v>
                </c:pt>
                <c:pt idx="4">
                  <c:v>0</c:v>
                </c:pt>
              </c:numCache>
            </c:numRef>
          </c:val>
          <c:extLst>
            <c:ext xmlns:c16="http://schemas.microsoft.com/office/drawing/2014/chart" uri="{C3380CC4-5D6E-409C-BE32-E72D297353CC}">
              <c16:uniqueId val="{00000004-5EA9-4D7B-8219-529372BAB69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Revenue by Segment</a:t>
            </a:r>
          </a:p>
        </c:rich>
      </c:tx>
      <c:layout>
        <c:manualLayout>
          <c:xMode val="edge"/>
          <c:yMode val="edge"/>
          <c:x val="0.2088019160724208"/>
          <c:y val="1.4610832594611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360939219902246"/>
          <c:y val="0.17591863442987773"/>
          <c:w val="0.56636184889669605"/>
          <c:h val="0.61848911753405766"/>
        </c:manualLayout>
      </c:layout>
      <c:pieChart>
        <c:varyColors val="1"/>
        <c:ser>
          <c:idx val="0"/>
          <c:order val="0"/>
          <c:tx>
            <c:v>Weights</c:v>
          </c:tx>
          <c:spPr>
            <a:solidFill>
              <a:srgbClr val="FF0000"/>
            </a:solidFill>
          </c:spPr>
          <c:dPt>
            <c:idx val="0"/>
            <c:bubble3D val="0"/>
            <c:spPr>
              <a:solidFill>
                <a:srgbClr val="7B1314"/>
              </a:solidFill>
              <a:ln w="19050">
                <a:solidFill>
                  <a:schemeClr val="lt1"/>
                </a:solidFill>
              </a:ln>
              <a:effectLst/>
            </c:spPr>
            <c:extLst>
              <c:ext xmlns:c16="http://schemas.microsoft.com/office/drawing/2014/chart" uri="{C3380CC4-5D6E-409C-BE32-E72D297353CC}">
                <c16:uniqueId val="{00000001-0160-4D8E-A35D-11187DFD987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160-4D8E-A35D-11187DFD9877}"/>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0160-4D8E-A35D-11187DFD9877}"/>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458-4C4D-847F-D2D86AAD1B71}"/>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B458-4C4D-847F-D2D86AAD1B71}"/>
              </c:ext>
            </c:extLst>
          </c:dPt>
          <c:cat>
            <c:strRef>
              <c:f>Segments!$B$17:$B$21</c:f>
              <c:strCache>
                <c:ptCount val="1"/>
                <c:pt idx="0">
                  <c:v>Beauty and Cosmetics</c:v>
                </c:pt>
              </c:strCache>
            </c:strRef>
          </c:cat>
          <c:val>
            <c:numRef>
              <c:f>Segments!$D$17:$D$21</c:f>
              <c:numCache>
                <c:formatCode>0.0%</c:formatCode>
                <c:ptCount val="5"/>
                <c:pt idx="0">
                  <c:v>1</c:v>
                </c:pt>
                <c:pt idx="1">
                  <c:v>0</c:v>
                </c:pt>
                <c:pt idx="2">
                  <c:v>0</c:v>
                </c:pt>
                <c:pt idx="3">
                  <c:v>0</c:v>
                </c:pt>
                <c:pt idx="4">
                  <c:v>0</c:v>
                </c:pt>
              </c:numCache>
            </c:numRef>
          </c:val>
          <c:extLst>
            <c:ext xmlns:c16="http://schemas.microsoft.com/office/drawing/2014/chart" uri="{C3380CC4-5D6E-409C-BE32-E72D297353CC}">
              <c16:uniqueId val="{00000006-0160-4D8E-A35D-11187DFD987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
          <c:y val="0.84039414564704851"/>
          <c:w val="1"/>
          <c:h val="0.12570754926820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Porter's Five Forcers</a:t>
            </a:r>
          </a:p>
        </c:rich>
      </c:tx>
      <c:overlay val="0"/>
      <c:spPr>
        <a:noFill/>
        <a:ln>
          <a:solidFill>
            <a:schemeClr val="bg1"/>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832189991630368"/>
          <c:y val="0.22634019121604149"/>
          <c:w val="0.64222360273486778"/>
          <c:h val="0.69328331344335592"/>
        </c:manualLayout>
      </c:layout>
      <c:radarChart>
        <c:radarStyle val="filled"/>
        <c:varyColors val="0"/>
        <c:ser>
          <c:idx val="0"/>
          <c:order val="0"/>
          <c:spPr>
            <a:solidFill>
              <a:schemeClr val="accent1"/>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(Industry!$C$44,Industry!$C$51,Industry!$C$57,Industry!$C$63,Industry!$C$69)</c:f>
              <c:numCache>
                <c:formatCode>General</c:formatCode>
                <c:ptCount val="5"/>
              </c:numCache>
            </c:numRef>
          </c:val>
          <c:extLst>
            <c:ext xmlns:c16="http://schemas.microsoft.com/office/drawing/2014/chart" uri="{C3380CC4-5D6E-409C-BE32-E72D297353CC}">
              <c16:uniqueId val="{00000000-131C-436F-9A35-697B2AD2FA69}"/>
            </c:ext>
          </c:extLst>
        </c:ser>
        <c:ser>
          <c:idx val="1"/>
          <c:order val="1"/>
          <c:spPr>
            <a:solidFill>
              <a:schemeClr val="accent2"/>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(Industry!$D$44,Industry!$D$51,Industry!$D$57,Industry!$D$63,Industry!$D$69)</c:f>
              <c:numCache>
                <c:formatCode>General</c:formatCode>
                <c:ptCount val="5"/>
              </c:numCache>
            </c:numRef>
          </c:val>
          <c:extLst>
            <c:ext xmlns:c16="http://schemas.microsoft.com/office/drawing/2014/chart" uri="{C3380CC4-5D6E-409C-BE32-E72D297353CC}">
              <c16:uniqueId val="{00000001-131C-436F-9A35-697B2AD2FA69}"/>
            </c:ext>
          </c:extLst>
        </c:ser>
        <c:ser>
          <c:idx val="2"/>
          <c:order val="2"/>
          <c:spPr>
            <a:solidFill>
              <a:srgbClr val="7B1314"/>
            </a:solidFill>
            <a:ln>
              <a:noFill/>
            </a:ln>
            <a:effectLst/>
          </c:spPr>
          <c:cat>
            <c:strRef>
              <c:f>(Industry!$B$44,Industry!$B$51,Industry!$B$57,Industry!$B$63,Industry!$B$69)</c:f>
              <c:strCache>
                <c:ptCount val="5"/>
                <c:pt idx="0">
                  <c:v>Threat of New Entrants</c:v>
                </c:pt>
                <c:pt idx="1">
                  <c:v>Bargaining Power of Suppliers</c:v>
                </c:pt>
                <c:pt idx="2">
                  <c:v>Bargaining Power of Customers</c:v>
                </c:pt>
                <c:pt idx="3">
                  <c:v>Competitive Rivalry</c:v>
                </c:pt>
                <c:pt idx="4">
                  <c:v>Threat of Substitutes</c:v>
                </c:pt>
              </c:strCache>
            </c:strRef>
          </c:cat>
          <c:val>
            <c:numRef>
              <c:f>(Industry!$E$44,Industry!$E$51,Industry!$E$57,Industry!$E$63,Industry!$E$69)</c:f>
              <c:numCache>
                <c:formatCode>General</c:formatCode>
                <c:ptCount val="5"/>
                <c:pt idx="0" formatCode="0.00">
                  <c:v>2.6666666666666665</c:v>
                </c:pt>
                <c:pt idx="1">
                  <c:v>2.6</c:v>
                </c:pt>
                <c:pt idx="2">
                  <c:v>3.8</c:v>
                </c:pt>
                <c:pt idx="3">
                  <c:v>4</c:v>
                </c:pt>
                <c:pt idx="4">
                  <c:v>3.75</c:v>
                </c:pt>
              </c:numCache>
            </c:numRef>
          </c:val>
          <c:extLst>
            <c:ext xmlns:c16="http://schemas.microsoft.com/office/drawing/2014/chart" uri="{C3380CC4-5D6E-409C-BE32-E72D297353CC}">
              <c16:uniqueId val="{00000002-131C-436F-9A35-697B2AD2FA69}"/>
            </c:ext>
          </c:extLst>
        </c:ser>
        <c:dLbls>
          <c:showLegendKey val="0"/>
          <c:showVal val="0"/>
          <c:showCatName val="0"/>
          <c:showSerName val="0"/>
          <c:showPercent val="0"/>
          <c:showBubbleSize val="0"/>
        </c:dLbls>
        <c:axId val="187338759"/>
        <c:axId val="192312327"/>
      </c:radarChart>
      <c:catAx>
        <c:axId val="1873387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92312327"/>
        <c:crosses val="autoZero"/>
        <c:auto val="1"/>
        <c:lblAlgn val="ctr"/>
        <c:lblOffset val="100"/>
        <c:noMultiLvlLbl val="0"/>
      </c:catAx>
      <c:valAx>
        <c:axId val="192312327"/>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73387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489495687747911E-3"/>
          <c:y val="2.2093019039313346E-2"/>
          <c:w val="0.3654215408474436"/>
          <c:h val="0.9779069809606866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B0-439D-8074-43EAB194A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B0-439D-8074-43EAB194A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B0-439D-8074-43EAB194AB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B0-439D-8074-43EAB194AB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B0-439D-8074-43EAB194AB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B0-439D-8074-43EAB194AB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B0-439D-8074-43EAB194AB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FB0-439D-8074-43EAB194AB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FB0-439D-8074-43EAB194AB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FB0-439D-8074-43EAB194AB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FB0-439D-8074-43EAB194AB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B0-439D-8074-43EAB194AB32}"/>
              </c:ext>
            </c:extLst>
          </c:dPt>
          <c:cat>
            <c:strRef>
              <c:f>Industry!$B$28:$B$39</c:f>
              <c:strCache>
                <c:ptCount val="12"/>
                <c:pt idx="0">
                  <c:v>E.L.F. BEAUTY, INC.</c:v>
                </c:pt>
                <c:pt idx="1">
                  <c:v>L'Oréal S.A.</c:v>
                </c:pt>
                <c:pt idx="2">
                  <c:v>Estee Lauder Companies Inc.</c:v>
                </c:pt>
                <c:pt idx="3">
                  <c:v>Coty Inc.</c:v>
                </c:pt>
                <c:pt idx="4">
                  <c:v>Ultra Beauty</c:v>
                </c:pt>
                <c:pt idx="5">
                  <c:v>Shiseido Company</c:v>
                </c:pt>
                <c:pt idx="6">
                  <c:v>Natura &amp;Co Holding S.A.</c:v>
                </c:pt>
                <c:pt idx="9">
                  <c:v>#CAMPO!</c:v>
                </c:pt>
                <c:pt idx="10">
                  <c:v>#CAMPO!</c:v>
                </c:pt>
                <c:pt idx="11">
                  <c:v>Others</c:v>
                </c:pt>
              </c:strCache>
            </c:strRef>
          </c:cat>
          <c:val>
            <c:numRef>
              <c:f>Industry!$I$28:$I$39</c:f>
              <c:numCache>
                <c:formatCode>0%</c:formatCode>
                <c:ptCount val="12"/>
                <c:pt idx="0">
                  <c:v>5.3889473684210522E-3</c:v>
                </c:pt>
                <c:pt idx="1">
                  <c:v>0.22887368421052631</c:v>
                </c:pt>
                <c:pt idx="2">
                  <c:v>8.2147368421052636E-2</c:v>
                </c:pt>
                <c:pt idx="3">
                  <c:v>5.8984210526315792E-2</c:v>
                </c:pt>
                <c:pt idx="4">
                  <c:v>5.8984210526315792E-2</c:v>
                </c:pt>
                <c:pt idx="5">
                  <c:v>3.4447368421052629E-2</c:v>
                </c:pt>
                <c:pt idx="6">
                  <c:v>2.3615789473684212E-2</c:v>
                </c:pt>
                <c:pt idx="7">
                  <c:v>0</c:v>
                </c:pt>
                <c:pt idx="8">
                  <c:v>0</c:v>
                </c:pt>
                <c:pt idx="9">
                  <c:v>0</c:v>
                </c:pt>
                <c:pt idx="10">
                  <c:v>0</c:v>
                </c:pt>
                <c:pt idx="11">
                  <c:v>0</c:v>
                </c:pt>
              </c:numCache>
            </c:numRef>
          </c:val>
          <c:extLst>
            <c:ext xmlns:c16="http://schemas.microsoft.com/office/drawing/2014/chart" uri="{C3380CC4-5D6E-409C-BE32-E72D297353CC}">
              <c16:uniqueId val="{00000000-ADD4-4ADF-8131-93513DF0677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40474198403554451"/>
          <c:y val="5.4839785837187675E-2"/>
          <c:w val="0.50344530231438234"/>
          <c:h val="0.916051876281631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120286631479E-2"/>
          <c:y val="5.2908089143123768E-2"/>
          <c:w val="0.93558591437983274"/>
          <c:h val="0.73811215454464207"/>
        </c:manualLayout>
      </c:layout>
      <c:lineChart>
        <c:grouping val="standard"/>
        <c:varyColors val="0"/>
        <c:ser>
          <c:idx val="4"/>
          <c:order val="0"/>
          <c:tx>
            <c:v>E.L.F. BEAUTY, INC. (right)</c:v>
          </c:tx>
          <c:spPr>
            <a:ln w="28575" cap="rnd">
              <a:solidFill>
                <a:srgbClr val="4472C4"/>
              </a:solidFill>
              <a:prstDash val="solid"/>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Inputs'!$G$76:$Q$76</c:f>
              <c:numCache>
                <c:formatCode>General</c:formatCode>
                <c:ptCount val="11"/>
                <c:pt idx="8">
                  <c:v>254</c:v>
                </c:pt>
                <c:pt idx="9">
                  <c:v>232</c:v>
                </c:pt>
                <c:pt idx="10">
                  <c:v>422</c:v>
                </c:pt>
              </c:numCache>
            </c:numRef>
          </c:val>
          <c:smooth val="0"/>
          <c:extLst>
            <c:ext xmlns:c16="http://schemas.microsoft.com/office/drawing/2014/chart" uri="{C3380CC4-5D6E-409C-BE32-E72D297353CC}">
              <c16:uniqueId val="{00000000-A33D-44A1-A7C1-FB656FA5A222}"/>
            </c:ext>
          </c:extLst>
        </c:ser>
        <c:ser>
          <c:idx val="0"/>
          <c:order val="1"/>
          <c:tx>
            <c:v>Inter Parfums, Inc (right)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Inputs'!$G$77:$Q$77</c:f>
              <c:numCache>
                <c:formatCode>General</c:formatCode>
                <c:ptCount val="11"/>
                <c:pt idx="7">
                  <c:v>0</c:v>
                </c:pt>
                <c:pt idx="8">
                  <c:v>0</c:v>
                </c:pt>
                <c:pt idx="9">
                  <c:v>0</c:v>
                </c:pt>
              </c:numCache>
            </c:numRef>
          </c:val>
          <c:smooth val="0"/>
          <c:extLst>
            <c:ext xmlns:c16="http://schemas.microsoft.com/office/drawing/2014/chart" uri="{C3380CC4-5D6E-409C-BE32-E72D297353CC}">
              <c16:uniqueId val="{00000001-A33D-44A1-A7C1-FB656FA5A222}"/>
            </c:ext>
          </c:extLst>
        </c:ser>
        <c:dLbls>
          <c:showLegendKey val="0"/>
          <c:showVal val="0"/>
          <c:showCatName val="0"/>
          <c:showSerName val="0"/>
          <c:showPercent val="0"/>
          <c:showBubbleSize val="0"/>
        </c:dLbls>
        <c:marker val="1"/>
        <c:smooth val="0"/>
        <c:axId val="745218568"/>
        <c:axId val="984147464"/>
      </c:lineChart>
      <c:lineChart>
        <c:grouping val="standard"/>
        <c:varyColors val="0"/>
        <c:ser>
          <c:idx val="1"/>
          <c:order val="2"/>
          <c:tx>
            <c:v>Edgewell (left)</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Inputs'!$G$74:$Q$74</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Inputs'!$G$79:$Q$79</c:f>
              <c:numCache>
                <c:formatCode>General</c:formatCode>
                <c:ptCount val="11"/>
                <c:pt idx="5">
                  <c:v>0</c:v>
                </c:pt>
                <c:pt idx="6">
                  <c:v>0</c:v>
                </c:pt>
                <c:pt idx="7">
                  <c:v>0</c:v>
                </c:pt>
                <c:pt idx="8">
                  <c:v>0</c:v>
                </c:pt>
                <c:pt idx="9">
                  <c:v>0</c:v>
                </c:pt>
              </c:numCache>
            </c:numRef>
          </c:val>
          <c:smooth val="0"/>
          <c:extLst>
            <c:ext xmlns:c16="http://schemas.microsoft.com/office/drawing/2014/chart" uri="{C3380CC4-5D6E-409C-BE32-E72D297353CC}">
              <c16:uniqueId val="{00000001-6680-41B4-AC30-1D6EA5E49A25}"/>
            </c:ext>
          </c:extLst>
        </c:ser>
        <c:dLbls>
          <c:showLegendKey val="0"/>
          <c:showVal val="0"/>
          <c:showCatName val="0"/>
          <c:showSerName val="0"/>
          <c:showPercent val="0"/>
          <c:showBubbleSize val="0"/>
        </c:dLbls>
        <c:marker val="1"/>
        <c:smooth val="0"/>
        <c:axId val="796269576"/>
        <c:axId val="796266504"/>
      </c:lineChart>
      <c:valAx>
        <c:axId val="984147464"/>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01414"/>
                </a:solidFill>
                <a:latin typeface="+mn-lt"/>
                <a:ea typeface="+mn-ea"/>
                <a:cs typeface="+mn-cs"/>
              </a:defRPr>
            </a:pPr>
            <a:endParaRPr lang="en-US"/>
          </a:p>
        </c:txPr>
        <c:crossAx val="745218568"/>
        <c:crosses val="max"/>
        <c:crossBetween val="between"/>
      </c:valAx>
      <c:catAx>
        <c:axId val="745218568"/>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147464"/>
        <c:crosses val="autoZero"/>
        <c:auto val="1"/>
        <c:lblAlgn val="ctr"/>
        <c:lblOffset val="100"/>
        <c:noMultiLvlLbl val="0"/>
      </c:catAx>
      <c:valAx>
        <c:axId val="7962665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269576"/>
        <c:crosses val="autoZero"/>
        <c:crossBetween val="between"/>
      </c:valAx>
      <c:catAx>
        <c:axId val="796269576"/>
        <c:scaling>
          <c:orientation val="minMax"/>
        </c:scaling>
        <c:delete val="1"/>
        <c:axPos val="b"/>
        <c:numFmt formatCode="0" sourceLinked="1"/>
        <c:majorTickMark val="out"/>
        <c:minorTickMark val="none"/>
        <c:tickLblPos val="nextTo"/>
        <c:crossAx val="796266504"/>
        <c:crosses val="autoZero"/>
        <c:auto val="1"/>
        <c:lblAlgn val="ctr"/>
        <c:lblOffset val="100"/>
        <c:noMultiLvlLbl val="0"/>
      </c:catAx>
      <c:spPr>
        <a:noFill/>
        <a:ln>
          <a:noFill/>
        </a:ln>
        <a:effectLst/>
      </c:spPr>
    </c:plotArea>
    <c:legend>
      <c:legendPos val="b"/>
      <c:layout>
        <c:manualLayout>
          <c:xMode val="edge"/>
          <c:yMode val="edge"/>
          <c:x val="0.28755355216323991"/>
          <c:y val="0.89160939835536701"/>
          <c:w val="0.54474519000206789"/>
          <c:h val="8.08746419276115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2"/>
          <c:tx>
            <c:strRef>
              <c:f>'ESG Inputs'!$B$51</c:f>
              <c:strCache>
                <c:ptCount val="1"/>
                <c:pt idx="0">
                  <c:v>Coty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Inputs'!$G$51:$Q$51</c:f>
              <c:numCache>
                <c:formatCode>General</c:formatCode>
                <c:ptCount val="11"/>
              </c:numCache>
            </c:numRef>
          </c:val>
          <c:smooth val="0"/>
          <c:extLst>
            <c:ext xmlns:c16="http://schemas.microsoft.com/office/drawing/2014/chart" uri="{C3380CC4-5D6E-409C-BE32-E72D297353CC}">
              <c16:uniqueId val="{00000002-C472-BA47-B779-5C2A77661ED0}"/>
            </c:ext>
          </c:extLst>
        </c:ser>
        <c:dLbls>
          <c:showLegendKey val="0"/>
          <c:showVal val="0"/>
          <c:showCatName val="0"/>
          <c:showSerName val="0"/>
          <c:showPercent val="0"/>
          <c:showBubbleSize val="0"/>
        </c:dLbls>
        <c:marker val="1"/>
        <c:smooth val="0"/>
        <c:axId val="1086075584"/>
        <c:axId val="1086077504"/>
      </c:lineChart>
      <c:lineChart>
        <c:grouping val="standard"/>
        <c:varyColors val="0"/>
        <c:ser>
          <c:idx val="0"/>
          <c:order val="0"/>
          <c:tx>
            <c:strRef>
              <c:f>'ESG Inputs'!$B$49</c:f>
              <c:strCache>
                <c:ptCount val="1"/>
                <c:pt idx="0">
                  <c:v>L'Oreal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Inputs'!$G$49:$Q$49</c:f>
              <c:numCache>
                <c:formatCode>General</c:formatCode>
                <c:ptCount val="11"/>
              </c:numCache>
            </c:numRef>
          </c:val>
          <c:smooth val="0"/>
          <c:extLst xmlns:c15="http://schemas.microsoft.com/office/drawing/2012/chart">
            <c:ext xmlns:c16="http://schemas.microsoft.com/office/drawing/2014/chart" uri="{C3380CC4-5D6E-409C-BE32-E72D297353CC}">
              <c16:uniqueId val="{00000004-E980-4DF7-896B-DD4FDA36ADD3}"/>
            </c:ext>
          </c:extLst>
        </c:ser>
        <c:ser>
          <c:idx val="5"/>
          <c:order val="1"/>
          <c:tx>
            <c:strRef>
              <c:f>'ESG Inputs'!$B$48</c:f>
              <c:strCache>
                <c:ptCount val="1"/>
                <c:pt idx="0">
                  <c:v>E.L.F. BEAUTY, INC.</c:v>
                </c:pt>
              </c:strCache>
            </c:strRef>
          </c:tx>
          <c:spPr>
            <a:ln w="28575" cap="rnd">
              <a:solidFill>
                <a:srgbClr val="4472C4"/>
              </a:solidFill>
              <a:prstDash val="solid"/>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Inputs'!$G$46:$Q$46</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Inputs'!$G$48:$Q$48</c:f>
              <c:numCache>
                <c:formatCode>General</c:formatCode>
                <c:ptCount val="11"/>
                <c:pt idx="8">
                  <c:v>11560</c:v>
                </c:pt>
                <c:pt idx="9">
                  <c:v>14997</c:v>
                </c:pt>
                <c:pt idx="10">
                  <c:v>27002</c:v>
                </c:pt>
              </c:numCache>
            </c:numRef>
          </c:val>
          <c:smooth val="0"/>
          <c:extLst>
            <c:ext xmlns:c16="http://schemas.microsoft.com/office/drawing/2014/chart" uri="{C3380CC4-5D6E-409C-BE32-E72D297353CC}">
              <c16:uniqueId val="{00000000-E980-4DF7-896B-DD4FDA36ADD3}"/>
            </c:ext>
          </c:extLst>
        </c:ser>
        <c:dLbls>
          <c:showLegendKey val="0"/>
          <c:showVal val="0"/>
          <c:showCatName val="0"/>
          <c:showSerName val="0"/>
          <c:showPercent val="0"/>
          <c:showBubbleSize val="0"/>
        </c:dLbls>
        <c:marker val="1"/>
        <c:smooth val="0"/>
        <c:axId val="1986173136"/>
        <c:axId val="1641777856"/>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valAx>
        <c:axId val="16417778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986173136"/>
        <c:crosses val="max"/>
        <c:crossBetween val="between"/>
      </c:valAx>
      <c:catAx>
        <c:axId val="1986173136"/>
        <c:scaling>
          <c:orientation val="minMax"/>
        </c:scaling>
        <c:delete val="1"/>
        <c:axPos val="b"/>
        <c:numFmt formatCode="0" sourceLinked="1"/>
        <c:majorTickMark val="out"/>
        <c:minorTickMark val="none"/>
        <c:tickLblPos val="nextTo"/>
        <c:crossAx val="16417778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'ESG Inputs'!$B$63</c:f>
              <c:strCache>
                <c:ptCount val="1"/>
                <c:pt idx="0">
                  <c:v>L'Oreal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Inputs'!$G$60:$Q$60</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Inputs'!$G$63:$Q$63</c:f>
              <c:numCache>
                <c:formatCode>General</c:formatCode>
                <c:ptCount val="11"/>
                <c:pt idx="7">
                  <c:v>38</c:v>
                </c:pt>
                <c:pt idx="8">
                  <c:v>42.3</c:v>
                </c:pt>
                <c:pt idx="9">
                  <c:v>30</c:v>
                </c:pt>
              </c:numCache>
            </c:numRef>
          </c:val>
          <c:smooth val="0"/>
          <c:extLst xmlns:c15="http://schemas.microsoft.com/office/drawing/2012/chart">
            <c:ext xmlns:c16="http://schemas.microsoft.com/office/drawing/2014/chart" uri="{C3380CC4-5D6E-409C-BE32-E72D297353CC}">
              <c16:uniqueId val="{00000009-F38D-409A-B510-CAA45AC4F704}"/>
            </c:ext>
          </c:extLst>
        </c:ser>
        <c:dLbls>
          <c:showLegendKey val="0"/>
          <c:showVal val="0"/>
          <c:showCatName val="0"/>
          <c:showSerName val="0"/>
          <c:showPercent val="0"/>
          <c:showBubbleSize val="0"/>
        </c:dLbls>
        <c:marker val="1"/>
        <c:smooth val="0"/>
        <c:axId val="1086075584"/>
        <c:axId val="1086077504"/>
        <c:extLst/>
      </c:lineChart>
      <c:catAx>
        <c:axId val="1086075584"/>
        <c:scaling>
          <c:orientation val="minMax"/>
        </c:scaling>
        <c:delete val="0"/>
        <c:axPos val="b"/>
        <c:numFmt formatCode="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max val="5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'ESG Inputs'!$B$34</c:f>
              <c:strCache>
                <c:ptCount val="1"/>
                <c:pt idx="0">
                  <c:v>E.L.F. BEAUTY, INC.</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Inputs'!$G$34:$Q$34</c:f>
              <c:numCache>
                <c:formatCode>General</c:formatCode>
                <c:ptCount val="11"/>
                <c:pt idx="9">
                  <c:v>15</c:v>
                </c:pt>
                <c:pt idx="10">
                  <c:v>27</c:v>
                </c:pt>
              </c:numCache>
            </c:numRef>
          </c:val>
          <c:smooth val="0"/>
          <c:extLst>
            <c:ext xmlns:c16="http://schemas.microsoft.com/office/drawing/2014/chart" uri="{C3380CC4-5D6E-409C-BE32-E72D297353CC}">
              <c16:uniqueId val="{00000000-AC1E-4410-B719-66281604211E}"/>
            </c:ext>
          </c:extLst>
        </c:ser>
        <c:ser>
          <c:idx val="1"/>
          <c:order val="2"/>
          <c:tx>
            <c:strRef>
              <c:f>'ESG Inputs'!$B$36</c:f>
              <c:strCache>
                <c:ptCount val="1"/>
                <c:pt idx="0">
                  <c:v>Estée Lauder Companies Inc.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Inputs'!$G$36:$Q$36</c:f>
              <c:numCache>
                <c:formatCode>General</c:formatCode>
                <c:ptCount val="11"/>
              </c:numCache>
            </c:numRef>
          </c:val>
          <c:smooth val="0"/>
          <c:extLst>
            <c:ext xmlns:c16="http://schemas.microsoft.com/office/drawing/2014/chart" uri="{C3380CC4-5D6E-409C-BE32-E72D297353CC}">
              <c16:uniqueId val="{00000002-AC1E-4410-B719-66281604211E}"/>
            </c:ext>
          </c:extLst>
        </c:ser>
        <c:ser>
          <c:idx val="2"/>
          <c:order val="3"/>
          <c:tx>
            <c:strRef>
              <c:f>'ESG Inputs'!$B$37</c:f>
              <c:strCache>
                <c:ptCount val="1"/>
                <c:pt idx="0">
                  <c:v>Coty Inc.</c:v>
                </c:pt>
              </c:strCache>
            </c:strRef>
          </c:tx>
          <c:spPr>
            <a:ln w="28575" cap="rnd">
              <a:solidFill>
                <a:srgbClr val="A5A5A5"/>
              </a:solidFill>
              <a:prstDash val="solid"/>
              <a:round/>
            </a:ln>
            <a:effectLst/>
          </c:spPr>
          <c:marker>
            <c:symbol val="circle"/>
            <c:size val="5"/>
            <c:spPr>
              <a:solidFill>
                <a:srgbClr val="A5A5A5"/>
              </a:solidFill>
              <a:ln w="9525">
                <a:solidFill>
                  <a:srgbClr val="A5A5A5"/>
                </a:solidFill>
                <a:prstDash val="solid"/>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Inputs'!$G$37:$Q$37</c:f>
              <c:numCache>
                <c:formatCode>#,##0.00</c:formatCode>
                <c:ptCount val="11"/>
              </c:numCache>
            </c:numRef>
          </c:val>
          <c:smooth val="0"/>
          <c:extLst>
            <c:ext xmlns:c16="http://schemas.microsoft.com/office/drawing/2014/chart" uri="{C3380CC4-5D6E-409C-BE32-E72D297353CC}">
              <c16:uniqueId val="{00000003-AC1E-4410-B719-66281604211E}"/>
            </c:ext>
          </c:extLst>
        </c:ser>
        <c:ser>
          <c:idx val="3"/>
          <c:order val="4"/>
          <c:tx>
            <c:strRef>
              <c:f>'ESG Inputs'!$B$38</c:f>
              <c:strCache>
                <c:ptCount val="1"/>
                <c:pt idx="0">
                  <c:v>Ulta Beauty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Inputs'!$G$38:$Q$38</c:f>
              <c:numCache>
                <c:formatCode>General</c:formatCode>
                <c:ptCount val="11"/>
              </c:numCache>
            </c:numRef>
          </c:val>
          <c:smooth val="0"/>
          <c:extLst>
            <c:ext xmlns:c16="http://schemas.microsoft.com/office/drawing/2014/chart" uri="{C3380CC4-5D6E-409C-BE32-E72D297353CC}">
              <c16:uniqueId val="{00000004-AC1E-4410-B719-66281604211E}"/>
            </c:ext>
          </c:extLst>
        </c:ser>
        <c:ser>
          <c:idx val="4"/>
          <c:order val="5"/>
          <c:tx>
            <c:strRef>
              <c:f>'ESG Inputs'!$B$39</c:f>
              <c:strCache>
                <c:ptCount val="1"/>
                <c:pt idx="0">
                  <c:v>Shiseido Company</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Inputs'!$G$39:$Q$39</c:f>
              <c:numCache>
                <c:formatCode>General</c:formatCode>
                <c:ptCount val="11"/>
              </c:numCache>
            </c:numRef>
          </c:val>
          <c:smooth val="0"/>
          <c:extLst>
            <c:ext xmlns:c16="http://schemas.microsoft.com/office/drawing/2014/chart" uri="{C3380CC4-5D6E-409C-BE32-E72D297353CC}">
              <c16:uniqueId val="{00000005-AC1E-4410-B719-66281604211E}"/>
            </c:ext>
          </c:extLst>
        </c:ser>
        <c:ser>
          <c:idx val="6"/>
          <c:order val="6"/>
          <c:tx>
            <c:strRef>
              <c:f>'ESG Inputs'!$B$40</c:f>
              <c:strCache>
                <c:ptCount val="1"/>
                <c:pt idx="0">
                  <c:v>Natura &amp;Co Holding SA</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Inputs'!$G$40:$Q$40</c:f>
              <c:numCache>
                <c:formatCode>General</c:formatCode>
                <c:ptCount val="11"/>
                <c:pt idx="1">
                  <c:v>294</c:v>
                </c:pt>
                <c:pt idx="2">
                  <c:v>279</c:v>
                </c:pt>
                <c:pt idx="3">
                  <c:v>290</c:v>
                </c:pt>
                <c:pt idx="4">
                  <c:v>336</c:v>
                </c:pt>
                <c:pt idx="5">
                  <c:v>0</c:v>
                </c:pt>
                <c:pt idx="6">
                  <c:v>0</c:v>
                </c:pt>
                <c:pt idx="7">
                  <c:v>0</c:v>
                </c:pt>
                <c:pt idx="8">
                  <c:v>317</c:v>
                </c:pt>
              </c:numCache>
            </c:numRef>
          </c:val>
          <c:smooth val="0"/>
          <c:extLst>
            <c:ext xmlns:c16="http://schemas.microsoft.com/office/drawing/2014/chart" uri="{C3380CC4-5D6E-409C-BE32-E72D297353CC}">
              <c16:uniqueId val="{00000006-AC1E-4410-B719-66281604211E}"/>
            </c:ext>
          </c:extLst>
        </c:ser>
        <c:dLbls>
          <c:showLegendKey val="0"/>
          <c:showVal val="0"/>
          <c:showCatName val="0"/>
          <c:showSerName val="0"/>
          <c:showPercent val="0"/>
          <c:showBubbleSize val="0"/>
        </c:dLbls>
        <c:marker val="1"/>
        <c:smooth val="0"/>
        <c:axId val="1086075584"/>
        <c:axId val="1086077504"/>
      </c:lineChart>
      <c:lineChart>
        <c:grouping val="standard"/>
        <c:varyColors val="0"/>
        <c:ser>
          <c:idx val="0"/>
          <c:order val="1"/>
          <c:tx>
            <c:strRef>
              <c:f>'ESG Inputs'!$B$35</c:f>
              <c:strCache>
                <c:ptCount val="1"/>
                <c:pt idx="0">
                  <c:v>L'Oreal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 Inputs'!$G$32:$Q$32</c:f>
              <c:numCache>
                <c:formatCode>0</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'ESG Inputs'!$G$35:$Q$35</c:f>
              <c:numCache>
                <c:formatCode>General</c:formatCode>
                <c:ptCount val="11"/>
              </c:numCache>
            </c:numRef>
          </c:val>
          <c:smooth val="0"/>
          <c:extLst>
            <c:ext xmlns:c16="http://schemas.microsoft.com/office/drawing/2014/chart" uri="{C3380CC4-5D6E-409C-BE32-E72D297353CC}">
              <c16:uniqueId val="{00000001-AC1E-4410-B719-66281604211E}"/>
            </c:ext>
          </c:extLst>
        </c:ser>
        <c:dLbls>
          <c:showLegendKey val="0"/>
          <c:showVal val="0"/>
          <c:showCatName val="0"/>
          <c:showSerName val="0"/>
          <c:showPercent val="0"/>
          <c:showBubbleSize val="0"/>
        </c:dLbls>
        <c:marker val="1"/>
        <c:smooth val="0"/>
        <c:axId val="656873856"/>
        <c:axId val="656867376"/>
      </c:lineChart>
      <c:catAx>
        <c:axId val="108607558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7504"/>
        <c:crosses val="autoZero"/>
        <c:auto val="1"/>
        <c:lblAlgn val="ctr"/>
        <c:lblOffset val="100"/>
        <c:noMultiLvlLbl val="0"/>
      </c:catAx>
      <c:valAx>
        <c:axId val="108607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584"/>
        <c:crosses val="autoZero"/>
        <c:crossBetween val="between"/>
      </c:valAx>
      <c:valAx>
        <c:axId val="6568673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656873856"/>
        <c:crosses val="max"/>
        <c:crossBetween val="between"/>
      </c:valAx>
      <c:catAx>
        <c:axId val="656873856"/>
        <c:scaling>
          <c:orientation val="minMax"/>
        </c:scaling>
        <c:delete val="1"/>
        <c:axPos val="b"/>
        <c:numFmt formatCode="0" sourceLinked="1"/>
        <c:majorTickMark val="out"/>
        <c:minorTickMark val="none"/>
        <c:tickLblPos val="nextTo"/>
        <c:crossAx val="656867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Arial Nova Light" panose="020B0304020202020204" pitchFamily="34" charset="0"/>
                <a:ea typeface="+mn-ea"/>
                <a:cs typeface="+mn-cs"/>
              </a:defRPr>
            </a:pPr>
            <a:r>
              <a:rPr lang="pt-PT" b="1">
                <a:solidFill>
                  <a:schemeClr val="accent1"/>
                </a:solidFill>
              </a:rPr>
              <a:t>Global Beauty Industry Forecast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Arial Nova Light" panose="020B0304020202020204" pitchFamily="34" charset="0"/>
              <a:ea typeface="+mn-ea"/>
              <a:cs typeface="+mn-cs"/>
            </a:defRPr>
          </a:pPr>
          <a:endParaRPr lang="pt-PT"/>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spPr>
            <a:solidFill>
              <a:schemeClr val="accent1"/>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D850-4452-ABF2-E607F50E821D}"/>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D850-4452-ABF2-E607F50E821D}"/>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4-D850-4452-ABF2-E607F50E821D}"/>
              </c:ext>
            </c:extLst>
          </c:dPt>
          <c:cat>
            <c:numRef>
              <c:f>'DCF (3)'!$AK$44:$AS$44</c:f>
              <c:numCache>
                <c:formatCode>0</c:formatCode>
                <c:ptCount val="9"/>
                <c:pt idx="0">
                  <c:v>2022</c:v>
                </c:pt>
                <c:pt idx="1">
                  <c:v>2023</c:v>
                </c:pt>
                <c:pt idx="2">
                  <c:v>2024</c:v>
                </c:pt>
                <c:pt idx="3">
                  <c:v>2025</c:v>
                </c:pt>
                <c:pt idx="4">
                  <c:v>2026</c:v>
                </c:pt>
                <c:pt idx="5">
                  <c:v>2027</c:v>
                </c:pt>
                <c:pt idx="6">
                  <c:v>2028</c:v>
                </c:pt>
                <c:pt idx="7">
                  <c:v>2029</c:v>
                </c:pt>
                <c:pt idx="8">
                  <c:v>2030</c:v>
                </c:pt>
              </c:numCache>
            </c:numRef>
          </c:cat>
          <c:val>
            <c:numRef>
              <c:f>'DCF (3)'!$AK$19:$AS$19</c:f>
              <c:numCache>
                <c:formatCode>#,##0</c:formatCode>
                <c:ptCount val="9"/>
                <c:pt idx="0">
                  <c:v>247000</c:v>
                </c:pt>
                <c:pt idx="1">
                  <c:v>252500</c:v>
                </c:pt>
                <c:pt idx="2">
                  <c:v>257540</c:v>
                </c:pt>
                <c:pt idx="3" formatCode="_(* #,##0_);_(* \(#,##0\);_(* &quot;-&quot;??_);_(@_)">
                  <c:v>271962.23999999999</c:v>
                </c:pt>
                <c:pt idx="4" formatCode="_(* #,##0_);_(* \(#,##0\);_(* &quot;-&quot;??_);_(@_)">
                  <c:v>287192.12544000003</c:v>
                </c:pt>
                <c:pt idx="5" formatCode="_(* #,##0_);_(* \(#,##0\);_(* &quot;-&quot;??_);_(@_)">
                  <c:v>303274.88446464005</c:v>
                </c:pt>
                <c:pt idx="6" formatCode="_(* #,##0_);_(* \(#,##0\);_(* &quot;-&quot;??_);_(@_)">
                  <c:v>320258.2779946599</c:v>
                </c:pt>
                <c:pt idx="7" formatCode="_(* #,##0_);_(* \(#,##0\);_(* &quot;-&quot;??_);_(@_)">
                  <c:v>338192.7415623609</c:v>
                </c:pt>
                <c:pt idx="8" formatCode="_(* #,##0_);_(* \(#,##0\);_(* &quot;-&quot;??_);_(@_)">
                  <c:v>357131.5350898531</c:v>
                </c:pt>
              </c:numCache>
            </c:numRef>
          </c:val>
          <c:extLst>
            <c:ext xmlns:c16="http://schemas.microsoft.com/office/drawing/2014/chart" uri="{C3380CC4-5D6E-409C-BE32-E72D297353CC}">
              <c16:uniqueId val="{00000001-D850-4452-ABF2-E607F50E821D}"/>
            </c:ext>
          </c:extLst>
        </c:ser>
        <c:dLbls>
          <c:showLegendKey val="0"/>
          <c:showVal val="0"/>
          <c:showCatName val="0"/>
          <c:showSerName val="0"/>
          <c:showPercent val="0"/>
          <c:showBubbleSize val="0"/>
        </c:dLbls>
        <c:gapWidth val="150"/>
        <c:shape val="box"/>
        <c:axId val="51148447"/>
        <c:axId val="51146047"/>
        <c:axId val="0"/>
      </c:bar3DChart>
      <c:catAx>
        <c:axId val="51148447"/>
        <c:scaling>
          <c:orientation val="minMax"/>
        </c:scaling>
        <c:delete val="0"/>
        <c:axPos val="b"/>
        <c:numFmt formatCode="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ysClr val="windowText" lastClr="000000"/>
                </a:solidFill>
                <a:latin typeface="Arial Nova Light" panose="020B0304020202020204" pitchFamily="34" charset="0"/>
                <a:ea typeface="+mn-ea"/>
                <a:cs typeface="+mn-cs"/>
              </a:defRPr>
            </a:pPr>
            <a:endParaRPr lang="pt-PT"/>
          </a:p>
        </c:txPr>
        <c:crossAx val="51146047"/>
        <c:crosses val="autoZero"/>
        <c:auto val="1"/>
        <c:lblAlgn val="ctr"/>
        <c:lblOffset val="100"/>
        <c:noMultiLvlLbl val="0"/>
      </c:catAx>
      <c:valAx>
        <c:axId val="51146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Arial Nova Light" panose="020B0304020202020204" pitchFamily="34" charset="0"/>
                    <a:ea typeface="+mn-ea"/>
                    <a:cs typeface="+mn-cs"/>
                  </a:defRPr>
                </a:pPr>
                <a:r>
                  <a:rPr lang="pt-PT">
                    <a:solidFill>
                      <a:schemeClr val="accent1"/>
                    </a:solidFill>
                  </a:rPr>
                  <a:t>Revenues in Millions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Arial Nova Light" panose="020B0304020202020204" pitchFamily="34" charset="0"/>
                  <a:ea typeface="+mn-ea"/>
                  <a:cs typeface="+mn-cs"/>
                </a:defRPr>
              </a:pPr>
              <a:endParaRPr lang="pt-P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Light" panose="020B0304020202020204" pitchFamily="34" charset="0"/>
                <a:ea typeface="+mn-ea"/>
                <a:cs typeface="+mn-cs"/>
              </a:defRPr>
            </a:pPr>
            <a:endParaRPr lang="pt-PT"/>
          </a:p>
        </c:txPr>
        <c:crossAx val="5114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Nova Light" panose="020B0304020202020204" pitchFamily="34" charset="0"/>
        </a:defRPr>
      </a:pPr>
      <a:endParaRPr lang="pt-P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Arial Nova Light" panose="020B0304020202020204" pitchFamily="34" charset="0"/>
                <a:ea typeface="+mn-ea"/>
                <a:cs typeface="+mn-cs"/>
              </a:defRPr>
            </a:pPr>
            <a:r>
              <a:rPr lang="pt-PT" b="1">
                <a:solidFill>
                  <a:schemeClr val="accent1"/>
                </a:solidFill>
              </a:rPr>
              <a:t>U.S. Beauty Industry Forecast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Arial Nova Light" panose="020B0304020202020204" pitchFamily="34" charset="0"/>
              <a:ea typeface="+mn-ea"/>
              <a:cs typeface="+mn-cs"/>
            </a:defRPr>
          </a:pPr>
          <a:endParaRPr lang="pt-PT"/>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spPr>
            <a:solidFill>
              <a:schemeClr val="accent1"/>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17F6-4418-80E9-3DD2E92BDBCE}"/>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17F6-4418-80E9-3DD2E92BDBCE}"/>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05-17F6-4418-80E9-3DD2E92BDBCE}"/>
              </c:ext>
            </c:extLst>
          </c:dPt>
          <c:cat>
            <c:numRef>
              <c:f>'DCF (3)'!$AK$44:$AS$44</c:f>
              <c:numCache>
                <c:formatCode>0</c:formatCode>
                <c:ptCount val="9"/>
                <c:pt idx="0">
                  <c:v>2022</c:v>
                </c:pt>
                <c:pt idx="1">
                  <c:v>2023</c:v>
                </c:pt>
                <c:pt idx="2">
                  <c:v>2024</c:v>
                </c:pt>
                <c:pt idx="3">
                  <c:v>2025</c:v>
                </c:pt>
                <c:pt idx="4">
                  <c:v>2026</c:v>
                </c:pt>
                <c:pt idx="5">
                  <c:v>2027</c:v>
                </c:pt>
                <c:pt idx="6">
                  <c:v>2028</c:v>
                </c:pt>
                <c:pt idx="7">
                  <c:v>2029</c:v>
                </c:pt>
                <c:pt idx="8">
                  <c:v>2030</c:v>
                </c:pt>
              </c:numCache>
            </c:numRef>
          </c:cat>
          <c:val>
            <c:numRef>
              <c:f>'DCF (3)'!$AK$45:$AS$45</c:f>
              <c:numCache>
                <c:formatCode>#,##0</c:formatCode>
                <c:ptCount val="9"/>
                <c:pt idx="0">
                  <c:v>56000</c:v>
                </c:pt>
                <c:pt idx="1">
                  <c:v>61000</c:v>
                </c:pt>
                <c:pt idx="2">
                  <c:v>66000</c:v>
                </c:pt>
                <c:pt idx="3">
                  <c:v>67730</c:v>
                </c:pt>
                <c:pt idx="4">
                  <c:v>71780.254000000001</c:v>
                </c:pt>
                <c:pt idx="5">
                  <c:v>76072.713189200003</c:v>
                </c:pt>
                <c:pt idx="6">
                  <c:v>80621.861437914165</c:v>
                </c:pt>
                <c:pt idx="7">
                  <c:v>85443.048751901428</c:v>
                </c:pt>
                <c:pt idx="8" formatCode="_(* #,##0_);_(* \(#,##0\);_(* &quot;-&quot;??_);_(@_)">
                  <c:v>90552.543067265127</c:v>
                </c:pt>
              </c:numCache>
            </c:numRef>
          </c:val>
          <c:extLst>
            <c:ext xmlns:c16="http://schemas.microsoft.com/office/drawing/2014/chart" uri="{C3380CC4-5D6E-409C-BE32-E72D297353CC}">
              <c16:uniqueId val="{00000006-17F6-4418-80E9-3DD2E92BDBCE}"/>
            </c:ext>
          </c:extLst>
        </c:ser>
        <c:dLbls>
          <c:showLegendKey val="0"/>
          <c:showVal val="0"/>
          <c:showCatName val="0"/>
          <c:showSerName val="0"/>
          <c:showPercent val="0"/>
          <c:showBubbleSize val="0"/>
        </c:dLbls>
        <c:gapWidth val="150"/>
        <c:shape val="box"/>
        <c:axId val="51148447"/>
        <c:axId val="51146047"/>
        <c:axId val="0"/>
      </c:bar3DChart>
      <c:catAx>
        <c:axId val="51148447"/>
        <c:scaling>
          <c:orientation val="minMax"/>
        </c:scaling>
        <c:delete val="0"/>
        <c:axPos val="b"/>
        <c:numFmt formatCode="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ysClr val="windowText" lastClr="000000"/>
                </a:solidFill>
                <a:latin typeface="Arial Nova Light" panose="020B0304020202020204" pitchFamily="34" charset="0"/>
                <a:ea typeface="+mn-ea"/>
                <a:cs typeface="+mn-cs"/>
              </a:defRPr>
            </a:pPr>
            <a:endParaRPr lang="pt-PT"/>
          </a:p>
        </c:txPr>
        <c:crossAx val="51146047"/>
        <c:crosses val="autoZero"/>
        <c:auto val="1"/>
        <c:lblAlgn val="ctr"/>
        <c:lblOffset val="100"/>
        <c:noMultiLvlLbl val="0"/>
      </c:catAx>
      <c:valAx>
        <c:axId val="51146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Arial Nova Light" panose="020B0304020202020204" pitchFamily="34" charset="0"/>
                    <a:ea typeface="+mn-ea"/>
                    <a:cs typeface="+mn-cs"/>
                  </a:defRPr>
                </a:pPr>
                <a:r>
                  <a:rPr lang="pt-PT">
                    <a:solidFill>
                      <a:schemeClr val="accent1"/>
                    </a:solidFill>
                  </a:rPr>
                  <a:t>Revenues in Millions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Arial Nova Light" panose="020B0304020202020204" pitchFamily="34" charset="0"/>
                  <a:ea typeface="+mn-ea"/>
                  <a:cs typeface="+mn-cs"/>
                </a:defRPr>
              </a:pPr>
              <a:endParaRPr lang="pt-P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Light" panose="020B0304020202020204" pitchFamily="34" charset="0"/>
                <a:ea typeface="+mn-ea"/>
                <a:cs typeface="+mn-cs"/>
              </a:defRPr>
            </a:pPr>
            <a:endParaRPr lang="pt-PT"/>
          </a:p>
        </c:txPr>
        <c:crossAx val="5114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Nova Light" panose="020B0304020202020204" pitchFamily="34" charset="0"/>
        </a:defRPr>
      </a:pPr>
      <a:endParaRPr lang="pt-P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Arial Nova Light" panose="020B0304020202020204" pitchFamily="34" charset="0"/>
                <a:ea typeface="+mn-ea"/>
                <a:cs typeface="+mn-cs"/>
              </a:defRPr>
            </a:pPr>
            <a:r>
              <a:rPr lang="pt-PT" b="1">
                <a:solidFill>
                  <a:schemeClr val="accent1"/>
                </a:solidFill>
              </a:rPr>
              <a:t>Tiktok Follower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Arial Nova Light" panose="020B0304020202020204" pitchFamily="34" charset="0"/>
              <a:ea typeface="+mn-ea"/>
              <a:cs typeface="+mn-cs"/>
            </a:defRPr>
          </a:pPr>
          <a:endParaRPr lang="pt-PT"/>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spPr>
            <a:solidFill>
              <a:schemeClr val="accent1"/>
            </a:solidFill>
            <a:ln>
              <a:noFill/>
            </a:ln>
            <a:effectLst/>
            <a:sp3d/>
          </c:spPr>
          <c:invertIfNegative val="0"/>
          <c:cat>
            <c:strRef>
              <c:f>'DCF (3)'!$AU$46:$AY$46</c:f>
              <c:strCache>
                <c:ptCount val="5"/>
                <c:pt idx="0">
                  <c:v>E.L.F Beauty</c:v>
                </c:pt>
                <c:pt idx="1">
                  <c:v>Ulta Beauty</c:v>
                </c:pt>
                <c:pt idx="2">
                  <c:v>L'oreal</c:v>
                </c:pt>
                <c:pt idx="3">
                  <c:v>Estée Lauder</c:v>
                </c:pt>
                <c:pt idx="4">
                  <c:v>Coty</c:v>
                </c:pt>
              </c:strCache>
            </c:strRef>
          </c:cat>
          <c:val>
            <c:numRef>
              <c:f>'DCF (3)'!$AU$48:$AY$48</c:f>
              <c:numCache>
                <c:formatCode>General</c:formatCode>
                <c:ptCount val="5"/>
                <c:pt idx="0">
                  <c:v>2100000</c:v>
                </c:pt>
                <c:pt idx="1">
                  <c:v>1400000</c:v>
                </c:pt>
                <c:pt idx="2">
                  <c:v>1100000</c:v>
                </c:pt>
                <c:pt idx="3">
                  <c:v>251000</c:v>
                </c:pt>
                <c:pt idx="4">
                  <c:v>40100</c:v>
                </c:pt>
              </c:numCache>
            </c:numRef>
          </c:val>
          <c:extLst>
            <c:ext xmlns:c16="http://schemas.microsoft.com/office/drawing/2014/chart" uri="{C3380CC4-5D6E-409C-BE32-E72D297353CC}">
              <c16:uniqueId val="{00000006-F339-441C-9BBF-C622BCA614D8}"/>
            </c:ext>
          </c:extLst>
        </c:ser>
        <c:dLbls>
          <c:showLegendKey val="0"/>
          <c:showVal val="0"/>
          <c:showCatName val="0"/>
          <c:showSerName val="0"/>
          <c:showPercent val="0"/>
          <c:showBubbleSize val="0"/>
        </c:dLbls>
        <c:gapWidth val="150"/>
        <c:shape val="box"/>
        <c:axId val="51148447"/>
        <c:axId val="51146047"/>
        <c:axId val="0"/>
      </c:bar3DChart>
      <c:catAx>
        <c:axId val="51148447"/>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mn-cs"/>
              </a:defRPr>
            </a:pPr>
            <a:endParaRPr lang="pt-PT"/>
          </a:p>
        </c:txPr>
        <c:crossAx val="51146047"/>
        <c:crosses val="autoZero"/>
        <c:auto val="1"/>
        <c:lblAlgn val="ctr"/>
        <c:lblOffset val="100"/>
        <c:noMultiLvlLbl val="0"/>
      </c:catAx>
      <c:valAx>
        <c:axId val="5114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Light" panose="020B0304020202020204" pitchFamily="34" charset="0"/>
                <a:ea typeface="+mn-ea"/>
                <a:cs typeface="+mn-cs"/>
              </a:defRPr>
            </a:pPr>
            <a:endParaRPr lang="pt-PT"/>
          </a:p>
        </c:txPr>
        <c:crossAx val="5114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Nova Light" panose="020B0304020202020204" pitchFamily="34" charset="0"/>
        </a:defRPr>
      </a:pPr>
      <a:endParaRPr lang="pt-PT"/>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title pos="t" align="ctr" overlay="0">
      <cx:tx>
        <cx:txData>
          <cx:v>Geographic Presence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Geographic Presence</a:t>
          </a:r>
        </a:p>
      </cx:txPr>
    </cx:title>
    <cx:plotArea>
      <cx:plotAreaRegion>
        <cx:plotSurface>
          <cx:spPr>
            <a:ln>
              <a:solidFill>
                <a:schemeClr val="bg1"/>
              </a:solidFill>
            </a:ln>
          </cx:spPr>
        </cx:plotSurface>
        <cx:series layoutId="regionMap" uniqueId="{918A9E4B-5BE1-42F5-A1AB-1A113A9485F5}">
          <cx:dataId val="0"/>
          <cx:layoutPr>
            <cx:geography cultureLanguage="en-US" cultureRegion="QA" attribution="Powered by Bing">
              <cx:geoCache provider="{E9337A44-BEBE-4D9F-B70C-5C5E7DAFC167}">
                <cx:binary>zHtpc902tu1fSfnzo0LMRNfNrWrwjJpleYq/sGRJ5gASIEGAIPnr31Zs5dq6vp1UdarSSkqOiYND
cO1p7bWZ/7qf/3HfPt65n+auNeM/7udfXlXe9//4+efxvnrs7saTrr53drSf/cm97X62nz/X948/
P7i7WJvyZ5wi+vN9def84/zqv/8Lvq18tOf2/s7X1tyER7e8fhxD68d/sfbDpZ/ubTD+aXsJ3/TL
q7em9o8PP936O/84vvrp0fjaL2+W/vGXV9998tVPP7/8vv91759aOJ4PD7CXyBOWEiYoEelvP+TV
T6015dflRMqTFGWEE0nlbz/0+d6Xdx3s/9PH+u1Qdw8P7nEcf/r65//a/t2T/K/VerT5F1By+3T2
t7e/PezP34P+3//14gI8/osr39jlJVZ/tPTSLLltbfepvntG5d+3CD1JAWjE5QtLCHwi0yxDhGZf
LMWf7/nFEn/mJD82wv/sfIH//yy8hD6/+vuhv+3vavOMwV+Ae3pCZIpSjr44usy+jwRywhglnCP0
Bf4UPd/7C/5/eJwfg/912wvkv159Cfv2P8Hj78zdw1/o7xyfMEFkxlP2BVj8Pe6Sn/A0Q2nG8O/r
X7LfV7//w/P8GPj8674XyD9ffgl9/s+/3+P/GUbv7tq/MtskmJ0InKU0I89+/x38kG5OKISFIIT+
Bv8Lr/9TR/qxAb7Z+sIG36y8NMM/3/79Zvha886g/j/Y7jkL/PsZiJETSUlGMPlxBoJAYSnj9DlQ
UoiUbyPhz5/rxwZ5uf+FVV4uvzTNXv39prm9Cw/1T/90d39pScb0BGGOMySA/XzDjig9YTRDEqVf
ydOL4Pizp/mxOb7f/cIY3y++NMXtf0Cy2jya7s7pZxf9C8KDnUjMeYa+KQTfGCM7AdaUcfnEm76N
ij9xjh/j//vGF9D/fv0l6puzvz8ALq2Ld8szAn8B6PJEIkJImn5lneDi34CO0hNBMsmfyNK3oP/x
MX6M+fO+F5A/X36J+OV/AA3duTtz//j8+P8+4hT4DgaOL7H4Dmp8QllGBM/E1+ogn+/5hQf98Tl+
DPnzvheQP19+Cfnu9d/v5PtH192Zv9LLETRdSGaCP/Ve8PM99ODlJIMAENn/BMG33v4nzvNj7H/f
+AL836+/RH+z/fvRv3ic63v77Hz/vsNjoD2EMEkE+87hE5QC40khucA/z7f74ut/fIQf4/287wXc
z5dfon3x4e9H++jv2r/Q0ym0sZgBj8y+0PmnLvbbfI5PEH/i+V8d/WWT+4en+THuX7e9gP3r1Zeo
H9/8/ahfPvrq0bV35mF89rx/39EZPsGUcYLR9+mFQcLnoO2I/yOz/8nD/Bj67za/MMB3ay/NcHn+
95vhNj4+PP6FGg+TJ1xQKTDDX/L89xoPAj6PQWjIBPuy/KLE/vFxfmyD530v4H++/BL52/+AJL+r
zZP3/3XOzwk4PxeCs6+p5XuZB2QIiaEGs9+yDySgF63UnzjPj7H/feML8H+//hL93fGv8Pv/W3H+
XY3f3Pm77W8y/jei879e/e0RYcDwYutX6v3DDPWFpxwffnmVQfP6+2zg6Ru+Y+zPfO/7zz/ejf6X
VzAjAPWfSk4hLoAiEQib+Pi0krATRESGpchSJjIOrcKrn4x1vvrlFQNSBbZmMmWIIcIFWHy04WmJ
ohMCUcYzygkoTILz32cn17ZdSmt+x+Hr338yobu2tfHjL6+ADPRfPvX0WIwKSjOREkiiII1QIGmw
fn/3GuQZ+DD6f3pghSt6kypeDbM+zKhZ31HN5Klx3XiudUjT/Bto/swdQQnGiDCMgTECNJDPv71j
2iW9H+04qdY4k5OKCavWGFGa29m5fsdwvd7861sisNb3T8mA/yMKIrR8+lcA0N/e0w6stkWqg5r5
2jnVTEtXqHEuGqJWvIp8Lnux5YIXzbat2/JDoDahainp55m49lPs8WTzkpD5vfQkZrt/fbynJ/7O
BkwiJNMUMwqjJJJB+H57OmIDL3xJnNJ2WUc1mZEvm2Id+RVDNqnV2sZsY5hdwuZf3xg9Pfd3d4Zu
CXwIUQyeJgV/wu0b69eBi6ZyiVXLxBIYIKUZ2ZctWZ3qbRXSY23TMKqaY3cVyt6hs6EOcshbOiYo
d+XAtVqGULevGdI++aJxfZk4/cBREFDYl6djEg7HKQQJRAfEwLenozO1XeTWqr6wM1YJQfza0XFW
1ummVm7oanFIXJKZDeNu4XssKvvZZhR8SXfJ+DEwX990wejkohrrMtksPJH9Hx5TQmn75qACp8BL
UpwKLlDGSMrT7w/aZTWXMwMwGlawY10WbgtP05xp3aYHkboH2zbrFlHp3lVlpJ8G05RO0Vb4K5eZ
9nxpSvYr9xWtFTLTeJPMguTN0mqsQuYGfhymkn0gdTJUm76u0LIZJ4bugpOLz5s4tbnUi672Qynb
ajNniV+v4yLb+YbKGn1aC8vpocdFKFrVB2f09dpgU6pEWkJuGtmteEucJ7VRnc0arHBdWTkoX7p5
2rUIrc11xWM970thTKOKUtNx4yG5lUxNngt/KxzrERhqzj6JJKTtxtVDMh5Dm/jdtLDO7P3UNzov
fCKYkkj0MWcN+FyyeuuOLvQjvlomUyzHFSphoVLrk1G1js1NzsWUOCgHcb4rRcU7tRoJwcArROvz
pWZrVGTVegsJB75x7ZfUqymdaK+KvsM3blzKTes16/JGjPUFXQV1FwaKW6pwOsPvZG5xmSealzEv
rdZapY4ClN6uxbAf5OxLZVdsneqmupn3S5Kmn0rOilpJvMIHS9aFvG17FxSL5XDaFyWiO7+aqn0z
jX48y8ZIEhV11SxXAYbKjUJ2aN+BajpmG1nK7KFdVhEVc6TKOxTmOe/kKj6lixtbJfoma1VJ2/ma
Uw95ei1SdpZMfu5Um1SYqTQbIaX1NkvvM1dpvWukLC6yMqM7vvRLqbpyInSbMJNtRivXfA3RT9t5
KcORrkkJPohDmkc/m1UVTahu1oxkD7WNMVFLzZVbR8PV2CF0wyT27rRodPQKNUzObwKdbKkcsZXc
dVWG8lKa4ZqVs3FqwN68TyCzTIeCVPy2Z72djyyZsk41XRlvMk3rRU1zqZFCTtZsa9xkjwPr+32i
PTolbXbXdUk3K55Yfbd6muD7nhduN6a6eVgaxgaVcA2pypFlRlsWzLCtOxPOlpWfxd6vD6gNqRqC
H/ekxtM9s7i5SF2TvhE+7dacSGzgDOvsDz46cukL1h1LHsb3zAWyIb4oVVujbmNnWuXV6O2O+Qme
f5nxAobPym05VkOndGKnndRV1yjDKPgu7T3azZ0vKjVmDeTxOKL7tcxcrXxd4PfIVAVTSJtIcjs1
7uAYC0EVUCd2oJ0/cl82b5KGys9DMrAl97Bf5uPYdm9snxKkSCbqU+TmJF90JjbUkH7L1rG/bWiy
tGrwpnmvbao3tcumchsHLCDNgLmx6hddptu0lEx14wj5a43LeiqWwG7p2rBP9byYKzfjOefDUKgy
GHEcag/vcFjOE9WnzJ71DENWsQMnU269bvyON4a5XRtov1sGlDzaTLqLQczrNqC+n3Nji+o00qUi
KrNBf7bjWudrQXSTL1UySaVjoq9nV2ZyPwvLNmPt1tep7uscNRk90+XY5HMzJtXF4pMgz9oh0Tma
WjSp4Geejzh12z7Wo8xNCpUrTdcrLRMBVc37+KEnApy14CW5wGMldmMYyuvMoHrfaJ1qlRR+3E7M
4xtdrn4DyJCDGDOa02DZu0H2ts7rpZa1qmyy7qTDE1I1xnYXhiY7NFUpdB4irU+XMCz7dGiZP7dl
S4/EpMu+qSzulUmmMa9aE26h8refMl6Tiwa5add1c1HceLTGagOTXzepYcXD6y4l0h2SNYSbhfAq
zdO64Gdskpk+m7ypttMyr9eJmRvF0livKktbyGXVOOTgxetHUo40KGMp361SPFWf0tLsRgfbJTcd
eHp/rKNc5QEKclIcJwiFbhPHudoN4LEQ25pejgLrXEYetxNO46bhVZJj3YRNMrLxdG7Z9ZTFI0zp
3tgiw+d6WpZdTPwea7wfBLrv2vV1n8rHEfWvkZVbrvGnpSyv3Bp3dK2v68TTI3PjcEWJQ5Vqxywo
EkrIqRW6bXt+4VFa78Z6Umxu4+ncDfBfmnT5IAxRtIhoiyCa3xZRzrsBM74zvWwO0zKijcwwOUKl
E5ukrJvHokfVliblsAcfFFvNo/800WE+m+AWAqqP5VuXAY4w/B3e2cYV6canyaFa1nncpS7jrWLE
m/rUsSUsuWtlfxYaNGnl0rbPncWhVVSHu2ZYd2g2aX3BOx3iBiVVuhN1dO2oANCivEvYHEKeFVly
29dluYP8XJXHuuEEqBbpWnYoijLNLmKmWbaVrBrf2BSSKm56BAjrbhvXIRSvzUDWDS1JERU4YZ9D
y1iUp50ZMXBdz86noVh3wtfzuAeqEXPpZlblpI7zpY6NjCqTIbpzsvTztp7Stc85SZtpI4dpGLfw
Mtd0QJljlwMfgL4vhPYit7bjVb7MYklV6tf1dVMA5pAGGUE5rTr26xBEJbe4q6p8HdIVqaYt8bQT
wKPeQswO582SLjE3SSZm5SbDN83S9dcrJKBdQ5LFbKexbB+y0pMnjMR2cQhnG9IvjKrB1s0bAdxe
Kh+7keYL6TjeZzGhNyKpi7xtpP7cozJ5O4S+Dlvd1uY4VmVZbleqXa6FGHNZavx25iT7UGHahdPB
yt7kja+pPfqaFFA5piXuq9QOB2oms5mnUm5MPbgr23WmOkA1aa+yRM6/Btz1r2nD3OnSpdnNBMsX
hKH3U9aMp0JTfGFJW77DS+xUqLBHH+HNDnYmOZeHsmjR52Yk4m0Z3Lh1tgj3gCz71aMiPQPDgcfA
4xVu0zmc+LxumXvPB4u04vNKtksS2s1i3KcZ23m7Qi+XaxL6w4i1W5Tuu3kDsQ8soKUJiYdQtuhj
r32tMqflKRqs6FU2wTl1JMbsNJ08xL01+WqrGew9z6e8G6d9GKLexN5O2yL29ftGAPNbe56dpl05
oFz0M1gySLLsaMICkCuk4/nEyVldNtNpVziuipXDrzSKT0samjzrIdxCEY4Faco9zdaFbSF3xUuL
yFlcWvs6tCyu+VKS6RjnudwOSZ9dR+bRG10xc9Z5NFwuol+ul76jHlomI3c6WrMtEIf+Mp2PyTLp
j9CaVvko43wjoWrsYXCRFFvR0fWqIsartG+iGhiBjgh6xuHBYFqcd2hCZ84l41sCvfqhWehw2klf
XeBoy+sh1WdlM16JtTDn/RJSvIEG4LQUydE0Tn/ghY13rAj2bQCys29bfpPqeg8kblFpZcc9TdJB
ZWJqz11gY96n3agqxPEODShcrEknNmzFDRS0Nu5s27Fd66TfNmkCDePQ9W9IhB7dZqTdL2bpc5xV
laprjfZx6c9F26OtLH24lFqYPPKuOsOidbkfskwhMo9XROviGHmoINfG5WwZe3/aTzF5A5QLbRwz
ydkUq7VSEswNdh9csxmqSmwWR/G7pRzafUb69SwaEzcmsE9VX3XAQ8KwjbKbtp2up70uyONAnZW7
oNduWxe0OBuStVFVNUplqgVfJd1i36BqNBedSfkMFaoW27kiwKaXZFZr0HGXicqfLb3g+Zwsy0GL
hG36JCxnHTXjm2rVn2XMxocuSr0pp1laVeEyU6LGUdUhFvu+bNp9m/oE6H5l5IYbe95V3cNS2GIH
3NucUb5aSMxeK08G8lGTYsnLvi8h74zjpZhZouC9xhF8itd5RRqnuAHmUazQqU+8ARPXej9Svd6E
zOM3glbNYR4ms2vjUAEFMYO8CM24KhPcmo/NAH5AXLNLIe/eS2CGj8K1qwoTgjpTFPjYjUVyQTOu
98tIs7eSFtA7ed/Gs6Ttw7aa2nfZWkLOZaxTRWvqfJLYvUfWbxJfNKfeymxSkXBordAEpb8d0g4a
l1ieJ25iT6w43dbDvJ4XPUe76MtbsMmsKlKTTVEV4y7I+C4rmMmXZW6P85JejxStW5JAkUbWLLu2
E/tqqc2W1L7r86EHF5m4XTYpRpBeumXamVhDOtLQxiCoLW/quiaHBKjUMQN+AQ2dIfctT7tdF+Jr
4nu2QC2Q1fu0Tq7bsl53Cc4e4TU4fArWRtsMSstR1vVe9mHZusFfLu0czyAXQOsWk+4W+Np60NS3
eYUx1NK5PseBLYsyHc26vJAibOXQLvspsa1KJZT3EsL7ANJXsQNy/GsnYrWH6Rp53zVCXgzLBMzK
Vlwxs4adiAHyiJafRpnd4qlHeV80Lu97FHKEWrvjeDkkEEDKRErOZ501D6Zt4/vYZQDBXM7zMYtO
kWU1123Tdl0ehRa3xdL3u8mLLijepUBqWFUc2Lp+qFm17kZKAjRjLCwKCli3Haa+zVeS8XDMZj5T
1YXgrdJ+AhMOa2UVFdA10QFaBJWVQD7S1nwqvH3fznP2MCy+OYON3ZUYQ8WPxRDYBS37xqjKOfqh
DJae8slOl0nLljudIHcdUT+PqojLcEgZu6N9yn3OM9dfTJzTu5am/TVv0uZ0oAm9cNiQazp2NE8t
tBcR1ekNNJTstMi02fcm9KcE0b5TZVKho3FtOE1MFi987eYbW7Xucqgl/LWLVoWQkFvfzQlIGzR+
dHRCn7rou02a+OD2zEQtlB71cpDaaKJGULyOjIsRfkEnMJIhbgegdW97saYPRULXrQzZ8kDAw/eR
ZfPOCRuRGivUnnWFGXOWhH4/t9AEbWWhB8gKlCK/SbmQFVS1uR6UGzvyVmASw7awDEjn6uV7u7ao
zkWXsscpGYPPQzEMN2PfNu/ICnfaNP0UbgqRLKezEyCEau3ui2GWB40Q+WBttKelYQ9J3ZpTusgx
TzgRb4C237YTq8+HBjpaxcl6EzOSvq84UNmqn8MBRgPVJ00z/dj3PeQ3zIFmOb+3bTqeTt0qz70z
wJG87t9k05DdpMKZbQNOc5BNmm5io0s1982Um+Dx3i5l8hpHczMvfbWhLNwEi9F9O85lTjobL/QU
f0WpbAkUrNSnys5J/0mmdEr3kJFcbrUt/Qa6JFaptJ6LQxeS/sPs2LCJVidnJW+0fwK8VyEtLzo0
ig1vEzOoumn4KTFzJGruOhBygMXSXZG14O9+DmUu4VXvg1/cUrzu20Xrw0SkT3arm+d9jxf+KCJf
twOKzUVf2tuOFLO9r/xMp1ZNmBl0U3ZiWkDVGc3VpFtWbCMbIspnl6JTFNwA7DysONs6SCx0WyI9
V+8GUJ+iQrxPPyHZ82VXtDF8lEC89G5yg9wXPiTghWLFZ/AyFr2ZtAN5KVs60M4WShOJVdnDrKdU
Yml0fSBOlNUOFDxgx93S8uyMDVMRc+z0kh2kKaQ/mhUEl/MelyCl2aSYsEIDw83GIZRsGp9Bl4Vi
W+6h8i21slGGa0inRt8NPtYgc2teN+rJadmHWEErdFnpqeWfQYHTvYNzTH6B/rXxkDxV0tJQ7EgH
lFtp7np0RXlbEEgs09jsGmAtDxMi3RsMDYFksg2vJZTq4kzQ2L7znWvfQfc0tEDtOvpxdZqHfW0y
tl6mk8X1vmZ9tWUs0ssAUQbteYNZtRnmqu62C3StF6Vd5vHYgZa4gHJRjNcOF4U5FTj4QVmD601C
TXdu2j5ZlMyqJ7pp29nsTVbVQDWn8qZihWgVpATdgGvVc58b07efZQDNdYNgiMbeIil8u7e1g5xe
Idy22xL3oBzCW4x+2I4xxkL5hBJ7idLZtGBPx0GGB2FSH8jAYYLgMIbPm3UFu46dhPnJOg7z9bRO
EN685HR6XdXY46t5HOHjAminyTVIeW+KHtxzh6Z0WVUfx+i2evXI52tZ0SkXhQMZr5ockAmzJKua
EnjnYGfLJ3Wkwcl8wZtRrHmJRHgPA494mHTVstfcJlK1BUuGnLCCO6gbEFa3zJDsAlh5dVGWMIDI
SZi7amNrGD3lIzhEmtfAPkXelDrqXATarAplukpVGxtQ0SfZmUKtSK9h086+7nMPDGwjbR3FzUpq
KozKipofyVQTEDV6Eq9LViaAjBm86viqTc4bn46QVgQHxakx85umogJY8sppqfi0QAGZaD3z42pi
4TcF7iBnzLZ/qKhDXR6g4f41uqK6HgkxD1604R3HUYIG3o9XdEzRqLAVba3YOheqMd0c94EUjB4Y
L9B4rFo+Z0frHOi0laM2qimy8XwcWqQqoFXXGJOF5WEy7TsC/P39guf1Ulohu7wfekmgoFr2lqVL
2uZOzgJqc6jE3TpEuUtAKYcqPZuMq6wXU/e+9qYAQt+Nov48yQkke1SJoA9jpED5QX823Q5kmFGe
l1Bv95K5qld1VizzDk5O7qZJMq9IUmTg8Qurt2EW4H1E43jq5rX+gFfr3mQl8ZfI6XIPOgO4TJpx
kW088Mfy4D1b9dm66DTmti/rbGNJ2bWbmnYQys3aEbzv5hSIVZIgfM0G0ZGzpTWtU54z3B4TXJuQ
J9MgoHAX5VxsBKjxS16hTp7NZgSpPlsSSGxej23eLp6dhtqT7jTlwBK30KuBc8cG+P6Gs5B+rNkT
7azTLt5SXxmSVzZAVKTQuEPMhS45LuMEqT62AijFUgCUtq4keIuv+Xas+Ah0tZhdd1hdpy/HzEt8
RWCAikGQQECt+oV3bZ4ICo/gICqnnPcJtIH4N39Ps7J6nHWD+ZZCm3eJ4SHJpp9gypmNyJb5HJz9
OLJIRjVEjqwqRt/egp6b3dWD1x8XPFTzvulJ+w4D6ewhWDV5t6agBahg5hTEddFpUBfn6SqD8Gug
JRDze7ToMW5GCeLKMa2jgcZ6TOCEosOabyvbeqaasmg6hUmZXlJn2KdiAuG58wMEaCg9mK5Cc1rt
RWR9q+oJaDfcUXbJhtDCgNK9kH6nMwvstRmS7hxmmEu/kZTSSyoHeLTQpuk+epfAfLNI+DYVpCSb
euiTCjweFf6YYjzGvUGWzPuUrS1UDFfBdGUyE223NrbLmHdTH+22hceJChJXK7ahw8OVkRJyHhTh
sAGdYy520OB05jw0MZ6PdM2gTxRerB847ez9IgQbN1DG8XLGoD+ab8bKlEBPu4iHfBnXJW5cZoe3
0Yve5kNnYc6xJE02vf5tirV0qOuO6VpTogwMwT7ZMcrLqcncshtnnBno3nEJU1vZl7e6mTA+PCXP
LYdgEyqpgnyn6SJq6Ecz/1rWoJscMxeN3dayfBwlrnNiS+B0tqbyWE0gF6nVZ/4dY8U6b1xwZFVW
dwx07gFKnTIDjefFgGW/60cj9yzJQOT3oPKbwzRiqAwVb0urSmPOC4RNcaYz2fGHIMZquW6kH8pL
xz0EL+vm1Z+n8zRABIJQgs9GLZr1YCcPo0Ton0l7ZNIX62ZwST+CgTr32dmk9DA+S/S7ngzpchZn
jYtf8crXQSo8F+2RjMj5u7RO9foOF0/sIENRZFumJym2GWgUwy0tmqWCKqi3PfIy5NxmFd2AAlRv
DB9B95mKAWoGDFHq6igBJWgvYx+0zzsBleITXat6XdUcXReuQZVvxptuqPHbNaxWbMdBknmX2rFk
eTawwK5CkrTA5sp6k03pmTYIvw6l0TsH0uB70er1vqzT4oKtFkH7y9iZq8v1PWW2BoY9jq9FudpD
v2RMsZLDNMfz7KCBLl0NuHYb3KO035hiFedA5uBOuE/DBqay4hb+/zR/rztRgvvIWuzTqhquYY7d
/n/Kzm3JTlzZ2i+0tQIEAnGzL4B5rPPRLt8QrrINCAFCAiHx9P+Y3evQ7d7d/a8bR5Rds6BASmWO
/Eb6e6i0/WG22rXYVb4qN2mnx1YokV2tS8+vEjUluiTdurYFARxVrHXlP6WBa49GqN1Ms7ktu2ZL
v7g4q95MkGYvBKlvmc5YCmnXTKUgNfvetz2Pc7Cc9MZ6MZ9SOwR3TQyH6bEBu0DPa+VDmctR6bId
xXxEMGBHlFVa5ZBKxnfVqAQBfFmJ2/sgGnAOTc3XaIvFkUgHBYCv2VUSxe7MQG8USUiys296dA5d
l942maK7xM8zL1y/VV0ZOxYTNEKq8NDLZntqWpIE6GMNQZzXwFRu+Ba7o4RC+JXOpinCNOvusIMU
KdNGIqlMG7N8rFEmoRuiFYWmtxXXcww7SNFBRpnQlm6HLK9R6e5tNmXdbkz75m6D3lrnrTJorbLa
D3kcKlvndKr6p43J5gd62Qh2oUXF1vRBIApIyioqdN/QorHNvOY+7uId8trhvM4qMuXUtU0+yWXE
aw27Qti2OvlslbngfHlLtlCWy7Toa7pt9SkcJZpjYfWJcYhbJ88qIoo0HEe228SqP/k1/MHbWNyq
xb6kLPQ4Csdu56FoXaN/6u+cajpXkFi3j+O8sjLVfBlzqJ6i0JVh59kBkkgisjw3PuZfvVzH6xCI
xT3EVCz8bZ2GfcB0UDo2YW1kdUtzXYF7KXBrWY38ilYnmQZxVFSWrPs0UclYZn0wNe99ZMgZjbeC
W610QUSrD822mhl8BFnKmK8iyVdUx0Xn2FPgeH8NkmTM0bHmaY54Gh8pnhm61Sj07+PF+zVXbB1v
tkplJxTI8hUdh76cu4VCZBsa9Okr3kZFvGbZlRiW8YtrLU6x1Tfjy6p4ettuwr9laqK7jKPJJCDQ
fxpCskLRnXGktqOGYBF1QdvslxVCVq57ecUITnI/0KTe1wHV5UrUD5JSe2SDmmV5QYSK/2nW0ONV
VyLfSAZddIlnusNjT33BWo2cra7Gs2ghShkq6kLydfiVD/xTCOX3bA7QDljK4GpNQSRQBiv3hZ/6
DSGjES+DQTWIuWJCpOaAsa+2arEfK6PotwV9eidWiszyr8mc32NZv1yWgScB+gUHeZKyny47LK1j
m5/R0B5IyvNe+rgqJTRvhNSeozhIB8v/5pphcMF9/oMD4aoZDxJOARrCswLW8yfgRpskm3uJ7vNs
44uaKcYAfagAwSsHQTTrfePW5dlVM5q4IXJqwBBcHNH0R8Vnu2Sbd41PgncvTWZRQLUBitfUOPWJ
0ZmRU0KgmEsIM2Jk72g3I4dWLBY/+k56geY3B6XCggH5gRfh/JFmI1pAC0uyECdzNvRHBhr7QUDW
IMUkt+jWhmp54ahy16KfkdY+jDoJgQEFi5qPzdLbZTeL1ftdt1bpVIYzQ3tOoDCa3jMfXwgSojpE
UWw6SGVwcj5n7YIO6iRmcgoq3xF0ldZJFWlitxOLhuTRRUJia6FWeF/dirOucRwaLFKrfUSQXBZT
HUdxKWqyIS0kfWWgwSVBUuomCNmJt4FtSm8Gf0pkgJrNMQb1A5CPOoddMqFvgvr6E8jHaSgVG8n3
fuAtcg3n0vSAjlX7lsiBskMrLJ93cRX6D8ldGxREu2XKO+tMsBPWAQyYmi0pZwUlGoXm6BACoI6R
IhDRMp1kP6sO1UwH4ThLtb7Ktg7HDN9WIUEQaQAvdTr6rlQq06jHSDsc6t4AmBuTKOp3IpkXC7Gh
kZAFwi5D+AY2w3IvF32OQxlk+8n57aQyH7jDL5vjn9jnP8mwXyHGj1F5HPDNP2dA/PvL/30ewTf0
vwwn+M9fXkZI/Oerm3/NnvjL7zp8Hy++CPPzN13u5t8/Czfzz7u7sJ+/+wLYEYZJ/IZC/RPO9NdR
Fn/yj/9/EGqG/frnEOq/fS//oVAvH/iVQg3ZPwJMqcgyQDvoe2Moxb8oVPYPnrCEZgkarkEcsktQ
+BeEig+BSk3Ah8ZZSKHk/QdCTf9BU0CracTQvcTn2X8Dof4UZDE4gF7UMFwEoQ4E3SUu/SbIbmnV
q2gGBVL5qk7r3CTDWudzXAUCRatj+ibJmPtAF938CiD/aXi/4K2/iXiXK+OpUAC4jCXIjH6KeOlq
OkS3pgVQ0yO8pw24rimZq3RXR2jmlaAdoMChkdN9N/3Sj3/HDl7IwN9fH8dLzCLwRSlsDNFP5OAc
G2VUIsYiS1PU05uQOPN5YsbDaFz2AmVOfkfBNFCkn1tYtLMKx8NsgvjXLfWnz+H3qGWK54CsEycN
DXAzWB4/YcA2GOU0ITkohNjYVRB1zWf0Gtbz0jgcBL9Zlv/cvX+OHP9yLcDGMc3iBChwQn965mpV
6wZdHN2gvortM5QPXjKc8eRmjuil8ISQfv/Xl/zjAsOvB7w2o3EA9PhiRf7tAjNudfMSAD+cwdK2
uTKOdSc5Q94ChEXcQSOCqtt0M8H7X1/4/3qucZLg+eKYuji1frrwkKQeNUlXkAFt79vECTTkIndR
AUhtur95sn9czTFggYhmHF5eZIc/v0Xf9ovrtCw6KdmV6c03ES/zst/ckEc27PbEA+0VEp3av9lH
/8cDRgTBzgWwiF+U/XRltcwR9xcSp3MJu7LCdbsaJE0pa/Gt12F26i7r6q+f7eWl/bR3kJfREHgw
3mic/rR33BYsiYwmiHQw/b//ikoLRKq/ucwfX2EMUSQFop/gw0B8f/8Kh8hQTpWTxcoQHnCIIhms
hmX7BrgTKsBf/07hZfH//pfC48NlgKoj9qJ98/urpQQk4ASWrLAiFq/QE5MaOGiwHMKwXczOqSTu
yhntAiQyC+iYfJ0vBZ1PHUF3a2BIOpphnf7mtv74DFLIQNDTMMAFB8gvfP1vAnTHg3qcKz8WSzNF
/iqoel8MM4StmxY63X8di3DghIiIAU6EFPz37x/B5oO4cbVETFQru4IU1h5YHQFqMPGq3v76ef9x
DV0OtzAOOCIDKm2ccL8NDAkikMAeGYsVYPshEiuiXY9mv/ob08Mfd2YaIsojVQ3xVgP20+80V6GD
QaMeCwhO9kZ4Ig/wPLBSAtwa84Rl9UdAXP/cV8SKv7n2T7UEYk8aYvnGPMPRisPmpxg0D6aencLv
2KACeAeuv/kcKlFbFwkVtLtZFMXR818/15TGMU0RFfgfN80U8joZqqRH931z92ST8vUXF8NfX+UP
UQcGEli6cZIg7MH3ffn33yzLBRqZQBeB5YMOyT2PRXVTTTw+d+1SFS7m6inE5v3VB/+nR+VPpgmc
X4itKfw6mDQCLxzq1d9fddTEksg6EHsya7KrKqr5UfZOofncbBxKzObrgwXpsO6GccGCQl+v/gbZ
fziawG7ZSQRpFx070ILb37zqn4wuuDe86ARGjsskFPiDfs5norHLZm8h1W+grA+cAt87iITV4DSo
BQczpOIKiHdzX/V1VnixAYYTtsY23rrvbQrSr2AQJcYdj5b27/b1HzZBihlcQRBRODYxjSL+6cFZ
10ISjkBbz+B4P+nZ9l+2jF8kWi/bh00MJLhpJcHCRJ6INDBEN5fu/EZTUBsq+sTSdTjSJbUpiHlL
z7AJrCvkgCWtSyO186XaFEJyx2jidlosdgKGtsYAN/CwXOnV0H0bNRZTYWlnt713KB7369BTVaBf
gAQwVt6YPKhdcLOia/Td9uHgjgaSvtg7APvrXlGO76Metq4dDTp5rn22tPv6srd0IGqRq8bhJrJl
fnQ6bO+DqBr2tG879MBXJz/SUPoiWFc0LDi6cXUR45lUeUusux+7jSx54yJ+BSl7GnKrLDIi1La8
exOJcLdtELl599fb6Of3gqiOPB42NB5gHgv+/P2CdhKt7d6C8yO3EgAyTFlyF5djsvxNULicFvhR
vzne4G/Cz6cp0v0MNA2Pf4qDAp2WOdMNz2ncJs1XQkmm89B5iD00aC1IPW0aOKDCdrcFwBzQ347u
q1aD1w4qCxVm1tF14mp2mwy1Gso6yZr7zWx72TXXkaMEQkVyIU1WERc406rHreu3qYyw8QBJ9Bsa
rUMvD3TtaZ5W1abBO7VfNmoJySGKqsKsaDmNgO12aB0HX1fjj6ObxOcAvTaNZme3PrWxhXkGCQ/P
OZ4mOG74w3LjYZMpAco/XEJiu5/GKga4m6p7ANzcXgPJE4XiY6IPaIhWLp95g9hfL1UEMDRKy2aI
tQP4nw5bAYZsDYBX8vRhVZrddLIBak2CZL80JNBllZHp4o5QyaFp0DmMU6bHPFzC7VNUtycVq2j7
ipcOBteg2wVez0lzIBhUFecGJ4/eE9nbZ8STDOTaYgqjQM8ssxcPoVUR2hi4C78Lp4Qkx2zjkBz7
bSwFk+ahCrx6nOK0e6K06b/HZjF9njWTSfNQMgPzh4JFplrquwWiYHTQEnhQHhiT/QBQoEdsNcI+
V3ZwvhjDjUMKjlxaQCoE3aRTt9yDbZ8eQmblCf619nqYKnYmc7RPdMb3OnLRFR5+cDv4GMhVTMSh
5YuJChJCo9rV6MvMR4gt35vKfyGigfllXtbss8aKemwIU/m4LFOHPg+oIrmG0dscTOFxzTiYPFm9
giSi96BA4MTb6LdQ1EBkWs6BR28kREfVWw/oX2YBDDkpvfF9Iq76nrFHlYVAuralTmA/ElGX42L6
h/PpyIuRIDU9WL6E3a2s1AdAkqdWGJ4vmq6g0KDIg2Df5CahMYavYDOG+lDVlO6VUMEDFeiVi4A5
0OsqygHEfegVnsSFQfY0Fpy6Aur7CNpzRpsumw4VUPeuRPk2HuJR8CLBQpxLRC3Dim7BExQE3UBD
yHzGbI+53w1VV1VF2+r0OYTjpKGwJJ5RtMhTp4OoKXv4pQ7odTGx22YvP4Eo3/AkOyYRMeoaxwiJ
ZeHkuNz3GwkOoGaCcgljMB1L4s4osxNs7vbNgrHMwdM/VZGcc1CM4A+jfRNsr1qwV4HKEYIZDE2a
DCfvKreDYqxAjmVhThvwpwl0472clhBiPTrl36jI0GjoxxkSvwExdKdGY8EsNLXPXRe1RQ1weNdK
N+Vb5/TOxjWwHBeSO6obVLOzKipaR4VlzcsAMe6UZvWTmubpYfFT+62xSX8aRnktZgN1kNVl0lMs
U/ZVue0rwBAJymTo7BdkO9+yGIebI/Zduyn+LGDownqO45PbYJywtn90WX1H/DhcBcDjPolqu2Mu
XYuubt/C7Zse2hdeZ9+gerti4/7sAUUhSAEWWuwuhXdp2sKpzJJp2DkTv4HpsIVk9C4kpi1mpvZi
2F6iFPJsHzjQVe5mAFOO03R8qUkYHZjvfiwexCynbxlT70HTvmRsZXmSjEnRLxMvTO2+wim6CPDi
/gP5HRTP7ZkHXbAnBvoHDUmXMwU8fhz6CWJqfa2wxmRT5VaHj1NV86LBwXs99lGuQ4UevIUlR4+i
LgGq3cnY4w1t1hWNqK+RfoIVkiNkHpVQQGGe3PZzvOZLj95NCO8FrhCws4PjpaQciEDfj3HeDBCA
a+A5Q5ihCzXB8DBHKkUtBKYUbs98iMRzvSaHi5sNCQKbdg77BEZVgC3oDtMIe4gP413ngyKDcQCZ
cPsd3HR8QvYGgkdPNDa5CNm3DomHykVP3LcZPp7PbA6HMwAjdR2PMEjE6FyGqsWtO5KBZ7V3nQlJ
YQl1TzHRcxH2w0vg7dUGjXWns0uRUbdLQeFYcwryKOU3m4EqnU3rd7OFqpRrBkCf9jCimM9DV52N
ltWhdcOQkxh6dgyxCGJOVjDmorLWbbNTlptbmcqXFONw+yIOAZSLPn2eto2g4b68CFjQCKsfJPIv
9B8jl4Omf+gE/6gTbwvEWKDAE5t3oAI+DEWLylJExGFIAazouoc5w7Ayo119I5T6oI0+T03HzzBD
o+0lhx+cgB7HtdsfKA+bIpZVsON+bL6hZz1cafST9jzO5FPMZvkCSyVeCgXfYRXZdoEaFAJ02JRd
3e23Ljggaz6olfoca+I7hQ0Sqw6ixmJ8ewNXHz9p5R+bMD6Gq33qB3U9L+pxME58dm56aOuWgX1E
i4gq/hF6We9AkkanzWoKPcsL9A2rDgyd3lXS6byZ29sN0flRT/YRjTVw7qs7JIkv4tHdRNPUYL3H
L2OH4oJD5+Zwi4muOU+EXW/OPtBmQqBb7C2Nu9suVc/VdkGFoVocu9X+GOFvzaFyXzd1iLgBFsAC
RM7X+kLnkuAHQCAFlA2DDa/aaBiRqgJjHk2Sjz2lBZXrNTf1ATTEkCPLSE+VcQ/RgNW/D/Eg0SzG
C+/nt7S2pkxdfAAEE8MNOTTdbVDDZAKbTU6zYXhBa+cDlU2Tx9rA09nRcSk1hD+sxQ1duzr1t5Px
51lnILuX7A0BnBWq3b5Utm1NHtY4xKNEIE+BWzRsaXATOzR+qWQwH2zLw9pjUUK66HOPfk7etNWY
D7aycI7OBBCor4qhEugDtzt4Jg4Nh/Uo9vieuX3saIaTnK1BoVX/dSVZWnTb8A3wNzwZMUylfJlz
Hg9N3sdg6I2N7gbk0QVAvedkmK4TKSDKULQ5+0x9rdfwCgYdd9dV3XJkdRyWIjJTSTz5ZFXS3sje
p8Wiqlu4lypYxtqD7LtTADgvrY9gm0tv1S6ewqs2aG7SRuwCrnEaD4Ci1orADQQYuJyraGfl9K21
zUeSticAduAoku2ZBXrI/Ranp5XprgD/h0/0kOE0lSE4AcVh6UsOqmkPZEX7hGl6z0HSs+BpYnG1
d5M5oHn8WqFqWwV4chrfI9PYB9lm4ShTJRSNb1Tas2nHqy0gBx1Q8MhLl+WGkX3d+b1N+T1U5Zeg
r76JIYZXle2gHO3ipd2NY/q0sv5uM0zmW9+9pRpcSbS+jBx+hgUnrBnDXWxj+JfBVewjLu+hn8q9
W+wIH1e0FlMk4d4ZAJeGC15HxsJyHIS5FQKuwDkx8HMgvsOHdswcVkE7RIeGAbatV/00gRzVhKg9
h56WM3tJeMj4GszoC6cuuJYkeKR1ehvDDVIkjlzBx4CpDEE3nxMfSSypuIEBo74iMVpSI9vwgGYy
9DAAZ19aqD27qvPoTs8RK10GP5AXVxsfrrvE2Vs7jB+pZ6RIVyGuR46MHNn0J95P9yl6x3fLljRH
DKDAruE4uvsth9EKlK6vyEuLquQZntR3eCUhF6UnG0yPPCHPwAeK2UAgdEn8o025RRkKNsOm6Zcg
gz2kTQC4r+kU5ku03bScDgV4L9h/U/sGef3rAqYyr3SqdsnAn5M1pBcodT8Ocju4zYkz76PnruZP
TUMwqiKeHtC/eUhrN95ipISGO2v7Eq/krGcFPAJoYimj9NFJIBWpqapdX6t70rWyMJUDEJGkJyRp
B7imzT4Di42mB5MlRPO7trJpYcZk2qPd8jBO4r3TSwJmoLkblUS+NQOGz7mZfqDB99ADncsddCSw
xerVBBQ2TK++jdH6EKosPinuoxcSzqDb1pkVsqp9sYTGne263c0pgzuF1nbPagF0bvJ9mgPn/Sr6
5ZpKddPiADtPG6nKCFVPifOqBW6IwHGDdbddAUF4mweZFEPvEeeQjmwIoddphjkfZR8mw7Fqxg8y
d+48z9lcpE17B574bjDtebXocKteZAc1zjh1fEp2JAb/GmoFuJsDMhm7EMg03fRORElVwscV5pno
X6fNHFPuEM4QWXKQszvfk+FaMnCz0D3KbRleYKj9vrGJ3wdwhN8EfPLnMZ3ovm/xmt0Ykp1M1vom
stM+gPGqWekBjSHyZgdcGPT7IetT7CAOs9Igyb3gw54b/1rb+XXMWlOsvj6lqT4gmpXBDBeycdH1
OJuHcaEX3mm6jrYKcDZGQ3R+ACaFcQhotTSPS5Y+j8LFBdv0/RSwz37I7rIlOi59EJ40x2MinLtS
LutO1OYFYwFewnYKriY+wmlQP07h+NgvoMi6rX0L7HSASxCzGFh8beXoitFQmGGz87a5HZ/UjQs0
yhJUMDiq90DvEaPGdB8v+gAH3w46xkmCfMbBYoZbDkN+CB/J4K+pZhbOluzU9tVDGA91YVPXQTGp
TpnqwaavAFR6XsK9uHMhilqYa1Aphz9m5S57F2bEBmjFLpUpjKgyRGPtAtcEqFlHG8HzJmk3lpNY
12RPVq2XomNr9oKCcX7KgqqRxRSQri8JKB9EFSEqkJdRGGy3DFxr95i0Gse0nzNpjgDpmpvJkO7B
1eP0w4wWwY9og5RxgnvqlkoNBjNs55icKwfNB9MlGP0GJYe9Etu7Iwma9XaOkno+hOCHXuEiUncK
fHZVBGFL5B5mH3pfKVLhsA5tlZxgH5W7mdGOl9hSfCoDA/OJWsLn0TZLeI2ZJ+lzoubmnkJVLpfa
3220es64f4BtNnh3zsUlwFbEO4UZI++R3u7WVEd5O1FxTmrAG3nYCCH3cJPMbxjJs2CFmQgA7pig
4m3sA6M9HFDQs4hBsSCam4rUzy6GCXTAfTsnH4Fd53Jb7mmdPUAIhnFMrwsGWrA710hIH34UN9SR
rirqylTvrBHdXQOUbhSwzoM6KaoNoxL8hFEpGshLT6v1JNEkRmwf1xgf2lgBemKJCqZxyui1Pm9w
ju6GxI1346Cv7GI/dRjwkZspWJ51St8Grl7TFJQYLFCQwlWTvgt4+VBzVGGONtV21WYzMv20+dR0
bIL6qAN77BFLcmnYq/RcPvWq/kyBq2LNqZFhTsFSxGSMylTOGCRk4fTOq3GYOYQDGIDqemqiEiz/
WvY1OEBjTyQCWLhEd/M2tmDcaXWF9vr72InxULfePTWK9PZ6ccvwFXVZjUExmt9L1U1713L5WMM6
UMBygPEDM2HoJayPEChLX/NzA7vLvbP4XyCIrv0BI4UQz0SISko04joYavaEDf7VaHffIpu/GzIt
Rhi+wbUByScvKIShuFZo7Dz5WW8nHItAqXGwPqseNZ6EHfs+TRd/Trfs0xYM5IyJz/d1JD7B1LJc
jTE42ibNtleS9FgISNrMzhgevMgRFf3SdM1ubeb+JdsgICRtz57CGkwoeJ0GHvuIn9w8ZeDhkvVe
bVnzwTEB64NZZl9Bk0e5nOPXKQz4FZwi8g50DfJw5sSN5JVFKoEuOhwsQS4m5/LM0yuu7VI4xVjO
V1jXmxBNfOM+MP4FTogJHbRVf0VnG2NqmHpYJ1h0VQP1CTsGED7gPdrFzRXaI8MOZE5/ssO8nDjM
t8fWVuo4KmZfIucr8H5Z8pmGoNImJNEFUqlwH2d9CJSAwmye9RhKk2W7FtIQbHieHsEQ8cI6n9hi
Qd8bMPVTYtumGGnUnbfA2D02YJe3DARVypDIaG4+r379IaJh73lU7SRyxUIulO7aJopKOXojDt5O
yfhUa0zXKnua6JtZbVCsAGQGLzHDgA5KVavyOhNvEEk8BJUkcAUa9OEVQOXgcJmOUBDil6KZl3tM
mIAyxhJ5sl01lDMGjWKQyGUWkA2UOXrF0tL1awg3K5XkNPpE3Oo+Uee2jsmaj40f98CE6sLzun5K
g47dDGK5Jj3tyyRi8k0CJn4bjGAuD83q0XJLg6+06fQ+g3D8nQPFQpMgcsDr61Z/zTJYRq6FqTDA
ZqhkkwuNISrqojSjXppECac8EhXsnTouHG0EFqRnGc89ckGki/CvJdFebQvI5ZKn8wVCczFJH8ag
HQCoLjEW5NFrDaWCQLXG/l7ZUtSzyL5uARwqKE62JkPGzWtVncOm1ePJVrAyQKWGtnsO57CNv2O4
iMXuhfWogntzG/QXoJB6/YzJHTgLMCErqt8xZ6Z118E2J+1p7RdT7zBUQL6afv6lK4EJxrvFYHvl
gnIFqssieyuAQEJICZcgPGAOS8ROOCuSESVQUrdPcFol7zVGeNxPKPjrY/pLO0FPnREnpKc+RkIx
mOMStIo/SICx9hxnNo321Wy69TjO/fxpTCQW1dAl+AsHeExcBtugyw8hJCXi3FDndQFTQIThRIY6
AMar9rK/jabY3Uu/CL2HcyY6NtYmWaFZU6G+gu4IPVv3Pnjvpz4oegxEGL/PlJgYk57gCdgJ1scM
rTIW1OVUr6CatRuX6QhZvreFazDOaYfmZQ+cnQcESo9VWXeO2mrmOwFVtdSEYlCaPYQbefAxjBg4
EN97kHIRXeGHU49u7dbPo4D8nIUfZBUQCs2d7uCxBewIXVgh3GThdMRoDPawQW4tOfDAK7zttwZZ
LVwA3/kcbLsuXbc3I1vwtVAjveFw2W7Q7lBxQW+Adw2Vz+zWpPQCgsuliG/28ahSlJpfdLPquggS
grZRbcI9qviqzy0mVhW1/tZmHD6F9UtYz8ntmNgg7zC8pLb1dIePxE+QzLvnKFvYaxAqcVyYe+dz
jKMbvPlxQra9QwnVLDB10/Q84l5z0aUcrxgy5c7oaIBeB9w/k4c4mMfkYcWwohTMsUU0cDrxsKpb
3sC65R22SDL10fUC5PW9jjHHqsCcNRufJ7P2EbSGS7sVXkMq1qMwLQr6mHUaI42aGXXBmEYoT1A3
LgvUHZkdxpH7+LqdhB93k+IsKxqtLh7xdUrSq6ElGGwFSx/sUFgw3Owjax3GXPSGsDsQtmlypGML
30pMgBhUcEF2N7CvBwkGOgXReMLrbbdjCJ/HVlZuxn2n6QRsDMwIurCgOWqMS5hm2j0gY3b18yy9
jK47FyAUJJbgT48oxPMgGLMZ40RMUCOBqa41GP5574bMNPuGxSpAdMEcrcvQuTHCMIjNR09dtGIY
XjYzI49BK7f1yHvWqSn/NUxg2MfSf4EhemrvYxOJ/qab0NYpg3UxSuSRqmH/z2DwJjdZomh7xE8G
KFrpRl6FM6wNc6SnuzrWqLBo2vkzG3sciXFn7rCGt3mvbTSTXQRQYX1dsiHD9DYHu0pGGnPEfEWK
iVSQN+67QOkjOLL10vN5nWYTckxEM1mpV3Qva+Sdt1s9tCf04n5k6fYJRyqKLCTgV5OO/B2C93zV
xskVWGN57JssOQBXuJAfK7SciM2Hno7bDqMhxsIQHRfhlCE3GuL11BjSwByN5rt36GsVLFmibwsX
ZI+eefW5GqgJL7Ja87k3bbPuDYZbDKjytRZHSNDILa2e/fWg4RcdkhZrgcHAfSXTCEIQDH3Zbe+8
O9KWGxRdmWAoQ4YKDpHOixJrGZl7bzAR4tJWwfgCHNIOM06wzCM+fGBclN8tml3XVde9uzr0DyTM
6IM17doe1v/H3nksx5Es2/aL8lqIlNNSqCoARQiCTWKSRpDs1Frn198VAM+7TbQZaWf+etAwAgWk
iozwcN97uQ8WxrPwCaxCPA4Kb6flgB1CnuGSyMmx0qu8C7dLE3QHKxrUOWGKaM4AKawrzHg/8shK
d1kQNo+qVexqSMjZXMmyTmz/2mfsSROAhbl/xhxhHPkBKL3SLreY33Akisrini4JwIlyIb21tsI+
rp1OzqUM5zuPneodRiqQf0r/ZZcrtiUqteolJ4tA4czrFQgge3nKKLR+ijNd3WfS+4xBHXSHLPx9
MY/hfRgOMH4yf7krABsxM1T51lNlfeu3rUeyvvcBZoHLIJXHcxKQCKlOdtl4gjwC7cMFfDDRuO0K
TAjOBpxtFyA5w8YjQ8nu21HQRM1s18SfpAj1tVcPL22m8j1Sv5OXhPPNMjfujhWjvwS9p8/Ii2oq
TG391UuyJNzJRiHabkuTI031WB2oJup97jRhsoPuab8MVhzhUIQyJ/ddVjDCssldvjZelgI/Ci3F
tj9N7gIKd59je+k/T7nPMqHFvcVfutVydT8MmsoQAUa5ngWV42C3UDK7TIQih84qx++203T35Rp3
d1Y7nFPpkTeS7uQdSSiQtYLUR6II/h1AuKxa9ReIC/6mX/xmr6ulvHR2JI6thw5g4yOuxNsxpNlV
kYp87yLUiZh41vg5Dl3/YMWVwHFMXZsSbF0zr/rQ6op6Jk8MIwjNmbpeUXNfyQAPrR8XatpOtSPI
7k+R5FXx/Z2CA/eoRcl2AEXlFQXJgKJeHKqrOFfs2T0rF9toKtfDaovmNrLG9gUPur6k2fhjEGXQ
sFdaT+xpIizVIY4mXVjiVGLDOzUugaiTBc61TMhlhatwruxmSpDHr6F9Pytv+lJ3tQp24dgstwqq
7UMJ6PIqaOt8v66lfyGB48M3DY+jswI6WsF4iQHLpJgf0IRYHxe37O9bqmKEr0l1YPwjjwhEemjy
RP/VScfs3EJHnyKHkbiZ58p7CBMUAH6V5qcAVsixTofwOADreHGTYJf6ooIQ5p6yMl6/oKYjqx0Z
jFXqtveWHXa7mLCfHW2XZo+DnuTnyVHRxQFWw9qsYvI4rvqgZlyDrsmvYj5MrwZHJjtRoS1Ajhdj
bwoK9nadOmbJqq/COMN6Xw85YUYeMv7j4IeeQnA0WfkjT8tp2zbD8HVMlXdpKrvpNvWAAtXrBo5D
TY9i9wwoA1WQP6mYwCbNz4vXHXxDtqO4fbAb6ziH5QjRIlrJljpnpSYc31iytkG1fMEEk+4RkjwV
RfbN6ZGZVBBI5FLbUEvETeUEjU24gF4wVBYxEfxWOJT4rQ9WYeIbrHm7cinrLXmV+SZjNw6ZZY4f
SIWX17PIH0YiZ7iNiburOrYT1kA5UiO7PVezYLA6C1vmqLCW+Lprm+QQjGN0jc6j50EwJwZTwAJc
kMPKx/VxFVO1y5hE9yODeJtPHVIqEeyjwf7oifSlgHp7gOob7SgI7om95FMvsyOp9hT80vJcd7Lb
A1ORP6yK9SjRU2JjulqeVr+eQJEmE5LBAltpsUlmPz5baxH8FRZhQcLSW0CDJTJlrhwxNex8QzYa
XiFHjeEd5YZ8VBkG0mxoSMpwkaC6sqTFOLkDsmkk4UEnda8QJYNTokwcX/sGsRQj1Lz4Brtkk3bG
/yWuyCmyCTFwptJgmtZgFFvsRPXH5BXiZHBOpQE7YbY1JDxgT4vBPtXkXm4jCQqqMlCoMpHdFkRG
cN2XLaugEzkPIvSWm3UZmifHcKYKMpWfLRdP22Kd4QUDo8LEU92Qxd6Kvn1OBqe4GwYHl2BaJGdl
eFZYSrun0LdhXDXCB1TYNN9JHotrcLPRtQRIuwm1YStEqfiAwgtgFvMZVQdD0ZrIbGydPi2wZCIi
DHwTM1ZrwguqccwZCpdSltNTt3D6u8EtrYufULaI2Ph/rPEz3YUoTve5JBemonVet6OhfQlVf/V1
V950OcvhoVvG6ogp2N0nNk6hfl76l6Cnyp8blhibO6bnAuLGzNbrdiHN/RBNMZXh9ZVHNpLqPcNK
JYVLyEgFyIDLGpntQuHNV+RM5NmbcmsTh1xB2SLASt/4Z3nXnd15hhjcLot/rgwqjSJ39bww08xH
3urgsa2yPNqmhq0We123UMm0qiMQUuaAJO/3C3K1Y+Et/R5tAm9b4rTtX2FLiEnuAzDmDk5tBvBr
kOJ6bi37HJFTUVssOt6THSnxd+wvwbFvicnGJbbFU+243f1k2xYtxwZ125Zee1779a+08YvbmS3W
vU6d9lyEbvUAUauIN3VU6JPrNUNLGl2tkIYoju204dj1Yl5uSe3ne4eNodiMpPGrU+6WzPLuGEny
11E72jsLEvDWdXsxbCunLr8tuozhJ6k1fIoxyP+tszCgpgJ0b/Z9Kg19Lxg2uMBShjwQaaz8BtSn
Xpl9qOLg9yUA1oiBZXfdd112xYRGzJY7Kxow9o0Tkl9PHrreMHEptD+iYZjJZw/VnRWzW/hYTMx+
mFm5nNDS/oeGhF6KgEa28pONpoLgKXWjs1+W4ZYduauPqiTRIOoi6TdzXFHysOfRgQ82whrZSnuI
fog+HamLesi0MHielS7li+6m5gxWgfnB0TNVDL3e1AE1wCgfy9tqssK/8JS+xAAgqMhT+84c5rEp
SWCne/NFzyI7eLU11ZQGzS7Zrr5j0Tz1og43TZDeVt7wJWGQk02cE7VNqhhXVQLmsZkxbu2ghYCG
QnVVfnBQTEV7RGjMekTbRxlacHJUQmZp0GmzjVRYXckI8/XGXYqKa3JB0cQWluPR9b6RxksObVNe
dfBX9vFQdrd5OraAKzNB+QqLApJsdyMk6pa0dYJDvLTFSbFp2OrZ/wZ8CJEDYsqropH9X6klo1NQ
hVEHWLlpj6SjGl4ghBBsdgEGN3N0x/1GR4Qe7zqb0xnt6QQad8WIc8jiheTxykOy4r7ewUxKrOtA
rMXHsWLvuXOLyZf8sLxdAR7c+Zh/ycpDI1rPzKvUaD2qx0RQJL2oj9oUg4AIWLa/n5M+PXVRSYzO
z8S+Y5KmgFw0gowZEhU2JNERg71ud46Yxn2EsORA+s8atnC6HibKjADIZupDno0Ia3aeR+0AfJNE
QdtMYdRmh9V/XstkOkpd5wQO4Ms2ZQfWSA8OBdW6sr3PrWOhFfTapbgFJJxeT2LmPAj6Qmpe7Jej
QYw7axR33G0m565KeYZltZ4SErB/FF3+S3KJSsc17l7ts/f138m/q2ro7bGtfsrpV3AJ83Yq3FdI
RYmoxyZEYM4yu87ewzU9+f1XivUeheC+azHIBOyCj1MYQoZo5hKBK7PhfIdz0CcaS+cSbHCvB7Wr
8z7Gr9gvFGcMV3Z60w//f9vfH3pPoKP/h573X80nfraW/LW5tWnu8Pp7b/Y/y3X/B7KndrHsGROC
Lf6f/w9f8/84kpCcxCqmE9d0gPjp//NMpwnb0wAnfInD7z8dKCTtArVy6HkqlYc3Wnn/jfnPdLn4
hybYHFEqOlVJbSxwuEuMPPkfKv5cpm0pp8z54YMjGUDFol618q2okTUC3xjq7CtSKqrVZbN0i73r
1eygL7Cgvr5EZWsjBqsUgIMzAxWxNKTnskHNWeTMcE5hQFEVVvj6xcn6dK523Ks81dvI4xX/4c1E
SQ95PHv5V9936vCbJtPlXiIXRApqM5lAbIHhDU/hg2GcTUiOoa5mKB/RUBQ30qP/ATErdaLlGm1E
mf5tdWPF7/zjkaIyNG07/umZ+9XpgKUKkyKNK1z6iPD4cMb8eo88WSQQ+mL/RwjTNG2OfWHn9jG3
x671yA5AipkoDNV58ncumIXDw+8P/86WxPE9LFBYCvAV8KQ4mV+Pv6ba73AxJ9/x+uoMsWGFMRSl
VKCsJiVrO8GLwOLcUx9EpmatdXk32XrpFCvr6k763LsmgbCpqka38kJqueFnfzjJdwPJw1uD+wxB
E5gBTbOodzfJb1TXL7AOXsrcsRgVKfeDpMu4iH5xriFCMZI60LoZcTJRPjAn3AIwH30rtZDgNTHP
z4ylBZ4C0TYYkGt7zmoUVn84UeMq+j8VvM2JBrhqFTpwZfwa7rsRP+sJoEW56pcOzZJFHrwHDjig
E4ewBaO1WRpOzvKKkZ9VC9qvZedn62I9TiQHTh3iY9SMxboCfSnipuxDiCaglwANkhPIH9wiiIiL
aJU7c5OVlS5oFsUa5PxVsitT8yd7mDFu/PN6hEY4juVQuxIPLxPCr6MDfJuFJlBb312Aouw5otWL
vOaQ+3avTUjdu+5z5ghgQ7+/ke/eCsQ8GJNRAytH4HnU749bD0vlVUR/36OFt93dUJ3KO/I9oWlu
MaXJkHwowxiDHJTZClfKH5bW948RmSUdbE1zErrLKGavXy87Ima2xBzr7xZag4Za9CRc5ytTmNWf
2AN5+SWxZCVvddYsw2PWmYTPBiRdzk35/Y0wa/gvDwBHCy5I59XKDafi3QOgmCTSJSvDb2GwAt+/
qihahsveCosuWK4Wv515Kr8/5L8v3scDRYWQbptC48D69eJjLw7zdKG3ie3CcoRHI6GsZAeHQn9n
7+GZ2e5zCy+SuLBzIU48V8hg22A/sh2opz8MhF8dLOaF0pgF8S6ThDPv1rs3n0yl34pmnV/mFoMI
JPIhE5yFgKdG9Da3egStrrLGjMZ+qswXEqzDH87inTMMBypddGxmSSZqYi3aXv56T6IAZnlQ99YL
BUKvIFfTx2ZCLOYqpjA/4ElZ7W1SdFiCNzP5W+6Ng8RwQFjgpuTVAayWjwE44rbcNU7VqgcIG2X3
8vsnJ41j9Z+jRWFBDFxiQqzQWAvfw0U4sxIe8Vg/e07lpIg8hU8VleI/ifJ2K1fPYmoPl7d3mD4O
/Gx4HdS1DH1+NCOuQyQ2TOxu/jSsXk1gv54c/mVupJRkLCETvHuU2ZzRyCSu6ue65S6SS+0y375V
MsZ3qjs0+Q1KlDFfP0HeWBY8K3ELV3nLtDO5D1GzhtaxLeAYfmIj37lkG1wTIMD9LChJZeQ/mEyr
TgdM+MvoOeMDrGLwWGtO7RN2cA7ujG0YcyXTaVUGMd/UICrWT34xz8y0tG5Z+NKtIup9EB2d7g6u
N5iZNpujhACjeT08qRALtI5fzSl/oiJ44MwTqzSxQV87RfZ1BnPQ1CTJEPZAp0IofNO2WQifOYfv
XmytKCQrEtksrqhXytD+RK5AsiTQdoc4Y2zKihDl92Pj/USiXJzOnofxGCqJo+W7KQ3WdRlBNs2f
V1l0uK5mJTy0FVOVVuDEAL/zVv3+iO9fXUX5A18xqweNnjCFvTti14oupro4fdErZhZnOw22Gf6q
A4eMEHFsHPeZPl30wNhMaug7HBGEAYzT35+GCWd/eSnoDuyCtMDirQSmzvegn1WPQ2NRk/sESbxA
ztNXg0PvkiZuiB3irAO214ZeldyNiACID+rYqWj64ve0BgPfTgYJ5I2KqFGFvvs4a1xPy6abpDs+
9L4lkm0DnrK6ZhAhE06FTfKajhUu+bWziAXjEPkWa9yJtjq9WadHQA0fFKsO6nCdYXoa/2DHlO9m
cF8zQbHocdVcLZjld7NV5obGKd55T+NQCoJYMlOgd9S4mnFrs9Tbx1hOM8N2zgJ08Juof41sLRdK
Pm8FmD8VPoaza4a0ahI6qx2TWmkT0CCUFJLc/Vh3ydWKbI63LpwKE1PLxS94Oz2JHvMPo1e9m9l8
1mGEKopZjSco0QP9OgE3usSllpbqye/hxteHHic3J9BblA15dV/fYyXEwrmFSG95xZkrzZTS1g1h
IRBqwng5O+ZbFQqK7GsepJ59TCb8Qw0q1alyL5Ca+RTiG3OJS1S43SGjuQzVc1RHutsuRHdc7h/G
57tYh0ujBZqtJK+KcHCsv7s0yLsS8mm1POloNDNVT1+w8QHDWFJ964WfKTTnfdWsn6jjmWi2sCrJ
A5ndIo+W/Vq4so8OAYiw6YlYqeV2TChFGH16XJlNKMcHDDEwvrWZ3QamzWOi6olprWdF4oBJHwr+
xR5LciuKyOZWkDGIaUTh5EPKKxEHKuVfb/fHTIXZ19/fhHfvqE9wz+rqKdof0i/vXwGXnFbbXdzG
+jgWHpraw1uQpWJ/HrMtO8uYZPTvj6jehbbmkLYmvBRsggXms3fLkUhxcbo0tPjYDZIR0oPPY0AR
qXN/7LS2YcaFk1WR3oFFsXDD8zEEvVww6XGXpnbO+zvP7XycD2Fv+0wGvJDjQwvJihWgsHjxMSmx
UP18bFFDiY5Cce4D0wUqLMzjiLLZPAhYb5IvwYJ640FUSFkgI2SUnihR9Waf+vtrtwP965zIxZtF
gElCSps9y/v4mtipsyJSxB/xmIKBJredaexykwjTi6tWu132ED9dDA2BUmi0Ni1Vn+Ys8kFTDarZ
m1jX2IcAwYdF7OltA4YK0AE2LPJJg+3uqJdU+Xc7zdf2oagAK3+dQPVNH2C7i3ndQdLEprZt2O11
wwFegj9e2iYG5Y2+ShTyRgvYIruybEGEpSb7H8Ig9xvTVqIcW6ppSAlGXoZxbekispktB6rGAabI
YD+6eb/Y6HJmOUz4jYIpliG7rTDqT33ssY/aeiAL1tWQu5iFTzTsCIdNg4DDxcQCRnLn4ApbP9Kh
UCWfBjuP0KrDp5PbhV1StWwQ9SK1CBKFtDxycrKWSve7phLTeh2CjKYuNMlYHSKr82Oxr7OqsJ8W
Z4wy6ymoSBl+nPtZ97dW15fWAyuGN3x3Wtdtn1ZvjNAg11VFu4z7YF7z7Cok9TkfVpo64dILEJTQ
6AQ5IhWqF1kgIv8eKwof846hsjQ/qEpPuG0yqm4yPfZh2SD2Imh2cvcqLGiEdwGIZ2XZ1Yg+pcvj
H7Ff6p67PEvtt/btqquRIU26vavje+2KnmxrWdp17Z2GIEzi/KZ05qyJYJFFyOJuJieMkuQQ2sU0
OA/oP3RzclM7jvwDY8XFLFuPq2BZp+kTjahoCGC7DdyxsAUueJoi9CRIM5KC1WabkYZmgh3p5+N8
JnfrOt2JwUEufjtpwhZ5Qd2Q8kf6RdPe4EMO8Y4v6MPNN60kwWOHIIy9pTFPdHbzsg4oV8YzpeE6
Ukc5W5bnQUdwssG7mstUgtB0bLAK0G8dK+FyIu2wqHydQ3h3wTZ14sCJPiyQjWrvDvlBOuUIpLWl
6lM2LLTf+OCm2kkCUv6B2Rl7be/E2ScvCkNrvbbtvONOWQtI2uKWWbuJae6nsYTkGK2aROZ3OGtS
H0R9ykSAny0hV09BRitzSvAecqH2IqIDB3LwOkuNJotmVU75WUWq5HhFmgfB04A6rqHshE6q38Fd
TlhBqBLE5o9w/oQsm6YJTEyPeper39axLLV7SGPqksEGv27Gl6qLe+uxLIBvECaMfeR7NAVDWib2
a0m8cYXBv+Bz9dulxsCouX1N6vEfa0kXcrQ8luzIcPmbxyORASnnL5nP5j6XNp4ZvCEDOmZl3Jx+
bP9oGjY0zaFN8FB4W4oDi9dsEz92BosnaA/N8AnU6pCU3C8rXqureKByMN/66Mk5FYC+bb0+uows
jgAvVTYvoTWbAea2MPnHs7NYfC/HesH3xlHyUZZYHz0ZFGFMI1zjz+tpW62bFxJuMd9z0IG7jxmu
reAVkEkaYlN7dO8R+5+jhzauAX/So2DCz8J+eb0ZA6Om3f6McQNndcy/dIfCTYuktR5/3mrr7eP/
uclvn2OnqLJbT9UFJyCpoIwvGRYjMKBJqRcuugG5wrEiYzISSELcqAo2ztuDwnkLdnhPnmxooxP2
2SU0zQdjNK4fgmKouEujKnI+otBFclZsc0PTkk8sJuiNCsc49XIvEiAU3+5gVfMGMa+9XVOsEvZo
27oq3Ukel8E3uTTx9mjfhocbZjR62bs23WfF3vFyc/Gzu8SM00i25jCxHbt8c6ka4cVPq5VAsTpz
pfRCgwn+OpDWgaI38bfS5q/IpEXhxt7M04yuro/Nqb/dUMpMK/+ock1lZm8Jp8zS00opZ66vIqgy
/Dbsn4p3OkgjkyboJp5vMnqqeZFuVDJ8OoeIlYtvR4LdDx25bPMHFVLXFr0jljDuSCnM61Csjjn/
cnCjeHoa8ojWNYcy8vm7gJNkBPWlWzzZX+spMGMFAgD6p6uftzygHsfpzInO+COsAPRy2KR1krHO
jxLPIGr6rk2NwayxaD23FV0UcnCHloJsmfq8JsNGlyGT5uAxxcOJRofmdR5YX/ke5VM39cGFZ+h5
zzro8rk69jbigmKbBzZACMDndJk4YbYf+HzcNx1fCBqd/FI0A/9fiolUDrUzSV6lIZefX8YMJyRO
xTbl6DKOqvET6J+ZXUC4rGbsY2h2SRLPulHMMHQnzQd/T8cgwUcAzIYBHVpAUK7zFwEfjfkG9hM9
WI8/08kptCvaIw00S6zqb4vd2Vqj9UEOJa706zvTVD4SzE0XTlm4ftKxX039E45GPBHH/u3SMd53
3CKNaT/jirJo6py9uwrkW9uengD8TM61GTVkl80Qf8vi+SikuQNyQCmB2ClJFF+g2TZ8vklIyFkb
1J9kNwNboQZAHpIsbnGra9nyCXeRZg87OkPHuHpLsqzSydvwQINSPEmnCCs0f2N9y1OFbMvJGmEC
zcjahTJj61sU7J3KbZ+TmHCui8w17xOCGGRy2wiQOVMlDjWIu5duYaZJD+z1zM0bEm1SBWrwM3Lx
aV5G/Dqaba7yy0R4FlrQpru2TS4BxhljqRxY7m49+nS5/b1N0nkJ9zTIRstzcNGa5aDbKwsW28Yj
CeQ+02ZQsiVnMQx4+CvddLgqFzceN7Sgpzh3rVWtZPC93cm0r8iH6kQkejxPq1OE3n22QrJ+bAmm
ySqsdRO4z8y3jC/K5St3ILWFuQbak1tM/mwvTZYqT4hXiawDGtDUz26w0APkxZ5zN7+gt62X8GCr
quutvyf0PXO4Z0XTubPpcrKwFsgm6bWfqB9MWf9RRE0aRdsQiH48P0wesU3zPRiTsVFfutAnNXHV
ZsNYBFC/1y77tNqDsmlExOqAM6GXsiKmhGofDHJglCMzUduRb1r09AFVRPy5+3klb8+yqRFQO1vH
0ch79uHrdJPT0YfhFiyRmU2I/s3Lm3SF+UT5mkMOU2W+50gMT8yJ0WI+GFJt5hPs3E2GPYEowqsc
ES2Gl7VfZL1PeVHNWxmgIqyOP4csMSUzEf3RzY/esrJmOqUXWovAX8NvUa3w72huEYFGmURJDtde
1jBQJ5DV5i2nBG/SgR11Ir7YhGX9qcG2Yj3agiz4hSqDOfMsodL4/PNAThuwpDUMFevxbcdWJunq
AbAr68G+z94mrOwt0dj40mRuLRRG5hxbt7VtJHYFNJ1N3LiD9TgkTs0191inGUoJnCTuR2wjnnn0
xtyc1vD6wtEqmHVkEzqDeclrZcqM6CVnMya9ECIHDUNoNlcU+zjNeRsPbzeEqo2Z9DIf/hfTOzSH
9DpWOgeb//vt1bsNvSGxUm+lws/kBpX4fREo7skhU11SjzFNqThrL4pm3oYJacqlgS3OSeQjiRek
0GjoOfffH95sXP+RZzWHd036XgRATTj+u41tO8yVNXUeqaq3qTElB8xZsA/gTfr9od4lmnibhAdb
lqSMo/m/a7b1/yjwIqhu6Iwgy/+MEZHNyBGaOrTtD15A5YQZ2Y3NQx2SlCdc2S0dNHH5vU6Ovz+X
X1MIDjIIskKg+IBqa804f1cpCUcQozTFix4hDzKNJY408ThONU/vV4x4f7zP/z4gHQFIHCDmgnvv
BO/ym1ncCpkXInxAO8FCEWWs+CdvyZjmfr7Zv7/Ad4gtc4XkboXjIaJSIL7fJzLnHFRQ2efuw88Z
A1WjSdovSCOR3sx254+HtMZicz9MGrV8MdC7hsaYLVOD1a0269EfzujXkc4ZmWZcgMWgkjg2Kbp3
icYlENbkLVgf87eXaiKu4x2fhyxkXk/8MeERxPaw8GYGmsWB0MKiIwImqFo3A5pAtGvhwSl0Bd9y
ZmpZtkz1DR/n/QjlJVk0+8nt9Fb8qd+m2d9fxPvHyIOzhQau6pCSlZgPfx3DrLtYSUD7XGIY2tzO
9TUQqjunHO4Xyx/sm//+eI7gQZr/XAiyvx7Pm4lGMD0Nl5/L3hzFDZb0ipkVO3OXRP9Vas0BEUmj
HDKLTNwGA/1+OkCmbJSeSXp5W5YIks3T8DIcF/uya8yC8fsL/HX+IT+Lh4+BakQpFA/5968XSKPx
mbbeTnb0SqvNnK1XFJ5+dltemP9uqjOH4tH5BjoHkJJS47uprqCj1AKUKzq+hSKjQ3aEcaTwOv2p
EPtTivF/E6tDrpBDwfpVr+Vh//28LgR1GXzG3VW7KoELVjmzqYkPwlZDRZuRkrIqXvmI3GqwKcKV
3eKmd6JeFtes1l2F/r7C7oepX9nkHsRdETpRhKaU2MCpLuFMa1fIaaGi5PSla5qCbVCbKpuW97D7
V9Wj+hZuV+z8FttKDhVPVtq9C97qeZnLZkR/CMtCNvNtFsVjgGRmGN1EkhNJkWoc2Wh4SUG3gbTm
UfwMUDwDvYw32VtYQYTus1i4r9PY21YjmwRT94Q3gambraEJA6ZR0QPzWClk2pdSDXyAEMsdvIvu
kKISPr7FNjVSBt52UfsS6XDW9QVtjsquDcpk59Zeng5oIt9SHg3LJk6At0DmNYKisjZxf9fGN4u4
14xklthbZK7a1z78zccC+SGRgqBaAVoyn2noDvBlbmi7+aQJewN9QUga2PUpdYVlkgHdiHVpu7zt
w4JpwXq0Q9tfkHYlA+NRZaDBdu/TvcoaqmgSxabRqIfUHT1OarSnUQOUtPnoLMG4Vh+pN5iKFjEg
GPRL1XcUET4mNdlmOsR4NuXkQ9w20iiGJUHn3wtbz84/O+48qWfpIHb2oaFMYX1Pv6U0Uxi2O0uw
E2bimJER9zHKF1CjC892N81QK9C5Gof6uCU0g8KIf3QJp5ss6Hp8Z4hHJsxEVuC31EWTWHT4f/J+
enFFkS3YDugvC2yq8Mqi/VySeUEQDaTTlNx+zkUN6pXIvcEH4LHhKLFjqYEo+jXOIvFt4sQFFzxf
3oZG/hoNljT3YcvW4skZanTUwhjF2y6qPE6D5gFqM2XWGHxkEq/8x7oMoB8UANecDd26p0eHvqfp
bknAYsBf1EdAmOupwJN8JJNRPXgtTWewrMYXL+lxujT22H4MGdRHO3Lo1svbF7+k2FE+RyKpIMNI
TNF+ruEukOncTqp0rjHcPkP+cOnZWrs37pTUO8+OkSU3yPQPKXSlfVolwwd8GXTMJSrv92AIYdJk
nVt8i+vhEXJyfd3SVv66GLt+T5urGWyVjea0GoJdHEz+vVfHSOSTOvmedA09PeI6optNWdKkKGjO
/qqKwxLC3cOR6dj8aX8pIYSW3mHiT5589mMvxiR7hUop/E5LnfwqmyX9gpeAZhlxKqrH2iY3D9JA
YDCxaGn1NM2r/5W2muit9VB8nHyV7IXqxdkWQUzHSMvSNzZpukPbd+WPLvXCe5KH6KTjXgffJaUe
9jOylg+jSuPkUC+ltZc4lh+60SbhwFSw65Z5OOuuXYDDId7dhl4Qxv7nZFTBckKBMIAVs1O5r+jM
wTYnKeIFl43j//B7x4O1EVpI1gPkCDtb9un9POqMfVJR0Smsl8029OMK0kRX38yeLa47V5oRGjqm
hhqNE21Uh/kWqu54IvttnZNMxzh5mf2+ywktP60bDWAJ26z1hf7V04/GsuatSuT6tevSSqEoqJEP
rmvHyI1zeB/odtoBjs+UzWd3iMBB4L5NLov0mIjZUtEDS+f6jLkjr+nK17QHVQ/q2snpZ0am95Mz
Ld/EEIYXW/L6jN3Q70gtigTPbQG+1lkqvbe9vrzUNDn8stRY61NBeTuix02GBoJmjEkEqdIatP2V
ynS10SoHd0SiYKNE0d/PssxooEYr123W99FTEy/NZ0ygYE2beZi3ITCblO5HguasFN/DjBdvjlfE
0v50F6gOzEkJsQLeTr1i7RDFp7Ki91ldj/I+oIhwqlXrb4dWhGc4S/bXznfnm5R8/2gkzjBT+rDf
hAP9JpdoiG5cGE4JsJUs+EqrOVrJAoAhXnHSrrlzJzc7MNG77jZIMC33sorvUNWh7Zji9klVZX01
DrOkwd7ofm11+ITHNX1am2L1r5raXsA6FNGPhRtyFfce9mLCwOURUJkTblq7oWKbRXDCMJ+f3CCr
rxriUAnQrAueAijlL3qu9ce0DauXcR3XH1jEwt3oVeqW3mf6SrBS7Jq56R+JL62NA6Cbvthd9ryK
qrzSuaT/N7h3+xIDJmctAz7LQpn45IOczD3SpSnc0v8tvcqcoX1C26M5f+jEUpT6kLq6+0JerrkL
yhjN/pIHj0XRrtfYzoASeky5pmNlcilxZ5/bwZ7uyi5sP+Los7/pbGRyUM0yXuyl4OUhp/VB6n7A
KeJNp2Sawe9Vg19eQdq28bO5KCxJewSn1WrDmzCM23vQs/GTT+rkC+7EHoxUDOHMar3bVVo9ikM3
wZEbOjdUuKXeYrXPd/660HhaoEU6rJFV3dG0O76DNlXTz6vOxaGd0uZL3Q8QSUNaU9+0gT1cIyvM
yA4U1cdIr5jaYjr77bWX+UdJzW871qv9wR8jQGBDa323QoVg62Zx7DUBQ13MxLo7byCl7d9kjh69
HixCmwEIzYM6vKE3VHRHliW/WPZSfsr79iu/E5HoTeSnriCCSWGBX+YgRQTo1DI5B1WtngeoOdM2
jydxi9RneErUCLQoVrm2t0EsvWs7rFr/EIiiDM5F7Nc76rg2PVepd+/8YAVJhdkaEAfdg8tLZVHv
v16sxuNeu2Lq25smGCn0SAwt06m0m+KDhipx79Fert66cxuDRAnq9iGNkrGgj3CFLw4ONOgXi1aP
6PLCUFpX3th168Pil+0QX5nQQ+yCZqbFPMjQupqi7JyxJ4d/KLHG05S6GMIRHjAt5HEJyejj5K2Y
PSqRuzf/y9yZ7Matpdn6Xe6cCW6Sm83gTshoZXW2bFnWhLDcsCc3++bp66NPAWmFIxVw3skFCoVC
ZZ5DkbHb/1/rW6sxW2Dz5Yj4ruMi3j1im0TxzzrSqE7aHJyiElnRYehs50oak16mHxfoZuCLceTq
Xo/VLar1I/Hqw7yv87lsANi0sn/wtAj30mhEuQeTRAujnEwLy5seEhPVDFZHK39fzUJb9iMXzTTQ
QV7p16OHPyAwMJY5NzAzl3GDnHUBFrckV6nRJYEtnOyKaNGpTe/yGYQbFNyhKPWp2FCnKbJVpaUM
aHUd4EsXgK2d2rlBgX1l1IEdbOugF7NRbC3R5/E1cD3Sz0BCYiSDVgZA2yxmGj/wTLNDmZAiuI1G
SXB1Qpl0k07JdDAjSxDZ6+qxQ0ksbcQRi42iHdlL6JfGSPfb7ozuVpMkvwZFGgIGdazMpBRHze5R
KK35Doc23ZiNmsnMBidkkn0RG8SncYSLiQmmN48UbQS0Zn+YNatyOJj1pDHmAStpx3+h0rVkSr6x
CNUuwaAKrKKMajF526yA7Q/h05gqKW+ENtjQPN2yCA/4vayv0TA8L6BuP0Wxeo5WOC/Wm7F4GNF2
bEM3bPY6m4fOImE3tL+c5V0+G/ltg59vN8SNF6haQfF1EFUrH8tw8dAAVds0jT37PRF4rK8D2MgO
w+6OnGXaeITB3tBhdPVATO1YbxY2G+seVoL54CAgIrhwWFMwsb6C6EEPN34Xlcreq7ps3W0L1f26
rcrqoa/bLtr2UzSER6rGEQGdcHeORZXWG6Os810GkOOhzHSx9bq4epcRbXxjZJP1zlA0LauopXnt
cS3aGEY4fC17p98vkwEATcdFTyY8wbvtVuEau0U/OHZH1eBm91qcOEGdRSnomxYChicIXAggtpX9
sbV5ue1MkfthCZvke0jfu96n9NfAZDb66BOo2xAJaLD5J3ZGnG7K+YI/IfzArpPselw4QU9W3GOa
ROKZytu0Q7QDB0P3CjxgTnqvpTpO0cKOn/Sy+JSnKMEiLm47xwjTL9VoQAqVZlV9MfWwueoNMsth
QkzQmxOKo1ehMnjpSKfCnUxDwGXXvEu5lgDUE8m3LDad5yyMxFMmzPF6oHO7kaqujiYl40eK70a2
rmkTEM9Ur2/skChg0nuJ92MQWt+sbL0MzzB92bUno30hjk1LQNWBLQcmy5XlWEqsfEHbJFNHr2mp
KBaCUSSbLWcd8W0tSeVNrlrjJY7jLgOSwN9A2AxerSDj3xtQ/mJMxNCDjgXEAmfTxQg5CcJh+74q
YPF9VtzacNAp09Sf2XiBaXuaOw4HOH5rklmqHZJaGp9W3QD00wEEXzJr6k5CgnrpB1exPXDz3FV9
iBqqCqV5TeuueadmRCV+E3GkuZ7aXr1kRjcR+USZcSBTN5++dd3MXGFSck/rFVXM7wNdqwHm3zBs
y3QwryhSR0imkgnCziob/WEhIQ13hRN376yZ+5uvcRzpYLLBhd1qdYFCX18G+di1ef7FUQCPs5ag
ylzXav22Hx3xQHfN9VAFcYbz7Y4ktf3IoeqK1a8ct1MdxwTRwaKKAKi2WnVrgoXWAmjx6IrmQpdq
26iVQ48ihUEUWHERp1Y2gI6xaaUUcNQyDmkNKAnOESRrEcrKmdokG/UJRE2Z3RmVGNsNt4oQAyqD
d+UZN6KP8nmv6aCvrDugHSGufVEn5tcc2ahWBoPmkmG0o2EGSeUmiyu78kCxMTOV32PhbIFgseHK
meBi9q0coAG7/LwphzkssnewCQyT7PGeC5i6zweqQ6Y/YcrwwKP2qk6eoiiziE4dmSq0UXDjmGXj
D1Nd2R1BkZldHvu414qfbd1Og9zG6J+Kcitrem0PoW7Qe9krhFJduWlm+LrpfdqrjN8BUFubgLXu
e3oAA5pwXv9HAWlW5zu2aTlvPIIb5JOkyxQ//FOs1dTacOhyby2NGuA31DvPw6pDy5V1nPoF83Bx
vkcElU32Hl31wnyrReslX3o1xiBQwDjOi8bNNkyBA5kNy3H32McUFNzrjgPldKunnj5bJFm2MOn3
C90tfi22vLRKX0y3L4diI/Oun8t3EJYMEuETmDkG4a6yJTbiweykIrDARqiawNHo+3qGgGmSxs2/
07SieqcU0GcDmR5ue1RINwZiLo7uymPFnFd8ZAfwKumcYp4VVdiBSmoSIKnq89ECpj9ZSb5VI4ob
OMyQD93rhaMfxEUtt4H74sL2VA+quwZb7cyLae3p+xWPyu3zTxrqGgDgFeYzH/TstGxRmxTf9TLj
lIVXJW5IhLVbL97AZiYx21/wm77HMNTPvzwxV14SDfcSdeyBOnByDSXDxIZp9zcpuaDFVpkFYq3B
oxGstPwh9abROdYc4RzfBAJj4bmHo79vOh0V4wQWACorduvvatEhQIfNmvhhs4+SsGEu84c20caJ
A4KWbzmBckMExijlvrGtrtiEhTu9aEsISwxk5ViLD26WZHIzQhD71oBMB0ucDlwNygWvua83qYi3
HCea9tDHcCK/RxqxilrAiRoA7JLF0Q6f1hBqGE6FizjHqL0yCHWrqrbWrLcH0VbOl3zILVz/Doh6
soOAvUhuqM7c3hauTbCxocu+e0L6gGzCbxQquwBNRz1wQBIGuiKKW7cRN+/CB+EAzXqi4Tb5o5k5
Wyez8ysyyEAkIrzGCoW2ThVIN4hgazduCSsCZkgX73EZ8cM4U6T5GIHrQ63yOsVT7VkvC4IFxkbo
ve81veI9F7WzhZruZ37sDRwl19umaCt+kOLNoSBLFZxxluH2mcvlGL930qJZT12AVA6cYOyrhhyL
5IUl0pz35mClH6rRDHG1a9H3qIFjAc1vmZCrhT2VkQUSIpgHffzkTrK/H5s85hWwsdEddoqK1ZSw
YbTL0vsgKB8SGpNW41FQtEg2I9qYz6NJ0FQgs9Y6lMRAIU9s5AME+wrwcak/2UDmoEmhQ4ybfEGh
3xKchAtnvsVTaSQbo28HrEV5iUDeSwZvOEY26RZIxRfkoFE4wsodPWh1Y8NtOFDQ1I0dHSL6rLqJ
sXATDebq/ScklCpMpxzkhWbUwhuPyrm9MXvVX0eGIOdVl5Fydggh1MdxcjpUx13JW6IGcJ4t0lQi
v+AAfldr64m3deFO+Jypgb7Y+PKRo2R1EoOzcFOUV5RL7iFhGJA9bKXsLTk46bwx9YLElXrin4kk
cjpkI4XaDKb6OZLSvjWgjgdjJ+cvDqvF8G6CQAGqvh7cD61sOgJjNSlrLgQJVSCgUDdmHgJhjPPM
QSYUguBoROi907TYeCHrJwOWpNp7tHopcFTX+IqHrS/pMzjeHCSyTQEwjVYyb3os5JBEG7cLt30M
ApP1tzHzd6kwZrnr7FE+amGsplsqVxl5A1ZVzBD+C/El8VA8gNARzW2FwkTfOqOcuRR4Bq6GOtRl
sS1EGn/M5NSMAfsmpzrO55vYbGp3/W723WiOlKFNowrBeRTmU43KAs95n38xSUJ4aroKekBSUntE
UYlQKhoY8nnzJdJGUGJZO2kBeXvipukx47XUXZ4xfmvHhgBZuJNJ5tx1fVdddZIIO27k2TV1AQzm
oe4+UjFOHIZBZL8oYzG3k6W3H4ZmNo5ZW3VGkA7uuJ7W9ALpTEmJx2lb99ASrWFvFg+qrV8k3rQv
pTHkH3DLJpuG4tamYahb0LslhDbTE+9KEP1oA0fxRFTK9ASUAm5K2+sY+GS2Ldw8/ImsWN9Y0uo+
uRz394LE2ZcKBfqTzj8ifQ1aIEIr7QnPjXsz0eTfq6Fj1rn9VwTK3b3q9ZnY5K7SBfNgufcijezv
RljFnv0AUHrvtiZMRsQp/NPXY200n1OKHRt34qJSE5pGtnwsqkfNza2HNDYtePdU9Y9KlYJWGErL
zDS/zT3V/2abKepBzQsbVFYMG3rguJieuNFWhfrQWG1lybsujWtW+dZ1V21SQ44NdWpW9bSo6TXQ
cKzurBkpzbwfDbwaxsas9KmLj3ofF+lyRMg9d5/CZBrlN1laVXZIK7forCC0Gh3OvTtIa2xYvDLU
LPS00EeknkhsfYPwTiwcG119ToImsxt9OvbzRBXTt40JuI9Vju4zsNyORaVWWQ6se3RkrJPXMQBa
pko621GEoMVCY4UcmWM8qqoZLzSTBhk7OWjzEKvqh15rYIM2NDQR6m1bNZKnTscyiWCCbVQEnBdA
HOh62iBRGi16/X4w3Y4rTGJOdtM8Vu4YDumGRqzLvQ/LUDKlsN2rtq827Wi7ttjqyuzb+qXPlkHA
dU8jlczBWK1IDX9RMSvDIcQml3oBFev1TSw70mEQxtE0OPXnXosWQ/pJ6Gb8Z2jhHXt6p3UtF+Z3
KQAXwN4TYdXOsHu76XhifaP5h4Haw7FJkxOZHsKH113HUufOkU7K+6anuEj+t+tt2Jmk/dSYRYTa
c3SHsgigajbQRcl3wYgEy1hnF+5AuDif0l+Nrrf/rtfdZf4shz49Dk6P/isq8NWD/7tCIpEz1qQo
cb5nMCM5Xhb/CD+KzMsZiCCGQSW+/cTXPfn1idi4+Rqrg5WW72kQF0VDt9PxS/wo/nni8I+qxpRl
Q2u+dWKrRwQ36JOG5SNJaVb+81P8Fc3hP2Uv/x69/P+U9Pz/YYjzmh/6n0Oct03SNT/o3f87xHn9
B/6hOFjmv4QBwoG8Ysum4WYjtCEVpvu//8e0/4Xq0WTqIblcSQoMoP+FOABr0MHCkbtnmFhjyXn7
N8fB+BdWWYEDFIUOa7j4G4zD634+QhoXXcTqCDYEYxiWw+kQ1vLiF2wGt5uxg+jF0WLSuv1vX+P+
nzb67xyEdX7+u7nOvxbAHf/DcxCT4Bs8kUUgvqiMbpSW72Z5/dR5+YR+oBqu4qIHnOMQ5bN5+4En
M3N9IOZmaTFPVvTCaXDntDh14SwEm0/cs31KgOoIa6G7yko7vfCoP77g+iikAzZCBVgt7vqf/yaT
mucOmaZWSZ+LYPlMRLzisqDij2+/0AnK4dcnxD6GvVPwCQ3zl4fut8cIe45iMRFBY2aeui+dkMaN
MWrNg6HRzYnR3v4Iu2IgJ4YK1G4STr/LRVs+tabt7MDx5M9v/0FnvjBjF20NZAlGj3UycCBbjpUH
k8xPLY4rvuGsFTk61V9Ba16KQj37LGkBOsHzaKA/fP2JozIrijIdkYNCvLijE9h/VA6XOLz6mriw
wv7aS07GqoX0C0ciWhcX4Ozrh40JnBw0qrYft6l5JRqPrBoZudsGpNmNHAY6K+REXMV6x9ma83FM
n1l0QVJSWBgIJCLEa+BKUBnp8I6z/7yz0HdfCDc+M+ZssW447IikmZ4mRs/80Lj2C5uAGq3cEmVK
C9AgGOjtn/jcU2y+Ar0w7nLWmiP/+8jWIZVRBcxs36lXxqWzWB/Rv6WX9rR1lzz54IwgVrOVAYJJ
8GRxSLyiGYsssjlPwci1lz46pq4wvlVz2hxpBGiuTxSFRzaGYTy8/YbnZpWr0+5FnryOLbGOvN9m
lWGpMe2i2OLij3ndT2mwHDzaqs4O2rO4I6aPu0Q0GDLobZfmd+RRGCAdXNDwBaDwY5Bt9fdfnVHn
IM3g2zss/6//pMgt61UKzlqJIPt9prJpo1q3+Pj2m59ZkV3pOlzMV+kTC8vrp2DKGFfLjoUeWisO
Y7EQX4OHxXL8wkZSgCIr/Pb2E8+MJsYrfACiO9hyvJMnhnWucy+gCxtBCw74jrQXST3e/P1TPIvT
EVvqyt5hF/79Bx1RBzhL5FmYBfBkqIVCNb0B959T0H8MEz73LkBy1qzrdWNzT2bGUgyGmIqao3Cr
hntR5ckW+2J9IbL4zLLnshKhXeSY6cDteP0uqNcFl2J2Fg4W1l7EBHuFs1ZtRnxuf/9CHpMAaaKB
vu+PRc8phbK1rpDoh+aQS1wWbqg4VxfW1vWznMx0Tzc5ujDgPB1x3+sX0qemAJjf8ZTWJldEHx1o
ntnWDAGTNiiq5yQJctO9x1J/YcE88yk9QTWPPcTBjn26lLmyQZmuEulbI35X8A/Frl8Gmx4nlIm3
R+C6GZ2+pCHXFHgktKuc9/VLOkXmdKSqgO9Lq13e21xoTfCiegSLszSuamAYFz7rmdEItcRFPMyJ
h13hZAGVXuV2HVEbvjmbM5T7ot1ALxcX3uvcJ7RYniWwB+6gp+ccwy4IxB2dlUmLjgt/dbzru6K5
HfvevDCJz40TqbMo4Z7XXapqrz9hhGxusCED+lDf4RVGrnEs9J5oABaX6xSzTWBoWf6xWQii0pWl
X3j8uTeV7Huoj+EEoSB+/fiq6qyS5jFrSEHYgENA6g3mje4mFxcD5s8NFkmkBfJki1T0U6ZLOeqL
8OTAT9eMdzCCP0C4bTZZs/y0w/Tajfrswq/451hxsEKxu6zkp1Uy/Prd6KIAXx8I4xzDAp1LRr0v
oTu3fXsOnHuKC9VnPZ/gV3DM10+ZMozfYVhafiJUsXHaDhZuHjp/JbZej8Rwa20pDZt1eBXQv36K
pMS5RBGU5Kaq7Qfast43qtbd9zxclv3bLyTXf9frWe2swCTO3Z6wDegnr59loG/mVbnBcDZ0dD9M
XNXTrzEXc5OIQd55I1qoIKbtSZihhCexlfyfOUj0UccWaw2kVYf8W3yb7J7SHylnawHahO5nooPF
2U1j7bRBKnqUYKZZFF+yMSZsTsfuPuwqkkhuZsczs43RIWHDgKhheYopIQYoQemIQ0mhQ9BVhvwY
zp1FdkTZZ4Q0JlaR7zDAyReYJd1Pk02RvmuZfqZYhClMo7EFJne0exrpDf1YDPiSMz29s7LdRfzF
X2Jt6TGklYm89rAc8Y403IlSdeOMSh0+UMxKLf2tLLIkWa2mnEBt55QVr97+Bc4MKSGASDi2zknR
kOuk/e2klk8p6uxIR2fSSuOm6NWzO4vw+PZD/pz5HE1slh3pcVnFZPP6IZmKq9YRBBelQza/S02j
PLjKi4Ma9salEfXngBImd6cVmrTOxZMBldaJ3lQysXAREmxOhIsNymkmqLgYZoxvb7/XmXOuI9j7
OMsz67k+nmwRZW7EK6Va+iWKhm94+QWC7Vx592gPR9DwIF9oV3lFGAiaYgMKRGP+bsZrqZGK5fta
4n658Ced+9aS+aRL9khTnlYeegV1gRoswInOyJGCAozfJLLurpW1ZN/0Mndvaslgwx6cOm6AgX66
rQED2zRzuDOgRsUM7E9myT0MtUL4vp6o0V5YLv9cn/m5rbVy43mOpFTzekCgka3acuLEEtaF8dIi
7tlkSpM/ufQbP0bgabcRsUU/3v40574Mh39uI6bDhu6d/FhOjFmS4FW+TIUWokh7rHR6Ig5Ll2kX
PF7n3m81+OjUpQiLMk4HvEhT7ldr3GDMRVZ3F3ttnb1vkurHLNNbZ6yWC1/03Mu5DlAc+llM5NOF
1AyRK6XE6dHRH+tDq6TxmPP/DJZ+mpILw/7csyg3eYx59nGMU69/PYJfKw5hLcd0ofqjGDU7kKOp
CE1e+v/mUYxkz/QozjHVXj/KZbeDgc2RZenEeHAKndGRc3Pr0MH+/ehYx6Il+V8wDE92vXHBrDsP
3KNoN5u7in2VjCnhpruKy2l24WHnVl20ERS4pKOvK+Pr14od0yOghfVodFR2M0/WsuPCbL+8/Upn
ngKshvsUMWGcz08vOtCvxUCgGJaBWhR3GYk9B8ypaGz/i8fwHgjXdbTE3joZfttCPH1MW21kOEyU
NY7kdprXNilqh79/CqcSDiXQV4UuTs7/ykYWg8mIKdW1w3t4gfMmAlNyYeL+eX/nsuYalrUWland
nrwLzMqKUG6NVl5ssidaxc9Q9Pcica4rjVLK2690Zh6xCmGjo1DN5uGczKMUakM4gRMgeNAxn0Tl
rOrbeNw3pJxcuKidGwqcsLiHUt0mJuJkQUKI69poboi31SP3ul0md+fGxOu9/UJnvp4puC1htTGM
dSa9HgmyFVGFl5kaC/ooQLJNf5yKyXqoO5eNxcTA8/bzTtydv46qVNBsxLs6pWKxcpx/H3qT1zoz
X4s6kyrDJHDKzPgshdVdaRSk3y9KLN+TbBEPAmwAQNSoHw4jf9/+7T/j3GsjpKCUgMOUjtXJ0FxM
e0JdzmpfJ2o51KmhthBOjMeui9NgDrvxwlQ49zxWDt01mA6mOD11kGhohPnCW0eNXhJVa9g7eE3x
J+JnSI/0pPb+7fc7M07piOj05ADLGsI+WYSbgTwgID7UiTXAU27viQ3RY8isHPvpv3gS1TOAI7Yj
KUq//j2T1CLCI4eWRTfOCEYpMM+lQ/ku74fxwow491L4H6lpMVTXdfj1oyIPaWtkMadr3bonBdJ5
1OBl3gAzuNSlWX/+kzsOGxd4cHpLnLJPF3sZAwMzQp7UGEN2z67w4DravMnRqgx+7NjFZtAb+zAO
pXNhgTkz69dOKhVYqvwONe3X79h005jRXJH+EE/uJ74BKTx5vFwYHmeGI316tiyqJdxJ3ZMvSUnD
czVg677r0L52teXJQXXtRyL+AYTk7xdo6hcslhQQXE76Jxft2ly4mJGhAk+MHEPZeXoAO4pszVQf
EYbbxYVhcu4T0mlZO4m0vGjnvf6EJL2iucW/6GdNPX3IIwddah9fmtHnnuKweYGdx+KPxP71Uzhs
5cooGff5En9CbdPDtrp4NTj7EAPrPc00DOj6yQmnCMMKjx3X0CqP5xsbSf9towux/fspTNWf6ipv
4/yx05SVWQutdlFfcJndk6VnXU21RSipSC9Z6c++EIsgqliHjq59slrEVmdzNuNAvxAUzU158q4B
JsgL5eJ1kpxOX07x1HboxlFjPdmlmwZgw9IzAqakQpjXyIjEEafaEVm5AALBpOdo6rrRRwZhZV+s
kJx5Oqc3jgfsW6wfJ+8YJQJHmY6OZCgy/RFBefQ16T3jrsTq/9dXCETyvwzvLPVo9k5WCz0lXXZu
JcfFwZ2JMEwGYBx9vp/MIbqwY/65JPIo2u9gFFdW+OmxHl1TvCQAvOByDuCK4VKXQV/X8muioeiD
UU+xHNne2jLcvT08zzyZewsHYhYQBukvScxvh1XwOoutIbLycSiH+4xL8ENWSfcTd1A39uPKTMBn
OclmmQ26OG8/+88thwshBzDaNHTR6RGdzPISRDj5r9B0CaoJ1ovZocvS6Ai3fbnwqD+nhgdlBOwr
N0JyJMTJXA8hgMvKoqTlaL1zn5V4PsJu+Pv9hcsFLSc6pYI5f7psUWRV6ZTzQtYceYGciQTkb7kk
OjjzLvDsaZVyKGCu/yrC/PaTuQQoszBzHCdduTvYGCF9syv0v163vFUGRRWXY866jb3+caRdFaZQ
rumHxaJvTXTURGeTVNsioD6+PQ7WDfH1isKjDIuqOsQHChInK8ocGyOuYI8cbyHLr3lfUoWMu/4r
FOT5bsxUjhvJEH+9kfFQmpJsZjRqWJxfv18YOV4eNRNFziiMnqcZtEA5aNHL26925rfimIEkBS4Y
bJlTRqrACJA4aDR9i2v0DomwtaEpdAn/e/4pLMlcn7jznT4FymCmpR1Paco03PKzcTQt8mXz9ruc
ma4sUOvVbO2s0pt5/cVaPk+cdQa5J+OwbKlaLoHpuSRXuuZ4Yen91RA/HRLrRdDhSMMJ2ztZe0e6
ZvNMoQwTUYVqmVSAcqs5WY+WmoPlcWIH+JKMlr2FwNRsxtEovnNV9UBoTlazz7WYGM1Gjh/StiSY
Ss7WX5eJ19WasBPEAKyc7skxqLGr2Zo4L/vm2BcHTHukSYnk0qr150mSpzAfKPjQLuVjvv7iUROG
iZcxByMnsj8DLCqvsnZBRZ7rMblfAqn62z/xmYFk0cyGDbR+fIrGrx84u50XqZqfWEW2fjPm5kLI
cTpfaKicewqHobWgwK0Npszrpxha1/ULmlQ/cwrzE3/GU0+C64WZd6YWvS7E0ltVNtSwxMkxfGLI
zLJbuxiVsm6A3NpHeynVQ9t0hFJhoC8/F1mGqakoq5tMj/Lv2C76bDMOaXsjnbi4sMqdmT5UGlal
GLUnSrwnQ2ZuXJlZ7IR+xOXyg1U4yb6CMfpgdYtxYVM/8yg2H2p363JAcNPJz2itBM7GQNuRFl18
V6Rtfm3PebsbsS5emAjnHkUZCinKyvFix3j9W5qVU/7TggOzWL+4dtnu5zSsoaTmSXphEz8zHcCc
0x3zqKhYlDlePwscIDxSZNq4z8MGEA2641hzPEyltkYKZHKpQXtmnNIzpdDKmrdeC09+Mc/iBuKK
wqIqH8oV7pEcbH2+lC1w+gX5ZpIL94oQX8WE5slb4ZuoOweBvD+TJn2oO2wGuhslH1MQO385vU1d
IGxe1Tjo1sHJnLyQPdP2a7Ochjddu0DL9HQ7tZ268DOJ0++2PoZSsM4xS9Bxdk4W7xKOzJBhTUKG
GfmykARrEGue5NiBTaARzhafRQDcbiVAiJ1nhZ+Iy/CXqCHdt7qwk/z5dflb2OKpyoPTI37l9Zgx
8hlwtPMr4javAuzc2MOHzt1XHrTtv1s8V40c3xfNEqoMkm9Of0gyiomvRZHhFiq9glnXvmuNXF14
oT8/LnojjhQ29C867NbJC5l5XsO9MS2cnfYEAGhuP9dW+fTXr8KQBAAIMJnJffrVSC2LVd/qll94
BNPHGY5CS+K4+cunrOOD4YGBjSopD3v929hq7Mpp5INlJrHYNufad7L0sktPsU7XDUqCMJXZaAzU
Flxx1k/624HZaAeI0yYOIBux87cKReMzEQGkmNiVU+AqdNTPTnnTp0yF3ldsPfVXM6kIjUe01yfk
FqR4fUNBALlfV858z4In64M+5s5VPky68zErZpUFxKI6zT6Bj36MlkoBdE9Ud9+LwZmCpKUfdOQM
XF6XZYrvzIZh843gdG3ZJtGsHcqhMsVGW2aTrEmmSktxTDfa7YQFrt80xlhfx3KslV/bcffFbELO
eUU+9dFBjYNCiw/J45A3rfa17b0cpD2xthbgJDuRu1LPAXv4JI7M0cENNR3AGIfS6G7y+uw2xzD4
OFii6oNOVvIuZuK2uzwrU2NH0gz+f6HPS3PUrbwOiagvis9V18cPEArUHHj2ktyAJDc/6m4nvqrR
WAEIeT0B3CW2t9hPHF2IBJZTd8OBIHse3a6edlE8WWIHc0Z4N3WKH/sQJ0aVHtOMOPKg4WQX7UM3
tdQOCqan+ZlFjCpWcFUWm26yS6J1oKoPewO5VUTI7LiSrmwFkiPyhvxdMdHHB3KeALsP675KfaXB
uAhAwI5fla7EIyDoegiyGKqSv5Sl99GSk90eCWJavsXEF3GA9qZfjAbRvJc41e6tATwUFOGpeOLY
gu19TBsQX3MDcNDvMgVyXCYNvquI/OMbQzOtR9g1GCjh12ePBOciU8m6wT605LVjXccs2e8WMmUJ
+fVClv8UVXO+6UiZ52CwIMP2y2ocWz/RVQ1IuDbsl5DwkschTBporn3JfwNOzTRzRpb19zJq4vAG
ZdWSBYWpmR+xQ+vT1oBJ8dkBEhMeHKHiD87Qu/cqzMxjOvfeMQEwdLVGbwUmsjmfVD7zedZC+5ES
PrQUJKhZASaqG4HKLmZKCyip10zxdNAqYAoEM+9bKhvf9cnJko0id5fB7rpkv0OV0V7Y27KnTMcE
HKR9nfcQdr1yCjyCkz40cljUpgYWpvzWgVR3RfUMV54t1vIYt19QzHM0OI/DrwTUhX/+2zBMebFf
Qne6LiGUtX7deekhJ9gN9z0IKX5uTLUexup6+t5NufMyQjph755gJuxMuNCfJ4oN4NbIZbi3Edq4
eO6rxvRBo7thudo1LQJqU9XHW9oV4GvcpJjukFHYX+MmIRd49EpZ70AOdN226mwEDlYNIvM6NTBQ
3sm2Mc2PMhdLHNjuHDEZ6ryLAhykhbnJbQ/znWYTbPEemUT7BbrfGgBOXLyBHkcO4ZfUbPXiJlni
ccBNT153Y7muAgxFQFBQ1sn8OW9JAoCETwC7+1wv2rITHmkq16VdZONBoTws6da1w5cmXuKKwTET
QN515SCCTKq49XHGN0+9Pg0fIjxyE7nXdnUszdRNEPWRr3ClZG8smw72KbQUlVsg2sGrMMrzfOLw
hdkDAE4TJa5vkN6HX3UZwuEaL1ohDuDbyuuqbgps+V3Kj7fkFphqW39g/W+fFQwh3HtmLQ/o+9Qq
X1Lqixqw1O1MOM7eFjYXfnBzbDJIYCQH3KVAoyWGrxaaAdJR/kOJseMxTrLoHjA9ILK5M5bej2hR
59S9XfzreBzlz9yrdpFFdKdIrOg+C2tp+EmhV8Czp5xvEukEiPgz14M8UGEMjxkIUkV0ojfV4baL
EvOuK2oDRjX8cAJyZ6M08MnN3rjpEPtGh8Jpie7cTp3qjSN10RxyyOKV48e5CYf3kegzTCdx41qP
tTXMrp/KTjyHhKk8Nz1LwVUv5GR+te0SA8RxAIw37pXrhTcz83cMQEQbXzQxEMTdGIkBXSbDjLBt
Z5ndU09jbNYmqM9dJjWbjy1c7Oq1l7fvEydOQdq5We/ujZbbjV+T75BtR5HOt40H5GojB46jQSX0
etoCM7ButSQkb35xdAhtaGgIz4774QcSrqUOgHKPD9k8odb43Jd5HR/rrrE+YTlUqrGvet0sfs5Q
cWY/jOVylWXDCJ/RW7FBa6MJIqHhAn7ouc+XvhIa91kPG2sSDKbIrswYeVpQl4Z7lJ2mi02p1/oz
QS+1tYEv7r5oMcp93m/KfyiyGzssyJMx7VqK3QurjIWyN6mG+avmVfGnXFZd4Y8mdtBtxISiFp7n
CWzCZUX/dEUODQHpsfNhSeiaO70wow2S/PDK1HSwakTc87dbUToTeGXb6iUZe2h6LlocgO1Wzd1j
KfrkmHQY1HdmXbQUZ6EhUZr1Fhhyk+aBeBsngGr1mCXvO5GMy5YtrMEE7c7yMMCAfHD1rMB5OdsT
VEv6T3IjSIARW4sl772aElEFgFuUFXAo0Jj7nrMMwUo7JypbDZqvlrrPD3D9vfdLOExWoGd1fdvn
U3PbdzAJoX0s4RbUKPCNumrtewb6MkFtYIP/Jsw4DgOLKv5wO0+o/G7aKavCuyUUkAAJ8QmdnxYJ
qdqun5Sr3wlksem2xWJiPcNR7/I9w9rp7vQezgyIHEbpjWHHKTzNxQZhlFgta19iQ2nYxQnxSE8t
ZJ55a/VaX+9h/HfMwnaR6Y2WG7P44HmjNPZaFsbGkStP1R/jBRjUTsTJKHdh2kZjoHn5+LVR3djf
zWlvflBLGIazPxWx5R6qfBrENgTazb5Ekbv80ieD+fPto+of1wj4oWCTEcAj7FjlZK+PkGaWtSzn
Mz4GQr62sVHIILOi7M75H+rOqzluJE3Xf2Vj79EBbyJ25wKmil4kRcrdINQSBe+RcL/+PKC0p1Vg
TdXq3J2JiY7uoMREJhKZn3mNOUb3p4das6PfS19Eq2tzZU1aAP7TeTgcStIUcCO4kLgWKFPuJdP0
zVZjr+u9M+1aMxRXCaoNlx3CNUGHVktwevyjUwW0QIFvxUFuMQRjJscZSi2kMcni7Jre0J6bUJt8
O2+bM22PN7kMU6UbT0pvctMS0B5ONc5K7HRtYMlVSANYUnRUxep++sMSBQtqU21CMdWhvQLY7XAU
yZTL0Bq5udSuyoLUIvoSQofr3MvnrG6PvDvgnGu9ABgT3YZNNWSRsZroF+C7eabjslFogGONJJld
Oza1Ow6yZJdCgL5FZLC+wvTI/nb63R1b0NdmDpAHlQLQZvwmlaySEA5IuR02+3kO62A0aKOeHuXY
DoH2QtUC6hAQpE1+X4tiIZMawfW2VR3ok9QFukVgMaP18cc7hOI8zQw6EECp3qSIba+LrC1toB2J
kwYLXYFbs0MY9PSE3i7bOgq8Bm42qktb3rdiIReFtgo7JAFXrQ72hFJu2p9Ztrd1EWWlhACG5/9Q
YFfq7u95KPZEoA8ihpE6XMzIv60gNYrBAwBdS37b1fbd1E2CSGOY7tC/lTAcyzJEJwGbXNrdMFBo
jhLaq055phmyfgKHZw6dfKjv9I1BZVBIPnwyhF06HYUx3UVdR0Y3zpB2MhfwToSE6DYctd41RXwO
CHJs2RFDobQGCBpIxib/D51ZVFyp60mnlB6qGQTxGCafOc+OjgLnjpYcvX5z28iaMjH2nJy6K8rC
3nXF+FGWp3MNi7clBripFGbgUMM6YjqHC8iFltiRyf0Aft9BGVcRn8qqwxumy6yHqlCmn5P6I378
bfKtrbrqR/9fB0T2f/3XAUH+Xf1Sonb68tLffq23f/LgL3b/ev1x9FL5X/uvB/8RkCv384N4aefH
l07k/esgv/7k//aHv1jrT3P98t//+a3CfGT9bRGKVL8T2teq7gkG/Dfx9XvVbv/CTwa8ZBl/KdT7
uTt1XgG1Ry6UnxR4bLr+ovTJFuDyVlVqWvzofzjwf63IGfpGK/EZZRM2Pzrqffzf/ykZsOPZmA7k
TUphxp8w4F+bv/98Y9TjLbxzbfoR5EeUk7fMAglZZgppixQsWbUTVvZEVk3z4Udp6Bc56obIyYr8
a4mAqXWDtkWgENX3E4phkthPjYoyaRvgtnj52/Ld/xz/31Pm16cCcbm2sghtOP+2WL28mkK7cSQn
ELJde8OU4TDf9U6AZKMIEpPay+nxXsUqDpYBZApIcDgbGDvxKjaHYLjo6QAVywySJe+wcjBLo7jr
zcUMQWVlNe0RTW+pRJQSRBVTFvDooqyU3uNEuMi+EnYE21PU5HdimROUbCLUenD0RhbIHXGaeVCa
uP/YZBPadtgU2DjRgtqmbjbp6ieEP9MInm28fIzT3vgCFmCi0OSgbeYPtj2m78uOOD4oqKK0LgX/
JtytM6HNmAvkniJJN+K9Oco4VdWQZewrrVnfZp6WpHoG6vqPYcdt4mH9s+zqCcbOPlnsaC+ZJLFo
5otc38GRELu4iGTTxaHZvCKZL8c95CiKTpOAMxNhZUFzX6c44JdpmaLWPYzic6OvAokpClA74D1D
5FaKiu9SXFtm5SeZ3hYupopOCvUn7HsP+csGjW6F7j2CQFXZ7/RYNw1Px3frG9HBFJOFdY1zlUU1
LppJwQWMODUhkl9G4/yuQ16uDkx1Znl1La2RiJHyFTRqW0UfRK2DYmYZS0bsCUkyTFeWc+NZLE07
e1Nlmx8mqSl1jyqH0l9Ecp3eKYjnn2uQHsZb7F4Cu9U6hF4DIQIgncNjVxKIbE7FjFp2onWXppw7
d2beoFYKmBHiU5hPCDJIKYrDeS7U2pMHjrlzO/rg7lyfgV7HSjRdTwggXpuYq1OjGt8oVG+qljqb
lyeU8bxlIGu6WgDgslOkEfpJOJFsAwm3nV9aKf+WJfwKXvntkzIs8NncbgRI4FGhvW6eYOlmkMU4
l2FVN2pPImu6+zTuRp92T3sjcIG6BOpQ7kIFNeUFStkNQnbozYYFSnN5HKHh21t/1KVAQIG6PtHU
CtTCGxaxnMMXY+ECncxyqqDzGOa3jt6Kd8Dl2+fTh8nh1f5rFBA0iCqqpExbJGk0RWpKiV7xVW0q
r+ekzANIeecCiA2qeh2Gbi3bDCkEOnR0OQ8n06RyH1Yhk6mrzL53Btt4FESmLwoWDWKx9Ttndj5x
NOt+jeeV1zdZfOaUXiOhgze8eYJ1IX7rYNhKJS8pcrGEpcoPSy/Rou76wUtBHNBDxqAgIh1Om7n8
I6zf25lvwppwTis9SdDbGmIxXi2Qt6/SRv+C7bmgGFfjoV2n0fx9Ls0khmhdzfenX/BhWPVzfICm
q0TN2sTZIgWkEpeRCJ1OzGebaLWHDb04Rs3Pmrr8CtOgcwyRjQLUzwEhbjuIPChsKXsTCCcVcnsq
MbCPN0UWSHZs+Zgsq8+4WMieak3ppZFnzsNQ4/WzUL57wdDPeo9w5nQuW3i7tzXSf8JjANKENNu2
MGKWXTPT1vSRFAth3qjqo97M2cPpBT4M/F/nyxe6ap2wvGDWNqncaFeKVtWD4oM0T596Z14ukW61
nox4oTRascPdKM7D29Ojvp0btQVAUZAf9VXZZTOqkJwZViDb2ah77llQF8GCsd6ZM2jdnIcfjU7P
1+DLxX+RuHCTXlRVhA5rESJQZ3XxDuJFs68GTkSU/fLPpyf0dp9SXgD7t15EyFxsM7vFhh2jofPi
L/Ew3pbOiCLdVAoXEp8e0AtMzyBojk3NWhNjHO2hPWwzcGmajLIcbNmvkqrZG1j8ElWOqS8oiZ0Z
6jX5/W0ZOZY59ACWrU1nAust7AtAflvL6KYEfdOB+4qU0hSuURvV30jD00SrTDVrcZFohgFdXn28
UGVEvP05aur5prBquaeW3kz3Y9SHAg2+XtZvp8SaVRctVe7k029iszI8LZH1KiMD3RAs5rZzLaJe
t9qKaiSuh5OvUaj3s9X6WtZoH5we6hXpfLgyjEX2KsO+IkXYwj2VRSwoJc9qIEyxlqwnEPgjCJXn
thTItHVzadMwoKWpoWY4aRHy3LZ+pVjpOCMIqctowvbYefgmhbavRcrlstOz0O69YtL0p67LV+Hs
qlN1f7EMmlMhBhHKmZvlyHoRNiEKQCEe6OoWBJ9l9GBR7tYCZdbsG8wP7KtFbedrC/3sx9PrtTlr
1lfDaUZsT2kT/oC8OVvLBn2u1uR61nHg3S+KvjwYS4ipypK2XaCUcvhkNKk4c8Kpawy4eUtgdyjr
IGi3suo3CQcOGDh51oUWFGXSPaZNE5Ze1rbSTsHzYwn6VhnwQrf06bLHK2f0+kLFUyYN434CmNCV
5kW/tAqaweFiXiVmin+0EEmyN1AZEd6AnHN5pYxqblxPUW6Ve+ioTerb/WCjQquk9MpOL+Pm8Hxd
xhVUs1K8qJxsEfAo843dqucQoFXa3zqidnxUaOMzo6xH8HbVqO7xotayKUSuw4gjpJWLkY2tBHlf
gh4bhPm9wl0hCmh9xFcwaRsaT+NyUwrdeRJcTGeuiCPj0xsyFFiuoKnh8B6OX3Dp0vY1OD2j8qZt
teta1a9iq7lrzOSlELqgx2t90LX62+nV3Zzk6+quhox81IgKQHHZxnqlpCbIZRhBUWtDkC1td0l3
efTMoUmCXrKsP15nWF26yiJzhChgVzfz1BsT0dNKRQ5PtDdOpeXv9SIuLzPSaHSZE8phjqRKe92Z
R1x/dFw6Tk94G/IwY1J/vg1oioRa6EsePkGYJDrdRbQ58DUJ31tWYWNeMc69SYrbo/hbKdZAFcJU
xtytMlPDvQObK8c1taF8pi9unKulvd3g1G6ojq5VABZHW7fGb8FuC/5Ck1pND/ip4dlN+UNb7PzM
PfE6rX82OLokCgNQe4SGBgyctsDhKJaBoChOZXIgZyk0QTUyjW91h/adDw7A0tHdXsR9goosuWOP
AonfZbQw9tjexj/MqUa1X3Fow1tiAiIjFVBV8OS2uuvYobW401KE2ijhVAqCtPGSf+yybCkuosxO
E7dNnbHcL10/v5x5l4dL9zqpFbRlY8mxxj36Zjc5UVjViHGowZAXuy5SiWNTc3SR+zC/LdMyyS5a
T9KXZJ4scAhDI/Z9lU6Oi7EeordLrXrYORkPui1lz6cf7fCe4cno9OhAKeX14YBubs4TB3NoG4cM
CzHfBHRob2uTq1LBebABIXz4w7EgjAHB0y3KbBZB0mYVVsZ/B5/HwjPIBDxlR4UverqDkyVPZ76e
N9NacwVooOTgK9Pv9fL5ba86cK7mBXlhn3KSdpOhMB9QuBn2CJZYZ3KhTZrPEq5jUcCEWELvBamV
wx2ba5EtLzVjyWV9t/BUnEdi8EShWN9gP7XBCqtwq2EROxlK1FVsppnrNMBoNJHWO4xN9DPp4dvZ
E72v5FT6GTzcVphW7dtSUzqL2eO8tOuUHsovfl6XdjsPf7zQh0NtDgUL/WS1xGbZT3CzD2aKGh7o
C87JfonOHA2Hccq6ztQnwdwgq8XNA2zwcJ3B8RROKGy0skt5uB/kdjVIiaTHZZrth6GLFD/LS+3M
fbdpDv0alQuXnUvrkNvncNR2LufYGVKLwHm03gPNlcCI6emls3TqRZSHtldbOBVq8VwFZtLFNxzp
1X1sJhgMKS1yydgMDY9L3qh//pLJasCbrlVielebr2kphzQrs97yR3AMu7rpFx9DvXHXJuGfcY5e
14BKPAsP+wAN4m26P1YRHK3CtPxiqWS8lzrzFgJ2didjUPN8+ox4c1JC0WXTciyt1wy1o8PlhqkF
OsJZh+pMyzMgVOB+hZXB6VEO6za/JkTtaI13EVrZjmJKRlvrWmj58YRP6U5NFeOz1kXl9VSkBlZi
qiPemfhdXdtD2J3ZxpuL/efgKyAZ/Wb0AMAuHE6xi7JFjyNh+YupiSsK6WIXZQ2+LUWIOn8RO/sI
D/IPVDWw0gSmdkngn3yNLMxszizDYTD360nAMkD1wPAefdXDJ5HLCEORqbQoU8/5bbeE2bfObKa7
YrK7C62UZ+yj1PrZGmXxhML8n3U3fw2v8U1x5r/e+IfDZ8kip2jamD5SANN1Icnah0kX4S4V/ROB
v9gZmYg/nX7zR6cMbweOCxfQm5vYLE0Eb6bC8vFqWzCjUinZkfte1rEt/c31Ol8vulJ8GLHG3KeF
OT2dHv7IyQwRWAcLQLa1br/DKYtMyfA7aSw/tBXcs21N3E9FFt72qiq+nx5qQ7T5tby/jbU5mmVs
6MC+LZY/GAC1yMCNqyrttH0E4Od6NjE2tDJLoxi/DA+GNYZ3MmJPn0utMm8FlrLB6cc5PvP126Y1
gFbZJtCYoV6KZGSvyXid+T2QCD5snJUj9VcP9t/W3c+NtD0YpagsM4mRSmTYvZA6W1AqiUK3Rm78
05M6/i1DNvmfWamH7zOH8TLkiM37CGiO7xYT/Ng0F+q7WE/c2mzSwG4Be+WNBQSyS7Thth3HXZ6b
59LCo3NeEwZKk5T11fXnv8U7gjqlznVg+dowt/5ihIunjv0qBJ3YZ+Z8bChNW5FQIFwphG62VRx2
s5J3HF8aYPF93vbGTm0mQLRUdy5OL+9h0vdzB7OySPXo6GnStjiclZPXtoQjI1dcSXdRj83yiyO3
4lp39GK3JFZ/BpGk8/sOcg8uH+4eDkQdXQCgQofjRbMgPxAVb7PBXVjQlPIqFee407M6dgThoc4h
QOluVQo9HAUjykLF14fzf1G6q2ZcJFzCKNVJMnhnHLoiz+kT7bbQtfJOW5Hmp4c/EkYxyX+G32zZ
Sessq0XDA7U1yvZ5F9uwCsxij74sRnXEyx51onR/etCjK4ugHm1+eyXZbd6kMURyJfEZ8CYBked6
mV/ORC9nRjm6NZEQIewl8Kfge7iyUpIXtW4xtTSX7b0NTWy/6q5aFm4dp+dz9HDlm6I+sMra01Y7
HCpriU8y8hwfswd2iNRQBgHzPF3kmUA7N5mDSR2q3aJDnRf1p8awlq/00uU5qCnnntlRR7+TVSiA
STPr7ddf663Vtx2rmw7kmPLYNrd6oTm3KJg3uPH04vL07I++zd/G22Q8cjyXE71+Jo9Tqtf08G3B
1Dln1vjYKFQGkbOwYQlx4R8ucVjAZdBkztYul4pHpU0jXxpj+f9hLr+Psjk5+3IsIAjXfPPmEu8F
xua7rl6S4PSKHfvmCdTxeqB4Rhq8mUs3UbzEJYCPLm/aq9mKYGJkTTp+RkICny/kHBqKd+TMrtU2
irLP1UGceYQjHwe9lpXJz5vj6N6EHrmTaiEmrbY/jZG4xo5v2YVNnHklTfQPp2d75IiBzwWcB0Fi
yu/b1rsJqQMLkoqh1Kj8jFskVmSUjLquqr+0XGG7vArl3ekxj+wWxgQFDCt7TQ7XZ/rtBuymWZLy
mTGjBK/aOE2VK9lQz/Wujo6ish1pkK2A+805Zg3mssxtbvuiw/wdecgfWoOV/OmpHF0+EAP8D/wE
d+zhVPJOEzNe6eTUWoEUkgRlIMAixPq8WEJ9R3k5e8DBUzsz6tGpUXlDcJnqHone4ahE4poJYt72
G2oTt5Rb9essPtvIVfktmysWrC/yFdRmUEdyNkdHpy6JKCSFo2OcMgioVvsRV88KlbdiualhoD+l
i7bsmxLPVUke1X1Wq/MlfE3MPKSmOVeSOrrUhonWMycnZ8xmqQcFlpFhkURT23VmnELLaYf+W7PP
67nn6C7G21nXwPecfsNHjgNW4Z9h11X6bbPGSWxJBE2rpfzYBWo9hC+LVFtB1juNX0RNOruW1jru
aBuz108wgE6Pfyxu5bZYISBrf5Qv9fABkm6K+ryKbN/QsGxzK6zhVnkb2unu0pk45kW9rDzheah/
ldB6wjGyWIoKKoERyVS2LHowZ57o6JJQ0KCyoxAZbe+w3uxjbcIVwSdsBS4iTCgvKhKHdyTJ9l2C
08enSej7tOtzD5myJWgMlNRbYc5Py6jrL10bfrasPPSwEdUvGydKd3Jip+8SMxkhi9rYb59+4mPf
C405uhErehhgwuESzkYuwXIxbB+Mi+aZkYXbWBiaZ672YxsULP7qNkBPU9mSl5u4bOhzprbfYruK
b+IoQe6wwnEHQ2baO+WsRl5USYtxZty3twWS2uD/AU5RPyQgPpxdWUZpajkkD7ZSRx4GYFHQokyL
nWEd+acXcr14Do8EhkKFEeqgSWKxffNjWkvCAebmy2NZ3HejUPAuHodpAqRka0WQaXJ6I3rZKr5Y
2QCv8vTwr1Js2/GBEBHFMVHQJZszfazFXBR2FPoZche6lyVN9pJJgtAJjKF+l+aqE7mJkM0bIy1x
Q8X1970kFzRIO62r4RmW8WIGjiwK29fbJR1dVSrQJu7MGlGC0OjTaC83g/41WaAJeRMkmX7Hxaje
QUTEnl214KcGkSW3j0Tk6gOnpvq1iwYJCZcFY59dUXYtXIyimd6VfdpVZwKDtxsZSyZqQMC12K7U
pw9ftUNvWS1TsqzMSMYA/9L0saW4+cflSkZZ0Rh8K9xV2/CjFkZiRE5Gya0V9HJKOCzGMrxkajGd
QUYc20+I+nCsrW5bbyq2NuBCpxOMBFK1vrQQxHmWxaJBM20NyMqTaH6ocx+MkqGdawUcXcoVMw/9
gh39htHeZzp+7BSLyeWUCtQ8TEqu02SvybP1KRyjZm+ZNdQx2+p2Q8IN2NKhvuZQU4IUE8wUvtWD
UYfjw+k9fiRdWbNakoMVr8W/bII/PPq42vKBuhPKaRrdpk59bwICfaL9o99NRh1BuM+U/NscadLg
tr0NZHKx+Qi9aUJw0sP7e/4jcsOa3fNMUJnIgKmJ0VE+3HdJaMboo8+Wz66s7vK0D+H/DMt3BTNd
f0IADeP6IjqHmzl2sJlAUmll0vci3jkctVVjPkI4J36yFKMXqUa5I336rkyKfeYI3SB0mKBBRKGi
+sqpooIF3UywxbLRcShw+tAX8ysblLJba1P0yHEjbhI7SbEEiRGbzfvVjyQ1xL6CUkMJuEkf1aWo
v9mNHn+vJ1W+NyW8tN28O6ss9ObaXZ+RjQEIim/ljUZrGEVSXAOb8xsjn+6F0UrfQuSNvnaZufRu
V+IvsK/NePoheLRPs7qcE8J/88lsHmATgbVjaceGXkq+EDiiRrHzvAzxueLjmyNhHYS8i3gaESVQ
GocvPe0tI+25Z/zUlm7o4F1lOaYsk6TdwHa/7nXjEYL4mfhgfbsH18o6JthXUi3KSfzb4Zhjo9ex
KSWYi5oEl+4YFRHHntmSxDb7pIykT2e+8fWcfjMgcoAE1yRfuFodDmjAtZAtyQp9SxahH4nI8FPU
EnJo83r7YxqK5u+ycgwgfcXgzg3oQbM4l7O/+brWSRMwrCiN1ath8zYn9lkcGZXkJ2Bj3ZgDj8an
bNyJWtTvT8/36Mb5bahN/EVrEwasycYpcTu/Sq34cSmU/OL0IMdeIs46sP0R1CQo3QwyW/qAhXYq
+SqCtGFQLvViu3aDOEBYdPJHbNbPMVrfBHwksawSGlkrSBISw+FblDrYgV3cOBSRwu5asfP51uqs
/CGfoiRxF5Hmu3IxzmkXnht1c1RlYR8N+dw6aF7AzjeAFf1QmyjaNZ0z+EjRIJqPweuZ6/LtG+R2
AQq40oLQTNxiAhu8wM0pVkNfTxPrWpdL80ZRovzy9Ct8++0zyuowAdSM4NLaTG3keLEXdQj93MH0
1okH0PaxTqMWCjjUc2cuon2RzfPoVmmenNk/b8EBxjo6FpQYhKP7vdW2R/+vnPLKCP3ZUdO7LkeS
1RvKvnkyte5GbQrFg7lfX85dbL2vi7z4nlmL6pm08K8QzIivja45l+gfW5CV7Qh6dG0bb93LsMFK
2rJtQj9tHRt8H27Ik6WZH8JW6WGgq5Vx25QmnpylupyTCvvJ6t2eUnBD8EPFGQix580XNSrFDDFj
iIJY6+3raMWyedFULQIGcC3LJP1EP5VVG+8w35vQ2zH6CYJIMuYyH55qpgRPUtu6mdGYxr4UdYJd
iybnH7nt44/0Xe+rUHOEi9F0ogdxF7cIxWZaWXpOWOHSTh16ToIwqfRPsRBOjGxshVewU3XtfSOH
cHRLSRkfdKQY3gmtzRI3lYtWeBlVi8rF6ybP/KazBxPtjwyUtCg0oEg1miuyW7SD9h2OxfSjBHN/
4yxZ5wSZ1aaom2DR65Y0dymvT4v+Xqvn6kML8oX51HPzwcgs+TZEk6hcVSHQv8Dvm3/iwkYPay6t
PPdKYO7fln5SY9cwe6l3Yf+YCfQWDJyvLHkYercP2zn2FPwrJ2rgSX/hFHljeNZiF+TAZi2iG8mA
3e+Hctv8jXJ1FPlms8iXIFTExwlodBr0Nb5GvlmjZ/ogjShMFXaa2U+ZNrfZEKAy05YeJSR7GDzD
li7kJnKAXpSiVRa/XtBFUp8VWkQkRhbzw5/bBiXQjJ5R1OFzEml0NhJbrp6UOILCsxdWnyMe1Iwt
fkVajMquHhZjHihx5mgeMuuZ6RumUFo3yiFxUgSSra/9FGdf2oGel5fKTpN7Wq4jkmCFNubio8jG
3i2Mibx/UZKs8xQrmV4GaNkPNX3ol3jEo82VzULOvVyKog7Huy5fPmCzGI07s2zC7KJDVWJwl0VG
hm2a6Af5KGSYWIALm7CtmbvhPfaqVHCUnBoWFo0GWauaNZbq5lrbL4EFM225Ina2exoQeo7tnD0j
WuLEWiQhLqUAAuqXSfoxN+yByRgUyit61N5TaWmplWZW2LkjoYO0S/H4YKtrg3lnG8uie7mQWwye
KyN325rWTZWbWE3XsTR/pwtgpf6sWdFjo3H2uEocWvcDIMYOf6ipbMgANOBWklFkn+YyIjwYWjV/
R3hpP/RzU78Hi1BX7tJUNVVOtVTu57pJgUSrUzuuu3IcbhoUus3daEkKvx8MweB2ctVlLm/OjDHq
nOTPKh/bM5WeYQwMlYqOt0Rme5m0soy7EJK/rU98NP1Nn3n4qjkdv4gmIMxCqcgWDQLesLw3wkh+
T79T/WJQDoxXU6YKfzuxtE9l3hlTQO0UjYIM/0DTV0WCVp1Ae4FPHMmclx4X+asU1eYMxaskvg91
deqvNLSvrjKp7sp9x61vuxVG7K0vx9IIWnBsUrrjEdDvhuZgdGN3+vQotZL1BeE8497orD6+MNMY
2mIeYkBbhLaa4VpSRLe6lC4TMkXWaq/kRIixslDypSThauoCCUwL356hKHkFbcyFcnisVy4SLZ3w
51LTX5o+W/L7QdKixMNTSBovkDRUbDdfHaJdS52q5DJus/Jzo9blZyWMtA+dFM+RKzftgGxmZzhf
7DQaK3dWw5rSRR3lk1cUeMIj45yVvUeBMeKO6w1islaL92OqjU/mlKkXnRFLkDcdbUHC5EpkefL3
NIMhc5UsTz/FhoxQQlxnLQewYbR/F0NUP0UA5BWvt83+k9LnpnKB1udsrQeDML1MZPGzHJnms5qK
rNvpdjp1/jwi2fSZqhmiFaijGFkwJ7H6MCVopez5KFCndBJNFt+StkFtrEDVmM84TTrretViQxla
x9dul7dUpiBwT/S4nS7sEQZAOEbyaglcUjBHeZagSyyq3JP7Sb7C/EHOXZOquUS5OZO/1Hq2iItZ
rwrFHVBqTihxkeW4qTnIs291+pz7k6grxTUTFe5EKRt44Np1b30Zpi76gM8ZeK+li8PQqwcBsWye
ZKnzs9TM5csq1qPIq1cd14ussMa9nZqp7UECycSFkpvaB1UaRLhHG7gtLjtrwIBNBuXkoN+EHpeL
PHtk7YQcFsm1ihDNPo47+YfarjRCfZIzcZMbBWJVdkpE7YlOH8PnrJe68l5DU7Hao4nUo24EbJaf
wixFYm2gX+fndjZ+EnhZlO5sJJnjKVrTKRdlDSnuWYP6WnxH43sc/dqekhIX2K6+VoQz7iMzMZ/l
xlk+6USgGt4Ftr64iRYmH00NtRpKdRAi7rIewlKQ6cjo/R1K3DquokKiBojg0A+VRU6tVlNm2c2W
WjieZcXS10HqnII6DKUJP8/SdvIXNU6+APOb7pYiHbNHtvZY+XFUI2ClJNK3VtexqtNEWH2VaZFk
HvzipXR7E9nojra5s2hXiUBsyK1KqVc4eJHD2I3geowA7CUgAhgGfRYYszl/TIpe+SBpYYhjd5Jx
TmBvV33FXCy60ZOsRZAyw6zKlfVef4rMUPqEGMNAyq5N5ANSN2iD11Ml7b20zeKPOHMokVdlXflc
gB5S/aYalB9SM/Qvo7bMn2FJj3x4aKhdW2GLvmFdztbgOotu8XVJcn29tFSSd2VYzdE+t5L80jA6
EzWdstTvKaTkX1QrVu9ao1QnH8H5qn/W2jS57ctFa32nWpq7jj8VIoxY12Ygq3H2d6wpMaI/aYku
zoziJiRkOx1eVGXkso7kEHk0ZPe+iKoVkjvJStYHw9xDO7arybjuS6frL5Nkafq9XmeS7Sl5qQIv
EcCUPX2IOT+dZTHaHXQb/UGPy+l9WNpzu7dqDBLvhkUfbd8cKYMSxgkHFcCefe1C/KgablLA7C5Z
UBn7M0Sx0DMl5KKyvixrQptC6ryBdbmV0NJzXOSmkYqAyVENXpNOV6HaIsWlFS8aniGJVze6dJtr
cZr5C90aYzThNCdsIW4bakjDPu6r7Dq368beyc6Yfq74HntvEFKe+GVbi8XDQVX6ZHcKH6HRx91X
RP0nA623RDICU6rtKywjqt5tJRlOpQJq7ms52XtZy1G+GnhetyhUdZ9Wrdz9XUwo/QZJkaOfryMA
Rt9iclYeKgmC4RVNFyZc/tZypaVjJfvpIo3XrSTiOyBjZebLvaU/5mgZUmZcKg+RHmZdZCnhsd6o
XCWjWufwAIeK67vCqLcH+iqNCH1NddkEWhVN13Zqy+E+lcALBNaI6JnLyT9lvgJzKmiKquk9M06a
73oxiR+23BARlZFZ3DoQbFaT5gHwfT6npgwZypYKj7Sp1bxWXVrUJido124YUqhzlcaIhAdBE8lm
Il+OM4eePax2RMq6YE5ZmjXJUs9VrV/bAoeJBPQXGjD8cy0ibkGpyBgabT7Hkg8TJYYYRB5TuyHK
N9doNDpuaM7aFZt5uZBwN7ywrX68Nxa78ac8Cd8nZiVdSp21XDgish6LxTEoTCfhddkOWHcNg7bH
UqLfp6mOv08pJwQRAsz6MiIXh9Z35dbN8+k8dUNnXsuFsEqhMsOqkZGk2JLmGwTgxrCXQ3+F6+8V
U+iXurIoXl3rBg60IvVyJUzvCLBjJEQhbN11wozPQKDeFnCgzJPQk5+ti7stFFsTSoiIOTq+rua9
N2K28chZQzhezs2fJ+YHQ236LpLUN02VUunoSim+iDOley9FuUJ5o0AqfoYfsdTNk054/PH0Sh+p
O0DrgUFl4DsBpWhTDTQLvcXFLnPIK1o1yLOsCSQENoLToxxdSVDMZNjAA49oTpWZnaep48MLKz4W
aO10rg1vbU/V7Sw35/hgq7kX7l6rnM5h1cjhRtfbhPqNnk6V31Y0SYk8H52ZvOn0tI5UilBu/2ek
zeJVRYvZgMVboyE2XcRWWF3Y87SAObQA7Eb16CGnEj+dHvRtGY6i2AoagDnKx/7a3vitX26IMYzr
XDg+ireKP6tW5ifyXVzfKBianZng24o4Y0E8oo2DlQ4zPVzKtoyqvrMKxw8bVX/B3dYYfc3o9fc0
yWU/H5LyKS61/JMqFmU/VYb64fRcj+xOSqf4F+jUq2mIbsq4oxkSdqvUjTV1tD40OWRGS0uGn+24
VTgI+Z/7nwclykG/aw5t/vNf/0uhouGl7UX78h/oFHX/wVX+/WuPNtD/B5JFBA0rsOHfqxZddvnL
f1Q/mNmB1NGvv/dLvEj/S+OC4aRauW90MFfG2i/xIv0vPmvk1ix6a8hd0N38v+JFhv4XpgEAALFs
AL/22mf6pV7EjxA8p0AOAAO2PcWwP9EvOtyuVE75LmCBgOeixQCNd91Ov30abTVW6tJHkltYaXjR
h1+nVQ8Z3KlNvp8YD1aU7iGIxNDd63MoyFcFk3/u4NfBgZDAHoD4xFTk9Vj6bXBZRVdTHbXQjaI2
9cCbK92lNMUkHV0dXnaNTEsHe+n+qoij4UESeuYl6ILsc3nsrv4Pdee1Y7eSpelXGcw9C3RBczEX
TW6be6dTWuUNkXJkkAx6//TzUVXdfTLzjNRqYIAZoFAQ6tQRd5BhVvzrN61nZUlYqqwlM8PmUgCj
Mj91I/+jLvTnAWB2kyRJrZ94u+amAmBlKWTRjcTe+Os4auUEjoX1J0h8hPON6J4QI62mfsQrHNQs
zW/SGMYpLFuKxJ0c8OaxNfyst4DqlUnM+nxm+/Bv1azkS4coo8RJiBDoAG/L6ZEDe+douXjV9ELm
YIxdL8PcUiA5fm0vlEJuSRCwIS49Mfr/ymD6v7E+/z8zEvs5S/7Pa/Lutf8m/8e/Na9f5Otf7cR+
/mv/XJJC/IMOLs19iAmrSHdNCf3nirRYdbAAEePB6KLNt/6Tf7mJWeY/4C1zyv6Um7BoaU39a0Ea
zj/WGby6i6wtcrTF/26j9mYf/c999Y1x189J/5+LgtMJng7K/ZXpjOMcGPvbRRHD7sxbbI6CHJa3
tqfFqr5L2+cqVDQ4+E6Eb2+40OP/ZGqmjgrU6uZHaIXKOA4Eu/shyGT+o1HGfBfHvrJ2pt2lhx7j
oj1xZMBsmp5EgUSxAS3Fj2u8pTE4blPspwMzbeJvoohrfAm1h2LhttF4enECde/00EKN+CRTiLsE
umvfIrhYn1yA8h1mlCnIv/HZGiO8klWX4lTZj/khqQsMnKomi18nM3c+Q1hpgkS6+SfPmIs0iDBK
OCJgnFmy/pnf7ZMEBP21CZvKFD9irpB5kDfDuKl7rrEiclRoaa2NsbM13kKkSBPQotiVoRWVw369
YONljnxzP7d4YwfJ1GXjxuiAA44ViVr2KWppVmBmnFOTe0mT3sk4MYe9NU6YhbltlHWXSTZh1W61
5mWqVRn3wMIVz9yp5PRgir4pjkuU5idXtu33KHHyvZ3g6LBJPJDAIDfr/GFKSgleRf/FuiOtuo7H
Q7Giwl+zusy4tCtMGHL1WOAEQ3ssGoE9673nLXZ0PyyQesRGVFVtJFt7GPp6+DEmE9cwmD54ubVk
dQnVR4b2HaGy1t+YtRDK8flgselvCxlxG9c2qmm8Sr+clPAyMmmXVMZXEp+yMglN09XK0drEptNn
mR3CLPaNy5QgOjzzh76RGzyAozg0gV2+sU2i+VTMoMs8pclNEmDvO+Eg0tI7e9B8wA6dYYi2YLnO
UyRgKUBcwjQE0+0pBoEmAOy178ViAJVm/snlfkRGO5dlGqETfaR+x4VR6Tsg5lgy5WkY9D1Y1GVn
5/bwybHVwNRScOk/C5HMW6wlILqUfTP4T7hfe/denZVXDhbwyGOTLrt1nckbPpHCWIjjGFVN+zgS
CvwIkJR+S3Sw0muQleplQj8g94sLH66YZB6H9YRlMR5nStx4FRLbsK80JWlvKBCudnSzeT/0XqfC
0S3Gr04jEFpkukZ6Rol+9Sv+bZjcu5XZJafInJYxNFa+EOELoFQX+Zgtzx2U4Ms6Mdr4tJgjp6zm
Z6vUfCImb9sU2tJvNDzarr3EGKbDUOG8jQuVwEGd9N/bSvXmgxCzqW0iWc+fC/Ql8wbCbVKC9vfZ
bhgV7tYZeQ0XhjfMAd7QXg9/bLDu8ZdHhzhAenpIkwXf57qck2NTzqO+GcF1o1DEI57hS4yc5BWz
bAhljbXEKbmttNsuwEXq9tAqmUxhl8On467fVdeeESGJmhYtW+6LpErMgNh55QREbRj2tcJOgDYJ
vYRvzVTkTqjlwxxvzLGp7vs8jRHNedLhIOwVAGNSu1JtVeYMO2mYmiSfzgfd65oyGXEXd5LXKlP2
oTTG5JpCa0DJX2jZ5wjJzdxiS26D94yGyUfB8LqlMWiz/FOcFb4vTmXdVOZkXnBvsvDXgx/7w/Um
vd+NOSo+4AVzpjIgcVVuEgCd8mKejArBrt44m4la/qB0AN3NDFLw6Gmz+UzjGcJTh638k0nP+PNk
wC8M/MaR8YabLkBdJSK80UcXxiGsS4mfOP92nGytybGSEC1/tptru49PmVVFmwVTv+uld/wnjY0V
txmfNbRLOlsdaWX6cufVa29VDVGdE9Pm4wZYpzXkvmCyh0LtatVJB5fbIi8IYtZia9fZQ7lJaaKU
F0VjFc92LZwnI+eC5e+ttozdo1nTs0wCTdpc1FvN9Ao8z4uI6bS3uC9FzkZifxDtuoHAgVCLlI5F
uRy5ERoB/LUF/EyjG+OcgaKxVGQ7wcxOBVncji+Kpt5WmrVFx6s3sW/0hg1GOFWKnrkGi4+qG3c0
rYwAllqoehDEbtS8Y1pt1bjYzlVEUmxBU0eHx13d1w2mIfRXbC1B9sDL9rYS7burNpNr48pX2PE0
rb2lusmOqdDqNDQ5Jo1zoRewn7ayN/h7t9SQ+ljuZrvF130QfbIxhXLnFFfnmMALz84XvPb1Bqv0
YRPH8dT32z5xrfGkRBLVDah1RsPjRrNJqiBGxvZVvU1JqvsqEkv1VKrxVJ/tlA+sFYXxIkZ8fu9m
VyvajfD62d/EXlPcydp3AeWSXu8CHARnhy6l6prblJCC/kwH2R0PqfCX+SCmtv2Rg4Pda5PfTdsO
mhAdm6ZS3xOV5DinGU7brSxP2HalNZkvVZ4ky702jngANrkieTQuqrlADW1H7rWZWbI6xbbZZGFK
dMbaP8fXAkfwSIFfjznUptDTWrPb1y0/PiVODZ3SplXeIJ4HJSotCWa8frrrbumNnOZ1THOkSkGs
d66RK2mFYw2eHMQp2zNtgc45Al476pzoPQGgko3lPKoeHxauBYNY9mttDEfWqSfzZtELZYVTDkKw
I73AcW7TKTasDe7N5kvcWm5FkuRS+SF9g7S9Gh0/O3jj7F13jMh/jL2+9Nhk7EFc5Xk02Be5PnBi
ZU2mDUmA6ksvrrvMAOf0cIK51gs3q8Ol71QXpCtT6ivgbVyGnurHz2sATROqfoqvsOGa7yBVRjs3
sdlGG9pOdhLYAKm0CAyzN18M2dDUYxOyy5fS7eVzbnSSNg4QzgJ9alqco4IFKW/9KinuaGOY4lFL
J3eGrzBwW79gJ/HtbY7LAshLbPjND7tkUI+lpwp/W6ZqSDYtETsCy7jea6NTk7u2vk+rEUNSr83a
LOyidhxUKFkRckIyatfWRYz729cqH5xqC2WCqB0ade18M6gpiV/wzshfUmcSVrikDj80VeX6TfNC
VNsSvbc8ztbQivu40EQFPi1Ep3bUilEfAPpOuwq/p+jc+5GzfDK8JTbu5ZyQPUbv13dl4Pu1+VLQ
Gmpv1CyKm66a3Jc0t/WadLLMtPZ9J5kqhWFWDXkhNm1gAPku47Ut41QG9Frl8NKn3KDZHdpc7GbP
J9k+abTcCofM1WqsYWMCOPIUPCVibuuXKlGN2Ft+tCTHzqsITfaciqPBWdyUGKF86BiihfeuE4jW
b4atFQsCHqQ20+dhFVwa02g+FeQMXZuGpu69kniAUEQoBjFKGy0Cg52BqrwzOJL1kvq4TWadv98b
mpi2rg3te8785kn3u6rCI6YH9p1H4WrbfMmc7Jqsli67Rt0dmUGfFf6B5BGtvZj9PA2VOU1yR9Js
fxG1uvca0WceQk3U3ksdR/24UUwa504bWgXIH7l2FszZ3O8ob/MfDsz6Q9RrND3T3m5/lLqYHqp+
MPZ4oLvJITdV9Wlhqc47a26ZohKjjdBhCMfYHPIt+UP6bdQs/XWjGe03l5wGfK51SVrSWkuG2qKt
lrHAFahaC5v5gpqOWY8/ts4WUUpSOlt/1E26HcUSu8GwEAa/Q7Jhn5aE3qMK6Hkl31SmarHDbhF+
Ap4qgpNXqdY/1oPlPNMGSE9lN1htgAHw2IXZUnpDSHjB9CoajBMDy60Tmh/UjwlN3JxU+ZnUQKyV
yRm71IyIkA2oOMIIWrHyM4qyd2+o2jFiUzj6plPHlKC3L7G1N3vWi5Xa07ih6h3uk2V0+8PSJfON
MxAhQgVgpwcAmJ7Jn0SOv0UmCedAT/3yqAbB1tdqmlXvfLyUiE0ShIpcdFNv0JSs3DWjZ2Jj/yN4
EWQPpRYZDkhcVgsI13t3OywbTv26qGCfTnk20g4V8V1aRHRA8yQPEoXvcjhQud5YsisPCwf7+Jtf
8BZg/PkL6Hui/IGf7qCufIcYcVhijizZKCulR1etpuwdmu72x1+QtH/di/96D34nMfrnQFd/1p8G
sGC3Kw3tL9jQkq+Xk5HOkcCJqd24datoSTvSP5vTWOKiQqYI+W3LxFugtmJZG7VjLWECznUPpJb8
zoLw47htd72QezgnApb9tA38yw/qUq2McluWIWlu9s5wuFQX0Rzf/nrcf/cUkj1XgSDrhpzPt8PO
jKQc3ISaXuAKRHwTNvrE4/zOOuMt3r++XNjMq0UWFFfcUN63acTkcZlLPZhYDrdptlEcxLlL1PND
Osdxuf/TMcFQ4ongny4O7e8582CZkdNFY0FZ5LNoZmFPWx3az++k6cCl67kcl8Xx2//6n+uoMHQn
vZ6AL+QAcMjevruhokfv16yNKMLdZldqgqoxmpseckRVIATqZHT89dDekiF/PpJ+iYUuBRAVFPfd
YlibYBxwSoVrROqPRjrWjUiS4aQnvXOvL6P6yqY/hbrGPP2NPuBtJ4VHr3stygBwS7wHPwSMEjo7
IYtYFIk1qATQHbXdj0mMvGDgAnavjm7ItCEWdxl+8z0/zJ41FGEVrq9cYy5b63f4y0ooHR0R+myD
K2SknUFkFKTGmS0JSkETp+bLr1/xu8bmz4EKZ4W8V6cxWpzvloRZyYr8TY/aZrA4dgh94GBI83l+
EIOizOL57m0kEvEIszoq9qJxoytZZfL51z/kw/QCH2fbNVbmK1Tg9yLsudVT04L4FqYdzR+s7Beu
EEZDLRXqNQ56gcid387pv/nKDvs8LOd1K8QX9u27lpFFcqA3sg12mPqoEpaIASPDh8Kd42MV7/3Y
WzDTzxo/Vle/HvCH74yrpw4nCxY59c2HHc9Im/VOTCQ1yp/opAty57gUeu2POLG5wvz6Ye/eLuo9
slxZS/Rc0B+QQfN2oHPr9DrpkQkYeVueUPLAqq0953PeZumm8UAKf/PAdzvt+kAOL7ZaAGBG+P6B
lZ92idmXMiw7F3w0FcMm//1+/mFYjkkr3qIh56+WVB92Wk/mSeVrSYgYuNo2PnbjC+xxl26HmULS
m353cL6bMODWPHB9HJMVa4n3my0WMkM5RBVU09hCG8SF9QlWB56Fidj0MbhQMsws1F9/vHczZY04
tj1uHAaKfWqT9ztCK1xa4jNKTxLuvkVAMqFf9t9yGGi/+Wh/86BVNg/qteb6YO7ydpYkszQqEyuH
cGZZ4P4f48yfd7DIzGz+80c5OIhxveCBPkYdbx816uOsSy4BwRRV6ebnoHLKU+gVDO/Xr++dvo7V
zWm1UgrWvi0t6vcN6jxyBNZKThJWFiMyqrTwAEDHbrhMCYhML6LFjW+tso0gtnHVCgxBzy7EiGqJ
9oOdO/llRZDeuP31z/r4sjEEcmwa2bhE0zF597KLbvCqtIWuZOK0tYXznQXKg+Ltr3/680fRAuQ9
M3i6pe9eNqEhyVQkMcyoenhw+/FhUD20weHhzx9D8crZZWBAhC/I22+aytSuigQIvTMIAi6MPN8S
gUmuVtfk/42Xh/gZRwnkqrzD9yPqSY0ZMi8md0XNYSKXCPa1TYzq+qdfj+rjkqd5SkuKjZqoambT
21EBsOTwDaEPUmWlB9Bn1vc09MtRZewx9DviS6EVw9dfP/Vt53ids5T/HA70jpkgHxS5AyZZEcEi
ccgO55ehzl3zahQ9iRBtxzxNkvFpkU1/zD3aOwhC1W8q5b+ZnTTAV2NFaDgcHO++JZfl0ashPHP+
D5V54+q5+UJoILWBgiLzu+Pp49MYKkou3GVx60SW9/YdK5VXMBBJ7CUJ5UFTGkC40z38F/aCjw+i
9Ye8VOC8ySko3n1MIx09kmxmgM5l+rkSaKT9t1YC1o8/A5NWyw4sSd6Op6vKCY/fnr6HswzI7ez5
sZ76gTYWf/r1RPmbEVGXQ+ljrjCu9yUMMV1ebBkVr65NL9a1rXR58d9Z20wE2D3UoxyBFGhvR5QL
QQUMjzPw6MSfwFu/KcsuTmnSffv1eD4UDg48Z+pAqn7uadzD3j4Itrts0g64I7WN9GBD1N/8fjR/
85BVCIlLGrj5x4d0LgQEkoAj5CBFcUc+UfuDFWXv/ngo3nqLR1bPFgWp4+1Q1FjWdIamKMgGK77l
fClOddf/7k77cQJgcgHRYzXlZKOw13/+l/sC9S1m1An6bJNQAWtjM7Zh39sp5bOftVTwvx7U3z4O
fijsGUoR8ZP5+ZfHIVEnGHIGKjXLcX7IiT891jNQRe64f+YVuO6BlFiEz1NuAdl9WKzERM0IZNgV
GlwYJySCsjyRz70cy1p6bvDrcX2YEsAPhHlgwmTBIvpw18xUiln4Gt2V4vS007j/bXXypDd/+BSq
Rnt1PjBhA3EivZsS2pI1g81jArlOtxbEdVPN3h+/OJ7CSwP9W49jzqy3U6KvSBp3mgzmD5f28dDr
njFwS1fuJ2pJu/6NVcCHIpynQepgE6Lgp3R8t2Kn3mo9Jybn3pWZfLSsEi6DbtWfZgOBRpQ68W+0
2x++FM/z4TXhOci+96HM0NPUq2mxY8CzQsowKYfN5Hvp4Y+/FM+BgspsgMD/vmaKuNrAfyVdMcm1
aD7pauI66EVTjaznT5+ELT3IF/UZuBE+fG+/FizoprIlyWCmqvuM5pqJbCb1lP87dqj4UMqsgRtU
ZhA1Ydvw32+fBHOKhLiEtZuve/fgZ9OljCLzi4KdcK5aC7rmOFbldeXT/NTwAc4JWUagvp8bZFvB
kiCjCWiQ6KglLV076TNeCfAd1szGTsmt4c49acqDeBEldvQhKR7tlUua2mPiz2AHAJ/zg2N30MDr
CCbqzq2h+tLIteUtLW4Qxy7GdB5JqFPHx6yl03Cgf/lUR6OVXqhIxJ9bFKfJzlxvWQ/T2ERXYOqt
FdC8gYUv9KJ9GJfKi6/aDmJ/QBvQuqlj01s2LQSHsz8ZI8R9O47SrV1aDrgy9j7fl2FyVMBePpqb
uIE5u8SYlV11sjVeUpJDaVu5PaDPH393YAeu5GB3Kw7zbt2scuMp7QmQ62Nq2BZXVBpPv53HH1cn
DGfOUrqLOPkgeH77zSNeh45iOQpsrwROsvIpuir8nhpy1KIrY66W34B275cnnGouWisZkwLdhzL/
9oFlM+ZAREKDRpK1PyZf4UNaDPFvqPB/8xQ2UvBVELLVJ+vdRopVhFwE9I+gmSxKcUmZtQhN3f36
E70/7BiLD+cM7JGNAEju3VOiXJp9m+ikLBZ9iRNMFVdoDSJuAMr57UXjb4bEDY0FSulPIfy+XMjS
qpdlidanHzEjKRXHQkzj8p+7zR9xF+9LxX/ek4T/ykb+L9KP99/Lq1f1vX3/V62/5muJdAh+V/f/
RkTqT176L5iNaJO+F+9YjStS8E9WIyxEqlIcSoj84r5JofDvrEbDgp/IQc5M55CwoaX/B6vRdv5B
kUQRQw3IkQ/+8B+sRlv8A8YeJGTWBwRZ9oA/oTXSWng3U9dDissaWzI7yk/hxttVt/ALBqcXMpwr
XT1aWPF/sbwGt6Caa1AREJdij+EMQgW7o/BTvMwNS9EHWWxrJCca0lU71LkMhN+Uh2TuESYhmjOv
dHtW7aYTdvwVC3b0apqLJW5lgHMd9DyKzQ3Ektrc41qo6PrRq49Du2tYIFacXLQpfciebrSN65O5
L5JMPqC5/qmmLrtkNypS0gPExtGrWaV+gtzZ4uip0N1VtDgH5BILbqbWRqIUTcOI4GN8b9BwU1NP
8CI26Iuza2SeGt1CYaGZTJyoGAOrsPjpRWo6SKrqGimqt+QXVimaUxZbitZ2PfovTQbTJogEsSPh
UOb+cpyyKS7C0tPnb7ClJ1gnRJO+pmUpL9OoG891Pg1n1yjnOegg801rXJUi1G9JIBA2hqG522ru
Y+1kQR719y490CbQK9GaW+h43XMax0BeJD0N8aH2K5gwNRGFz+Zi15+sAp17UPc6AvDUM/tngbRI
bVvPb55VLOzPgNPi0Y2n8SXDtuo6cuTQbSAGrvA1mmFtV5VlUkC1S68seBxy6OkBl3Tx/AUWah50
le+VYVd6j37cnkqI4JZmkX9qyJ2v6UFdaddu9Kymm8bOTxGxJuC1m8S3D7baFrUT1rY8tmkjt769
gb+9I0X01UuKW904l0MdDN7yRIXgHMxy6a7gRG6gvwam0MLOVO6W8vPLopkPXiTNlWMZVkZ9LWYV
1nN/aYhu76jlGlLQPULbi0QzHvP2OwwMTu/HnPQiG0lcGuvPsi/OapDw77zrnsTWHHFQQOPJGDQ9
HG1rHyXtc53lQ1CkV/U47xu7vmX5Bc6IxMfyi33NYWvAMx/di3LK6iDuSRh1zJ3CfSrwomTfZdUZ
T4ZmD4dqk7rq3EHXn6V7p3feMY18qZBKmvdkBFl3Tr6UX1O9PVoTU9AbV188N9fSoLSMexwj8k1h
G9th1EmnEBKDOWgdDc19rgbbwZi1Z1KVMKmr+x/kwV2i/7zhhl+dCvqH4TC24307e2HjZoSK9xdQ
rJordxgCGwJAPNTHzj83JhJpu79xWn0nLZQ+NsxNAwHu1WyjbPY3hl2hFHvixNka0fyUZ/ZWNXxT
VwRmdDObebBg3gGAusAp6+4chcyflryvV3hrlEztF8cebqOlu7PccaelTljFDZPF2miKxPeUi5/Y
eX4d6m583fpayGa5sf1pl3X1TnrOyUv0HbhRHGjpKZZ9sBTark7F2WtBe1s6EnpxEFbWbxG1BXbV
HMquvOs10iO/mn10stw0jOdnvEUWqP1fXTjJujzJKN+xZEN/Okgj/poQR1FBAHTnDrG8bIfPCca9
DtRLN7kbfeMexlO5T2z/i6b5r8y60wDP1SzxzhS1qTYapq2+jVKyqe8JdRhCfZzMoIUw5XrVLYLR
XeQUSQCDiD5U8ex03XmAH+LNjh9mU7pTXWUeO4dA5GLZ21qH9mEgsIeROXodJIUR9inGMdH4XfQz
3AW7N81b2SBeMq25Dss4u5G2t43G/Dyp+rDOaS8fo30ksnzDLFU7Q4rsNOX99GniMWM9fKbuNlBT
DJfoQK+sJXsCjyKr0YLyQfQVpNUjiso7tczErY07OhoYZlzrUl74sJrKXAtJKVXB0OZXOp4CfuIF
LeF8AZ09IQOrzgsI3sPs72oXR66hcXZLxCpun63BeKnVdHALRfQzdlk23Ds4xLeVK691dRZSPxPZ
tK+G/H4q3Su3aGwRZOipK5TAzZ2bDp9MbTzaXrc12husi5ZQxp8QBZ+bOrsoutcBDx7MXPrmLneX
y0H7wTXtYbaaT+Z44Y/Nbmjch67KNpWaAlzSCxh105hZgazG6RQvZ7dkM9bYl41UXi9pfV5SHWX+
fLBR3FMEQw69TaopKB3tLNSy9fOr3DwoqzmPieeGWalk2BYEiQ0xcUipiWdF50La0mmKzKO/suix
5dilNSYcWMWw1eQKC4fU2vVm9KOdxJEI7YMcaesVhd+8KuHAKBq8g1vV1xzTGanQCz3lYXggucXH
owKHpACuSbYlK0yF7bif0ma/dNW5y+29kNjQmBt4gbIT5zb62uT62Rib0CvKXTfgwQkJXaTTFq5v
iGnDfsn6L7UUZ1T4N0bZBKa17Oxx2okqZz/+spjk4xTX7nTtocZe2htdmZtRP9neQD5ZS1pCcvBL
FWWBo9nJq7V0FrIGLGBCCvprkBhYbE0IvW58lVV7bmbti51WP+gin/oZNwbLXjazYwdzJ3d117Hb
Ts3OVcd6LLZ97NyPdm4+eSOIuumetSIPZVZdq37dfktLPfSN+OwtKPxr52vt4gqnd18WmOxjq5VY
kkTygi5Z4JmQkCLP27Zwy6wcE1DUxc+J1oybVuo3M44m6BFvfOOoeqhTa4cFswINhn7FCTZb04HW
L7ugfJVO82piQBLo7fXimZcmPvE1m7lhlMumw2kmdONz7OOBF4/+ASfQrTb4XDXlM94jfKTsDLvb
uCXne6PNj7retRqhWb64WhqcWfRapFut24kGYyvfng6FJ1idcHKHJT/M1nMbxd6pWaajM4pLpPs/
BCdcZiwZLotm0NkyxIb4UK7Hagbzx7s2mid8LAM2podlMk9xiTkk7iW3XXTjxe7TlGYY7Po7FeVI
wb9gn9EGdjmdar3apvDBtDjZ15a8SP34PgUpCswJ+fqS7nq7g0+MpCuYCwjqqf6E0vSrakr2sfnQ
NC03ewMuH8un7I7Z7DGNLbHDzulbDKcnBCG+bL3+YqyyG2jYTh0UsttAab4XZG1QSY3z0erscuO1
4hxb0dFyOQ8U5MHmAHUluUoZGyHCaH/3vTHoN3HDkW/1gTS2S/oNepDDue1sYqcM7VSx506vynFg
HTLA+Q7OO2ldIqyzFwuyL25+n6vYRK4yf/KcOrTmFwgqAS6vAZD8rWzTbWqXYZF9FsUQTIsZpJO8
qiHtDMk57zgKHPg7Hs4pxrfeiQ8mG3w2GGc0Hhct2jeZppx0JO2ZHpla1k7IYieUsTUqB6PQ6cbv
oTRqUYiKLujWWCy7fCS0KEjl56V6StJ2xm9CqmupGZxRZjA69i6GDJllOEnmMx4mWnkFmdf1wsHu
TD6Zc+HRwgts1cYH2N/HlKA6TAZwrjmBhj43tbgbTT16EhXncZIeqEoOK1UvMo0wd7RtsszbOPoK
e3HeqGLYVfG3YU1JnalyKST1vA3Xw3Wy5t3ID5mWclvgT0PrkunZcdbpywP3ou1ixfbOa25HyvBb
mc7OhhTioF4QMI6VoBiurcsqMx+H+jsugPu5vB70k6q6rQ+Pzs9RraT2Lq++eNO0dZKzO7xO5Xb2
vU3UCqaXsVcOV4/vSCuOmbpuq+RCdOWp1fP4eSiSfTuABM81biZJgDYwYqc3t51t3+U+xVYXH52u
3Rv52H+38VPZ9l21qfNuW4rU4jPncLbLGF4qd42sL5ygGKTLjeLZqg3K4eIGW4qgqM3uUY51fQTD
DbGG2zT8hAAqqr0pjL4M3M66K5BiLDwxqw+ju6bPaiF6rGRP/uar2+6FBsabhsVEs350v7VYS86a
fi8QbfgLPhBBnXSc3HnFJthBvSu4PS1u+0UafjiZ1reuH8bbQmWcxBw6kb2b4+jCdr/b3vxCSIE1
U54TUqeGU+oll1h0HOTci9ti6kN9OUnN/K5wu2oxe5xQGAQRpVCB4qNFgwnPr4TEtRxMhJIuhOG6
SbdrvWOSk4m/+K5PzN1Yp/dy4kMJdUymL2NOeEZqXabJ6h/i7yEM74fme6wXW7EakkVfo2S87qxx
F1sj9CE7THu41mVxit185+CWnibFzhg+te5BqU/8Vj+gTA4VvCKHk6bP3VvTVzhFGaS6FJepgsDr
uQc7znbL8IMEhmAw5/uGcDPSSuCjjuLKVv2ezjAZGs2NkZZhqtIaEX+6zRPL2qAcuCVH6dUAUKl1
FFmiMTIzsNbcGMxugtnXmmCJtDsLHn/lirM7CXRLA3mTqXuYaiSymRN3G2vRrn2Yq26hB66RPufu
pxzBRZ7ooYHLlKtBlNZF3rxaOKPUrndTYBKlsgv4PTcR3ODtsGDxGuQqLi6KvNl4cXFpVU1QJrQH
DWfe8X/8Ab070GbFSb1Bs4AwKNOvovhxRtswSuQYObBTnV7GixZak9rWtd3uB9jggaRhByN5fEk8
9nOzaA4IcjYoyoJYf82ylG3AyvVtgxot0HpqHqu4N1npivvH3Bj+ZoRUg2ZwuMhNLoTcbs4mDOV9
J+VBir49+KLFcVjkd2pOoxr2MQvY474a2hNcG9XkO2M9N3R//uZClMccLGpI9l26k+n2VpjHpfZd
871mKw3tjJnDV+xV9papCT4/Fum42m8dD4VSXccnMjDswLY1bw6rjI3Gq6ez5tVbt8kL5GGwQsch
6CfrJDDFQ5O8yVrvsrebp2KeDyrDPMkrcZVDK8Ypp4Wm377C19m7Naquap7M7ZgO4ZyG1ogso1XL
MY2t4RNObKh7zM0kx8B1D3mFt2Lj7Gfv3EVIaFynD03qU7vQnaOsbqt23ydY+AwRhoPl0Zn7H4s8
rt+v3y0eHvA0LiXVCzyaeQHadSbAbx9lQwfe+1nW9TDiVx51PyLTjszDPI5pGtDebaId7TZP4WCy
EFeJT5jurH7YGmXX4vMvzWhGqKON2b7uS8V9Kjc7jBCywlAb3155DwUAcMOGYUyX3eywmDUSWi6q
2Isx7KJufY4iY4oPsZgife+UjiFDXD6qaxQLuO+WS26cIwKnqTpYvBKhGW3l7WTM7g0UL64G9BRx
ejP7znxJDTf+3+ydR4/kSHqG/4qwZ3FAbw66ZDJd+erManch2g09GSSD9tfrYc2stpJVqlTrJkCL
xSx2F92RJMN88X6vsQ+NNGhSdDgbRbugpCezMoxEe6Ro4h48Th1Xz9Sbos9JHvP3uSHJ0aktvPrm
38krUAMg75BSaainTaGH/DN//qfXd9W0eQZyfwv1/B86KvxfU2zP7v//Pa55agnoXsCa85/4G9bU
/rA8yjgPdhDe4/Qh/glrOn+A4RMFhyIbwxsokv+Fahr8X9CIMCcFCIXAZfJn/tZqG+ofOqH3ZOdp
sw0OTabfQTUXFBgdL3R3dr+GtwhvC4LfOaSZDOY00GEqVlAb869Z0kdXkxl7fhS03bFXsswfqZsf
2Jj7a02pL3lfLxBVhsfRZE6Q0DWIOKq1wP5bAgIKKzIF1XOEbyl81O9xEwxHnJaE/+KTvEHHfzUU
jVMYzg49VGJHaDqcP2muBObQoHxld064NEtAljLDJrrSMm/3/lCvXipJxzwVefJzlAxWKudDGXUx
1PWA7lu1GpQeGg5aq9RDfbaKJotILIY82Z2baxQckferwS3NuNAg0l4/LowI5pxm0mBFi7943Cbm
JgXJjXtL0CXlvvf6qFlbRdZavjshxl8ZraIeG2fMvljo6dRVZ6Tio9e2QCp9wfEYGkX70cLrTwHW
qwBXi75GQ/X+m1q0Y0DnaWqD6sOXw5fYWbZl49FFD2eLdFU4U3MrlKS7UvIqv9DHeuZLvKTVMwws
NqYwjWaciJfTrCJl2EONnq7o/8UBFnADu7zRTSWvpNbVLw7GftyOFURoZpH30052gfWLit3+s8+D
OnqsdDV6iJ22idccLqWyGYOpzXxn0jzsQh1i2MOAiz66FRntCEQr7nKPAhYyueF0O+l11rgdI6Ob
Va/C/PH+S1x0H6GTz3njELugI6CmmO1ZXpJTMGDIR1YalQ2Ck62dqu62Ys2t+jEnzUJG/cP74z23
M1++Tgacc55hkzEgSUmLAUOPYsgtpxxrVXVnIoSipuKGErScqOlXN6iPaLJ2SQWGU5pfetW+Ut3A
L1y5K+ziNuzSddUo3YUZz454Jp14/lGwXWn5sG1iO3P+FohNVy3s8/IVfsfxUbCdbfJg/IVdhHuN
xlhHUIha7P03sZy+kGdgzDDkvMxZ8otFhk9/MYSmh1dE6paHSFfTLcasv5ez48wpHiwNyCYzuXTu
fp0/WRtbwLh6wNzJUIYYxAOtA7uxL7y/t56FowASFSIUmJiLk2AcTDtAPc0oXRYeaBbYPiLI7ALR
841ROOhA3iFI0L1esiMqr4B4WJesxLj6RsBj/1WravPnhc/yasHrsClnaRmIOxs+pO7zV0aMUlNq
nfWj9lp2fDhGVrq348kTv2wk5CxTNfzUYP2r7kNqYR3zzcmxNqHWheRAYGzQg8MYpX5nQftKVq2a
OuWdkVsSCwEbfREXd1nSGjBl6KJDrinO9aGJXVBxJ7Me826oMsxLM9e4CfWQP2u21YgJQWAJzp9R
1Sbw4iBp9w0OxSmlcITJshMV5v1UhZj0TJlQcx/2RrLHbsTzSAMjlXPV8UFAjnKrS31kKsN3iecy
F2fZgyNzT4BUXjWiD+9FFxr7YayH7JNiGbjSytJRmpssytvpQwvnS30KyijUKfgR12wA7+sf3qAo
4bau88ldq9JO8j0OnDRnUpTBeMCCRJpcvaDP+JJIZMWvu2ZEty8wzNiN5oReVCgdefZqEEqAMWHd
F4jZVW5ALoBVMGFoTB1tlZovsyYYb02B4YTf4+s7+lZsOo1vBlp0olvYqitpRZ62VUYavivNHIMe
y0vdrXa6bAm3DMranBVRlcIZrmE8vekxoQ7XTacZe1Vr1HobIjI0DrBNeD9pY00HF7Utf6YJ1a/l
mJfpRsQkLYPEI7bfaoOMcj8U8xu0shwoY7St8FEOAydezMF9N+oxGX4hrzREai1pc3XlqIDOJVP3
BeOV9FfdG12zwWwqRe7Mr3+qu5pJkJnmB02OmnLPX1bj9YLiPd9gJI5eXxeDGDdxGkyfUmybMDsp
4XpusNZUva034oWKRKkIDnrDJnylu6PsV25tpNkDAtqq3nLXTmMfBxk6bJI7+Get9spxo4iK7qvI
6vyLa3T59yCOOiTD4LDx7VgNIcQnTQKrsXPrw6pzatApqsDilyK0pNqQRpfhN1zD9anJD9P9Rs2r
n50Bb2rloWSnGZRmox9Cuy2hhmfNoZyiAvMrzSqG9TOhcBOYCjqYznVyzP6rDDPczshrSTFpGQbm
EYPx3SpLF8BMSow0h1zB/CRyBi27FlrKRcxJ+uSqV9r0ezVyjK1Lbu9yJezZ+WBw8IqeM79KNsKi
4dCOSyf8NuLJZ+5tFMz1Jh8VHfArHZo1xtzlALtxUEwMX3N5R4pU4RyQKRT1FdftsXuwMs9i6ZC+
pa/1VA/0dVjVLpq3hAa+73TEjW27kUT7DV4EOkbuVqoXK30ire8OEyRz2BWYcjsPbdfoX2ylEuIB
PWkYPGnEDsVXFRKdqwmCrbVqRRcTJdQAskFGGnR7Hfe40q9org9fEtD3ho7FAOAYDDiEwF1siq+j
F/ePBNNFekg30aGj4/aVRYs+pau+NRtp2xvRCY3mMW4N0y5KBe5DcTrJDLuk1ELxFGoNSKjaOcbe
LVqARorT6KjAnBUYERewFjAvhEMLWxhozHUjFJVlGxo2aB64DFBh7V5Xoum4cme5V+A50BV3WZMh
p6op3UHB+9ycHnS3BbF29cr8qQI0aDtzwGpgq056+GnAUoeshzGpfsaGdG51Ij/LjSFUjud28BIM
NskWWBcJrVkbIeyJnxTcBknjYotfFjogZEowJO6lVbWPcVRiNSd1gXu7VdjH2KjNg+LWXu/jdm3e
pgKPm1UVOHm/sguRAiZnSTfR1hTelR5lJY1gihwHyMyojYOuiuBoOhNP3EGq+OmFrXaHS4ZTHXIX
k5m16WaN6iMqbKddCotB+IYl+uqhCyTWCJaNA9W6sHqMhWx7xIIY++jqW22BG6s5LgBrE9skbd11
UfZRG+D2bwSb2G6KC83EMz1Cgh17Ln4rVoISE+CeXA6Ky/tpiONwIxSr6dfRxHFHkwrdXNSa2pUb
0zu9gU2rXBdVj8l6Z3nikewkPd0K0BW67nnf4zvv6BmJbIkWxqT/JNKGzqUr2GsNzecRQ/FvpSiB
6fqpokHm5BEanm6QuMFokShDeiABOQD9EI7pOkoVrorCDj0VNCqH+zCA6n31zFTDjT/q3GZbOh3e
WVYTScSyYa48jITYpvR6FbgDE2P+MIu+CbaVWcbgOVOEw08T57UKcCR6UGbDCD8nnFnFlRnqkbZG
mVlZq5o+4n04O+r4eTuWR4gZtLKwxI6YOFkbn1I5uE/eIII/6UUl9NcravYbblqDuzLSMS52UyTC
P8mtiMyDlRr5x5HCzlvpYWO1PtIdrjw2WkVnhW8Gts5BUNe3bRs0NwpLu1rFqSMebGH3FJJBpz9l
mD65azYU98skK/FoKVnxhPm1qa1TPdKtNenMolpbJRJHH/XwOG5M1TTcR0ck4LxaO5jpbuzHWtnN
L+QOIlDZX0VNhZ9W5NZwVC2r6n/kHZjYipZNlXKoKiLnG1TguiKxcJ6gxYDNr4R7lBNp5DKmx2ai
a62q7A0uA5xeLdPXWAWKk7ZwROZlBcObr4pUOr8zJ63AIAqOagEUHNcmBv60GrXtIGAaPNCEwNBa
0cyEXiTJlBI2B/8bzLwRyio+wIVDG4stwQ5ny3hnaN1D1RDKQD9dN3AOuBsb4882MkHPhip0C7Dx
NLZxPHiu9/4fePoH8M+L0tf/Jr/9269CxnKcGYH/8Y+P34r2m2xfugQ+/4m/gScHqMhA5sutwSV9
xePv+sslEPrjjC9hlWuRzwVQAQfvb5dABa6dClOWqhkoFKXiDGT9DT3Bp/oDQTa7HDgWaviZsP0b
RoGzF+GLKxtiaOy6bOY8xToAGGmw51V60mNjK3K3PnYW1mtugMqqUlRzp4xRsZcuNXEUG8YNJ7xO
cEabXJMNr39zcltfk5hbbhSlqW4JG5zuuYSxI4cG5AtLc3aNa5b0Myf5/cXbfQNDOr9p//WDufkC
10NWRb6wuCOFE8eHFaXNMeD+72fDNG26UqjM9sbbalmU/DWxzyxqX1pIPF/d/3XT/ntAXs3MYDb5
D77Fy6t9wt4EqU5tjpiPqx/NyruHwYUjfq70m3ZwP6WZiWFHkSV7/Gpa8jt7zOBMvFAgU7grCvLb
VJLPkMBzWUOfbG+6Pmw2tcygEo0UsaWXOFtzNJ1dAnp2MCJ93L//yuZr9/kTkCuM3Iw0Su6WWEOe
P8GktbaZjrk8JlaObyjORNgJ0b3xjCbbjBmEr6RuMCJvj++Pu3DfmF8dBsJAPrbG9MYHc/GtlCHp
cniN8lgGY3tFPRjv9FDE13kr2ytPmpx43AgOZRj0ezEqGA5OLjk4lBAXQIK3fgnjcyUlQQ3d1fIy
miErEkFWtUcLytk+4WJy40ZTdxO3ldxjJdE8tLijbSX3lsMc00dNh6yEsqq99Eve+BjwZMF+wMBm
RuwCSRDmkGIhJaZjOpYtPmvZ3Dht+6eKGbQDChxONW5xq3igJYu7pbhjNaWbPLbMFVyr4NBCsHns
0z77hC5dv82atsNOLoPdFHrGBRB1gTLNHxBbDdRUaPzYbF59QJQ0iFtlqh/dqo9vnagSPyKRc0ED
jL+NjH6iTUcPqQ3G4pgIu76yMZLD3WvCzlMtU2Ksy7nPGozxrkCfdg8Kq154oecg6/NP9LAIRYWP
UTwsZLbRl8tTacPKDIvEOJpxY+BlBWV10rEQSzy6oBfm8+u951m2yY7MXkmpsFhIpNdHHvYC+rGr
TK9YkWdVTCssg/rYlzkc+nWi4PYEq8uiXghV9YNu9XDq4pYG+MYTdQ1HTov1ZmN6FB9bJ6ws+1qJ
Pe0TVzvj5/u/9vXOPv/C2eYHNS8czcW+1VgYR+KtZRxxcIt3c5TCNjI7sVMJWFpXXaJfV9k0HrBi
wNmNe/+F7/IM9p3tOrMaEFsEugogoxwv5x+mNdG6ZqbjHQ1QoC9Y6Q/BVZeHDf6ONPCOMggpikiv
SrmtBGaK9V6GOAEeGlpFKJmN9TX3MlznpNC8gwaYwQ1HGYIn4kWcH57KhccZGus6zTVSV+x0xJ0t
AlUu1q4aOT/i2gafaIn3Cjc4z7W3DA/HZiR2oznUJKkQEdFWJQxpEmdDrMi6HhZUq0/TuikLLgB6
MJinzqssboahVZG5gZfQz6rUvJ8E2zQBljB5mHJRS5uTY0UsBRRq0y/y63EdC3tbr3xhjoSmh6ZM
1d2Y9OQ14MiadVtMvTyq7D4XuxA7Tbl2O6gSa7y1uKVMmYHAUOuyqSYfs45Tf2y1qAFNqZNr1cFo
c6UGsMdXuapp6W1Chki9bqHm4EYfxLnlF404JXYdg4i2YeqbGiyA7VjrOiJ/WSfESqVTohyE1SeH
XsUacwszNLoXDeDwutd7S10XTZ9pF87RhQELCxW3JxwymAxYJrOpLDa+sDAbWsCtA/V28DbKFMLq
wIlp2ynC/IqDff6g1jzzVFrWUdfx+Boi6BXvr4lXC9hDI0RUBx07VA40Zc7npAZxPI9w6jjS4Uh3
oAfDulAczH7DotxDJOkvPPSrzYnxKPoQLczOPu5STcw9YxqlHrlHRYn7Pd5aqW9hmwmPeLqkrnvj
0SD6zB4QiKxosS32QfbYRLH6yTvideqsjMgKt6lC1uTQ6OE2171s+/6rfOPROMYoHKmLKBuX8qdC
DG0YDK53nM3D1lNlwgdT018FAvrf/2hUu0DivEpT5cw8/2jED2tkuqnBsRdaeVB7LwQmVIJ9x4Hg
I40bLug835qpdCjxmXrOCqdGPx8wF6nqxF6hHCFwlvu0qY1NF2fpUXNZpThKTttYtlxSh2LaVHgk
7j00TRdmzlz+nxdtlP5ksHCw4WahOs6idgo8rWtqzKeOI9k/6CUULCIOaVWptU92DL0ca8hNtrLA
nJpVADO0X6Mmt8N1XTjG0yRh4WMknAXWpR82r9PzfX1uqbKS51oSeeViohlG7qZJFXhHKyZlbfCC
gwi84gBcpB2NInWuy5lq5hkBgnZik6jOx/6usyP7wgR8XZhTzyEwxsPF5TKEf9X5Z2L3q+wydtNT
JnMCo0PsCC10ZPdVZMifLS9j9DW4uSg+uO1/00u2ubXaAsT56G4V7bPXeOnHSBKdlBhW+DFR4opk
P0cJtNu0EeqTofOAfhw5MPO5qgUONsQ5r1ngz4hfBc7KxYUC4/UaZo4jYqQLT1gzerzzJ2prQcxo
0wZHJTKIarRLY9VOtrZtoqLdDgYkpPfX8Fvj8d6Y53QTkU8u6pnWyGw1n+zg6On1PkO478dp+mGC
rkn2enth4rzxvVAXAn9wJcAWn9CK86fTcVTWo8ZVjoR4Z8cSmuq9HmDW0gfExBXtGB4iepIEc5Hu
FdFQ8Y2Be4HR6j8adubbUOIbiwV1t8t0K9t7uI1CIPOAnvMgtBpoi417cOpm2mSimq5HO64+GxML
5fffGdNt9vyHRkLJef4UOaWD2ipxSJkXIsGwg69dMv0Elv2OKenm/bFe77G8MZgDpDFxa7OWTd7E
KPSqbyy4e30o1/jafo16EcHHNb68P9Dr+xEbrEfoFlMBsJwki/On6lt0xKMFta6MKvm1GsvpmwEf
G59rjC2V9Qi7e8aFgybmot0Ra0YrwP5Kji4Ms1xTpLjQo3xjD+YHUSTMhcKcQrNY3GYhtTgXRXjK
7NrZz17zD3KcrHVfY7OlJo3cSII9blqzwJXWC9x7riXi5v23YvLQ5zsdmekapk1QI5BOLXe6PkKB
D74enbww6w8ic4gRjeHV/fYoeD6Q/ABKxP1FXSz6ooHsmVZDfJpSGfkRBZgft+n/YtrOBkJc5GaD
QTgD5x8Yervj6XqcnGQzwVhXmqMF4YUOaudr7fjr/Ud6NtM7f3PcPTlCQb0gVyH8Ph9tLGydRoBI
TpzYfgF7NrzphxamuR3DxtzRa4XWmnU6fcQsyJPHSdchydZCGx9QLAJET57EdEMX3kPnIofQC2Ee
7GBdOdXOANeHcKkXCpIB6dT793/7OYdhLlNBLGY4Dqs1XDmWnX4bgZ03aX1yauAUJjahK5XTPJWZ
eQ379YeuNZf4N68X+Twg7DRGRgW3PMbm1uEU0YQ+9YReUlTQAQ7I1qU70XkX9q63hgJzxAMRh8v5
Wn/+WfBkDnOj1dJTL0bkOAN8/V6rLaBk+Nnvv8a3hoIJArOO7YuMs8U2WesJZLOGw5n6N/Excw53
OHUoEDS07sKp6byuSCDocWjODlLQGbzFWAOi1NTAbeGUIjB8dMlT+xxOrvPdLlTtS6uNxk+ja5Xb
pIhKehl56nyOagVZW56mGkrgNlae4BNRLye1gzNEHZY/0nQy6W8qST6shZPUsK9Hq6IOnHp5ExBD
O/lMSYO+fRM3DwUdPpN1hDwIjZSsaUAK+3td03JY9cbQIbagxx9eJXhwJiSnaP09uXPOIYnGPLsJ
7W64oSsOhwc1T8/NDnd0ep4ZCoTVkEQ9spVpblN6g04vi86Is+bwdB/rflBhMehBIbfoWBAOmrao
vuClKxzalFH0VRWD0eBsXWJMBnEAkawckv5PrQ8Njq2q3SYKiOlMarCbmTdNgkVO0t5dTTgxKY3w
2Sntw66raaalSoUaxGtujEoqGJLTmb9LteoJ9QcuE5kzjteZFOoF305j3pgWWwlKSrwPQKqpG5b0
NJ1Q7SrV8O/PwxzPZo25Sis66RLUrAQIBr6mInvjNu7aELgHN/0e2PWorausrh/Lrka4ZxiVg4uY
bKXfFlLdwmLA67ILhuZA+LdxKEin+JiFnbVWzSK+S+uoFGu7NeRdV/VttpG08B9jO/F+NPTgmrVO
Tw8tjemkvyr0UTEeBhnymD6SmOk4vUw+x4NULl2D9Dd2Jq6TvIuZQen+JY3/8e1DXITNf/xD+/eE
wAZp0gY+manu/bAw1ptWddMS+qkR89HxK2LodRN8e9xxVSHgPiu9nBPae91b0wAqt3nuemiJvZz4
BXUogx/0pAzXL+tKtwkmUL/IITOStVuZxS2PhI7XFNTwq2SKUbykSgqGLTPs9JHnWMUdDAauQQ3t
pMP7u8frR7UILIRyi/MF3Lnl5VK0ZeIErSdOKm3SreYVwRVxJj+kYohN5I7OtZMie3x/zNc7FtC4
MSNWLlAnDZHzzREjzBqSYEMmPKi1XwmI6npuIgWt+/H4/lCvCwtudTOKCPUW2q27aLrUHbYYJTyP
U6il6AK0pt14wzBd2ILnEul85TAKtcscQIc8awm4ACBbcHiq6kSbE+N/1b2PWqVCG0UWTiTHD0XF
JQMe0yVXpjeurvSlMBTmw80493I/HpFix7njNKeGsuOb6kzqrVOqqHccdAblpGgPIpXZxmbz8zE2
du/ASr1fSRQ5+7jOgwsH+ps/hyVjcF99fucL4El2kuoxs+VpENqwQwx80qFY4YfQ9t9HETHHVXd8
dEut2NaWY+yGaewekYVC9xFxcaGwfePTwxLVZ4NOPN9I6DqfZXZi1gU29s0JaTNqhaqPfLXovAtz
+Y29Asq6DT99ZmGCCS0mM41ere3jrj/FcaLdqvhh/JBpSdHsZabcJKU9oswhTGJDdF1zlfNbxw12
uhHcWrVtIxLfMw4iW01L8FSlrWkqh6GE2BnE0482a0iMt2wFCRSGWBGqv1FvrgkgHwmYD/gvvh51
It3XxCj8CGKprXWp5N56GuukvFDTPNdHL6c5IARTjZeJeSwmd/Z8gLzYFltiiswwHoeTNyvJdVQa
7FSNUR2qaNpKcJwd6WHNDV/kacLQ+ykvdLErdWIIIrpi2zxMRiALIm4G/L63ZdRoV30YlH7aq8OF
C8Vzm2n5WwGynlUDGjzoRQFGEqodS2ENp1B1xo9ZhSR1zNosg9qQeZu6IdM7ddX9lGQpzf7E/IDj
t3JoXFFeVU7o3euRJ7+gbpUXgIDl3je/w3ltsGShCcOjPX+HomujxrKL8YSyL1yJKu6uW+IcVvgf
Rv+LoZiPBE7iVksduvhcodIbdiHRuLVE2KyFalUkaAf5rjWi+sIGuDxF5qei72HozuwHzRw+fypV
qkpAktSIRxD2sxjiN6exD2CMJFV3W2Spe6vBFLswH+cFvPzEZFHiE0fLA1+oxaCaV7WYuHQMWuFF
EuoDDHRzUDZdCB6lVtEliPnV9sZTMusdbu2w0FW44OdPiYQlk00r1RP5F6RyUJwMBHHF0Y3oatPX
06DaqXMzYRos8JBOe+rqsn0SRu7d9kVYX5jib7xzPi0IP7ASr33mTpytRlyqWVumegKuTNddjJFD
CeawIkxI21a1PmysoR8vvPO39gAYFnxqCAH8a7mu3No0Ul2408kKoGJNnlWsUjOusJQI5a7RLZS2
tVKeBFw1mHCpempovflgSeK67eWtQrvj2qpN9ZG4NnlQVDHdUOmXfmUj4Hv/7H9jqdEYowsB38IC
b1mc/VNKHwQq83Sqozj/mJQtiuwp9rZ114gLS22eaoupSJVB7WwwNYCTFzOjxI8AC5RMO5kONr50
KcYDOQg6sSk14Upjp3LHKIfNQFzhhfpt/srnI7PcdBWTP9rcmLItHhIqiQr27E1IbEb1Stb6+BAk
yrf33+Trx7MNm30Lmz+ThtIzhPRi4x+HLOeKm6knuIW5T154/qlQsUPxIPptjUYMV3WVd3d5KLvN
+yObyxsnF5Hnu/pcLRrQSxeb2NhhA0lOlX7CwWn0iaY3P5ByBgcs8lpdkHQYp7U/ka75rWjCWSte
tuTDSFy3yNJTcQmih6mqa+F22DtOQySe9Cay9gOt/xqXlIm/yUy8O8MpaxVnqHH6k5SGHFcdxZ2O
rh23x75UvljWlD3AU3OrLdMAR3/c1Y0/TfRN1x5ckulqtCcLwivBNVhOqL1+jxQx/opvU3yoY2gO
a5Nu40fCbKJhFXNXvM8IFVNWBuyV6sK0f8ZNzqaEizhDhRHCnk/H6PmVvvhabtbNTTk7fUoatbpO
C11t/cQqhxtnJDhxE3mkNt4rNDBwanLM/DF3ikRdl0GeaWsjbsjWGxBTkh1UGcihAvxvJI4B1Tcl
b5O5f6vj2zhlqLyGoij8pOgGD+1xn5fXipQwKMaBUIlVTk7chwnf33Dr6dIiMQmq/EqzFOQDQD/N
nqaK292ZRZV8eX/OPG/85y+AThnaILQXIHG4Jp3vjKWCT25vyOrJMaLoWoi83WsEYMbYPdlFyGaE
+xYJQW11xw0H0UGfQTWv0LCPa7Oa1dclPmsRwWERNiXGlHX7cIDnnnUVX5dkAs3yTXoet27l0nV2
SIUUvku60neTFhWE5TpNtt0EjAJh26nv014DbsTez5RbxDzmhXv7vMIXTwueScHNmNw9lrIcWhmi
S0O3fOo6WPIhBw3+Z7NVWhB75o5ZUm5IFW32KikQEuFEWl3Ygl5B2kijPIhmPDjBE7jdLg5is03b
pnXj7smz0n6P2U2FtY1M91KVFlmJVntQ+rTZla7OuZwZ8OiJIHyMsBXevf/ltXk3OHsXHhbCz70q
2BgzE+v8y3fqEGO/XA5PsOgl9ma9C3lORhbWOKmbYB8gLFpJA9Ybnyd14o4UOml4jyud3m2zMZOP
udE5azUds78+0v+TNv8xay3/e7EwqtIyX0Q7z3/iL86mAjMTdRSgLFSxWdb3L9Km4mp/MK3pOdKe
Q8P4/H/9zdrUrD840al9kDkCpaMV+xdp05z1wnCHbGCbmYLg2r9D2jwvIaD0zJkcKIbxKHeY5EsK
JLxQ4ShRmW9jZLOjsa2N0Jdqe2HHPi9kn0dxiZw3bGir0B6XzafYHfrMbZt8i3p4W7gpCL6z06Lh
Luu0Dy/e/sNfS+Elx/LVULaqUQ6hf4a94OHfdb5AgsYw0HdZ8dZBuiCI5/SyTagm+7J2L53cZ0tx
ZkOdj7TYhO1ejdFJMVJnfOjxUhme3n+SZ27Av9b6PABXDb4AcD5ecnyh80ch2CKWxCanWxMdUfVp
bDos92RR9uUnF+Z+dUcftiS5TpmC6s9cuIN9tBtEA7gAZ83wEdlbZTsrZyrH5lrkiuz25dA6ztoc
pdl9RPdhGBuzq4P24f0f/mpOzSwONkr2J4h0XCfOfzdgoMIulCck1LNNPdjYIBe/1097fjfAMHMq
DzszE2tRFWaDEeekDmLB1HGaW1dWeSm7a9E2/GsIUDVwj5ngQ/jB+WO0jkz0YQribWDJn0IrNgaG
lakMrvqAg0A18WfT8OEMyEi+MIfPD7x/joyz8zwynt2Li49a207YqYxs34YfxtvgQV7FD8Ou//T+
d1pQMv85DpxtNiCS55fL0mqaIil10nyN1VcUZjfGCj/IdeeXa28z7cKTt6vXxYWL9OKO+feg3GnZ
CsBJmCrnr7VAfdUQoo7UaZcdyjtrL/fBdrpK7uy9ctAunNzPwORiDc3iZgAdCH8Y/S+qa0VJrQIU
Jd4CL+3MK+WehsTBXA+rX3LTb7tNt5nWwyZYGWti4DeXBMWLjsNfD0sKCqsA3itauMUccoLUCfRY
j7fRwb6qeNjhOjjYB9eX+26vbNJb54P1gaK+LdfdilBj5Ke/kl/KT+PBvbPvnIN3CH3PV6+dg3Xh
zSwcBV79tOXO34tQ7aeGNzNQMUdI4TZGs5fazs1gpWAqu8rLVYDYlisI/oMrzDXfn33PuOGrT8M+
rdE/hIv1PFFeVPEOVQyisj7e4g26N7aer2zdK33d791Neqd8Vj7H1/IebiX/Nh+Ce3OrXysHWFo3
5al8qK/M/bi6dE6d3zXndzJLKNi2uD5AYVh+LjK1hYMaPoK8XRbRrWq59QdsW5JLtLDX43AGEk2F
9xdbC/jg+RooFeRGuk0RHXOZw5MjQ+q/Yr+LL+Hnr7diNiJ4koA62I+AIZ0PBEumosFUMVBo/rDz
Fmc01gruOJNz4XO+OncBYebcHQccGlbms4/+i69J9oVSuBDvN2Gl7Dz8yHTvqojTtVFcOuEXjAC+
0jwUXJbZjYMW7fOiezFUpOVNAEylbLD2+TDeyXvluzxa19xDrryNe58+FBvCy59I4C6+qt/dCw+6
AF6fhwfZBB0iSnH2ol6U4IIyigzTTNnIrTjUB9pJa2JD1vlB34q73Bfrn+8vlOVkIeYONA6m0xxE
wFaywN+BeacJyXS8LeJ6U8PqtRT//RGW344RoOTTryKiTTdegTsR5mVFS5LZltDutfuQ7cv9+wO8
egQyGiDsYt0/J7IxGc+nYUgHo3LQV2/Q6DuryJq8lSl7sfm9UcgoosakRUGpxJayRFKU1IZXPeYa
rnFTuDWqKrpO3Vj+5rNwC5ylVlDr4PxSgc94zovZl9CpYHKm2UavFHGbOFrwIcyz30soZYqDQYHA
zkkaM2F1icTSf2g6OZa4SCeNhkkg4faVW19i8iy/yzwKaUuAvrBG8G5ZTC24bR1uB+j4hgBalF83
rG/6KzAjLiya5T40DzQTUMFsZhbWEsqVOGmFgV7zOF3pEFFeoTk20YHHuXqJl/3WM82XdQPfEGY0
16Oz79MhMikBaPMNqs3qSWlVcZcV4aWGKF2hc+COs4LGOcuR8hN2LySYRZnrpF3ckK+T+kEQZnfo
zx09urebQsLU96tc0Bec4Ru8aXESd1ZWGk6NP1hEda0UmfSnbApTVGdoZdVtaqkTYeBh1KDS9+bI
PeH09p9yFAYGn452wOpHqlD8G+27EZVOtFHHUH1IbEOUuGeHueuPbiQIt3aQgwPY4TphVno9rrLS
LEmXa3UXxmNk4KUYjZ11sutIa1dJ7Wr7MJ/67LqaFE/6nmwtLCYRmeSUui3SBDuJMUd0crz0/SJK
wsnXM7UaPiYVqmZM+wxvOBp2iHMOepSone1HIyPBilkSKWnl5LLzQ9LuscGfHEPepEoestRuh52G
7fb91Mb9yU1HfqgA86MpOJj8xAGvhW9VG9bqqnEz5n4aBM0Huw2t2ypQZQNFhHY6vh+o6n2bHqK2
42VGmDvYWXDftninrfh6BZb9RqcJX+Ik064sVXQ/jVAYUIrV3rmzBbL3TdebuMk5RWw/dnDsTUyJ
JzXfWpAECK6duvKu4EeJNfQk/VNQGSQNxlFoyFVQqhXuqLUU/TYGHoc2OkcKrDX40uzSTtwXfpf0
6U05TdaDK1zyhiOSa6rVxIof8KnVscw1c8Kzr8YM62f0IzRGUTKowlijTS60le314mtljHms77XR
waouVDPnT530LaT+kFXKVevQsFl3SVNiYOglExQfzVRwRU1qeEhFrAQPeAcE/0nbmTVHbnTb9a/c
8Du+wJCYImxHGAVUFYsz2WSTfEE02STmIQFkYvj1XqXv2iG1bMl68GNL3TWggMyT5+y99pTk/pAW
xUUNACErD8Pcyx+lvYLFhYY3FQmZLZh5VsxtYWRt63Idjh0OulmGE3kEgS6zmEjSzk9G2slGTFT9
8orcrCX9aTGBNJahQ6EYlMBgMkcxC8j7Klgi2zREHfftDNSY0ID1HNnTDE8Z5ASszUI5jEdWUYI4
VWSEHn28NUFCgtlSJ3nLHRhJWfV71+rsA1yzOSBLB2hQVItWAWkP20zyNG3Od99q22dLNPVPO2jA
iXZMDeJuUvDIJygl/MKscMfZKaxHnunNPQ4e3L0EDEkDErcpB1Ia/OBDFbSt4Tf4+ot7a5N0zFNh
4SQJVzqq1YRYZ7SR80Xh4ub+xUTufL3PHFJ443JBDBMpbqc1Xv3R4nrNpnwNaUxze4dMs3B7B2Pw
JG2wAJGcXNxvEoNAe7RlD2JzJnTKjEy6twHaTR1eIrknOUl72sTd1/bDdu3otr8tXT5pZM5TvRwy
8Dv5xZJxII9azkEfI+DALDFlbTyaDpqNaMwL04jtznfPGN8SxDF4wcDZSdAaGp1/WdeHwimrfpfC
m7BhamqrSJCrmq+V3dk212Xxn2wUAK+9W/YYJgzEyZjTKhjImVMfWqNWN4G/MgUfufTgwd1S7Tp3
mp6UY+uHYGo13MvWC1UkG/JlD1KU0+Vo9PUW+exKn+RDyplIo9G/KXtaCrFjgDJHMieX5TFflAGY
2kKYnTOHtwO63GtRflUU12ZiE8mextxv7I3SDjU6fW01Q+IqF+kAM7vGghmcjn20Dp2Anm8q2cdp
05yWyV6wcII8tUc9M/Qp0FnhMDDcz8xoRXjRg8sdjoicPCZcOAImoM6WaJN6susl9rAtYqMcGttk
yL1ZN/ZYoKcO2/DMRsb1BCzXYQQe5WcdfmSZfkvcbT1wpxtYLuhjo5TakqBDbHxYMwta+VQOqbsD
pZW30QCxz0hE3pfqws/T9DBmfQVrxy4weTp5WLwNTPqqJBTG1tzQ5G0ea56oKspnuW67YB4UTFkt
JxZTRtaAz0GKsCpt45IxJejGH5lSwk2YUdQODPK8s48CCia1bJ8HnzNzVx61chyYrJSSHJFgHRRp
UY4csr0uvO17OPahtYPpI1GRV31/VQ+9DbS/gcK/K4O6HiLD0ul8Peu0qBK5wEi/UYhJEMk0SsMG
D/DRRmsVFoSllLZ4yVoFaMGZVfElSyP3Ep70NIhAaGfVhWh1kAG8GFja500ZNckswehEjB7Hzx4O
zoavZWPi5K6Lc4cSEXPbnAqeSCwoBYYiauifCpulhzLP1cMuF7MbxB6uPhued8DSCpSJiVElWnfj
YfYV69NqYhToxroXO7qxstuNwD5ePb+cSNxyrEXDGc7KAr2jy6xO17Z/yYKiuTH6Bg45oRXIGquM
XSLUr5lywDaXTbCyEWAMVnGfSq/CJDgUL93EJDdK56z7maota9nWmt465YsXbDtblqZ/tJC4lTuO
HuK+o+0F+kFPS7RxzPxZhq26DIMJA6RRckdFdEdRDcIqmW/JzG1AuNuz83Prq60/zByB5a5MV9gU
VjGQYLaQlP5NahPmuDEgfooDZyT0C6uAgMTf+p+rH6YLb50rn3ImQ4gAzp8Cws+X9dDJ83+eldu9
h/4WeFFPun0XjxZkrMiZZuZtK2RIbq1mtKyk7nh0jxie+I13jqeN18m3NthNo1U5+zzs2zej8xU5
KEVj9zvuuPIFfzcrr+lJag6xDOUbMTesP1JuVFZ8k/5Tez2o3g0X4nYkAaBb8KXKTST4Y8wvT9uj
jPxZDPZupNVK3o65Ta9D4zQqBjvQIEIUtnqu7a1Ydk3gbAIOkzXgckfDk3hmqR/TRYUmJCSBuM7b
WOd8Bjc/RJGeHw5/LCCFGHWx/izNxcyikcG/l0VhUGO7Hgq9BAd2327cK7pBP4algRnm8EhdqKFU
LpyY3j3njBRqV09Tfi2xUIQ7fwi3h9XP4P37s+X9bIH/fRTubA87t5qGdjeVbvpAxCx8mTKd/W+F
5zKAypyg2EN1cs/W86K1j1s66GyDvkBH+YoRn3rTkgty3yrT/9roO+TJ6HgkGtTzBCB61Nqyoi6d
nfGwsVY4CcNGcRVKOMSRPZhus+tzt9gSk+bFUzgF/XZwjMx9qRRC3sjsxjzfd4OXMi/26pVoISTU
ayRGf7mrtYAXXzVCfmSkWExxbyx9jQHNsb9kDj8zAicXtok3py5JAGWprxSjTQgpcNJO7lyTApCT
zzRd1rzxJTe7LhAXlxKm7taHzn7OqilMXKSnX2nQE8GRqzZNOqRS674WFEMmFGI/Wa21eUZVpKw7
bBhGlR3TdR7k1yQLY32iV+5gzqAwMk+tWRofhFxPDIw3Z9JzvFH2zwfDBm12lN0yeq+co3rvhtzN
fr7WrRn00OWytLrXk/KmI/Acez5U3qwxKZPL95IXtPwT7EuMJzistOsBPpUzxUjPHSjgtTSpFOZy
YagHp6a4D4yBqnGtW9NknGGhty/RFEL+Zgj6Qas4+ETxyZ6ULV1uHQzZVOJ58ltoUA0Req+Cj5td
tFaLeNKR42adGA8UYtytmFFIHLRHm99eTSns6CKtltBFJd56VxuNK0ryumx0mPi6MIQXl5aLgpo1
NQ1CwMTF+q7tJXSSbVLb2zRk4hnVsdMfKo44OrKKSiKWL1lpj+E0p8OOpdvFI91Z7PML5rmJmKGq
MFRxONO5pu+TS9Qw8GiBPYjVZbBeKiBUsHzqrc4Odr812a3W2pmP4JxYranxffhrysVJ6S6oFE9e
2LGWW2i455MAq0aEYn+2huUihXbvqTT8hiFtK17wXK0vBkqC8JDOAEtPS2uYH+FaAk5vSnOejxAU
4UDBbUdQE7mk3ULBxGtcXEhGQ/leNRupXOO0rNY9XTXt39ig7cNE2warCHZoon+J3M4Ai7a1JR7K
xuyh/o1p46MswXH5aWdVuxzw8i/LqU3ttEbWv1lF3LZszrcY2RtSDEpUW4++t5bmd70NoyAByGAM
DeuuqtyLgOLQey1MfpZ4Qw/nRSl16HQ9morVd1LOOPwI5TzZCc2GEFCjRy7VHsuLyO6Ges1Ra3Af
z0mN4zbA5l0vVQI5LZVxudkGlWSDpx1nszfy6Dgj+UFgq4aRC7lAtQhAWKY7sN2rTlhHguIVxlLd
7NqpW9WDzBq3vpoKpwsYmsjS2nmNgbvBg4702GLRftChCu4WNTodEQbm8OE2/qZOLvDa+r4rnfm7
zFRoHFgNwjmayFlDjj42k3WtzE6b+BAW8mUMd8rmV3teRXastN3NSdsomeGWTy3rYaqK9q3p7MI6
2EEaflnF1tcnsXE+ugHtbxSxz89pnvzKbrz9PAyZdav9odouCCLrqKrNAJFVVIRGbUFFMgNJlWiE
dcNxYGl0TFYTW2PpV+Kn42BsOIHBzwUt/W3u50skyoURT4XoqQRNzTabrbRcbjwHagvpCSM32wS7
MUsY5efubVeTzXQ5ljmhG1AgrGAHn6mwAFjRLqfEMVOr0URyNCo9OTZJ5s+dMNkaayw+7wL3Y6QL
J3hOjZWIgUJ6+slxhzOrpEfYtEM4k3/2KSfm/RbK8QNnlcGZG1HQqQ4Kozo4mdoeO/BzkryQPPuc
TDEPsTCa2vnZjJ1On4e5bF5WmecFoqSivw4LaHBwsSpmBNUwc1IRtA9+AjdcyovGbIsvG5cYhr+8
d7sXuzMd5L6ErrSXXTMYrwa1VHixyI4kAHfrG81ZBKvsZauWjCfaUtUT/r2QWC5wAsMd/aX8qXZB
5J8sOL3VRdtMpQG/QAffZbvJ77pPJ0B7AldxBDpDpiBgUFABUzNsg8MzFsTI0zOFp4e/JTueV6jm
dtIee6w99LO1awbNKQL0/XIFfG1Ah1XWLiYxdhe+21ghnwjbznrKG1aEncGLP1Zmxl4Pm2+croW1
eO3jMk5tcWeGQ2ufym2bxiuwaUsGad6TYXbVG6J7x6Pp002Zeu0lTcuRIc6aHrDDZPtbu+9Ilrhv
OC9MaJhgfu3B1Zdkp7APEnPmDoaRSEnePC0ffYZfIBG1r6s2Xy1gjxxWP6jPqvC4ouDBx617PV2t
EB3vVJ0HiL8yghpixGEK75Jah/ZjBGRxBxKlSQ8l7DUSfAbb+qLvQuiKDMZpOIgAWX1UQoBCR6ZQ
CyYO2+zESuCA7esnBxFKI50lv+6k0pgrnFQaR0KnNjTgHvUKOsFZl3Hgp2YReZw8iVLrhu2qVrmJ
c0wbjZe/+nnWf0OXZJRH6K0croCRVtjKVhcPnZ9NKcAho89mUP6rN+2o1rWOgj6rFzJA0l4C/cjm
LjoPwt/GKdBVNBjUFdFSKecZG+b26tW2/TIjS8suAr8E2OeaKw+YkZXGfCyzHJpRP1XI4SB2Cp4A
B4G6JvSRkBmRE34IgzQLd1x0IGkpUcpbVNOvMC8yTlHkpUwy+OhCh+c3k012jfEbjRU55taaKGlP
5XHVlXuXEoT0lm55+uCVaZpeityoSEBjVAPYzpgZeamKJ69yKuB1nGXG9jBwdj/hklym04i9867Q
Eo+OS3waKXchCNecvLU84pDBcbnnWouoqUfaeYvahm+FrjpqMNkSR2B64/iWtaP7KLS/PaZNBXxu
sZYAP1I4WgsHv1n/6EW/vDtV454t1KapQSkWI978WgAhtHiICMfr5BP6EfMV1bVHEWm7xFn04HL5
y77BCxWrnjxEJVygq2CoxzlaelkOEfBT687xWxnERinZFcn26R9n2eFEy/LmdmmZFETDZFYv4eqY
C/f30koa1Pk4wv9N/bse1C62LcfPHgaJrT7ucmP92dYegZDtnHnXlTKp9n13o6XnQ1q4Kep0IoHF
a4h9HEvo4BF5FoO7C71huJtdzV6+SPJBRnTyX0WGoy8KcgSCSResZF14vqjzyALHTYMV7GZ+kQ7Y
YhIXNCLn+5wGAQVLRmdm7C1gIJyjwvnE4wPgixdnZRlbmK07mk3iipgQP4srk+SMyBzWfohQYhI+
MxDqxDlCZmVwsKkaKHy8MEfukUNWbhw0e7LtsqPYOrCO42ALcFie/6a053fxUgp+XOoe+eWjy6wA
+m3tFDewpkm1nKbss9Ri/AgHOfRJo/Liy3OA50aONTeEw4XLq8zN5jYksbPfG7M73S52CwqH/Wn8
bAfHeNVqliCEu3KtaVZ77n3HZOHJ7aeWg6PV+MQi2Wrr2akNxfJA4owZiXrO10svXbsX0v6UGRdW
bZ6g5Mpip+uUWs1O0+BDzoKIyqIotktPSrQ74RntWTtY1iNJWdBEU7utImHDpvrYHBW+0KmjcxuE
Y/3mjQJIjTG01kJ9MgR41CpVEeIE9/ZjXKt23VF7YRcNFhCxUeHS6op8z5MkwQSrBm+Bs/K9nrvw
AoQGpiYvYLnekfxcp8m2tu39Wpjkki5TR6k8cNIuYp3N1NCmchTcAYt19RR2unkkw6X4UqXHhi+h
B30rMzF/U8omPBHIs5soaksrXjaHU6JDGgkC1K7WP/McvIAh/Znir8t+5AXiVwL9jPLRalI7qR0p
Tt6QEdjltDkBX5o5FLlMYepEderN331KOuLkweLcNkEQvk50IL76dB6P+KEdldBZJvoTohnZopwt
EzvfZ54HdcMJ+/m240T2bYMrfEufLb2aEBG6xC3V+o3Ao23c++ySpy1b/J+YFGuMbIVwuks8qiwy
W1eiQA8m8zJrAwsBvNlPO8Oot59GHvAQ0aIdMdEu6rVTM3l5i1GuP2BUruSiDD7TkEK45RXH+RrR
Fh3mLHKdekYJEW7jD9SYgofWd5YvZLAmr1aq5WnRmHSjigHaObrJDN/FpHnweO6GfrewRBLq2Y/d
mzCKettZc+pgFqNmsVgAZ//RURxi2dV6dQ2peEMgXVNMRKb2vZqCOgAmp85A8HoZibtK9dD8DEzp
P8OpDxEdQKX/Vphj+2RP9DNIC12I+/XXxV8pvkpb75Z0bPK4FchDd2VVpDfTOozIjXsq4Siv2/At
zPPWpzuU0s9wNks+OH7ev2fUTwQiDXiEaQOW7efmDMuTv5Jm685Ly5Mp8k/6lCxxKaMvUuZCMVyV
5tZ+NEyJSf0ggnCJRIsRtbQ08OcQ0vhTmY8KwGtn+w8ig2q2J/iGbC5nQikHQ5nMhr3rG7qLBm/2
/agNZqyRvSRZh5YYNcJO9UL8RO0/kX3Vh81PQrdwqhLWuNm7qgf/F5FHBDJ6GHKHRymtxg9feIvN
59PdNQh1y4xs2vhGvFVbBp3atgpQUSkM371RcXGSEgYaFQ7xjpHhAcdPNs/W+PctqqJqsiye/qEJ
7/0ubJ42s5cCQJCVvi+K6SX5VXatGGv5pEwiIjZvV6d1X4V9LsrYzpSHeMWaiVpjmjuCyCY6Y3nu
FgNGVcAhTZ5nZFiV0EfzzDqCXl5iWSrFkG13JahT3G/mOXuq5TunBbzemos4RUWrSoB71WiT4dOk
2osXbx1X7pc+J4AKypA6Tltqj7tAcBy5ZvX3/g4j9wsZnzkx+gMSZ2h1n6GS+GT+OO3MmG65ViPr
pPeDZKkOZelebPJWWOVpFE+eVR7sddqjHkg6EcRZGO4Md0yUdUlD7say21iKG4e2H9Pu2M3UngQ5
TW8TmxGk5OvNqP5mEPzn6SxRLUxL8ZGcrRbiF0GKDCZthQrH5tbJ9AXViH8jfMPY/7US4FdBAwEL
2DlweZ/zHGhx/KKvKUdf2NZGiqQ71ds3cx70NW0C/yKg9EuCyp3/BvP052/F+4EoCJAjmuJP7jB/
ooFCBVQmvTNwel9LikqUb/9QRfvbt0JYyb9E+4IC+I+/tWLkitRHlAnGc7RjttEfhUtBKYzROfYI
X+O/vorne+f3Ai0G9hbIPcgVCJGtPzmh1p7ov9883c15xVmEuDFnj9Kakp7+snHb5vU/M06jgkbS
fr4vzIAFAlbVL1+xLOw6V4zWYgwM6RGfAy3maXRjx8SI8dff7ldJAmoavh8UADaQAAvOL9oHY9xW
z1vIzzFsCOhCYlCH1lAxeybw8K/f6tfbA3Mu9lk0KbDmMDH8+lYsK9468XVjI83piuUDsIxBWhxf
/vn7YDA+54vwAKDp/+MNUq9Ol4VpIfCbOs7R9dnwu8W3/0YA8+fbwgH/KkLUXuiSEFn/8V36dWQ0
jaAIyvbqPLDg+pRVht3sqzyv3lTdMrBw1GL+44sITYghy9l9jmb9N1nW73U3dWARh0r3qPW6fk/3
xLoAqPh3ltI//1Ro5ZCN+yglkIz+igAtSjYBf6vEGdqtTwRZoICch3+6XvymXDsvgU6IFgapyh8v
obtUuQ0BVMQacQ4nbVPv6nJYDn99O/y6CvIuyAw94M/c4Qh9nD++SzFxqCHLk6jJYVuYWaQWVHrc
IbSN3bgxC/k3uu//w7ULuWpnKKLnw+j9ZdV1Z+nO9CGd2KottR+MUD/43bJ8/vW3+vPtRyTfWfYH
9Pa8950/xe/uA0KeGkpA3oVDnX1bnF32ypXjN5xIxt1WMQTKg4Cy7a/f9c+rxVmiylIBERGlXPDL
tSQnIMw0IZkxzUdC1TP6pikhjlGr+/Xfb/X/w0mjP4dJDZ//cf2jH/9jr9qfP6aia//r+a0+un4d
iiyf/vsf/zj++8/ZZ3fGj//hD+wboMjv1eewPnyOquaf/httff6b/6//8z+B5t8Yuf23//LRqXY6
v1rGx/o91pwf9f9uqfkfQ/PZ/jF/j7//b0ON8P4FdArXC0sBKyZwpf8FQRfOvwS5YGftKZAzyEv8
RP9ppxHWv6g6ENOjF2Uaikb1f9tpnOBfEH/PGw77AJ5fN/wnbhp2EF7qd5sm6HMI1aj2AH0FKAWh
rf3x9hy8cVoNX5WY5Npin5HFG+Nh1Em/oYcSAqgi7J+JibA/PTlzwzG/8d6wI8dlUV3TBAKD6D+T
LX2Rrf13Z/VOY55d0gCMq8E6ToNz7HrSc+eCrHCHrNlFEKSRtc1zZYzIHcuz+YPpYxMSozwMyCbC
on7Dnz3BdOYYV2/39IjT2G4d+wQ9+tpcsh9WVdiJO3Qc4VFr5S6HeeD/74ALaEMZWUc/gqwSJ28e
ZUBcTMnkZ1PjMy1m5qj9PLMOl/YdsxrwQNv2MNFlIfWovGbxDGhvNep+LrdyZ0rKvgUFG95UGLiG
NyRjanQkcz6OafcEL+dcfJv3doUICtOkilLFgH05t/7HormYqrLblylEX9IwwqfR7EmQILg5bKqb
HsIOjbWs32+LU7+P2txTr5UXGrdyREzSuLPalPYkbtW5XF+ljdDAcgh1JcLiStsWbTNr3Jd0TPd1
MU+HJSA5izG8uhwqZo9p8DQKI5n9ZoIHUT4tK5BDnHQW2hHlJQj2wkhLBuSr8TCmr50m4H5YiibS
aANwsPgxpOSLafO/98b46dgoKVojtHcscSKWfRvP/oyrdjq4s/PSNoj3rHx7S/0ehlJN12np6RC1
rnq0CwIafIzAHbKO4YlTAYc+ow6jwJ/MF8NDlkZe0lMY3JpBfrNOqOOq8aXtw4fB804hOyi6p+zK
m5CPiZFzbpalA32icjet5rATM+OIDdLPs66D8GYczRaPe//G9HN+F2Dxj4h9MP37D8YU5htj6+2u
KdeFFhlzGFqANMgWaEqNYV/Z47LGFClcR9+NOAj59NMJJklt3eE2MO6stPzECHKoVgadfeOdnA4N
HYkmjDmG6iY16cjP7cJUVL2X5nM3lM9DQGKtXSr9niMoi9CVIG8ZZu98rE9v7Sytd43ZGNBq6Xv4
S66f9bo6JyRFayK5JfdDVT30c2Agpq2zOwfAeFxqnwR0LGM7xZjps6i5Y4p0eQo800mKcnBuHNpA
O2yZEqCy4ZGSvtlYaoc86UW6PmDeI5rFbJY91K3WIsstE/Q3i/IylIv8qAhFuNaWnYitAMFJa0mn
F75cQ3DrXsFDWj9tDmE/rF+M/sUBMed0T7Okf2kXMosAQdZPviYRHeAYN6dFhvpaB9woTOFbJ2ti
11APeghITshQjay+bO5de30nxGW+JjehOWm6GLFplUVi9JPsScSCU7ofvK32olXNNdAYX14XLn0x
Ok3jkyoEDS3CWk6+77bfKwakd6OZS2u35szTZzaeqBxd9WEgAjsyQYRkO5RuTdyV3u5ZMUtafBNK
BoFA8cmCgXpbtdLXcbOmNvLGTUFu6AJveajycrmdWm++rEnyfPCBr9M+WAOO91UoBwSrM814lXo5
nbeSqB692W4y0yR7ChFlqmj0U/FmLHlxUj1NzajSLQ+SyrYwdlukWTyZg/OjANz9fQAi4OxJAmZi
GxCSZiFxJdi4yo+2QXhdJIKluRi9JdTEE5lhYi1j/tyoM3COMI5Im6ZxhZhh9SIHEMiuKAv3ugRl
f7fYevsYHX/ZFfWiLja3mN5Lif+6ahlW7FfVghzveIgBJlXvQvnWbvKH7cZaDOA4XkYgW9QDTr0e
nCbfbxjs1whtgX5uLZ7U0R24ktmWVrEvkAg7zSb21m+tzHbetthxButywFoZ06WyL4CCLPfMHrwH
WtkDUwV3/pQ0uNHr+HNOeFvvRWbYrk9+0RsX82ovzc6fOp6qAJw2cR3tz3XM5dFEVHo1OGa6bywi
csiXDvdGXspL9HI+NVBV3tiuEbxkaV4n2OfnA2rXDNzL7EIyBXXX7UiWSn8QUb3ilIfP+FbOXnBr
29l0hME23me1Pe9zV9cHbPk86TCBdqQ09XsCi+onk1dP1GapC4/O1wndUrqv2FcPgyvAsjNxp1lM
DIX72YSldaXyqn2bWGvOBNGiiJv6LP0mgIr4Lcz89piavDgKZUadOJrQNkzBMl6nowH6vQlXl1W6
tYOLFQ/7LuwgnOS2IpA+n8jfsol+R6Tm0likqRNJmkUxkkQ76bptpG9JVHyvc+/SRLT0PciL7T5z
zeq+SLMfU5pbe+gYfWTVAV66pWv3i6LuH3vDSmgm+y+yysf31YCmmTnBenKUbV9iJ+PVBb32aF3m
fq88t79Ar53x7BdVdyQOtN+P8N/vjEwF+27T840r5ycXItARj4eLehzxzerBPqAk8pHXzfNh8cUU
dw2rHWJjeVUpmvhpZfkxwHn/aBLWGw9NYByD3Lf3WdU5b+tGrESWbXJvOFOwd4z0uwyy9UugK7ui
o92DQgnvDabgT67hodUeR9DCzIW66TU12LZBQ8IFqPckUS4XOjUvBkc/ZoWTrI7M92nJUMkL3od2
AtIJvyv148pq3zmznpamRGeNclhMox0xyI/73seX2JQEC2YFCUnSrmn428Hey9xDrr2XTCOq7jyd
XvPhd4GrXsaV5DWxqDhU3nIMerv+1ONWPZA+Vj4j20A8DXLxhQkKF8xob5vVMw5TaTnX1Tqb+9oX
xfdg0eHDWk5uROvCTTpvZrZQ5DO91tI8UUM8iBCdDjA7p3Cdg7e0iUUzlWGMf9uIfN8MwW7jYeRM
XhBXALq69owHrxnSaJHiITfEKyLD6cXNyleyNK0rt5bFsaDQ6tXRSe04cMc9wZTqomZA0Dscrtt1
rvc08aOADKwLLbMvJD9xnrMhy9avIpOot6jNU0Y/I5hUQYdo0s1+xLEMg1fKnSfdIgka+Q0LSg8Q
l0xNt0qTCl3ijI84kqv8ZOYVTbN8WJpH5ePJE95rWLQMdZ0bU9dWtHhZ4m8wr6R7UOHPpVsfsCo3
iSQ0LQpZ9FHLVmzkMwiK/oZO6asqgiaZTX03spNWpUY3zeCMvfUwSS8houdsPADjWoAeuSxq+gkm
on17DJ+MbQP75a9fJiL3RHtArqQWC06EjG63URKaKPxXrCeHgFl6SxWNhCRD29h8SXS1rpgfkdfT
w/LtXt4AedrDzfqiW/ukTLSe514htRGd9yw7uPRHrzy3gV8NCXHX6lEdbc8bIg958cE9x5Sx9xkv
JlDhg8hmtpsxOyCXOhA1H29MKyOBr+NomJv7EBT+JRDueTeK9L5DrsF0n/TuAydz5ghC36eF1d1m
btCe3PE83OiLjpmpuJQDvZsmZ0EP0BgwFLJXvN4Jw9dvm9ExkkOr/bjaE2MNT1G85dlVTXTFbJTb
ITSLr2mp3DiztYdCHX3EWncBEsIWsP5ioRZp0e9m4RLsQsdX171ZKprynEPgeV2GRhkcpzDzL13d
EERaAc39Pg8G7oKlmS/cIahPfPTtOPvKueiGYUDA1Bo77t30CXkKTlbQL7cqzxl+BFV3gtiDP85e
wHEztUIs7Rg7t+/EIcOpw3Ka3/pmZx49dNV3VkjGES0nDr5KyYeUNPEXwfa2x5S0XdZNRtYB/crm
qjNM9rR2Wb+lQS37xNYZqsQQDJgPUHXXg83aLU4qKKSX4kbMOjgxBhQ7MVCMokwFkIryRH/ObaAO
pWKUnMrtTm6yQn1ut9ZNh7ww8fue2MogtS47J013vWxJXZtN+zvhHtWVXXvlHQDyLrbaabrpe7dP
JgOAKO73kllFCTnVqY0XloDgjfg295Jk0QwjiVCXwcTlmW3mV+ta/UgdSmC0Ue1R+GgmMon4FtN5
k7XHwEsVAxjrmcCAQ8lgwccIsRXfu8I7BdsXioEdlrgv2ywQSDG0iYAGJb5qroYpPdpldp3aLMTV
gia7Sw+kT4HeDL5Njf6k2ibr02Io5ov5dRD4zVGb3ObV3WptR6aoaIm69dDI/PyYrudk2rTUB4S4
7S4NtuACPd0QoRDn7DNX+hbBMuX/pnf2JO/qiTFCkoUbbMYhm49uv2QviJum09xsWUKGeZDUi3s3
FEXO+1dsy2ZOMZ53xjed1iX6nMDLfppF1SdqnMia9XTXUYVXPScYqEdOsdX3hcq928LQ39y2q5la
GLRwGEE78lXZopujBu39jqwm+c6UdkzCFmFlV4zyZTRCRAVOl7aHHi3kgeijIZlQS3/ajcH5ue1T
7oN1Hq+EwWereje9Nvpy2ZdV1j33TAuvbNk9VWY5PdoQt2NpGZXBqHOBaTuEbBYZmjdFSgmYWYwm
HrntIQdzornWszCE2W+dCfNHwWTOYq12poO0+iBu/idzZ7YcN7I06SfCGPbltlaukoqUqG7dwEi1
GkgkgEzsy9PPl6w684uUjWTnYszmit0kxcKSGRnh4e4R2+oQwuv5d4599NAD4mFuKxRXMqq6YxtN
cFu1RL6Tlu0d+loIFYEejnk11ddRn6sni/p24xQqemR4IlNF13GEFNePxz7p9aEQaXrFeKjoxVr6
jIat3T64CsXVhPfXLZyYvL0Zg6o8hsSNa6crvCu5aPwPp/Avb3SPUOl5bFBioh1cXA3NGVuNJimm
v0YVqoc+VCsNbt8rKWw6hlzSF7eomMf1eYWt3+5aGXkf8qIiP/eihcgsx6+whfuD1XbItIoxPcA4
6kjjRgwURdgPG6snmSy1iO8U+RcV+6TbbZSXX4cwGc0Odf62YvLYjcpCCPepWLotxAiPoiydsGjk
iLtZ/HK4yePK/gcrWBQhdj8wNpQj+rZaDWUlbTPrA44Lap8yBGPZt0WY3lRzeR8ukf7hNuUPX7fF
BraId5D8EGJAVN8bet1N19bFHvZyuFAdtuPOUAsOtdtanxO/LP7F5Ri7nShbj3UaM7pIIXrsrL48
1eXg3rp2J/ZDZg9f0D+MIfZaUHggnI1s86oLqHCl3R2TZpwEqp0h/BvaOMRGlGTFKUxJKzY4Ju1B
jkaS7AnWd8YwrxsGyUI8nPvgyoMo+43h2IQ3ZS+SEUOwh77lrv4h7cH91ExedvT9pLnH7Enu54wc
pFg9ZDkYUgsWQj7d049adsmyPLvZ+vcYpJ8yAccb3OaWuc+7pRqi/3fwp/5RP/btjx89+OdblPP/
S9DT2An831HP7XP9/M/zzyCp+f2LjVDgGtgTlBKLOCStr4NrzrMfLZy6/g/QGXv/C/ARRqPxjOG/
TPviMuwRDJSuEMgp6Kj5QfDf4JyhaVD8T2vQx7XAwZQXoV1AjwStrUFBfwLhcRUXGulb9pUatZ5A
yFbMaey97YKKQu+vyaQoAwdIvy/WHKyzvxV0POr5gFBoEE8IiCblbqZAxE3PvDMnrRk13uM+DjTU
zISw69Hqs6TdtN4aVP4m7oc4abcyTr3MvQor2XVkX6HbQNvQZQVhgTolUsT0MhsoOvdYnZdcV2Yb
H/A9TqHYnaKhKjwamEkDzjGyvzFfV3szyCI6AcVmeKFj6TJG/zDQ3lFffCc1Vwcp3PzBsFU2Hz3n
2VhBQg77kl8PkPD17pXFgD/mQHky6iCCNGlvO7ert9ZDdJTsFD84mA6rru7BNwr9T0unYZgOaz9R
6ewK5pZjytOkMMXdqwb9wQhXbi5rHoLs+5T/85nMxac1gV9z2412bC6hbZrZt47lLByLlH7AzD3a
igFBLXVugfb55afV+On8cn82VjJtvbev3Mjqafv5Pv1ngLu3r7yVfRCWxdQ+GVJKFl3D80/X6caG
KhgGuyZXYZ/vCRKUTtdqUKteH61e4mB+BYEpCOUfupBGXf3T5WAvawpZ0HZMXWgU2+9wdtm4fgVR
TD/qbvKaF5iHSsorOURopQ59as8WxUaJInC8AyMJ8EZmJrx5g79/Ku8uA7uQCEc4XBMw8Aqxj3z3
VAQQgYvfdgocnYSs0LmwszlHkTItXICmHOSNjVNe6fxkuaUOx7tZDDWw1u+vw3nbFmNH0juPaT3Q
ycYxANO7t69njSd6l7qLvkRKqqD6MLYdDsWk5kzo9U8J6wKRUDawLQjvrmSKAvq8ZnRY4WKJ/Wk5
pOtgvowTg+2o2gcd9M5HcuTFsz5yFo7xC3N2GAMHzpd68j5GGBCefn8XbzuW3ARYOFQWoopNrKIH
+/YmmBrpI4vVy5eZt5gHMLVXj8foDxDzlmPudY033iRWDRtUbX7/0Y5tWng/rSgik5MYvydWOIJ+
GvVvPxwfe3/ImZPwJaxgsKefh5HxDs2h70Js6Y+MxTIfHonRbEVftVXhbm2rY6zffU0SUXsftLvO
bMxcZCZgIKLKV1MdgtuyLjKLOUQ7VPfw3T+qoaIDcQyH2kS1acwVfzNsmwUKKMVohJk6WOqY/A01
t5j1g65xpYmO6FHLGukI9aefHDymabLXO12kYXOASh2Y+NF1SN5vlhk2VEt5pwfC3zK2EJD2VReb
4GAJYUJjas0hL9/GaIXfbMdZ9t1WRHHegoY0gwkxuCHDPdui0zR/ZWxC86ftvhDc1+x3Jr7NOqcP
chPXuDJye3Nt7rkQCeFnVh3Cir2vHMfPse4uh2m57cwgJk3VWtvNC7Ec6PlQdysHxn61OzITpri4
IaQ6LeycXnUL4uPJTY83uRbXS4YMLjoVWkheCdKfbExPWg51aD1TEZrHXjIJk5c302ya9d+j08Pz
3ntLzfP+isIFdOeuLFwTK4oUeteMmbHFbiDOr2PPr066NFcd+6nmvpIiG5ndNvYmuFbn62yYv8fg
Kd2xVncqiLIcUSYNIUyJl3KysetAwFAGCcqRdOgYvvIaoMKit3hNlz+VmU5s+BHPTrOa5j5T80NV
2d20bzLSZWAIwOTe/TzAkuJfCThBRfkV8VkMM1ZGk1OkNzKvzQ1P5LLhQCoJLyM/oSLKeKS/3xs0
Qd9vDdxuMAhx6bkyAuB9sM2ZU9Wta9w/qQEZgtym6wqzcHuJeVbTzjyycJQri4bc1OGLYog9V3f5
FU9QdTU7r6h66wTFw+QMnnJb3mI/Re30iA2dDYsSgTQh/JjkrnkuyPec8BhURdY1EPgJ4/5j4cyB
gHFooz9WwSOqPGiJD/ZcdNnDNBfYBd814FI2XXokuU003Hrnc9yFSizvsQXI+IDz/ziebdY3cgWz
2p1xcVrnQxEXJmYH/mgtoHzYzLEO2gWKgfWJEUQlus5N3Y2qz79eDl1nxkYBMDJDrJ2AoWMu0Wwt
RrrxPjilC+61jUSW9tvMLzLcPuoiB+i6A7ttu+92YNFsuXL6wDVnlbPiG72zyr7pwptA+lma7CvS
fnRiVeDUXniQTmq2Y6Ctleba79/0u1OEU5X5izbDJBJUsIbL9jYGzsHE5Ba3cR+dpW0ya4twdc1g
VkuyQM7VOi3oXl+7dAgnfWwX+uDu599fwbsDlStgqTlhwLNnbjnH+9srWNvWYfRkMz1migGAwdfJ
nudgOVgJrk/iSPkox4XhrC2w8BZycAl3McKdhB7k76/jnf0fjIDQOHPanAQeHEvYAW8vRFPFEp0D
+Rjha6vsAwzPRYqtW7NNmc4bRGaxIAeuCrHtZyyHoaI7Re4Et97iTZxPMByhSf+X57zh/XG8Gx8o
wyn7JfNGcuUyOEy0X4LenVgGGJSYLyXC0i65R0wU6AeOoVhxcvV2N0/fE+A4vRxnN55y6/ti93ZR
3Se0+r3w6E6MK4i3dVqivtlXc93TvW3Aefzo3orR+jDftlCd+ANf8t05TxWDtRG+hrAz6XC7758t
Hd2+zUOvY5l1WPUwPwLgj5G6M3wSN/437Iuqk7eFP0dRdv/79/rL+uKDSTGgKbHAyR3fJWzrolqp
UME/5pYIdf2JXRoRx8c0sfhy2fVePbSLYn76OC5PaeoE5Z8csUid38ZU47jkBLzEiKF0pJDvn8EE
GNzJKtGPMItnlpJ3fp95UbMprlCBE0eP4Kctb/eSPVTVUiOkyVVaAOVLfAq84sDYFxMrJYCovBeD
IBnO+8BEYl8Hr/d0/sMeGVzeXU/lknYZA4ZmkFyk1Nrq58/CstRQfOzTqlfW3o4kFLnr2GeoRXiL
BMSc8HgphM0LPT9zYrfRoiyGh7q0YtqHLInN3tR2C8x/Q4WEE8VG43IR2ocit10uhYaJyTlQcFZ8
sUIs/DkiznGXBrzbvHQt/uHAKQkSKNRyCMJFepSObaK144rMo6vAng2Sg0sPR32p57UluCNq9puX
y9GD8HfpI4SEjez5mazLiov1VUCpdbuupkw8QBunOfHVCoJSfqhT1TvzfVrS425R02fc4yHwaJeN
d61GHSQ2/ZIiVztg2cEMtc3kS3pnOzTszKNH/TpA7MQwiBldX3guiiNuFeZlH6gnJZeAZ3rOJahz
sjDRokXOItY+QuRMfBH8bHV7Nthxwp2ER6NH5AwtddyKkPC+jIOVMjCM25w/FiCZ4Ffcc6mKGpsx
Q9vLP3AohlgoNYcdxSTJknnAqbfgW3Ik7calaFfhaGQ9jlgpePT8kQLN1RUnrEm96olzmiRQzwlf
3POKQvtgMpx+DksOspKWCR/gBCkHw56T2ByS9LBxzcGRIXfb9rAyUTPND17FECxk+nXly3L8CwKq
XLLbYUCDP9AVZhpTsxeDIhGw+yRY5aFjyvn0b5NGr2mzg4c8DlmFUsVEV1qm+BVmNTIy/2RlNWs8
9KAgdeD8r1tj7cOV47Nfpad7ZnflFVP+7sCYWxHiRISuzAaUo6eR/1uRiLvjhlmpXtKd/LJfaTS2
OJPxFoqa7np2VcU1s0t73C0EseMJp5t1bG6sgijobNDfY68Esafz7OGAxiNDq6Ro4GP7ly5zsjyy
Y1aFaVCVIjbPmZURCpM3un6zCsi/1JDVtXPeTzbsXJ4nkyarYISE4inuk/wIJHGHdlfyQVHWmgz9
UlZc3rcTonObyC1f8xj4iuavXA4Ba4BzOd4lWO3xSM65638ZPV8HvGK7a3MyBoxffXsoMqHYmfxa
5Q/npBbEgJzK447mE336kYPRD6ecawc2zyngVDSyt39/Db8cHhDrODbMlEP49phOvrsGQWdlbK3x
ZLuo1U+5rUJ5v9Rk8U9W7VFkHBDRlST4v//YV0PUn+pDppDglBvTEkWUADHr/b3jcmHjSzJlj5BT
13V5Abeucyi81NlN/6Wi4YzeJAK9ohFQKqgM9SfUpAlvsCwyntdhtANjzt67Y1F0WCxU3eRf+5mV
RXQEQ2L5MxWdiQUrFDStPiaj3/IePZup9QTuVmAbde/hK4GDRrxGVumeUJ/G4hH9qtmpgbTg7D+m
9eB3h7QdXJPNTtS8qHbP6Uo25jM5zOWyuoVOLD68GJ0QEUrLStr2MV4s15XbuWGifUljqytshGtQ
KXyn3qSk0kW0L9Z4pdFiCdoH6R/O51ce98+P2XWhKpN6kgjaIJ7uOwwgmW3MaHwvP2EEhl/JFu1j
YK4SZmX8jVCG+Hbn4n/RfilGXFaabY2ivvhO1jRwZF/yxFRPyaq3uejLooYko61m2rU6Mvvp98vi
9bX/fL0Oa9CBY022iGF7+P56i7CaApH07UMu0iTOjk6ViKQACXM1o3omf0ZudO80eZfYW8fJG8ZY
E6LlEtwmMu3X9UuSW+2QXU16JQjs0fJEsT442UQhcYWilhGJu3yFmijgMCLcKraWUzbjQ7YEUPk2
OAPlxYQzht9KuCZ5pOkHu5TeDrZenGjQv0sv9XL7DzWh/5YRTfbGRmDELDIAzI0jyLNvt6FDlwqZ
bTk8JPUaOu1zMfst2SbqzIEw4CmHD9048QTF4liLxTXrTvmr0+4EYZgW5Jz5fA9UzSAHjt2xfzU1
ML+g9Dyh6MUJreklmMRgQKDi/Id9aEhFe9MPzuxP+8Rq2RybUNqE3VsctcNK7PM+AwxkxiuGdsUB
m/CGh93XlklSHA+2l/+jiaxwDm6dVXAlmdZz3u46AeQ13cx6WnD3tC3ZYoHlTCQndH5z15nR6uI+
mAziNGvY6foKxCUZrUNEUua4m6ZLBidGvUgaMsComuns8sG6T9fXe++FYx8I6RUTWX6/Bt9XbRTk
ZrQhiS0jACG8v8tpCzqYSboMycnzxTjqv0BY5HxaES8Tgk0qy6FOU8lso9n1TQT4/ee/j8gA5OhA
gB6xLSU+vq8aVcMRvMgqPhEcyvUpOB8BC00yloCLipRPpIzgqPivPxd7Fkw4jQwAweO7+w70FIrJ
X/2T7SM3ffLRQAHvo9oz27ybPcKgER/yvd9/rvMOKkSBQveDPn2IN6uBXd8dQWUuamin63oajRkK
99g3lSe2lyqGcyt31Q1Uqyiy9gvoiA4+NehzK7FpzZzWDsjBL6L2WuVz4yxwXEiP/wLyiadp+EMd
+w66iRnXRFZse0ZVFZ4nSfzcqelQtMdzXQWfgmWZ2ZghQ+h5K7PvLfyffj2fBSaPxS5woXQtRxtV
AQe4dPHmzv8QLH9ZKK7LbAYk62aV2Egp3sYMk431ipbGqQ4Hwdq0B9/ksF7QwU7cdfFKHtHVk1if
/vDCfn0KPnIeFimGq7b3SzGfZLiJtK3PzoVf0V/X7Wjg5bqeG1jhbh8YeHRVuKrFJsXPlTxdUtsM
WR2LqU86/KE2U8zYlWQT4CHDZV8Qx0o3IUSl2JkN0OuOSzYIxlDmK6yFaK4U+RlcBEZS/Pv7mwpM
hP355GG8OgisebcIPw0c8PZpJv6Sr8FYjKcL4pxoZu9+HJwGK9i9iFYc0a4goK9rvatliA3dFWZg
Xc88Wrs0aUnWTbC1Nj1GH2TcI+VhqThngeMeVu1HqbUFdcZHDiujjr4K7Pw5ceWhCfH7xNmoYurM
AOnAD6V39Ht0+f2X0UMyYe3POZk7BQaEhk5sOiMtoNXrFzo13d85PnEYfKEkLjIG3S427NxjaAk/
QEBbhzbGrCUiqTi5GRqGbj6uClO3/uXyOpiqaRC3dVjMi2OMgfKoEn1HZdxchk9Pe2D6qnkdIIjY
28Iye8XKyxmPLib30ovD2Udbmhh9x7wec33QZJlSf6Scjis8dDEv9WvrOjOeTQ7FxkzRsY2wxoSL
/Pv3+Ev0ph3LLCeA68BlCMP7gzQM8mxl/m9/GmvP7FAUTpS0ZZ4mJnHTwjzDyMG84roTMvhjMPv1
482mcBI7MIjEL4IVchdR0MbQpwtU67u1TbyWQxzy+ejZgfJ9VF1cRZkVvPQ/3P67+aIkEgFRlJnb
NJU5oH+5/7zHfxdaw/gJvbYpXouSfAgMGC8ifESDCZ5DsuNyVkrgBmSHF+iuPmtkb+HISO12KYEx
ZTe46EDCyDdTbZk2RX3ueVyqpgVWl/WYQqq2I/wksnHANCJ4/dTLyoKqbHo4bTb0VXC1RCNqDNyC
ewwddj0OvLhKAgUQNQT2THVe/cmK/ZdAFYLw4fJGW5o2PRLBt3t6xijHhdk7fLqEKKo+n1d+Sdzx
JXSaF7nkxLAwZBapu13CvJ5PU9X+sc56n+Ah4otZD7TEIsaQuO87iqkzl0G2lPPnqu5x98Mio+Iz
JonTxa5LYtbj7/fBL4irH5kTFbWi6QIm4L9v732ygjBT6ZB9xqpNeB6Om3QfPazcAAlJwVSejM+T
H1U4O3XGrG5TEuuQZkgbKAjKtqYh9afN+UvVR1OSR2DyK3ofvx5Z3Vxiw66q/HOWGKNsVFfYuhYH
SY+QdPKc8Ew0weaTtgaeSTXbJuFYX88ZjjVf3gc5RDJOXqAgHmO4BoAYnbDM2zsHSmx0q/UpKjq3
0McV7br7gJ6FLj/ec5VpJ58TuoZclF3YhQvZ3aVvJ7zOLPOwYr7PdekkVEYbTMShNjODgUbkRkc2
ypsmQTO+4Kgb6WDXBZ7Z2k2E36l7VQ8Cq5urEfUmf1y3ickPMVLGKmEbD5ap6eczRvr71/0+F2DT
0zQ3ynIygiR4Pyd2gD9rY0XpPl4K+KqNcO5SAn/GAwjAgrULLFGz23//uTQT3pybAbJbh5mRtmPD
YyDsvZ/waU8KG4B4ZJZSkK9WvMExqvZpaiWJ09Bn6iklGhBpgW4Ctlkyp9keUk6uPrrnRg8qq5kH
J6LWsV6cAUAHADuLAdcufatLS3ZU1BLjpoqY4sRoZvACq9/C0lbtfZtF02Jjz5jnPso4fI4IWfVU
DhHYAahY+aGchj6nh0gRgkXPpY1U4rfMie1j50UgSnLZujW6Ehq5Lxf8UGHIh9vaVCerMx410Fsn
yP27QN8rB4ZKdUR31rnPMABKpfZLUHnRk1zTgMM4wvqik/t0xFgWCrKLPZV9xKE9ST/AeV2qbLeW
OaoDlGhSqOJYLgxTv3fMCUG6HSSWMazC/SJZPuB3QteYtEmsrB9QY+zZ0efBSFiu7Y49Mu+8KcVx
bi9Vb0C1oOvi2fq6LMCMuOx6CFXgrJGQWJ/9icEC9BVV0i7lQYKTudFRxEFJsJ8WtDwkZGu/MPhR
jF1nPcZTT5xCJGyOrNS2kug7sFxewDdO0Q7h01aziRHg99PMoMdzp1yEILZ8SIA7DRkhtsa2vUM5
FTWY53tLntVbIIe88K4r4M2h/ZwBcxXejd0kFJEnPHCwjQRVVZHdQQsatHwe8nmyX5LGQlgy6NbB
RlHOKWZnW40RIQfdpb3evwYJEecDL6SV6bDIOzx7Dcx6RrcvnIPk3LCHj2rIT32TgvSPDPfisnuJ
y9q0GQcOqo68ZgqGagN+147/nDudGUMsrcc8wuBluIXU6NvtbvLUSBOviK3iT+n2WYX9P7kpdHs2
C4HKhq5GZUbh8TaWs7Wx3MKb5HpUucB9p9RJporPTpRGNK4r1AlXzNjA0gdvOFWXSaupl900uppK
uAo7zMiEvFVYhiL8AEa9m0DEgMwHJ/tclgPwWeJX2XTvQpPstvjzhzc2z2BgM5NuZPImbmYG98kt
VpidvRtafpYfK1eiNy0k8NuNpUHHj8z71GKXKzE+M890KQ5eIKZqX7pO+0C5JNS+AVUut+0ak5hq
FbrTdajtuTxACE/0rkmzqN+Kfo4yf+f0cnZukwTHXysiddjYQcZ6gxY97aY4C6BVooVAqBGo5CYL
xi4Ge6ujO4qLOtlPwBAxNyujx7IenPuh9cdpS4vH/cZYGHEDW7oLoRZExQescNDqgCc8zdXMhPK+
fUZ62TwxYUF+KH2Y+JsV9+ke16/MTquRtkAOc+Cu4bhyY2ZQoEVMGNTAzAL7DkzL+icZMw+GKm43
S5qve61ZrFHQxVfcqwMWQtGKDfaqPsM6xc0ugcE+DMl6h6wTq8ukjJYvdukzI73xfQQATtl9HEWj
P6WebpHjYOUolz54YLqtd0wTW+1VoU0fNwjqW5Kp+mj7OdbtOHMaSCe6NzZ8VxrGwWdbB8HfC9Mr
vqRd354Wq03vMtoU12XX9ngXNp2/U0Ixia2Y1n2IBxpH31rM17jfD7eqEPNH5eLhvE5tsZeF79Le
GDXTMSJn+YeZDPKxgfb0qfLt/oZmRv5hirA8RVmEexKzOdZbeymTR9D58sbJ0uBT7OJCtimgW2xk
Vsa3NnIuHCmH9ktC++sIL8XajkGbXgUtmkSc4MNq6zDzw99AYfSvYPnWj7qfarjsWUufaBmt58wV
6i5R2syNdftHR4buDpazd5wi5d5j12DtpnVcf8g2VS+wnMHEltTaqVHCv8fW4cWh03KFSFxeIUJa
PmLc2t+HaM+ZsTiO11gJ96gW1+XW0KiLrWiVj1y7jJFhDlXNpzjp3gIfuNXaR9sZx210iEuZ/hvL
+SkJ1fDicLwdqwUfZklBuOn6gHgopP3ZJwDvrVnGH4Msiq68VSjaGB03kFVhwGiPkL64NTEeZqdi
VT/jfobYjgxK3bE0cYDDfYx94tZ4edO82NgYpt9lADvPOBRbN42LfCqlfrwOCCcnXGGw8QZ3fwLb
WTcI34rnvJaiREpRz5+agBEbqU4dkh9aRptpGj1kNFNZvxgTdG/j8qXAFp4nCEPHxT3etZq/jF7/
EKy6uJaDHogZ+SpPtDL708Rhs1lhOh1RoyjM47z6MUQj7W7SSjnwqS0x5kPWIdCema+aVd3fTtTX
H3LasHtrqsZol44RbpfwsrM98MYT/mxI2gf1Nafvdw3z9fvYeU9hWaEKGOR8sIZIbtfEbQ4yjJBo
On0jk7vET6srbqz0tnTF9AcyihwxMLXRuGsalyM5t4oe779UE15rlNrQyAr7GZfQmSEZiEA7X2O2
Clk13+jWuJpwVeU/4VoHVwUaNHxql+ZbUinrRhb9yOby5/vM96abQXSFRjCE7RUVcPP3xNlx6yxB
+IV2VnOq0sbGkiWX/SFcpvDJdbqqZSKO1d5EPcNvdgNJ4A8rr/IFJFL3VOQuDYd9HnTivpkxg/U8
pjPstAxQoSXYzOfxX0wGirdu1+LRV/OEb2DiuTtbTf01E1a6B0WzZ48yN2f0ZpDYDxkSZTRNcZVy
Q4pYAoXkgbTdOjn0in4obyH8JMK7g+WAHoMHb99M9E3QnA3VZ4DzYIN/dowKR2VfZGY3HTK5V19P
ntqjkxTBoZgdaJMibcsjwg7xzSf7Rzi35C9+53XXftpHICdTjoZ8RZc4pzWy+q6cqgONwOYGz/d6
B7gNXO/LFKsHLf6Jdd5syzmOT62jEtpIuBeXMUYt5dj1WKu6GeKEUd82YvnAhX8vurD6zqAJFH0Z
3UQlPWI3VhL7Njam9WWAXaL0++SDiGZ/v4igPXjNlFWbYBJ6V6Bru/P1HG4ibX8Dg/NvZzlH2wgH
1+OEMQD8JfbuTrS6/Gv13RxynpmpyciT5EozJfQz2tKSDoaU4oOFMeuWQ1g91O08XoWJtV7bRLPj
tCzplc9nF7to9K0HrGZHmoA13smHGSe8+sgc55wBh6Tg6xN28iHA/ipiKkq5OgZbEGtjgLZQhhRO
eiVREwyJKkyt5CaZyIaPmJ5CZLlUoLoZKYgv8MSlFuqmGtObhyFmngA4BgGFttm5RGNAQk6tk1cO
RIp9T5ewTLZzmU2reIrQK5PHFnDF+ZXgjCWTXJlSKXrFtVdwpcFMRBwqNEFOT6v3aRZ91nxNg6TC
quLcFE1WRlV4pP1xU1wndVD739mbBm+crR7KADMkYL/slmEc13tIzFl71aYWFq9b4KsFyw1vCusP
2Gb048BEHxy+kIikMt9bXeu1O8uqTaczrZf4hw01g/lzTuRUty5aGuvRgoA8HZrI1/XJn5qU0QlB
pnoNzNEp8UDTH0/sLWbQpctUycidg/AIJpUxyWiAegLVa4Lhuuz7MbVioLFGIpIVdKmR604FB9eG
Ih1F6tjNwPnludgtkrJGE+2Q6eBnDBn2wNgiatRmXVEA49gtqv4HdG6J0KjP7S745z/NH1fH8n4K
Ap3dLDYe7/hYKH1MZepV5bb35Ro+k5BFiGSKabCOTePI+tOFNov7uoH7bZ3V69O5Qk70iqOsTHMe
Y5SPTvfvpf9pI5mlXJiDyoBqEpklvdFzasx0HAMUXihllZx8BmLEJgqcLq2bCzsqSf0yDPcpU3Xq
9gO5FEt4otCipnfK0qDpiLdX3JnX2OqW7EinUvOZAjPz+YSEFXCgfKXnyAyQ6XTGBuoSl1gWQwN/
oziwzk01T8cGPKBqhpL/gfVsvkdj21DeLuxsNbmGNJjbWFvi51tydJzOdYSea8M8N3Sa+T+IYiNq
EIFrqiB0kdf2GZaN8sqsSTq4CNxxUjBIhfRiXl59hv47Sjr++Lk870fH/Nk2q9K6NMEnnp3rPBqD
0bou/dEToGQRj0Ydqb6X1v2YjqpV//ZJGLU4YeRug/RznOhUaHxE4cgjE7Q5/Kv9AFGUfXomlePf
6nYweHIcqHl2sYpwub8CNDSXmgL+8aaW1LFgqUHlUK4DEU86cMMrnPB4PKqJWW3HJp8QTGcCCs/T
0Pmm8RXiczmf5Lkhj19fDqySuVQHjLMXtE5/wLDMGB8TpXEdMDU5D4v1CWotsAqO3X0eX1OsQ0nY
YETcdaggphWA5uiodkA2fXlWDdajs71vEYC7tKNA23ljZx746Lpr7v+w8Avw803tkRPZ+6LpF14M
4xlel0/dGuioVjp8fSNMOMwZO/D6mi49tcyfYggOVapWRBcjw1J4oSkJSxncFdLXJf4ags662kRM
oBiui7Ax+BGVhenBhXOOPcuxmiB7kfuksmXIhaAdy6X4blDyjJ06XvjXEyMGqC5JTFl6zQI68bKc
O4fDGvUI8W1WLeYjbLvG/0ILzvRre5o5do41BpXD/ZwFc8zAJxwQ+HvD0pvbdgqk80BgzThSo8x+
kuN3WtJ/mZ9m4+v7otDC05dViWA1lmFlpCWdGzFLbdNM9HG7bRqsBqdKxJIsHALDMn8rCAv2Zxum
jyY6J8gLDwM6npERSbF4rg0bCfVrmzjywc7LAWrSjC2IoZw1hf+Ur1lR3okQauuhpR4LT+dY0uOa
xjNTrydMn2Ed9GwF48pdjL0N5GqNNjDDedM1ozDPfGjweuPnJRQ1hu+MwjxRF7uV9enSDJU9PHuy
3tfiHSUXS7LWSKUDiO4JCNwGhCYEvItF4Mr7ll0bfJsiGkvfVU4q/cJMF1Poty6sc3TM5037yvw7
o0AYXRiSCKO98KM+9tp3+4dqUWn1rF1aGcOmXIZ5MabqEK/E9hyPLpBl8RqcoDqZyyktUHUmrmF4
u02j2ke3fMZ/dTLRnTg/Itx0dNVsgjReUtYC5eP8VyRqHq3TqYwn5UPZJrqtr+3ZM0Z5PrFlEgU8
qRr7Kk57N4bWixcOgArfnFLbNCDxEyGonWP05ZhfmMR70olcvB9dgD9GtbVRI8ynhHqdf1+fcWpm
dvBYXabl8SQYqcght8MGugw+n0MZBKaCPXFBQUskretTdwZQTBvV6j9OS2sCDbaX5hcHZJLyPkVV
g4zY1WYjgXuZS3RmLCQVnD26UMPHFHEFl89QIfPNdCYJwPRFk8VCEH59U8Bm5jdUo83NnylLEHHN
8bNOlOvEr9qdlbouRreakSScA3FoWwv7YA0c00BjyGpn0EemanFxCDfN6zqvl95HGiOOhZgmQqKH
SG99CscFzuv1vNQogbaZTIB2yeeVLMJoXwbVQjhp5gKd0zXGCiYSAA2anCcrbWLfwrhb7qbm9FEN
55wSRPoqDM0CP/dr/8NvWFLTE8WR2BxkaFFf9U+vmyfKbbPoLy8bU3AuSxkmOur/NjPhBuMlczwj
7zXcsUhFJsMzxNP5hPDjldJFM9CCtrpC1CX5ZRIh2+P1jGM8wDi0V6moO2yuc0QdZXkD/Bk37dHp
UMXVn+oknJlTZTMAmS+g/NKGPB6B5ow3sspHWBojLX1YjoMPHTaJGd1WirC4gsxlyClrCKKMYbLf
ml2OttGs1tBWXq63ZV3q/ntXOgoo22v9yseNwh6XaDo4DjYnxcGmhcyT8SrolC9qTAx9HAmK6XjT
zfH4EjI4cD6Fr0eOVXav5/cryM8kA5uLqyLSkZfuTF+6NCDoWpoHODe1yQB0KDiuUjkGvM5LV/18
ePH90MO9DQSX7PbS3BvVWkc5fm+2rfQVID9NpxsFo4ZLW8uU9+Pjt2B5waaqsPvfjcyrAJKYGkRS
H1AEUJruMi+fI7m78Kdp2Rm6maHOWe6XosdoIDng+GK2yWUZnzd0nWMMgEWLsOYVN3vag6r5xsyB
qdkr1BqM3mhQJHEXl0wH/xrz/kVlRV6PB5n9urxeGy5ZphRLWyYM96j2IabUPCvbb03UzeEfk5jN
oT+yFXQIDnQS5yycoSAmKF0eIHJuw3lFzW5OJjUwfZWua5rDOtuImSZ6sNNntkCHrTqPsLUK+IZ0
rDtjUiDbnOWSv5JbBj+Z0uh/c3Zeu3UcW5h+ogY6h9udKJIilWzK9k1D8vHpnHM//Xyrq3RgUYA0
M1cGZXLvDhVW/esPBBgQN0vdVqeyUfVspXxiVXJUhR1AsCCfkc3+ygfrxpAxwE/AL1xxIjjryyRo
TdSn4JGuydHlQ1F03eA8NxR9iGix9JDPtNiC+bukwS6QJIy8nIDoV7jLfDRi9gQ69UiiCI+o9rek
R74xUh3R1VltCN/nvcCJBsS53pcKHdhRRusmfd1DTAvv8ZjPAmJJdOcLtRpvwlL6r46ihQtrjjJY
7Yi4fcvmbXjgP96F7A2ZNN5QSXd9Q6zTQunf3MLuv+CFIWQ9Xe4CwvS8QHpb6YShyDYwkPSY6Vtb
Gr0L3HD+cYx7WLZ3YRTTY7jL6CdimTg7NeUYVZlMGyJAmAdhacok088Vyp3MlAhZBheyxqPMXnNh
OfGwBw98TNDXHr60+IfI3gaULsS0DTByuQYO7urNJcfDAf6EHjP65AEp+DiADHSL7/Wyn6m2uafo
r/DPTa5KH5M26IiDdanLrKf/oU6kJDFKH3HM05FnpjZ5PacRbKp750yc3zrVmNswF8L5bkaeNhe3
xsx4ZHrBNkhv41lx8xn0dS3vq9o8ZRxMORjDdhcoLmVIdglPRLf83A21CW1FtbWpFrPkN3E9esnO
1do+menEP+bzctQOed7wk+o/Z2nstnfTsjuLdd8e1XeYuztfYrQO0qbHNLNY+a5TB50mv6kHrYZc
RGXIM1L/ZM+F1DcBj4ANwKxk7/z2NidbNrekH+Tlmy72PSgNj6PUPmCRk16cifKeSqpmq95A8SYD
g7s9CjHJMB3CUdoTxnCgzi2QEwYceqyr94C/lbx00xvY5fswkUsPjqaqLrn1Rh5BaeGriC+QvVj/
BHwgr0hTDjgQygZtDV4aQs0OXezAgFePSdENrdz/N2peOsreX6yzDNd6XaWKSa1elo8eFqNUzGAt
fB+iOBSxN33JY7sCAfR1I7uwk/bp/pLG0OSESUWTjxLqKIFgQ8tQV/uArwANMMpDdLfv6Cxug9PJ
szdxYOyEreyKBIOjnQxaUx1JhfHK807sRk5iWmU6W4HgKNG2tCy5e48uHBoG8AZUo3la5WVsShja
gGDzRZoEWIWBMFz0oXf3sGnjIhTHdZpamZ8TggQ+U45rci1HDaOrxTlaYBZehPxDFh/mehCYTnpu
cValGkd4Iov/eFRsCrTBVQ0E8+yBDgbQs9lueDccRg9sSI3kymDYckg6+vfLioucjEAhO+itGw0/
VaaLoyf/p0tRz1GGKWarYh52oBoMGP+ARjD14O3QJpAiT1VRg4sD6kulKv3EJZYDqxu1UhT5NGOo
WFPexMaDpdRldjVw/pkSJImyeCuuHL63vBY91vWzM1Jn5YsV3KJnnKo11+zQEBBJdMwJJcx1xo1e
BKi/lE9xjO71K4l1HPkDFjJ5vQruMkmy5Se9h2r+rdnirkiBVwzGPkBMSKfiOZhKc19wz1wji6pH
jjNN3gvLQZXa9BQGBo+nnpyzk151g59s4jUL0UN2wgArW/Ywyy6lUazxOc/Jj3kRWzxIfp+LZSPf
hP+FQ/v+4kS5LN6aAoEWUNZ3dRQI1SqvHzV0qwPCAMXirQf+IFyaYI1Te30KgRN99+wribllU8t7
FzC7lT3OVSfx3TYx9XrUCxAUY6lLFP6lDkAGCVHwOwjc8MCIJ2fBZkstZNVgZ11Bb+s4/n5HcibW
9Jh0Jr0hk4J1lEc0OIUblDX9vRKL7it0QzkOaERTH+k5i0mtr38ie0jgBS25LpSmmWnKKVENBw1h
orfe+v4Fei502KpHT/5BQy5tkuOZCCV4NXFdNOSR0oU7qCrHQFakM/SFIw+vVmsVeCVbJHWiB7GP
+LrhTs2Ufg2X4ali+W4+cGyvtnekWCI0PbmrwyiDfClSNGjpAZNC745KN6KJyYNY2+S3DOvXjMTV
dNjxX7failrlBuW5n1HOGMnAsNTrXrA0sh+sYSW7XueaUvb0Pvb00FqPGi1hvrL+aTyl4VDH65v7
WaaqPio5/iJlQ6MEI3qxIjlT3COwWJLDaa0qtwZPcP4xrcB7mnsbSiQ/od9zwoGNFPVgS5V5uD0U
NvZOrP9eSPQz/HbiUMarvtoBbQAHTH81RE5LZ1luKPG31ezv0CiE1kZwDTE3HM2twGFewozjB18O
/zw+JokM0gMcBxvjVTu7YXFXTGLhui8HcKhgAU2qLY5JFORA/xxKO1fKjN70pTgWHYZMQVze+Mdx
MVr+05EBxfPEukqKZMRNwgMCL925XW/vZSjowmRWAPuuKilNtKZyPD7ThDoECqnKmroKZE01kPZj
RomEAW7T2aFrA5Cw+6BMbwibCigd9VmSmAu5IlUfWMcRf5qsyk6uuNC6Y/EJdFkKc7hZMgSw9pZX
am00RgBDUfmHMSwP5GTQAY51PMW3t+MXx4PTSCqQy32rM3PjugdCVqBWxXsPhg2Lu2Za6UkRECLO
pALTZfa5OI/wYOCoSu03uJ0cbXty9wJmZuEM4OUagFAbgNZDReuQTNeKvJlsoO90lKIacjYVeOzD
0eQVpqrqC9egpomBsEAOA/WeyTmUJG/BFJbJSVzz3Cz1sM0vRgptlBNlWFsWTqkWcgpqJr/Cx/iJ
nLxu9Z5x84sGwrpzb4/bMv1n7U1qKEKdajsnHxN2jS82pzN52FVsJRNyJMKNA2r3fp+mc+6PGEKi
Z2nm9WKgLS2eOWoThum3eIBMnwcUCYTLoEvEIRYuzu4E1zYGHLrb56D1L4JGWU9DTtzb40xgbpve
RSUn8fdbOmMhWG+Yt73UDKP/egZt3ZfSn6L55ucDZnWAeVjuhgnUqYdm6aY/zLbrm+fAInHujmSm
nWSjyhm2vLkr7NDYvOuw2+4dmF86vV+JPbZvRLNs5l3bmMv+aO/5LPllJCjHjR1QFyQsv9BN3Ih0
vNGLvOliLiv8L2dIl4fem33cFjfOd9ZbwtTq5dJC7vJvI2296RTZ+9I8hmRMmf3NHaIRP8MpRCeZ
3Ug9M9BsZY0xPRmwh0ltJ3xmixlitADxQvTqeCkc9JBm7eATaBmS6Dbt/YIr60LwOsGFtLB7d8Ww
DoVNfsrQn/kcNVkf/IvJNHAuHdb23tuYCt+m0E6JpoweLBz1RkyKZ8skBWumZ7W8Kxv8Rr80hN33
H6M5xR3MsoKpuW3uRgLQnpUmru7YITP2+vldi9dFe092q+E+ReXQGI9eM0/t3yGLcvt3a/p+DsZp
uOP2V7XDdyquCJhndz4NExpMkGHCXb76JS4fBkTFzylvIom/4dgtltWUcGIyRiuJjTsdwRr9PWNU
B07zl7dTXgGiTSt1uBarKOAwsJLEeAszxvbfQ5LhyZx6N9oaBx57QYUAJZgzQ0ZMtPsmofWC0281
maCojVqWDUgsTNVWbRS6UFYlvn0sRVmDBdPnEKSdw4EqkRos5Nic8wNhtZWkSfE3IxvzyQ+rAyH+
iU4gJZT6kFz1L1n9pDZXn2JZh6MLWibaEbqXgdBzCZlhzIN4u5A8LAW92nAU5KlapLFjd8fa7MA2
O0Ohlok/NUDZ2TmocgPBm73v3u/x3PVm+G5199oIr8VoUW5mGaHBy2m3YPr9M6DOaggMPwrR/53Z
pDharY7VbQibpvltbMO4/pqNhR//Z8FJarpfzdmsPmAY7jb/Ve1Ndbebxp0GMV9ajIgTcLaRkzVx
S+Zo0wwayhfUQsV2bUAXcSlGlpuszsVJScryLoXqe2VHVZJwkzYcDsxjsppsxLwN77Z1hJoZ4yZe
u+86vI/L7Q5DnhFV3+RxnMCSsrGWgZJiqot3JArH+x8ThQfaRR8i5XwmHRm84OqMBcZjX+zSzi3j
rhnKLGnmj8HAxwf4XLOARfNjCnpFEP2ZDT9tyFS5ZBn+1O6ZUKCa6NDKxNlz6ru+O0GasnGPpwpv
nts1woyPQ1CSUwJ4YXHLKItu3rik5V00btCTIHkH0Q0rG5uQWKMznwcahReUWCsto7L8sxgz74UA
9eJNY4fT32w+Y3sJduzq48jDwBfmIV9aBun4CIgIM7af2+WfOQODe8O5rvmYgmI+V9CkH8J8nq/T
EjERR/Bl9z8t9iL1ZUDA3uOPXK5/9y6UMkyD7SU7L8PUfu2S1u7fbnCAMBcPgk+9F/aPi5m7bxGs
kLOwL6iVbrZXdc++t+ZfNwTu71jdSFvzcryNs6pyfk/b3ngTxKzzntts8xu7tBYiBThkm3+hoWJV
K9tm/EwZkjwMvHw8Q+NmcoILARfevQ36/R8w6PXBSZIU1kcfmfWJFgQPr2gH+ystiMJ7sjnm1XCZ
FzKkUxra3anvMxByy5/9uySg0jtltLX8e8/bCb4EQE5yyGD28HWvKxhIie075smlfwePokyX82Zn
uPTnZvcExZpucU1+YnHJOSDRt+ua+6AiPzm3nOVtHifWH6HZkLK5WNnfWVpMDzAfnXfLajHKIj++
Ra1twl8q3Qd7GYrwPILbryfbjPsHUkmaP9nb2BnmfSj+NCy3vqUJ846j3u8TkQl/YIPdYxez4CVr
RtVttMfozvPM9eY4q/kXyWLpC6lz/tmLiuy2GHv8Mc3h7gSLXdKJxUz/bNR+91y7DktqZqTzBYZd
1d05VZDhy2xYn4ZwSNdrMROwDfcVzzmYjQCAbmrM7aktsBX34pbkTNyaY0li3ehUG0X7HI5rP1xx
iqywl49qB6Kpmc13gR8sX/KIs9ilTgbzbLvxDDFkdR/z2DOePPb4R6Iz4A2mm/fJqrvyNuUxzk7V
Gt17dZXAiRyXJb6HuzklV9al5lM4bcnbpkOucW2p4D5g/L/8x27HhAb0HNKRd/IW/1BuxPnkiDvC
e3NFvkQnOg9N4ozX+ImvLU9DEu83FEPV36XhbN5veThjycNf3ELpD/w3Y8/8gqVfHb8xjdmffo82
yEzeU7isQZASHG7ukf8bAdWg2wX+XjMk+jtyfyH0YqhBA9UgDmXCHR4Uo4ktgu83oGCE+2O1vtuL
pBif7AUa/j30nNa6B0crrK/bNkZrfg6jJfRekhlGB7FmFrONtcUGMqayw9WlemeadlWw8TMhzbW6
YHjvR5LMmyJdzd9lxV7AJBql0bVn+OiW7O9lvy2Xqo6n4Gk1c5NOdIPy7u2yJbR26xmHnTt7y/b3
zdgvwYmUi+E9lqQuMe6YoKUYLK41lLRTbtJgf7OhVWvObUmv6IImYtzuWHc7855hUDrv86n09l/K
iL/n4mMmRVyeA7wQQFLB8OeVirjzO1KpYXK9cSyUzl/1AXFkh/uVbcD3ajlP7KtcD54hqhYILVBb
vmck2+2Wwbpu1vebYUYr1qIxrlLlC6ZPVYEt5/+MO98rmvO/rRKxs/n+tmwYzzbTgOAOtKJiUvj9
l7nrbocNUrr3aUOXqTsVGMuwAKUeQS41uL87r82byh5thHeFZ0INSZLWIt879ib5T1vGDb+oW4qO
2a+ICw4vstlyNvm94wcvxivTO9MYRLuPusP1/b98e3L4N7KABerB7UX6Q9Powqx7dBHJQ1ofF1YW
+zLRGuE3kcTtXEYIjmJ8sphAgm7l0zS/sN7l+4pZM9xIeJSG2zvxKVMXaoAFc2PBassfx4kZlM9p
iQTevq+W3uPj23035fY4wKwmDDtniPhOZWhWY1PUxzevJ5Gy/L1WD2KhXli3z6wSxDidbWucTOcd
jnRztj3g++/704155Lndo78OmLF9SHCT4QZql+aIe/X7IuWZZUMlR/o0okioT1Y3w457s5m5nOtm
fAX86o23Dq2bXj3aQljhuHTBygzGHTCsfUntuJuKt0m3dLywHcOBzLxPkf/t8fvS9TMrvzWzW8b7
mR6XGOOk5YLnyoeYSsj/Ky5DuZSMAFLcmApcKNB16HfA9B3kI1tCuOOPGryKzMLHc6YuliFtr6Dj
u+M8Q+MPSZCOOPFi/OAUFrbyd0afyPXtmKBgc2pFkAvjezlu88qNVW4ZV5SFA9hg4iFDOt9QCBQc
ojvkzhuvwbRODSEDhSQvBpfzaDKu8cgxoLo0WF1JpA0BATxE18IWu3lDSJhTGW+KmPZRfdGumpwe
LTN+yEjfDdY3GBRiA3ZJJiMYkidztnECPPVxAr2WZJ9snoLn1uzWNf2N1mxFp8b2C49vb3HB4Wm0
wUTL8h53NEbmfdbS/EMREHK6MU+zs0Xuecza0Xo7KHtNnAyRSj6tY955b4w8WpNrYrsE6bzL4QVy
jVPmtfzpL+bzIT37l5wBgTtSJWa146Jq8HE/+n4+8+3Yb65l835GAej29OJtx8BwvILhX5/I5F6R
jDqjD6h+Vu6HoBaCFofKl3VLJ8ursIJpSC8K7my/RRnwYmAHGSZ/LDFDB/zC8Y0IlwplSFPQKvLv
OtjnVXyGu1IPzQVls0FsMNsRJdj92g4mT3fGJZXeGN6Y8n3a9xYeDk3K1YuBJ+EciGnurpx6PT6C
30tRH/i440MisLpr6sIUrk6tPWM9mCxGgfUbDVRKW6jeJK1v92G8yYmtMmZxyynHQWyDtGNel9cl
7nYnOHURYzmnkx4HV7zQlnZ8LC2L+LFvf7jZZWfA6B4ZsRUl0xxs3QUJj8t/qFnHsOK8QlDBZ91L
SZx2rlpCRbxqRg9kMOpxrlTSzpSgMC5JaWS00yXCGnGzBKiK+3ekxmBSCym6aHGErPOoA2yFYXP4
ZTVDmjXVIxXx2qTnzd9ENKq1o8OexEZGiHU1CezC2lk1yTvfR8fF6GyjecSbSetGtQtj7g3u3r2n
5+VZHZ7pg5hT2d0mqCfiZqePL96MMwTsDLyC+HNtJhnbh2i1q6EkWc/auEvrx+wWmSSNORrWQUuf
J8aUlwqs8/M/B0tOuFd78Djc3dcFwkW4vMnhFxQx5EihaEEG4+nh5zPhe7EwXgumg/c034M5XmDZ
jkjr/uX73IsitMDV/zlBPQZ02R7+AYp/qNsP2m9Ckz5+/vXfq2P5ehsoieEKvBN5YIWvpuFMf7mp
SGp61n10TbjSIlnV5U8I6WE2oT+SSaWhx/8bU4EjTvXfiwITEq9Cz3JcB/k9mYTfPwwsTQJpOOa8
Nnfa4BqRqgCP4ZKxGpjGeaoGJ1+uc9s0zJVoEVVamtFUxgBNsSX0aMVhKw7y9ynlROWfUv6O6RrR
nWHeKegBtaCo0yZaRNmXqQmTav5YFLVsadpZLWMD9qtrwsJN9f7zp46RCHfy7ztlM8JbhPUctzps
X14rc12a0whtx+RdnTRYxl0pR8K6uVGKMOyvA9YTzAvADtlp4J36yBfVEh41aVuFMIDZwap7O+wK
L4faME3T25GzQn2LfS/nb5kuK7ZCzpwSAng0NHU/QHV/phLGhHfRvCzFbSWcR+TeflTJt2rWBJly
gjRz4KTJgtE+kuHtCnglTyqcevkQf2pxJCCUILVoZNgjmEzlVoX0ENg8gHZr1aTMMTnAwgnrZos5
DA1Jeqndkktz01hM4YdoaifkIPCn3GSJf8fyaHvDiaSVYntrQ4YB1Q4No2cDL4lXAK2O18TZIIFz
ZMkmgjlm9NQ3zStT7WdzSXF2+OBAgCo+oSCFhqU0v2tFb4EeidiAytAunH6/TXBym+oaKbOoYjwI
httkDAtFF6+hfVQiZQ18IXCU1kNY9X7WPMwL+11zobsCmtUYRZgu68ncMa+YHpO9EgLHkEfCXFGM
fNdsD75WCXcXIoaiE2huY9/R/SneDFaZQErVzNNxtaWZrBr6eeOW0Zs6ole9PeSqz60vOOgsobuM
RKXwtIctlGWcg6D0xkryuwL3VNVl2Usjqtli9+xxDjcIVMrBDaZ3nlljzH4XAl6U9s3uUpe+3VK4
0rJBD5FwXZt6eMSxzZRrRVasyUSeyLRlxs3OgGWwKWoCoeOOsKmZgXkCmpJ8yOalTfp7G7ZDep9i
Q09h1wKL8wWaxmMabs5fs+N31INbRK/h69wylzlMZWZi0H3TfSldxYTOXNMc3IK45sKshk3VfqMf
pm3gaNNfQ/zD9vHGkh6ywPe7ISWg/nPbnAY6qA7/083OaBGS5l0c9Pg4RooI6QS+tHJ0a2xcxaAH
k2FYWx+3rFrBjxXpQTe62CQZYvoH3WPC20De+uiuEKc0AV67UBWWAT3+DXGr+7jC7LVaxAGQHUPz
U4tzSkEN7dm9GJH5tthVNgbneufRSyx6iGfNwNaT0czqYA5ObZdYRnvR7N9EvTBavjLIVAcnajHV
ovc3EZtB8tWgxtoEH5cUu3yoQvQP0kraQASSoxrRVUKpevwKtZxLkwXphusYcYfnATlv/AnZpbWY
D51d02m40gNbFnANFDcMHW/p25qISfKGp/q5aWppUaL8L0awXX+a6q/lsYwsTEvWA/b+dkWGlu0B
nXHYzuT2hYjuqFrWuyBN8FY7ZWaVFg+tbbhdeykbM5mj55FDKGNyBBlgGcpDv4NZtSg3EGODrMD0
9hiLeDCo/rQCh81xRyqYnrXR1TybB6lKWb1p/gEbl/TjLBYUPLrqqJOVelsm6SNqhl3RT8JpNQrM
7ejEc49chH56+2gM3HLSdibRhu0Qvsd200uQISjdg+JzL0edWcWt/CVUnMmiwKTbY5vXxiqhKuGC
Hs+wECujz2r0o64d5u0nNLM7f1BQZ9DyLqYpCaYHKANCERErGK47pqXDjCziXogm2tlJN9WdurSE
GEhm4xcXJXzx5NoF9NPT6G9dMpNRSTxk8MEiBtQndlNPs8VYYiE2Zku/o58jV7LPrPI98FeK/wB8
m2MuzyH0z+opIxmREez4g/BjMyVKwKTcxFq8tzm6md8MroMdw0Sb1KaSjEw8v+dISFhExLET3YIM
b4MkIoMlg67VeRNsTqSVwiAqUH6wFCTcLUuI6nT0GcKI4tGnDoeVE0dwXoMPndXCr4ZWH8n/0+W4
q0g9ZO8VM8lGs52X4csWBCFKOUWA1NejiTeKmrLGhts6H/X7mhRb3ULHyrkYGMCQBZtkTlcyMnJC
AcYbnT1MQJ50ngI90k6WSRWyMLepDNClpqnofGwidJwebXwswv9JhHT6Nc7E+QueHnTu9fApSRXH
HD6prDGD4nuyPB8PmaWfhnaYA9Mvb6uKllj+pl055+JAHxBcO569Ab7RcucrZUSruPeJeCB+LcED
kCpEexOKou2Qmekb1HxER5HK6AlIY13RhvQSo6hdmlyit8tYkeo8O3J5+nrFrqZFqDjm4T+JmEgK
kE5JLGBWmsIy8LHxrt/Pimo+q74trTk5sJSq9aGFOpPaIDWpAYm11C+aEpX1aPzxacKHgSmhEYOu
aAXY8epZ2AmJNx6MHh/eGtM8r6QdraVvdLKkeVyoFXA/jGL6g1esWUG7i3yaURcQStWfuokmU3iz
jVA4Ap7SG+lqPrcTERSA8UJUtpfD6bNSfDWtYSGmWLQogV8KnVrLcRTXO1vjIfbuB1ZNc32wsXTF
pFTftx5E+mF8o8vANpaXowjPuhWub18vwlHANHROI4WYn1+SBdMmyhgLa/jgnNq4Bt/bMzzL+Lao
4q+evJ2Ne/PsvGoe17E1gvKt1yP3oo3rdfHyD9Y7LJaXMoZ543Ky6gJyuflHalmFoXVz7DjDtejp
KwWnevQE3Uqo/PkrUG2B0sLQEvyCcRHyZ/Ekr8ZOQoChwQlp5Z32qof1cJrDYOFLGNU9YIVLDNkY
PaErzgW/grXHJ/ZeKf+J3AzHYgxv3Hj94sy0G/5acEfnxjRNDxSZS8SWjMsdnYkDNgxlKk375Od2
0f6OxENwOqcPBacbiIblmhRsRAEx8IMGihIFA7Z9K5NyyuhlGdBkYtEC/Pw88fo0Aa8E4xXMhTg0
cZo7Thv/OkSmJXmBAOPO85KxzTRMiGDN6XUdXVhXjbvBXvYmw1p5zp38UY27n1/FD2dJ7BIj3PF8
8C/eymsXmMBMDd81BvspPJRSeuoUKaMBgupxrs3XWSoQTVeslBojVZXRzy/mlSWNbWHOh8cQzBqL
1BPcZ74/SuZxM3aDF89PqbeKMGydqbJYYQ46qtaGwD7AXeDu51/8w7vw6NdbDlU+sLgFxvX9F9tj
SCZM5E5PntpwA+TZWK9r67bJ7fBZ1bXAnE0RCrZE1e0/v4zX9w+wIKt7YPEQOEi/dmWnszYPCUL9
J+I+FGqZCs8fCFtYdBz7RRCiz/I//2br+ygrLNcgDNBYcbFgoysQvD7bIt1K8PKOjbepUp+UQcy5
5xrmXdsjVz2UWpoGtSpd0BR2sh5rNo4LrzT+zWohUPzKfOr1ELWtgGfhAVREFmZJr+EOHyoL1m2x
+VafsDVvbjxUiWqIKlHFN56g0uV4Sm/zi+ckI+HfGICNRRwmujb6InRGXNP3I6X3EfJ7Lv1iOlTu
jie3oobBnJvNj1sydu6EBHgMzC9l4QscbTl9bX3pJnIcCL3syFsAhk6CCF0Nsc9wVn7hdPkqAskD
k4JuYRMe5MN1pkfw6gpNEuNno9vdt0sVEo372fH6sS3u8RdxcQViPWdBC3Bbrv6weUJgMuucRxQ5
Y7LCYHgmH7lalmsNuBJM3xyXlhLZFw7O4hL2F7UaYn+tBqK1FRvj7edP+fV0xN/D9ULbt/Fh8dwf
zI9ZNWfCBqLg6VuSjppsLa4nLMNKbBEe2kACtuBzWnvl8ah/fhHe9/amPEjb4WWHAcsR7qg/2Juy
s82CSG9PObI5tpq5G5qwf4rmqIxfknU1cO0ZjQ0i14ed9Z33Wqhgtky5KBW4l7nPY+BtbXGHJNuE
OxKPSfElNSwiUJyTP1gzNpHhRMWZ3bkbDWyOColYaC2WnYCQAc/SjYISK5uRLka7CnSNMB8zEJNs
jfg2yTrDVmM/hln/NfK9CCS0BxmSv1NoG0Oi4SOnhXgnWIghIimSEEPchRooVJ0NHaAwxfCBMR2G
FFV6wSPufTI+JWHkZXg2OXPQz1dwcmcIiZ8u8hRoeC42qPl35twZbcIdpNNU3RVKmpWEg3CASptk
ZvMaeJRm7cVEBzCOD32X4lx75VCfmi8/f3vWD2OI8BbWDdODrYaa7/VeEoSs0vDysyeNdLfq9qlk
ON89ABOiLCI8aikjOpGKme0pG3kNKXYqxwpmusBm5l5I6sBOO5ifFDlJ33ZFa6353VxxGVogjoZ+
/KtG6us+qk8TFYs46btI4Ntrc22HuDxAbLN/y9mm9eq/0d6lTn1TLGQd3KS90WA+IfaHKyNaObVs
pzPsGPNXs+PVOhjgUOkTUuNHvhUAAL/qWM/QxPuAVtvbYDdoqoNtxpWTXIz10Hv+f1UHgQnD2XPo
JgeSj3YY2v2rYKJnAgEq96q3uqGoi7lOlWrkB2bUjbTSsXb7BfT7Gu9nCUDkH4U034HefyjVirkT
w8alfZulecBCU3EO8//69v1ETjv++yAapPMWW/jd/Som5Yfvd4CR4OIJyO7CFHi1pNfllo5baKWP
OhJhYUGQ49V3aS2V5YlOolOi6J/Pph8ugNcMKdjHY5fyn+X5+13PB0n0iTIcHnDQPVYP9zhv6c0v
gQ0r67LHIT678+D2Bp9//v1yg//edUOYmNQl4gfKEfOHDYHcZpfsp2R7zFlc9t/CcMI1LB38mPM+
F90bw823Sef6xSC3X1dFVIKsoxEOpFSGjLlX9114RMfuVdM/kiiSdtNz4LbN9hJVfb7f62Z6XViN
83m0eulq062Rk4/mb2SxnQsU2uUTZ5ghwKB3PxORAfpz6+1K1mbdrae/ISs8vcmKMYQCScRGs8PW
AocMMnDzO11VYUT8/LG+rqywxWZgu2wGnNxlr/v+tcbwnVbcI/LHMZqxGjlB6s6K4EQOX190WFIU
s4eeS2W+eBuI+dcpTIcZawcocpP/i5fsvX7JPGtecyhXRWvr9VFkKSFowzzLHxUdNTtEbaqyU4jQ
z2/+x69j5aKRA/kuMNmeX73bPMNvJZp37yERX8+v37TI5UwBOypC+y++8IfSjE2Xww2LGFmZJkEa
r75yGOJVXDS6By1mUl4Da4I8FYOORdouElw3l4/pBiXSglHvY770bE8QPssbWVyx2T/iqFGAqmng
SgepeIkpchqlHl0P8bISH2F7AHmXqEYSXd57+zSW6HX5VHoanjhakIgTb9LNaJVEl10+YAhr14k0
BsYnfOUguCopmZaaedMsioEgq6SRPqZJD1wSTorwWy8CBuU4BYPSNTG+Xh8yVcMhtMIvaJgriW+p
ZgRPL4GVSVn3rVrp52w34aB2dHvOxKfACspUD2auDVH37UEthyMSIkSr05OJw5foQ0GT1B4I1dxO
ckvMH75ZPYch9wU6hp0poIr2z4DrLIIrTTlWJ4pSjoBfN4zbhlvYG25CLHhv9Jt/N1QkW0T3ebeT
a6bO6aa54OaCMHZB9HnzEjLt3quHpQ8rejnOlXJRYygaN24wUttfdA8ZiOuQ+x/HfwUTgrMIZHh4
T5u1Z275XUwq0GadlVWuPgmGdiQPM+hmEdzothi+EBKqmR14o3oC6o90Se3WbuZ+KFGFzvicAHa5
VDUgWu1/qS7D/ITrR75+UURpevxE1p+IaPEI6KhwAc2BybJjuNaWyK8MpUqFH9DXt5ZpFfkPld0u
0SNOjcP0W04oIxFAQM3eHl1UWRKJdXN9w5lxqGiNkUKXOPiTuC6YEf6J1ReIT1lwHsHe/e46m62o
vrSZjfJRQVVmJJjoo1GcT76F3ahzbcqCaIsT/wSYNRa56d1pJXoNpBBBjbSIvPhjVwA30u/ReZcU
/lJuF43H6gY+EmrBIDUiGU/YEX/FBQCR/Ymki8J97k0ce9Du71Ox/64kR06HDOmfClEf+ZRpvqfe
i5Ji02adpr8BMyz3hf7oPL0jj7Zq7RuGV8b2Erg7qtF3mBuJPNlDeE1DrPCWfcDGON+tobwMqiWo
wWJC7EQvjSuuyPW1zUQAdMlg5azsW5zc2rwB2A9oQe033RdmNRQi/15FKBw+BGExGrQhFNiqRZG9
WgV0ARdtvpt9hp1u5R/UsJ78lSlbHBN3xsOqww53Du2huaJ+l2Go+taxAfT9pjVsTBXOs2L2qKN6
QRgUA1MpB3Pbzj0TD2aCJPdLiyUBcLH2YtLmWH6OaWB/RYfrTaB5JUIKeKZ9PD8HhZMsEL20j3O9
pmy2+k7VEAs3H0GBVhYpCZ42kFJTvQij0PiMT+XsXCO1dOk2kNZeqYkzHrYl5oFz68f0TYmcY6aL
LllJhhWADuonbklK8qh8VbSQysU1nLWH/NjEfFlHqguEj/ANmUCoOrrxU1vZsG8bx5sr0FyFd6tm
hR+uMhqRliOMvNNGO/tKvgKNap5MlFxUQ0WLNV0FemvzrAgsm+VQaIJkRCsdhha69fCcWOAxnUUr
oVxrzNQSvL2zUi998rLG39HcqYUyq+OQRbRaG49xVzSpWcCvjQwSHk+R4aLA7pTtw6I+7zA56Z1t
C38nG5y3e4pR0SNbJirNgu+tj5jq1Xwb28eqN/AUWOS18k+tlPZBjrXCXuhIbLKyC2hPOdXJ/aZ7
PLSyWr2a4IC7v8yTL7+tdwnddlVeJHp5UCCjdgjQ8jYtUOxhtDAua5z6yjLBNi7L9peoM3DMhvTG
AXg610Yvvi+WEu4rEQzGeC5VOgmHcvxK1Tn4W4bRIZb532BDq5helg1qPBbkCPf5fUcd+nWHpgaI
5/qVjlq/IFNJZ23sqPfsY476C9qI3ubcYKSmWcJduiMaNymaw2N6UPZMmxIfodKjF/DkUGbQt9D6
2VGtKy2qKeDHSZqRxhVOomc2NLxHaXtRp9Pb+aNV+mUUjZuUCeonS9l7rOrbVe0GtUQODpqWVBAI
yTgqWFBlM55qBh/ZTsItCVQqByfOynrKjXAz33ZIrui6tOhy/upJVUk/J/QZsfwGYjD+KXP0YCph
rVQiVd2faqGhsSFqSFuZASg3nTrHrZRAcntmxDoqdiWiWWMQ/0KgDUBdnER14dwMHw5gg0Tg0AMP
7mEs5LaLNLDAjN0yPBPBESf1xQcAnIbrZJqk315HZVivhm3kHPmDuhLQ2z0JxawA91lnTzAByYff
6+icdIgA0jPSaMfYbyWSAAaC0lHqBVkXjnqgK8WRVWzCh9GtOgyO0DbrE6J2NtKkisggzBCPM+XI
pmvcSRVVmu5jk7bCi8TVRATEZPfIqqP8sbza9ii0amWlAdV/YsDsg5+un0ZakSOumSqso1ck1djm
NNeccgtLOmIxD8WbpiFoD29XfyL1ISs3zmiCjVZKYa1pQsryCs2gSL1MtgKuaqBdyVxQ+5FSoBmH
C1mqVidVPPWqPETILquFbgImquWq3BlVE1APTyUtVZYJvipIFcgzqMoW3rFPXP2cIsCFbQk5hSfJ
Ig9mdJ9ja8NEz4xQwmfVaNauBbmac7kQnMUibHbgdvYDNKLgPhzrrsmQRcW++7VSL7s5HIzGnDRE
EgxT6GYfHN+Urq8zJ8kw/xYnc+01ZBGIVK4MA2EGcQSQ3rMidxj5oVX2VHcShKYq4ZThsGHj9OZS
TZ91O3YbPIxgb1lM7guaS+UPSH9biupc8acsygvefzfgUNG8N5fMIe9OC+995eKlHpKeY9Dm9366
hGG2l/69BiuMZBkL65ygfEv9U5fPB9jMLlkgxJtZjJAhmfT0aNgqfptTekIr43swbzgFW1Li56cv
+pvOfzVkLFpsyYwc/ZB19BA7dNO5Z2EepevzoNgkuNZj+3PlELI27cVF4Dzkf/78ePcao4hCOyCR
ga6VF5Jj+xqk2z1/bbKkLh+qsoWcrQ1atSvNpjpZ2mvm/+mLHaiISDronNF5oHn1GoorC2fswmZP
H/Iy7cL/w9mZLdltJGn6Vdp0j2rsy1hXXRwAZ0kmV5GiqBsYKVHY9x1PP19Qmq4EEnYwWWZt6lZL
op8IRHhEuP/Lt5mXggXIv8J5FQfKWprywi9QWSDN3w/8o+zzpCxDeZwHra3TN6PrgYnExqpEkmyt
4U+PrsU4V7Z+oyjZmeGDg7csEG663b1lXyAiNwqQiqWP2qxw9XjWcLE1OVMb9TH9obbXybkNfRHR
gn6s3t3/kVt8KqBUFKkUng9on8jPrY5ngA+WVQ3a5W/c2F/ItOlvf/YmEeVS2Z6qTDpDqKoiK0G1
zrbsn6duqKrqUmYTuLaTiuSB9HNTxlIZuuCnwBqfcpaBlvv60EEWdusozzLoUXEmFaBUjQZZ41PE
TVWL/BzBaor2f+0W40dF/ccw//v36f+E38u/2Tbtv/6Hv/+9rNB7CaNu87f/unwv33zNv7f/I/6r
//231v/Nvz6WOf9z9195Hf/elC2ypNt/a/XnEv3vX+d97b6u/sYvurib3/ffm/nDd9gR3Y/fwDjE
v/n/+w//6/uPP+XjXH3/50+/Y3ndiT8tjMvip7//0e2Pf/5kUar8X1KS+OP//mdiIv750zkusq/F
H9v/4PvXtvvnT5ryD1AB1JKpAAHJV23KY0iA809U+R84mwIwoB4l8wYQW6oomy4invwPHPbYcbqq
aPzXCv9RW2JC8s+fDOcfNM9oucE3Bx8ua8pP/2/cq+/37+/5lD21Lk/RgKUIBkIRl3NK7RqArXVt
TtOSOHIKI4K/GfcNiCp7fGBzRZ+cUjuCNq97JSIWJuCiBKjjOqTaiuiEPamsJ7zv066LYzyvbf0b
zRssFjIkTrwxR8gd4xJ0+pfFgp5uFNmRfeFucNM0ySC4f1FdXwdHdblLilCJfESY4leca7hxOLXm
6UMAliUndGcH+YM5onb7ZC38PeVPp3iTv/4et22pEFVtnV8gyt5Pxq21NEqlku1ZafHsJpIS+3Mz
S5ekrMY308iD9WROevGqDesIFdCeC3hqqTe1TE1w7eNcH/2gdb357x+Eq7DAhtg6v2z9gySlkVNM
BiI/KYLhMdPL6GFJjO7KklzOwVKXf+aOimG5DfYVv4c0hZacOu8pOiqPB3Mjpv3fuf3HT7HQ61HB
YbD8oO+tfwp+Cg26BmXsoyCfvE4QR3FA2dfOzUT/TIDwo/xdGXST4TodfwoQR0mF1hqmOsLNocPT
TZ6bRzOii+4lDma9R3O1bor99QNtmgGAJfBO0reHz+RoSgthJfFre4w/oGcw+Uu+zJTUbQM5v6i9
oCHZvNIySlJtLcVejcrcm4NZ2vlg9AUAA8AWsEW2WM8SVxojCgI7Edyh6W0dV7qnIQT2Ju5b6WZl
teXNuKMiwBY26SOq632MGGMxfAUgZnv3f8vzhGHRXDBUHQ43S0cXxf4ni9lx5N4p2jD1MStW/2h4
WSE2b3WXLmyCy/1Q66vOX1P/JJSxGXUVREFYG3Hqq3LdDif84PqHWgqC3xBSnd/1iPac7wfcGZuY
XXI1rVDH+tHsfTK2rnG0Tk2RgFc7pXPtMusvodmW1Gfp3t4PJfb8Zt2zXVTNotEHlMLY9EQKI1cl
uZNZVmMVeJ3Q8kBaYj7pGeB7xza+WkhUHcRUdscHn44uBIlI+UGkfTK+RJqleAKA4yNYg2wzYPZ3
SUtKzDOp+02v++hsgA08swsct6k7TT2Be9ROI4yndylsugtylLggq71jfFrwazqyen3++0gDcJPB
4cA5ekbkJVtlNWb1md+WnXopQHmiOhSPF4TzgoN9/XxtIVSE7C3Mav4XsKz1Mi5JdyPOLImvRcaA
IEAc47dtyR/DOhs8EOXh2/vfe29odBZ1jUYQYzTEP38y9ZSyltYwsapO9S46F+iMXGi1Tzf8jRz/
5aEMA1dDoI5iIjdLq08bcmkZZr49OJav4zHhaUmEJ8SIBcX9UD/S83oZA33gai5MeumY25ujLdVb
C72Nmi2aQhZ20VqbH4AST4h9ZoHtJmMlzFr7UHuDdvv8iIquci4bB1p9Xs6AvFFxBcE/j79mrVr5
JXrApq/nvfYiJp3IJD/QfgZdZfB+ZK/17KPeQFsSCT6Q9kp5RrnTOgmRkzP5TfNks5PPXaGOB5Oz
98lNngJohRg8nqxNplxS5J3KYk79uC3bkJKZOuBaMeN6lGqa9O3+lzgIZm9yZY1TEpyyHnkgp9Nf
xfbwPosy8yotPA7+g0joRbOwQHICV1jPpQ2mWQn4ix9Oaellehj60jAg41fX1UGonYQlkuS/Y22m
cDSquKEQi3FdUGcPUS3Vp1AL46sSyopva0nfuVi89+5MR/BzZdBuQ0Z4yhF8wFf4QY7S+j2qgYFX
Akx+BMtgvbs/F3tZxNRVDkSsO6mji3P7ya4erNieB2g4/sDV9qr1MKQrZM9+BuVZfh6pTl/vx1Oe
X5eYEAQMeWbC8QHFvA5YylWHjZCS+otRW9862IPf58GqVHeYOlRLxtYZf+3g9b0rRgOHcKiS0y1S
YoymMiddsHoAvvB1HGCCnMxYN9qDE2ZvPmAvIiEvUsJf1MYn8zFCVp3saAAw33fjz/MySmhvlbX0
C0mWmp5JRff+hDw/RgWw2RICEHDC6a+v5wP4smaNNET8JKQ45OYK50asWunnzuL/6uCs0x8eCuf9
/bBi3W3SngI7FySxwjBpsa/DppGCDmDeoUnIojtBmwn8elLLs9zY5VsMq3E6VJXMVbRwwqzSUg6W
wc5mJzwvCUw1TRUw8To8TOeabiY8RNVGhYtSdePlVYWXljZPL09ioCRZc5rCJYUTZR3KKLkUZ93I
kWyVktcigvsq6VpqEhVClQfbfe9jajCdQSWrug1iZB3L6gPcz8wUVzqkp09I7NnnNNPR4ufd4FEs
nTAGG4/AKTtzafDuBfRjyNS3tkEHDU+3oYpRO2z66APcx8CLR9zb+hSZufurRnyWzaqhPSxAXsIe
HjbzenypDStvVMmXAbogN2TwAD9mao9CidBla20E1aYuvy1R+ufLAxsiIPcdgH3G8+U6BuRzyVPN
cPo1U6L2VyRwowsGEPha9L0KDc5OP2VVmxy9n3YyAjcEFB1gsoPlkzffNNORwSpj4JoS/iPIlIZ/
Lm1sYhkSFqek1Eb//kj3whGNkgbZgHv8Zop5ZPNACRTJCzMneh2CDPmcLkv1Sx0V2QclCNSDmd2N
54AUAznGMbB9otSmVGuQSCWvmrr2ESFbG74dt8pwWCJfzruDh+DzFQQ8k+2Bdo9AQ25fy3i94E3d
D5G/BMgv8fTtHrq0zfwlk/uLFDXv0kj+GcpEfTCt6vOER2DLUCyB+VYRZVsvXUyLi6mnJeajhaAO
eCjkYAsmNFgvuIQ470ttKgp/CtnVJ9uW4tJFuHhOX8Epmm5WwtXPbQ05egUlKQQzEMnNH1kZNKU3
aomDF7PmvI3KHHEPMwAPcypLZcGvsi5kWrgo9rybR6edXF3JCsmLQ7TOVMzM6PJKfXOuaAfIJ6Vy
Qv0gH+1cPwD1mrJGogVSpzni6z85zhod8TtgR7FfC1vSrJoqH2QZTNJpSrzUVgJ3WDoMP5G08YY5
0fj/IewhQbw+AyNVYHnm8ytg2DBdUd0/yMwbLoW41PLbWOkoNdgAv63Nr1PjEe8RJ4r9aolUF6VQ
9UOpoNCZ0sC+ygpdEMgYyanL0HVRx7G/4EYjuUArnYMC/fMUCjoXeB9oZs1xgNetpynXlBmRFCP0
TWW03JBSvYutc3ijna0fnHx7n4RXMxVRhgxVenvjQvYz65RBCX3UWKUWGVqteRi0yvLiFCQbIqFd
8sloYXueamipv6NDqQGsmkbbM83FfgBlhg/gksvnAQDLOYHNHx+smuenGEVeKqpI1+iwf63NVhmA
0EVCSs3PEj5LWaN0h99J81gZle3jg4AaAsYeB/OyG1TMCpdldL20TdCwtQdZH/HO7id2KGWzKrqm
soM6X7MU6a9Adyitot1w8OVF9l6faKKg/e+wm+wOe3WckEIl1SVjcsvo01CVK+bz/aS+Nzgw6dzw
BHOLp9p6fYW6Co+8JfnEpYbo4JLCmANQ5qNUZ7hNUhg+PmCHbw+xardj0xw4cxaOFeyw7fZa8PlS
SpSrhtwp36tzWF2DRMtPEFsWhF1jXo/igo8BKLkAMPaJeoZ18Fl/lMSf/whK9Ki2cb2VNz8ii6uy
UTtKx8AU6t90fQqvZV40ty4XEqZ4H362MMJ8AHCS37o4zG84L5WPY1pID6amqq/xWYz/vP81do4C
Th4h6sbLTIP0sP4aislbs7GoGnEbr/x2aopXuH6PZwjbaAskVfdIXzm/dPFo+z2FWe9++J1qumPS
CxQMVE5Cytfr+L0yhYMUEB+8HtaIvLDPueMYjxiajO4iqdOrckYDzQ2VLEFp1dReF0troSIVRDoV
hko7OJP3sp/OycgPUhTsjLbz4XT1UDeoeXVhPF+VoR/PU2j/AoDpKLPszjxksB+1SY1jaT1ynnm5
NssT+wBLl+sMhvELaP3qzBnWtnCE0sCV+1G7KoUSvQmGSf1yf+rFzG4XI6qdoNXpBCtw+dbxFS2u
BP6EzKZT+pvr4LtWFP3HqRn7q1VFyU0FVuCOTRN+vR94L80Yqkz7hD6wwrtnHThfoskaF6Y4k6vx
UhRO9goNVP1gZYnp2w6PdhwdbtGoAx6+jmKWdKxspY18yOTYY8nF6Eat0XhOaYUfodflr+6Pai+t
GWInUUpXFI7ydTyMHZR4yIm3xOr8YCyNrJ0KHH7R7Kkd6VOQ2NlZzhMkXO/H3VuwJrMIogO6o72d
TadHoZoHT+LbmAZ7kTTLb7FZ/lNHBPhga+wtGA4HBImoERJvk7gjCX/HkPu+ry/L6IHTMrmgzlbv
DTSCPjuRabmqpNjvcTE+3Cy7oxS3ZQqhGGluj2GUDIvUQsQVbmmBMXKOdHVZNtEV2SX9YJh7C8d8
EmpzChZFNuVDn8e+ZOdI/pqN4Q6AGtwOmMu5VSzzYKHuLRxcgugoU3qis7zZDlRYpBjJztgPssR2
8V20X1eBqrn9VHcuPuHBKZ+z8fLyVUMouiLcOFk6m7RbQ1ej91TEPqyTGT8yWzu3pdWe+mHI/Puh
9rY76ZRcCl8CDsNmPtM+SR1uS/QEqa+d1ZCm5Ix9xkGUDXXvr/szvHgqKBZJjSLAev+lXVrDuM8S
H/nh5mFW4V7StKZ1Bg26wh06fBzkpMFj3K4+oNuknJ266v7sQGJfECyor9z9Rk8bQIOnkkJnSg1i
T9dybKxAsB2k3r1PTgeQJr0FhRpM6vq3WkuOwHZWJzgcyajH1IUwSjM0v5FjsIFVuVxg6Wk/3/8O
ys4VCFQAVF8TZhT7aHOxR7wYOjHaz36OAPujqvaftQ5M6hxIiws/wHGVvs6ujRLB8Fy622Cq40F/
eGfcdKnBC+h4r0EL2xw5UttlYVdw/8HTu/d1GZV9HWLT1dEk3VN0CyGopZwOJnvvZUWFRqW8JsiH
iip+1ZN3XwulNIwaHhm9UXWfMXfjLTVYkeVSe0U+OMMMbMHZES36bngjKcCSTksdA3KjSau9PFvz
W4AaUlIll20fPBAC8ikP9dAvzFA+60o5v7WGEGl3bR4OelRiwW8OQBpTOvVlGPC8LjdbvM9yB/u8
MvSpa8u1nwdd9AXwcq74SA0plyKM0u9SlCUPVVTEEhdhFWm1+0tu73tTAOTLcbeDhLhNbVifdlNf
Rj4NJ/1V0ZfabcSR6ZaFyp9I3WinIRr68/2YO+mbmhjj5oEvmGqbr60gOCUlWDAB24vTi4bW703C
We4GXTO79lUa/XI/3s6p6AiZWwHkE+387V7GhrXCqJx4QBf8sISmZ8JzdHFJ/b2v9OkxXeSjdrOY
t82n5bBgB1EU4/bsbMboGNKUTGB2fU7j2a310bigeBKfNYzF398f3rPp5KEic+LT1zYslefTevPU
dNgWXu+pn0h6L15m7UUuSZeFLkmeFMj1wWn4fLeyVjmZ0NOgeota5ubepsiZmtfwcbxI79sbNQjD
xzM0Sk8JIFCEvJX51sG+RDyqKK5l1USfo8TJ/Rq3zYMNtDN02tcqtHKaQrQaN9mqHY16kDtqVKWM
c4Iut4WPHPtIq6ps8vP9aX52SIpRq6gkcRpTArI3OyWpSVuhTKxcDgbqXyaCahg/VkCW/5NAAD1E
IAxAxaCfJEMMnxojG3vJs8k7N4jHDi5Nynyw8TekRU5jHjQsUJYmPFiLEuM6TCkrHeI+QeDpfVPB
7rUrz5h19TEawuC3uqVjK6Vmf3Mwm/kFpFj3Vo8m/UsuV8YZwLJ6tgpnOuHmWfqak7eYyqKE930Y
mv5geT/bveJ3cgei7U3nBwGJ9e/EPDTDETOWkAufigcVuse3Ng2Dz3YgO4lbGU3zpcSm1bebXDqY
o2ebWIRGsAVXFEfhPbRZ6EZew+izaVCUUCSvuHOan6ZO0W+9lLYfX/zRwRZyCVPRWqaft/no0+JA
VtMl0Tmdw4c+SyaXqnr8y8uj0L360btDEWcLglmCsdQLLWFpYSR8c5a6f9VX1VEffmen0FSi4YKC
LlvG2dzzFlRNF8maA0/qa/M68/459SBNbi8eCxpH1Kd4oKPdui1LxA7ex7Y1Bh7MW/ta1BKyn1j4
HTw1dpYArymewojD0HTeyk1IvdRTrepEjyrOb4B3tTNGUqhQVb1ysO+fhaLwDVpRdDUM0Av25jZg
VpadU/4xsA6ZGn/Stfgz6vIFBbc8/P3+3D3bUyblJPYTygsQsvFqW++pUa/kNgtHQjWJ8tAoeuA3
qRFxB1dMhCPb6O0cGB/zsVMPzo6dMRqGzZuGlz2bWt+cVVCqQHsBgvTG1I7fZrgUeHrV24jjqvbB
+tgJZXKnMnjos7O4yq/HWIWYY4et4niGPAGM6QYIAlgSW696pDZn/8UTSj+PRh84PTjgW5jAYJp1
aCAk4tkTeGe3TuzpVROA1TlhImh97Yu2+myEkOp6PQuzl6YpLBiEfILNpZBO0fYamQZaUeVKGnhN
Z/8WQ1x8yMN8Zo8DSnn5ME2DPUeqUqBqiTl/cjQtWqKPJCiQn5Nq9qinT7OnYHH7Qe+X0HbzKdIf
9NwpPodBdcTD2PuePMIBfVD3432yiR0bA4r4g+l4SMZrp7yxLLgz1FNQcDjC7T1LYEwooDGYyg5X
C0A362HCKYHxkAWO146OgknUMjzgttt+uT+ZIqWvroiimQTGVKOoIMQ/NlFsWJ6jcFjE5T4vHpDj
Cd1p1oo3ILPUazi15suXCWoXDE1BowCO1uaIMUAQNBS3ccHDAPVkRW3i0x2Xrk5ZGQfnzN7QwNeD
hqMr/BwRl44xGlRSb3t4sDsPXZnk14TmbHYqoXKonj52Q3y9P5vPK/dMp8P9gM8m7Aq26K9eKKIL
MKBndVSATmim5MspmzPFL+dw+IDq2QgBKpsXb641G5umXLIfJGdRXPiJuu+YpeabrRx/uv+7dpYt
P8sBqsQzgLbmJg0NUqO1jN/mYI+K3xBzCAYvDIf5MtvT8u7Fsej5i3mHX4D24OZKZ5Q6KiRF6NCb
g4sL1dbCPCfHLVLL1fP9UOJnbxbvD4QfzAjQoyhqrbdIE1lBmHeB7TVoPpyjBGY6OVwpXVsuUjfC
0fQXu1/et3gLfL8feWdCicypBZXsR65dR+7xmKjsmUFiC6+ckK2srxXg3pOBnM/RmhIT9myU3MD5
dDyRkRBcx8J9Cema0GSL5oApa71Vbg0yapcU3Zqbadf5edaG4FLrgC7xW5zPoaMXLz/HsFwmE/G+
oba7BbIiExDR3lRsb8biB5utUX/IMMNElHPQf70/tXsfFbiMoJuJEtT2OYUy2djNcY3ZpW5JbzGm
sd2ePvM50JPQk5PE4DWrFic9wQf35ZcfoLPARgWlC2DQJjnRcwNY5jQ2NlrV93yxxkuoEZmeynJQ
4dpbP9zlKawCDBIcu/U3rXWnnsO+s7l4IBuxoC90HdLyG0ofzsGXe54F6ffDpeOuQ5vDtDfPhxEg
3kRPzPYSJCEwurRQJBsbLDvoBzx283B0I34+MuLpiD2QarjwbFFqPSbXM3Z1Fma37fcmsLPr0Mdv
p1qfLvfXyV4gSikm/ptcvsk06ylE8NwycOEzPaQEcBkMyakFmAyvto4Okt1IvL1+bHaZ5sI6UjE7
2jRmCi6rmaKeWIvGNUQoDzPFRvoPBsWZxSNfuHA42zZrgsblrGSN6eEmON9oL6TAGdGhijvnqOi2
NyoupOJA4DymbLMeFRQsUQrFU1DD3dRLWz1yJ0nCOTFSTf/FnwryAK8xZEB5xWxfSZVwXcYiE/tC
5HelU98HyrVSi/ItCv/jt/uxdta7KLPRuxfDAoK2HlYvBwb+gIXpVYP1K1DZCb8IpcfTaSjoXWvG
QXZ+fksDDQq2j3GJLuVWPS2zCtyJlNH0cOMM/EQeHD+xsvilJSYSP5/qLyQWO2szKOQDtJmqs0n5
gf5k3gYCXdK0twBm/BX4H+2L+7MonkDrM2cdcLPkdb1o+Y6sQ/j/+CjqOJ5S5KhPEj5Cb+JRi/3W
KaqDuRQ7dhsUsMMPhVixozc3h2UKgqlxmMu+yM3XjoMuRKfP2dWeovicUT5FD2eyblCO9FtezOMv
98e8t3KgZVL34CqBbvImJ/MM7Osk1k10BpfAHZU0c0u9y885X/UKxlc5gNGIj/ZsuOh00eKgGsLr
ab1Sx3Jg52kzG1BujC8Jhk3mSapH48HObRyR7w9uN5gD7RMNWbbgtnBY80DFOZvBTUVGG2cMp1tm
lfMV2GTy0g43i5U9gbwqmF5BZ12Pq4AZnkdLjQOGHHewjCAUcWFoPTmzmw8c4Mm7rC7/g2NO0GzE
wcO5Q4F0HbQL0QbDntX06rlNr7SH0JmYwpa/NIo7dIn84ncMgySMQQ+Rssz2lqvb5GY1ZpBVh3nW
YFp4XaDNc3Ngbx+8d5+XusWECoIUJV+qM9scU2h1NjYxCwUxbWdyB6XPdLcZluBBp6P/xrJq6dPU
cDGSQWhcJ6Xp/CY29cvMC+Ng2HvpjsXDzxGKAFwq1tPMe1Uoy2sMu5oTmrTGSFky0g5uR3vZB6Pl
HwhHni1bKTupbiOAEYOBJnBoe7yoMKqNtOGkFzOm5YExeC2mJgdH7/N7p0Az0hCmOcPlcwtb0Gu7
AdaP3ppWTflFT1QQ6eNknpeELk03V6MXpsNwcyIUwO7vzb3EI14SGB2COqPgvp7UOedsbGoNQwA7
yt+mSVHrvBxj6jY0lofuhLYckl/3Y+59SJ6o9Hl5qyFPvkl2JYLAeGfNhge4KDzPaim5VtbJBwys
vazzNMrm3ApAYsdNvFDiK+Ten6UW4+TBWdw4HI5wPHuhKM+DHeCiITTn15OIR7ZsL7FieHKnAfuS
cY+MQgD+RWXE/v25e94hZ77gL/PqJL9BRRHr92kFakKpye5kw2vMqJe9acJXA5uIwP411eIiuc2J
nv2pdkbxYaYDEp+G1Bq/2ILieP+H7H1EOl+Q64UqADeE9e/AxqAvFYUKqqHBkBi6znod5fby+X6U
vWNZ3BDploKH5ma6jhJxUqPdHJreMEIrPJHbjdcw6sboNKLzFbl6HfXfJiyICzdZgvYB3/r0CFMk
YmzPShi6gsEPn/65GEg9ZhXmnqaXOVLhFd20nE1rGBsPiFV1aVUl/tNA8S8/2CV7OxNkEI9RnjIA
jzcTjMlrifoG1fAJuzlSbtO7SoTH4ckatOlcoU5+JBuwFxEQGgBimeMT0Md6sotSnWIT1zWvKGXz
XStL8mlEMdUNkSD2O6EPcjDEvTUk8MOQxpAT4vW7DihJQ9A3ccfXndTEnfWwfDM6U/Db/TW0tzsR
cTFBEAFU5huuo9RZqFuzxnEJfFFzoQ/a/pDlOWzr1Pl4P9TeDFKwdECnwxDiGrsOpaklgk9CN9OM
Aoi3BsoBZiUlJ7sCqo+izGEPU+UP3K7NpwHFP3+SDUo1UmbIZgbSk+nwCo81x9N6He3g3s7w36wd
V3fGFKOF1n5dV+lv9tiYvukEoWt2/ZHZxHOgLJ0UIBSCgapTjDQ3u9VETbRwTN5aS13Uv8XgYXE+
byppdGPJyL9jOr9kCAOGKQyrVMklVnGcP6JRIVGHKKQKI9+la1+MZxG/yhBaD+IKimL6Zo7wBVds
NDK9GSajj/jNh7xrzMd5Kq2X58RVpM0GqhMdlkhDJPQwP1dNWlymRTIPXio7y5kg3FBEN5gBbQ4b
ZQ6w/8WE0Qvokl/1Zua2iVij14bx0Y1rNxQwQxU+MY/orXv3YhTl0Pcy37NIulNKk+WhSuuPC/rN
B7eunY1DgqezgkcIGWH7/BoTp4QgT0HAavCjykbVOssA3a62XehYNyfJQbydnA7+hg4HeY7Our75
Uj36e5UG0MAbLdg16Hpr7qwU8hXv2DpyM2zuPuEgA8T+xfmBRMcdjwoL3IItEEcZnc6aCm7TRrnY
j+BZ5ndUJ3hbpkvwRm+M5XI/3s7xSbeRzr0o6EDE26S+pJ6bQg8XXl5KMlJiKRffaHpUd9gRhWsX
uBk04WzjTaS3buSgPnE//u40P4kvFtiT9JQMfVctJERv1PXlqqJg67eZaj90DfB9DdS4a+DudzDJ
O5dpurrQJ7idCOFt8aOeBLXlcCpwdrK8pGyra4RUtpuWMnCC2omubdBmN01JKxdhpiOLkr3hcifi
Gk+q4QDYRJ6TCnE+0ooHFzy6cBIFJw0dMDeey+bNkvb1tYdy5t2f471NyvVE6G4DrwYqvx4u+I2U
Q5pNmtjUBXkr5F6XFckjifTFaiVkUiokApRDqYLX/DpUPjeo0s2UPTGbhnCMAp07I9ZzHrCr8O+P
ai8hPA21yXLzYCqDkVmmh/5bdME7VLlmSqCc5krXTgYXofP9eM9pXgIFwGTp4jilCLq5i1hhJGH8
gXdmFQTS93o09QcnbRzfwl8mc4MlyitXblqrd5N5GF6VmgTBCwf00BuSsfHR1m4+p6FhuBrgj5+1
UbJ+vf8LxV7dHPUsKxn5V1GvsbYYZVub6wzJBcsL86B/bPLg9zGs69v9IDuLiWOFI/xHEYqS/foL
63LdVxg8Wl4wQuTDwje5YGuCiERsHXGTnysLUCd9GmtTNonnbnL6ACUhE9+l0nWaxVI8ySzm39XI
ab/HNVCjt1KsWNhj4uf6xRxbHZHasE4l5NNNyT5ZdBcsP596+4Tjm9m8+KQVmkP0gihTcwBuEwnu
vnIfAIrxzETqHkapmdwMN0k/Qkj84LH6/OPyuuBEgtxEUYc7/3repX5JZTvJMO2UDPXNmJjLrXLw
nL//dZ9nRorM3BrEY19cVDbXU8mE17VICe9ULmlnpAHLG7cxyjppNs3wG6viYzuOmqfScHgpjIjn
Ey84rl90ZukkbrYXviKaQiPP8IKOk6BV1AoJono6z12WvjghEopeGemfVxuPi/VcBnWQaUlWG57l
FNlr7ODl6xL0ucsL5pf78/l8txCJF4UgJ9ki6DqSQGBPSK3w1RypAy7dC12llmvtpGju/VDPjxb+
fO5H3Bm4sTyjDshlCXA8C3QPU+HkisjvF/IZBsJTknDjT9GyrdMjvsLzHLyKqW++Ge72SHi0xBwN
afBkW8jEmmrtxtgPnON0zA/GuLcJnoxxuzyXyelGWjnEQ7zOXyy1PmMH5Bzs6t1RcUqLQjvvzq0U
3dJYi1YEBmD+AZ+o0alteNaDeSrTZbpKph1e7n+53XiUaoTLDplb21wKxjEzsYNGczDCvPqDMmPw
YqvIFaH7TlnPQAn/frzdTU5XkpoMd0zg1+tF2Xc5arODxkpJ7fyM+jc6U9E8vYVMjgKz2tuuJJnZ
RW205ODw2BupIGpy56IB9uxlYjZtMmInrntG2oXXJpl4h0pdAW5Ubm7KLH25P9CdUhgkVTrmHNlk
FB5D65HWzaDWYMoNT42k4AbapnwIjG4BhT0iQGVkvR8gcHji7Ja+2Vrxq0Ip6SDX7A0ZzKqgyJhC
5GyTtzlJ50axJt7fSOP6tZFY4Sm2JdxQ0Zu4zTg2HKzevZRD6Zt7GA11HgibMfeVM0Y0tA2vb9n5
iw25uzOr2W+C8uv96d0dGhNMNUioDW2fSHUWm31dUctAP6zy5SEuYKSg59VjlPCqxMbtYPXstBqI
xjsdVVtSN/IW68+pqc00lqimkLcFMisc5HOemwmlVPwRVCeubpkUmq4yj/pbdM3aS+5EsquZqXPw
UUWg9U2LH0L9SxSMZPBZIk89eUDg/9x2NBtxPwH6zBM05C+drHhDLfA9NfTtK3wdqTsIu7+eRW3X
BjDFZXSzmLK0z9JQ7fm2TedQR25a9cNoaNmto0zyu9ZL0h8GgvVuZsX6O9UK+ss04i1/kD92Vxjg
BkGGQ1phy7k141ablrCi7uik/TUv0+hLkPU/h9minO+vsN1IoryAEaENfWHzweGiUg0IuI7kna19
CObeeeyxbL0tFDgO5nYvFJd6sUMpN9IsX3/SWjbDWZIJpc76fI3RDXCtPmnOc5wdndS7oUT2BSPK
RX1LoA8rSW/HmKyU8ApzIzjUvy5pmniBOcS/359AsRC3C1XgT7h7gHtB13c9KuTDbVzOFd3DNbz5
qvYx5wti8wdzt5MIUNEB7AoaVECUNnPXLEqn9LTkvWSMGt/sG+uLPTXDo2SqH7o+nA8GtTN/qD8J
IC8UNCq2m3BqhsA7Nu26l80VFDAE5eGBBPZXqezHo+7Xbiz4H+B5hRnmdqfrbTvqeRGzLKCA+Eqp
Wg+doX/TnCX9dP9T7ZzKnMc833igC2Di5lN1Be1Dy+IulWHmo2M9oYXvTSVMQWj2S6MhSGzHoBYd
6QE273jwBfcyiw46W1Rl+Yz0ctcLBbcltWpn7gSjbCXnMdGb123c6Z5kS93HLM0QT7CSNjmF5KWH
IhkqHwp6+vn+FOxNttgUrCJkklBTWf+IqQxmG5V6zkpJ72QXS7bqIbHhmABCqNqD3LK3aIWu6l/V
Peqk62D0pdURByaeOimK7WFCb+E0GmN3bqAPp56x1NL88sTJ0+rfIcUSeHJsTNE82B3mA5h6D92t
VfLJ75TIfhsouD3dn8rd1QSlDxlXFOq5/qxDaVMpR1nNc3Eqiyp2eW7VlwmKkm+ktiWdKHSnn4LJ
an6RzFE5uHbtxUazwBYNInFgb4ZJh2PEhoB0UGJk8Og4yKKEqpK7jtloPrXN0e/D/Gsc4ut2f9B7
64fFw9FEm5XqmrMe9LR0y0B9VveKxpIvVhxlpyHT9Es5zYv/8lDwyWGF/SAhm5v5LXBMSReTcrRZ
dn8UVmq8y82svcB7MQ4GtbdOdYXiOld1B33YzRtLoraN4F1pejnJ1RvaQX83TA20xVkW0jrWt/sD
27tkAZChzw+zm9bttsAzgRxOMgGQsfH4+JqR9m5RnRivpkAtvjkUaz/O0PI8CTsAL5ZG430+hxNq
M3F7ACvbKf9AtyUdipK/GPwmHcTOoPZmw/0St67wJDXS/FiVoNeXRvlSVUtFad6MX9V6E96KAEyn
I+cyi8ysqHGmCIKFGQ1RQzuCJorEsDlTSZGQEeAgga3b8tDwcDL6YOT4TiV0VTBPtTxZDrVTG3Jn
GCa4aShOHslt7xzkq6CbbFVlqBwG1HgFVWdwS0ttLwHA84NjYG+tCRAPpqt8fSpa6w2UB04Qj2Ns
enGl/tJbsXFZOidzDTl5VAK5eH9/qYntuJ1I6hWiEk5AyjvraLOkjjDkFNOTg1I5yXGonprcHN/E
ypBfQ7ma/DAZZWzVqP2NQR6/ux9+L1sYBgsAyBBUjy0W2HCSwQI+AygrRrEyaGOEIxo1dLGBLC7/
SShgECDGubdsbxELkl6tLjC6VRlNV4TTC58Xf/02UfSjy/nuJ4RUQsUJV1MqhetJNYK0ypEYpZc9
xjR0ilB9W/ej4qHLl3lmVR5BdXZn8Um8zcJErRE3ItToPaeSsjOOJ6rLE27xHck+atvsDo3OuRBY
ouO4ff3gzB1PLQU9L2zH4BV1imw6JXWVhaesqIfXhh6/WGkUdQOKaRDxSEMwZsTgnxzYZk7BLuoo
+UPmtty8j9VTHZjLyUmCF3OnN6E2361unbhnSCAdltE8xUrfe21dDAdV5L0tR4GJ7jtV5P/L2Xns
yI00W/iJCNCbLU1Ve7XsL2lDjBy993z6+2UDF+hiE0VIwkAbAROVyczIMOecoCqyueBdNyptyoXy
Ncnp0Bl37MHNQsW5yxnhfTZiAsC8dsL7Klnr/1Rn7taDEGj3BwgspKjzIjy6ec26MFy6GJl1H+kQ
e3LTDMCFNo4OoyN1idkP3HdTGyWmQ0a5zxCmIyWAvePKvA2aYTylqPBs3pRKRwaZAM/0yUskZndL
3YCsa2xrH+c1ScODKGx3tYJoxG4LiM7mo8IczUsmX5m+2imza4XT8G5FSdOPe+SpzCQp0GSUoger
VszH1ZiPejV7gRidAkrd9K0oCG3M0w5UysHAnStOXKSuPJXfBjmVPipG2J/UiY+bjXXvtUXXHTi8
3XxCqPpT+SJ5An5+eXNmq2No+wxSyFGG9eeoz/2JQnx1Y1ejc9Ogl/ZgSVXrilKHh6CV7lJNqY+6
GXuPpphlwJfmm5tbXpAmdfDiF5rL1LDeNXmIEGYUHs8u2fNLtDyReBUqFrBLL9eap4iDpDJwdEPu
/uh5p5ziuk7dOdf7gErFEeV+d1UvDwnoSHo12yNc5nYS9oAjO71NPTE+9c5cl6PSy97RFREAtTZ4
3QSDl4uSos7JZibd+o0azZrHpPvlsc0RtDwtyJ4lbtepUR1w0ZFXJUVWIn+w8vkfwIw8z8DdadIg
+oOGx+XPQAOYEScKlbZQWaOvMi+NO05TeSdVVu5X0WwxVGSoT7Jdaa5e5NWNVg/hARR+7/u+/g1b
pymnTZJ1gDeThU6ztMbtg9IV6k02KBnzswr75nq0sPeB8VAWjDZoSm/IyuYw66YVUTLWq2q6qYxe
vXGYR/DxupU9T0ipAeleWDbY2dzQKaZqScPR8Ke1Tn6GfaMXrs04v8R1xpDJyNet7bkiWxe1eEg2
6Bht9lAZrH4pV+JXiQm2kEyZWHZXJ1Mee3asMXOpVxJYBaXZM1i0Ry/6qGK7u1riBnRIcQaoFV6e
I72dxlzqWkoLxmSf6qJbblYwS7AZ5ukgbxEbtw1rOZaCTUT8BaLs0lQ2LWa50rvxV0MuIlfJesez
pKX0e7CcQYIEq58txRGFYtfqS2eY8bFvGe5NiUpRITq3mZlXt5WZfaognZ2ZXFjcSxNCgWXETb3+
Ufc2lSIchWCB+sD/Xa600klGX4pjcTUPj20kr5+VMelvIJweDojauxQioKXsrinU4bYfUIXlFllo
jOVtWp2qWs4eJ6WKDq7e3jEVGRtYKKEiu13RmLf6gHIwEoSVqv0xyq6c/Bat+fOSlLoPrTC561Fb
Ay6UTwfElN3NRPSd6JiHhCL05WbqQ6TGBrw3fx7i8baLc9UN2Y07BnceqY/sm4LBQASEqtZWXcpR
GnB7CIj5qMcVwWL1/3VzOAboIvQHAdCOJfJJRkQh1c9LvHUy7TQzPyoD72kNie4hFRPejZNtMCrQ
HLTzX59GZNbpfkMEpni4dTFdpIyzVqWEdkuU+L2uSMix2stjnJFdXje18yJgCowTR4Q+25aKa+rw
obSUGklUDdLvlOEOrqaq8fehbRiG2BRHANWdx5h2l/CfqNsSVolj+yoPsZQpS2QTl6JUdim9mwpJ
/lSHTs4Ijamrp7s0qXP7NNutDmlxtXJXmqfl6/U171zAlwlIVMJBh5CBXf4GO4+0ui6o/Ay6mX4e
nWENOliav69b2TswFPZhd1JYoaWwee/blewV1UOCGyVkJF4/JT+bQarckDDkIBfaMwVNiLoDuTI+
bLOpeeV0TBqcdd924vaG4b/mcxkR2ZjyoZzbrileBJuuIV2sbSVrkakuz/DDfGus1yBywvg2G2By
D1aUHAQrO59J9CkctOG5CKCnLj+TabYDbFJGCI1aMp/iJLfOiUVV4/pn2jmQBGO4fjpYQvRnk8bp
gw2kRLw2pMh9MNWVHSzTQoozZ8weGafiJxOXf+hhZtwORvj3KEMgLow3oMIB9YFw4nKNrW3lYUWl
FZ2Trn7HlCQEeJ1hClRlOopb9rYTARLR2WJSlrJFJfEW9Yay0mtKWlW5sZtxCBoG/R1s574VxsgC
wAXcvLUSNllf09HVCQyq8oYIRX2w4dHdXP9oO6dQgNuF4B4IRrLCy23LnJ4Zaw3tlYjZaicpGVeS
/VF+HK30v7+3BA8Gn89rjSj+5niUclv1aNBQiO90/UkuF/VmXuLEy0wantdN7Z1EBP1QKUARnRhk
Y6ooS1o7HYFlqeSKq0W15iqhFN9IsfVVk/JYd5mmIt+0w8zUc6MjvL1uf29TUReEbolrFp3qy00l
5IKGVRKswwqWzxA6P1d6RSUz1tbly3VTe6cEG4xfhTdEMXFTL5XDMisKBAR8vWk7ITK/IDTROGp+
sKS9LX1tR71cUlarUwMtjsvNVOJvVq8lt+tiN/Ad0/zUWGt/HovaCGKpCt156o4Ge+zuqEh9ACxT
ht76lj6tzalngrK/TmX+oDK/4qMlM3vDCJVP1zd0zxLTM0VUCRXljXjdvK40URKVftyQZTeMwXU+
xB1JO6q55sGe7oTnrAfREEJLgQQU3/bVCz47M6MbO1p/6E/kv5xBl++MXs7+i8A33KF1VjwZszb+
w4WnR0E716FfYWz7YR2oiTxFTtNf0kxz454eyViG/Y0D8MC/vpXC5W6SHvHciEILwo8c0c36NKVu
Vw3eZNPP5DZZOPTnpKry+1izwlPbG/UzUvHSH6bBH1V5doIxk8eOPhEYK4jIG9OtqtajFMe0OjNV
PRcIiXultWYub4QWILDZHsSZe0sl6qO0IThpcI0vlyolZr+YxOpg+FXjdkTnx1XnsPVLLepEq1F1
q75sgyTuh+D6Ju85ALiONEWEahsCvJeWR+gJzcrV87HXeM48x4UrO2Vz4L33zBDaitId9bc32l5N
oadJUYs2fFbo/1UMVjjXqGseBCp7N4IIQmiy0qxgRZeLaWN4JVGIOtmqN89VkRnnuiuks1VLJeBt
o/bSUKoOLsTuyniOOKdI97wZrNXXWqfqCSujSZj7kwoXfVydX9e/0t7CeIxQf0PknfLc9itVUuzQ
WEJjRpXpwFRT7yLZ2XmE652b5EXtDlUyHPiXnZWJx0+Af6HhvxHwRflaruRFgg1hDMPoWqlc37dz
Mh+AtPfNCHQxGQAAw83akjiSGimnfG8rnfS7Xoz8s1JbR831XSs0kYGB406AMFwejbjQ6FFk8Pit
2pRuzEhaUrcZBv3gBO68cwh5i1l9FNlAl20WoxdjJacDXTnDSvWnUpF+hGj5oluv3eUAtN717fhd
nhnsoI72Ublm5+lB4ZHWktCtR5hws0SlBiNRhJGQYouc+7Jr0JbVM3N2W2XWrYPDsWsMOV5B8+IN
2jZaG9SqWz0RXZ9icZ7lsLcC1SjoHstDXc3B9eO/a4zd5OtB3CUCvPx4YxdFC5BLy6+a+jfOsfnI
1FGmHazJURqwd0wUuAIMXkElEL2zS0t6J5UIJYS0N4qmPaFQMq3ustbLUYtzRzdPwxOioyFq4UJ/
4dJQPsmU8ho+ltyiX1kvavww1mUXJIs13uQVdD4/n1bNb8yECYvzGKnPIwr9p4RSfeS1U97AjTRR
8favb/XuAQZaTF2FGS9UGC5/l4Lkv7QOEH5UntbvWRsPd2TM9eA28xCe2A/bQagGZTq30eQs8cys
qJuD+Hvvc1NxBHQjCruw3y9/Q5U2sN+zFvQFicAjTP/hIW3N+dRO6mGsveNZgeWjogJMkzLZNtZW
EiMcNOobFHFj+7bqK+m8GEPrmRy5/6EdOHtqlHT/cJ5J2QUmjUj+jfKGnJqdJRVgDLPOXL6oE8Nr
HSUfvhckNP9wTylPU5CzmdkGcupyL1swzzk60jgFFXVuN1RD60+m5kV5HppW1k/XT8/e9UGuF36r
mJwDNuHS2qhHSxpFnJ4YrHb2nNs1utV6Yy3/wNog4USaATwRB2TrEQbEYCQyKChja/3OahX7Z4PY
z5/rqxG/dhOAMt0M2hJKhKIcvVlN1JtOG4b4OJnS8D1S9spzCDvQixN1KN1pTo6ypL2Dr1NmFPUH
Sjdb1SsmN0cOGEK0EJzWPGkFqLo064fTUIbZP9wxmsh8deR1RH3g8kvVQzkqjNIA02HW6m1ZrKU/
RlF4quz4CNy051Jem9pcZ63VraptHCTeNOgKvUnbwpz7bz2zNNF3nh13WpU1iPW2d4vUqg9aJ3tH
EuweymjAA3G4m2S66lNDNeh++XqnG+8zCCinYir6gyhw78uRixEqUcnkEwo38zoXy8mhpxSoRbZE
7c0SLgxbB7H4gLj4dLp+KvcwbEDpKFPRYhMp7ebTpVEFhL6JTL+T0Vj11GYK3zk0b+cbekPDH6mn
Te6NTYSPniMqyk/mGjE+hfkaVeOai6l8A+Q/n9WymX5NvS5VBz9wb8ehuYMPgOpEFrX53h28plzR
RCtAL+rPSwXsA9zvP+BomOJBGQ30k8gRtcsdj+I6tDMFMv3QKmFg6d1/ldxIN5Gy/osLFSxJgkdA
SVTMLy0Rlc/GpIKWRJGYcRZm0aJ5kMsKo0kzFKIPRAJ2TxLlOkVBaovMbOOw1bGcayUTQnRGE393
KBXepLmsfsrC3DyoVu+9fUIBheoBmgSIrV4uTIZqEfeFAM5ALg1Usl6fyTPd+7m1nydrmu8kM5Y+
Xz+94v+59am8RXCJSSgEdu3SprKUsQ61huvY9vHDbNSWi3etS7dxOtmvu/EIJ7drkICE3OkFNLLZ
z5BpC3ZRzYjcMU0dSRDF+dFYUH3GTmNCRqUdtYx2N/VFCpmDIexeLhDJHMlZZHpuUd73T7nWG58V
qRhO46rlqKA0iez1qOAdBZS7l+6V2Y1TMOC69sxtwslOsuq1SV7TGquPaH77m8nzBACGNse2E1Bo
pqTGQtqhJNcg6TSUhSIaotMeZJdk9EgPEUS/fmL2LoSQz1Ze0jYcyuWGZm3WjeB+aGLGuvnULYUW
RJNuPWa2nRw8inubCDoUogCxEt3ajalIZsbITEPKN4Yki91CBtnlop5wmKrtHRJKWwxeIoSFHrQx
tNB/KpUCxns3Voz8qMx+PYXK1NTBrJZ0O3LHDpyh6b9e38q9l9gCFUtUA4SKJPVyKwdQPlFGeuXH
kFvOqd33/61tCjojTrR7Q5PMkwmSwkNkvoUJqzsH/mY36bEIpYRUKSWTbRKOqJtZkpuDcFenwSCr
UapnI17FKMCpV1rf1AbzE+ghaXX1YQKKOQGWn9x6sPXSM0cjaV2GpQwAt2W1OHjB9z4JzyqeSYR8
TJ273BtUtPnOuYi9qlx7AOwdnUigM9/p5TJ1V6tRfCSDqoMt2bUKsIM/OEMQqJdWoeCP09ATYqaa
LOqLlfY7zeb0HnHH9alKKMbBvTySHd3D4+N+FSGDJwvW4+Yc0JdixhR6e34MHOyEglvndWUbPyMN
Y3kxwOJvDgC+h5JnjxkRsknUECb/szu0ua4fyL0LJ7hJHArwWPo2VFCt2BxlZED9cozDM5kD8nWy
dpRP7luBl4++MMXVLQ1KmnNwvQNJvTmt6a2mTvmDmRrSgZ8SHnb7sgm1G84Q3XQAH5efck4lTWtF
tuBMeUcNxjTP6ZzN5ylV19t+sCq3CpHFN9NaPl/fxR0JLNE/h2FFpgJ+b5vEWoOCSm2d2VjNhmfV
lmQvzIvlC1rx0xBIUMGHc5Zpau2Ohj09MOA0Q+BNfPBiNp71RkmPMLl755rEiaSaCIaq3ia0qMIG
zYfOsohiwuWHNstqAhLMZnqLWiN7e1eZq8XkaFX9h/tEQkiNlHI2Pf/NLWZUsKJFqxiBEBZD+iTV
Xe6nUSc9ZV3a/URkZbCe5TjS/2W9IsdQZeo5Ynrk5ccnykqMbmK9Uxg6xmOuF9Z5TFWz+6CjyvZs
zh1zJI1GO0hudt5j0P84LBC5gr0rTv6rtAPUpFXXUWn7TCis7sMy7HxlLYpfXSv9D+6yemBu5/1g
0gHJKbMzFKEafGluyaqsoRzFORs08zlf2tCfYZ1+N8NSW7xldPR75GyUT04pJsWv0pH29N5yKdS8
sBA45lsNzyVvI0nNdVs0ZsPalUY0DdyMcur3tR0cEV3Z66+DuyUC0s21JhcHHCC0z4w3d6stFtRY
2t7y566Ov3TNqJ6tKYueoeaYv5JsKNzF7OvKTQzph7ZovY9sv3rgJndcC78BpA5Cv0C/t73vzkyZ
vDAv1D+tcj2TsSM8AFntJlwtBnWb8PKgqlvFKWuL9MCr7URfJHJ0+IWwA6zezcEeCsMERY3ppUiW
D01f21+gtdq3yurYfw62WpzWN1sNsJr+hujebNEzhUYBJEb5xB+dOn0iInB+W2oBA8OJVSbOhqmi
VgQGWftkTZFUu4tcyuopifh9bimnXRUwR9xAbbErYlxdq9ZHH2L/F3ISKCTwcG77yKY0xMWQJUj0
htaSMw6nLx6oJWsHscieGYpnAh/Cf8wxuLxnjVEVcpVw5pQwjit/SSqgdE2+5h+v7/jefWK3gX+B
NSDh3EQfxlClvaMhWgYWLIs8ZUibT3Knhm5P3oLoS/Thur3ddcF7Qd6B6db4y8t1KVpWLrZNfJ3Y
S/kV7IH8yzKHI+TL7qoEKgokMmvaKmN3danLi4XEU7Gu05NepXRAkOf2G8nq36NlcXRFdt46hAt0
7iUFD0AUmytS2XQA03S2/Jrxgbmn55SNT0ZuprEXr0MRnSsFZHugy0n8v+v7uWuZqjWprSX+2rx2
Zm0bi9ORRthSln5a9DD6xFvBwVRrk3e/UKgfVtLiX7e6543o+ghdGbqCb0qHzVzleoL7g/plNvM5
suclOVEp4O1JNak5JYkW/47bxIm9MkTv4MAZ7nkkyl/UuECSg3vbbLe5KiX63xTP9U5p6DrJZfTN
KTNncfW5OWLb7J0lallggUDQMlthc0M6xxiI34is+jzOTgzezNzQXJqHMgp/rKT1B1u790FR/aLi
TNREG2rzwNraNKl0d224r9rDGmrtTTnI74ylbM7OApi9HZojHOi+STJeZAJIBbaEljCXzIIqISOF
kB0D6DQ1sOR7e0G9cXW+V2Za3DM4yThAJu9ZFWpBYCvYVq7ppSdQc5tpcLFMm0mjSFFIsRRIRtTf
Rmvq/DAZcuIxLupQ7GXva76yuo2TTaSGETmjPSEtnfzsoAx2au3RRqCWE+AR9UyqOwwq1QwzMZ8k
ddBPDXqOvtJPq4lgE+hHM5a1z2xj9zFKq+WJ2QL98/Xrteck0dxCBgagG52HzdZo0hJ1Fd0IP56j
9Vw5ZfgEoaw+X7eyd4uQ8xb32OaV2eZE7RLKmUEzyGcwAsjmotQ9OTNln/CtP/29KVgalBnps1Eg
F1/lVZCqyAxvcnpmcSnOyFhpKdXdlDrYGVGq5OD+7O0dWAUBeUTo9M1AjcIkPiszG6hvmmcnplRJ
p1y1xoPDu7d3gpj1guAESiB+xasFzWnGaGxN1NqK5TfIvOhGbdfvFISPsCV7hsgkCahUMWt4O3yv
lpWhzhtga1JLBy3MtMnTS3Sesog8/a8/ErOLYCnQuyNt2va6yjVL81FgHivIovcI5WeBCh7dg8L4
Dw6c8I7Ihi0kadnqHOhqpsNtB1S/JkmIXP2QnSrq6z9WZOX//q2gvGYDjqMTQa9g86WiETWBCYIv
AY5Vn6nux4GVoHbQpcpR3XevuEXqJ/g5AsSCQM7lqSAFipUsrS0/T+XqrKiN5CVMnQyWMRrckkqz
N2dWE3T2uLjhEkGzK5TmHK9z6cbysNx2pZEfQGt2/B2dL4abCmlwusCb52Sxy7xVS5YvD0nj91TQ
/KlSCI1VM/GMaTiSot21hzYIzVIT0vQ2buXJZm5aA04jniSpdIXOU5ChoPFl0ULtJoxb9SCA3bkg
0GooMzDWHPb2dm7G0GnIIY4EQNJUT7/TtIpuJyKBYCqc5gDZ89Lm2WQn1I90URpWRBK82cxsykPQ
ezxZklKNplf1bO2TpLQd6lw02d+nmWT+SdSuHXwJdxq6K0E1KjBoWTXwCNN5dBeDXNFnjAqU5Kmz
6g+EwYoVxGtbyG5nOOtzPQF29OpVHT+nsCNKd41ymO/weOLWzQnjY6/QpfIpzYUSiSwPvepGEdND
flXKLBtulKNvcYqJ5yOIuM1IOa9p2vf5Wg+/1bnNJbevTeTNlqWUG09u+2rxtLjJ3k9rNdRnJPY0
OUjrTpV8sy3aj2mqGj/XpjI/xEXkfGjjsF39Dhmyo86CuB2XuysaeQppKsAI/hYBwyufqg+IkhjK
CE7BVuuvXbMwSCcx+nNjGOXZsdDrrB0C2z4NFZ5D+dN17/f24ArrvE6EQEKAZfNEDUxCCutM3N0u
jB5np+47l0zUeDSNsdO9KVbtX/9gEYgRs8FQNeYFvlxvtnBuFAsys41DfjKBg3iLqVXPihXXQVf3
9oEnfBtwUWIlR9G5nS+Qvkt7lWPE6jLS6+sZ+4a2SdyfNNXuvYqZASTPynJK4VMdbOvb64lR+kQo
j0P7Ba9xadTJ0qjQ8Hq+2Zn5l35NVMqQo/EUAiE+eJOFJ9+eHzFgm5ojdWQgoJemonSQpiUktYy5
jF6RSOG7KJWNg/Li3jl5bUX8ilenNFm0OSlNCuc1o7bv8qYcHpB0yj3mOqNcrKGL9C+fjU4UuD4I
ODyblwZDW8mlCQ9P8tr3QaWuuQfCfD7naQvwE/brbcqAyr+OBfhsAo0pUHCiU3RpFFanZkD1oTvV
x90HU09CdwjH4nlqDlkqeycEiTDIFkiVUojYJHNVM/SdZHDtB71ExUQfGw+NSdNFNeZI7XjvBjBA
WQimoLDEU325KjILIYgB0ivqGaVcjobjETuEn5Furx/NdTJc0y6OKO97B+aFbU7BlMbANqxK1kZr
V5WtTEARTudZSdr3Y26rARoCTe81WolOwXXPsrtOoS7Cq4hSl73xpDI6H31ngyxsmkS9ZTDs6MNh
bB6KBfaPxmCOM3oF1flfjJKSC+IuZdLN9dN7O0EbCfxLl8sVpP7+++AQd8eS1HvSkk1eVipHC93u
LWxowZAhtIMBjtvenB3EZ2AuZtkaUIQt/S6LmGoelrFXF/Xsq4WzHlTltk/Uiz2CVjgB1IOJXS8P
UJh1jryMyRpMWd++F+2mc5pNw/csXJo7QIT2uU4j+b3TVKGnKg3aP9f3eG+9LJnXUSjxvPGmVj3E
pWrOrNeKv1tpO79PoJu7pj7dFlo8/b5ubW+11HcYk4n/BlW82d2a1HSN6SsFUajqTHRu4ru0LuXy
VHdL81GW6j5QlKX9Fg5z/tDPtvr9uv3d1dIphncLR44I/nK3mQgojW03rgEFChtJCiPz9bjPH81B
UVxpGY6om2/kRcTnRSgQnTJqeDTnxQ965dsnpi+OoQ6XMutL5WadVuuXSMrO3dArgb4Uky/VkhoM
SyPf60oWf4wBrx1EBVt3yG/g7ljAApC/BY+6eTBnGhodH3kN9NxZ/AkwhZcaae6lkJWC6/u7a4qT
RH4ATIuS/eVy1ykq1Ip+SYBmyvCkx7l86ku5/jzO5RHhcccU14VLSn5Js3kLa1z7xLC7jjEg4BvN
D6ZWwDGbsvS+yKSD/dv6PvaPiglKVbwloIu202THKJUAcURyoOZm7Evyii7gvEg/IsL6pxQJSs0t
9aI7iAr21meSpBOa8odn83IrtRqSUMkYssDqZMsLUadxQxqgt016OI5w75SCK+JegKGAnLhdYdiz
REOR1mB0BO1jtuaFwkBq3hT0PL4tWpb/XO3FQqTXUE/KWtsyIjkoNR74op2NFjqpgq4LUuYNaYOJ
IIPd9pIc9Nn0RYp06c4omWmTTuVyiteR3gzs06Mm684+E7+KIhICiRBTxL+/uqFrYeSqnEdKQHqi
nJUokk6xMScfZjLfg/dsx/uRTNFCAC1A7XfLrStKiu6KmSlBqDR2YPPX2VYQo04KdQkarR4eHBvp
RAZ0lH41zNlB4v52pUJwA/ogg86FH9hcTk2qZlkySiVomXniz0UUf42cvPWXaF1vr/uBt35W0J5J
usS0CeoWG7eXFG3aMltECQpASZ5V5MPdIKvrXV07tau1Xf/5ur23O6vIDC5QKXBykHcU11pohQio
BzOEMLeVp/Gms/qf2lBnz4ZS1fdS5yh3Ml/aXesy969b39lYIXtJtAlHn3L35lVTwzyMKn2cAhTj
y3spif8URhM9W10mn65b2lkn0QkqVToJlWghXB7WxRwWe7FxRXOrzkHFSMEPiPIvt5FRUvBe+u6+
ihh4Kalp5evp5ByUK16IGq8TInpf+FqUfjipAFe3cJShoSnfleMSmJkaa2fNDDPZJeNTETM3o/ix
oxjheIzvUn/atdJNJ9ENTL1E7tP3OalT8a5lSGfqxmrk1F5vJMz5EbST5b4nVq/vB7PoqWEhYpXc
5l0atm7T2FS6MmsIz3kxlfXBp3vrcmhO0Bymg8Xa6FZcbiiN8UaJ+orbH9rVWW/tOVBqWWwedZM8
qhO8YViZv69/xn2r3EBVyCy+GXRUtDla1zJWk2JQz9DtpnO/DPOTs5T9n3YmbS/GMv7vutGdUwrg
2BZaoChsU5i4XKo5SaWzMGUhMPKwdxm0od1aRjkHc2ebB8d015RFK81GjlCmcnlpCpSf1pq9JQdJ
V+vnGhi0hw+WPPQli4MPuO0bihNJ9ExOgh2wORtTCDAXZRVnclCYduZpSbqczdBOXFmyzXdO6EiB
mbT31O/b4O+3k3iO6A6I3Vta6MR0taUG8heU6J16THTKz0psMexNMaKDa7fzPnPbeKDFE0X/Zjub
ocajg5tJiUBg19yCrPu2rE57Kkp6HZk8Nzd927d3swY03i3btPFAXfYH691x6dx4sneA8eRFW5hl
YkUmfMqW4yMz+jodiuEuGdP4Zwsa7KFqEH05iAZ2DAp1FSHwCzYIpPzlIdLsKFK1plmCQZ+rT1GV
UuGOovI2YUJcIJGCHth7eykFxZGGEpELvdLtDI7MpB5H010ObDOJ7qXSHkCyaSG6DLHZnap8Hj8t
naV+un6M3p5fgh0xRM8i7qFzKTz+q/BDH3rNjiu2dQBr5InCFoPppfJLXLblPeySH2UlgGeGdNAQ
fHtF8QV0mdhcPifp56VdLSOoW1peTNXonPdZn9GgzZL8Lsny+OCK7mzshanNFY3mQU+zCm/g2GkB
lg31yjwy7Hdyq02nNaxrT9HW/iAC2V0fCCMZ2rYQGtugQiCxaE1c8zWVSk+/gr8uflkG78kUF87B
zXhrinwSJyf04iA1b6PnqTYjo++WNhiI+7yFQtHjqsYf9NqS/tqvAo3guIDv5hqCWb78aChpJGbX
ri2vVZt7BYqdp6qzdddKJOnD9XP5NtIQKAx8DXde6FtsXos6QSoRAhumLHW4raexdyWrLU7KDAKl
5jy6S8nQPBR0YMEvfz+AFQ0iWUfLlsoPCBhoeZdLnYZirRA97QJ5TZrbvpzNL/FoaS7FIuWpUvvS
I0jqbsq8Ht7ziK6nHkalPwI3yL1opuNx4B32PjIId0XEtQLRvfFGNoLPbYhyelDU64RySyF/pjlC
10uxj4a1vb0vtsK7SUqLU6Bkujm65miGhbaGZRAZWukhcPlrMmvnLh37LqhGbf0QL/2R0tpbNyRs
ElmK+FXEl5fbLedW2OQEd0EmhZEYD626pjQuj0uWD34iJgQ2y6KenC4+mjT71s0jiIH8Pl8bjhsN
3EvLK/DGqCjVKqjy2CByVZTbOrXnszQwI3ElUHp//WDv7S7pJb6ekEFAXC/t5WkZVr2iV4FRTHaQ
yFbmIRGWBPba6Tdpm/2PauZRy31vjRQVYZkLqUwc76XNjKCdkE+ugrCaVS+1mhicUcxlkufUiyrb
/Gvnx815ZW/jJybD6pwqUapg1uvEVZvaeqyWvjzLdm0exCa7S6PIxewGHk5yg8ulVVLW1WE3VYHe
6KOLGChFhLKW3mWoZrhO7fx9BY+lkf4g1ksgAmno0t5SdXlMjsJWzll0Y2fV7zGrmE7cIlnZDoZz
sJN79+IFVcCICOLmrcftVLPVMnsoAwTQjC8RHX/PsZLEr5gJ5neNYj0aXZt5WaoVB6+KWMhlqkWT
Du1+FoPwG62Fy4XqEJ7zHOJOEIdx9w6S+vJgFmN2UGV6AzDAz74yAyLk0kxU19qiLEYZ0NZPUHnu
I1/T2+7BDqP3ISOL72KriIMYfLTXRrCz4pTd1qdhemC+XE9YP+sHXMW9E0V/iNAPLhGS+5sv3No1
uXZvoTy/LlPQpH0TrB1DzuVmnU523B/VLHftOYQIMKRFqXRzgrvBZMQpfJygVe3sVyGP1tdaVSfZ
G5euyNw4qcaf113QvkWSFl5wUVjcuCAz7XrSdD7t3HS621LbC4YkbE6KvkSg0O0jXvvO24XakCHK
auiHkOZefuN+0YH+mnoZKIWt+gxHtj17dcrbum76g/O0511FmZTHhGYRSsiXpuyhmlEksfl4duw8
6tMy+U1ZWR/Drpge0AHD5y0D4LfrG7pjFQEu2lIorgpVp82GjhQjrXnUqgD13O62mkfpphj7yKsI
+L2hMhUvpVt1YFRcwM0FFYIW6Be+dKi2CpApwNx0dfIm6BVrpKKhh49Zqf8yRm3wGa8y3cWGGr0M
sLnvJiU/uCU7S0bRiYITrwkZ/VblskOWaJ00NM2UKRy8soEyMDkRQunqmH2yzFbxEl09GgD5huPF
K40cESm3JrRt32x0WVJZM7Xa9sEI12ZAJwWKf9+Mxg9iY/026rVwCQpGyr0rZiDD90vah1+dKkpq
fzYl6eDt2e6B+DXCO6IzBQQQ4M/lYVt02p1Fptpi9uRym3bDEKxtkwZG33b001A3DaviiJG19csY
JfZmUiqVGyABWx0RVGIlI87y0LfiuPzCbpf/W9pDevj2cL1YAYAEYpcS6huQnhI61MDGIkQJp9Ae
VEnSvxWO0/mhFg23jCzLT51WG26fJNV9OdoHDmrrMIR1KpqiRqwLAQKx8a+SUm0YDEbG644fDfX6
EJfanRbJ4109Uay+fnP3LBERUbcBiCC4MJeW5rbSJtQpbL8m65lco6Qk5dp203yTy7U8gHPsGgOL
IyjUL/ymjbHGMaZ1VUG2G2vWeXpott5EZzT1NHVdPl1f2d45ESTc/ze2eb87Zx0WaQBR3vZ1DeTZ
bs8WMJnzP1gR2SDNEcKibUuhNBdNCUeBuIVUc1KTzriJ7d76cN3K7sYBCKFDzTvB+b/cOGuqmbsK
bt5H77B4H07RZ/Bww2lhUu/Bet6UusTREyqZYHtIQN+0opC8sNS01uCuglKlIKrl3xu9dDwekeG+
bmPFa0LUtJGn7c5aO9rPBEp/i15/+Q0veA6wTdRMNxHBVDdFYnfg8xGOTO5mNVNcWWnMWwSvF1+J
pPVO6vXp4OXcBgUYJfqC6wGAHZe+pVH3ZqrHcpLizMx68Au57SYvLfGkYai2Z4mU9uCj7hkkhBbN
RQqnSDVcflQYLWGSIf9EBzqE6tTAKmW7Vd9eTelOSQ9nke4cIqwBo0IRlFBrK9IwRnmdDrqDmHCv
VDdWXYx3sb6YJ4uo/WAvd03xQlH9wbUwkfNyaWU45k452bYfqtP/cfZlPXLibNu/CIkdfArU1muS
zn6C0llssA0Y2xj49d/FvPqkdHWpS3k00szBzMQF2Lfv5Vq6KogGv1BoR+9VDILfPx8N9EM3Ie+N
Ygao5sul9JyiChATnqpV7sQG+jyADPA+0CiE3l7pwpUATjPUdSArBdmg8yTHtN4UwBMGOgKjSN8v
Uzh+wTy4AY8t6T6ijE1vu3qlpU9djZ63o1eWvxDP4DSNU4lxCdTozkFV4USbpguAdFJL3X6M+KJv
Xc6vZXKXVsGMHb0P3K7ot55FGga/omyeEc+IBK1ZxR75FnIyXLkILm19wNBw3kDn3ZBFLz/akHZp
MkKTpTKjk09mlOzU0HYqY23zY4CxXfnvnw4I0G1CATo19DtermdhOpqtCYauQk/2IPN0+KWSIXwH
FfiQFQA983065d19nVr1pcs0vWbF8qrM26LLJpK50Vxx+F61mRtHUjR5SQXmvU/3LhnrslZWPANW
7n8a2dDt24A6XZkhjWeY3GizgwEiecIoV0IumzTZ54bQ6cqmunRQM5TVMBPYaqFX+gg1hnumWwmE
X9doD+7MUuRRnZwUpoFXDuqFZBFHB5hYuMZhzncOG42pn7fQpSDVqiA5gCg3kPcLs3lQJDSxD0Or
o51Vyfz89qe/+OYBdQLGeRv7A83x8tsjxka5Bte6Ej1rPrUqZEcoVw2PoKnTm1H7fCmiOdz80wef
FtRPuk+NgYM7EP/Titaub/tnP5H1NfzMhfeBg4aGJrBBuHnOOxuCxsLaWpEqH4O+MHhvx1VjQbag
yTkEpm+KEU6v+7dfx4UPjrgM15Gtubl1cF6+jWRQnHJM8iuQKVdUChFE2ZNkgrnwvFZvL3UhXqJx
AmRHCu8Y7P/tp/yVxLoESPVA4n5zjTfuYL0NzEOqB3CquSkNSoRTKrpPsZJiJ1cIWr69+oVAhm0G
9iTiGIrS8+lVT7VpU8JIBbBidBzh64460bErgeXS64SxJzQ+Nn0Z1AQvnzGe0jWqOe5UMOZ/dElH
P1HswVtYp14jQV0ImQBbbRDBTQgXSdrLlVSj6NxJvMMJqLWyV9Cw6SGxWmar3vy9VXt8+/1dWg/8
eFzeKDPBQj27V/1GydGPNAFOxUhQ1PlHrak6eKrvykGIa2Pk/6Z7f1fz2CCwgN2mf9DqR9Pp7Pn0
RDk+0kgq24Fo27Bmgi5zpksVhsPNor31yFQ+FSMsJovN+rdooJx7LyJsW+J0erRJ+gsqe2E5p2ig
w4/PXXkhlz41wkeGs4MvgJnMyw8QWuBSCREElMomwnam6ftRxqIAaLHevf3ury119i4Ebk0tOyzl
hC9PbZBJDOyi5l0Sgj3+9lIXjgnyfKS7oAxi1nsehRhltnUQ/KhUzOkhXjuMe1evv3JMLmwm1EeQ
j4TqAPS6zoU0KOC+ZoBpKKRePXzXbs1pkVEd7IbYgbNk8vTP24913jbewg2wD/8123zAIM6KP0xd
1zpNoVpVw333U5CjF5XV4t4bmuXrgtbfAzQWTNGtjbjypBc+HTI0tPj+Q+eAUnS2S/pUhsQleNLN
xiCHxEFBMEh/iKmSVzpQF59xU1zCgptp4PbS/4qvbFnQNg1pXU3Q2vkN8gX01pjndwpS0qr9uiQ0
fMhGrz6Nyoz7t9/vxceEyfBGiwPC5JzoshneRBmkQZDgt+FntQBjtORJLQrST9dIRJfWQtzbgBcQ
QAaO9+Vz9m0WLemcIjLkMizgjprftJzf5CuoTf/+VGi6bFUg5slI1V6uBHeGGXXmUEMIrVHeDq0e
wBLtJHtbMj41y5Ur6lKtDcDDZhYCoZ9NuOnlen7SwJw4Z3Xlph6tSiIT8y0NWwsXsNwvvJWDzlOn
n1ejBAxaZFx2nR6ubNgLAQC/YYNbgJ6+NeFf/gZW0xgksA7PDB+dL5B/Vp+UHq9Nby8kO+jsYzSM
xt1/vL6Xq+Di9Pq0z9C0m6Tf7nLJerDqkk2tO6hiaAoley/Qwb96pSIMoGGCPYp2BjLOc9lFP+w5
b2K/rtZgTL4lvks/to5+/Odd82KRs69IWtatQ4BF5kjXoJvgsIU9o3upnPvz9lKvNKH+74E2fi3k
2yF9eBZeuJY1zyK7xTUqf9rMiE9hyNcfgZc2N4s384NyUfuZhu1cAlg3sBudj70sjA8I/DQt/bXt
sz3c2bWNFAE9E7R/gQQ/H214jkU2XoO6sixoD2jczntY5m02TLUqhLqmoXJpH22SYqhOt/n8eb2S
L8GUwGEAy4WU1bwYQTSyBZpj63TCnCx/N0/oUT0AOKGvZSgXwhBge0jZcVLQr3k1Q+7imYCf4VV5
HQOOBOX7p0YJBQstvsT/nmv8Nx2HgviGNjnv93leJpyLDLzbRdCXmisfTeBG7Vwgm9PbW+rSB9wG
8f9/qbPzH4BSn/faeRXrZFSJmdg9lEmnPfGsKTuUZ1fWu/Qa4QG4oUsgiQHU4ctIEBBVO5UsXhX4
dq4UND5AdlmXBxnY9PPbj3ap9Nu6XRgSbL5yr6DlU8aoCUJ8soX0y481gjhoEfnjD6sgTTyHafi0
VezQ9BWsgF5GdoLUSVwoH6BYjQYS2o+xqt7+TZde94ZzRQsuAjv13Es8qo0nMs/3Kp0RMLdAOJwe
Fczaig6yDiewde2/WrVvISPboDwoNFHqn+M7FjEoz196D31wbpBEZ7DbstOwgxvWw0oS+T9EQzQ6
oDuE3i0aSWfft7E15ghBi3eed/LYSgs/mRy0l2azw377XV7aShnIPTiUAA+/mnUiG+fctQiG4IrX
n0TbfwVuheyDjP4vmxbQS3AiMHxDqnUWdgPSrrJJZ69a5zD7ukzs/RiPrmqa8BpnefuTzuMpQBXA
0AMMBMjp9sx/JXVLxviwEOwPPoe6Gnisi9qbr725S7sQHWAwkvDi8lf68aguVzR4cAjjdBkPuXbu
C1CBdeEJw/eUgyf99pe6+FRoBYN5Aaxwdl6Me35mF7eJM1re+9Wcteq9XVrg0N9e5vWGQA0DEAGQ
TOBwvWqp+Cv0CTuvpbuEpf0XMQI3XA7d0r/nbB30lcTpwmJImMB/wm2Ef5zvidmEM1w4e7pbA7mW
kSHk4MPBrpyy0F3J9Le88+WmgCgZ3BeAydik3c8xIgNUBkC8iHGmXJQ9g7RGD93gfF3ARtKeGOC7
x0AlNinWJCZzUUeLu3KqX39A/IKNMwPqyn9ktpfbEpYnIXOKIGrPTtzORgY3bQfR/Le/3+ttua2y
MWs3SjuGXS9XiSaz6HYUFJAbKsvAa+Q3CImKdsfU4H30gq4Jq7dXvPgRkZJC+3iDgpz3qOplgC0T
NxQdqJGc2rWpIQGh4h3DaOOf73Q83F9LnT2cXajrSTzS3dhzUZmkM3dDjYoppGn94e2nuvi1UkjW
Y9OESCTO+gewGAjzllm603MOH+pA6yefkmvaupfeHQZKW6zf+iHndCarYtKlDOKufTOSA0uGn1TS
ad9k8Id++3kuroTIAfA9ksxXWIuxjtYommsKmmZDT2lQ+x+6oZF94Te9+x/WAsB/Y+Li1sQd9nIP
BnnT+rPxvEqlvq0YsHRHveh5lwLQ989TMgiqbPUmvhFUAM4FIGMZDWzxDNu6IPK40ogex0DBbiqZ
r2FlLu0IXMjA8v7Xmzg3gPFTR4PehmwHJqrZGT0Hm36d2r/9nS6ugo721uIHTvqcfdrnpskzNrJd
TVIDGzmn7vmYr1dW2Q7KWTTcgKNoLKOzvHFDX36haSbMYabf7DDgp3cGhjr7yHPZTkkpDsAhpe/+
+alA/UD/CmM/sC/OobltPXVpzVKGLcDTY9i19onZ7lokel3ZbGwkuFmAPLdBt87ai7HnURWNpNn1
QR2VdoymMgVMGBT71nsXtrTZNUidr1wsF17li0XPAgXlUtGJZc0uHfsecIJuetdpbU+6iRQt8mE2
VyiQF3YI1JRBtcBVhgn0uW+HdaHG2AURXWodlfiU5AQpx2t2RxcaK5vQ3mbbASE6bPmzLdL2m9IE
FLd3HsSZIBvGoTOfjfWuRyQp09YLT1PX0QPkqprbkcQgtoTc7d7eNheCFvjeqDsyqKxu3qYvtyn5
P2s8yoGg7F0Jtb90nxuvPkC3mXz996VQWiMO424GguHsMwqNqRsoAe2u9uV4GmavKdZgWEs95vmV
K3prtp0dvs2uCy1OEEsxMNz+/V/5KXh8oeyZgGHGlC83Ga7N9zAg4QeDm/RR+VvfYepFg9ctIZjw
9mNe2K1YG3gg/AXTo/OvCqncLKCJ5DuPeukuWue+gJ58UEYKF3g4uGsSoJe+4N/rbUf2r2dVtJZL
EmM9cIR1mbeuL3Maj7ehjcSVqvjC6UdTZ0OeAM2IVC58uVTupPFFRNpduDL/xywx159j0b5XTZx1
hUAD8DsqO3l4+4VefEAUh5gGIuq84s1aHPqkhdrGTiWAS+K/E0dgRIIboiy78oCXlkL83GSKMGhG
CfXyAX29FSKK4Nu5xlU1bZvPoTeqwwix5StLXXqXyHtAtEZPHNCsLQb99dn6UYpRY8i4g8MD5Mpy
1e+pDysUtkzx4+p4f0jBT7iScl3am38vuj3/X4tmJok8WIHgXGT+cJMaGpRDI/qb3trmJp/Mv+re
4KRvEJ6tlgJnHmz9l+vFDCo+vGZiB27evZQO97llB6Re6aEGLbnsSX4th7j0XnE/YYq+3Rmo5F4u
OYWLnyriGhh4N/DOABwyhIlrUlegXies6BGCDs2Y//uIFbLMoP0AP7F59Zyf+pT71CPh0uxMp+1u
GmHh4JHM3Bmb/Pr34wDc5UYH3BSazx2ivbYHFLH2mx2Y8smxhWx12cyRLYfe0//DyYOgPbBfQIS8
hl2Gth6nTOlmJ8aGPia0EyfAx5fjMkXXJv6vr1zUjkCSIh/bYEvp2WezbY5R+Jq1O2DQundAu/Z3
sVHXbH1f73+8tQgtPeDn4g1m8XJzQFJiqu3GmYrgdwv+v92nuQUTvfef1dJE1dtfakvCX95CmBND
Nx3lB/rOUO1+uZoO1g5C+ABfZx2TB7WKfD9Q7zGxXBUZm9xREyMgm2fqQxTP1+Y2rw8CQGDovUMY
cONVnjfhmXXSBjPIYLyuE+j3TcsNnCf6p5hYAyFhpQGWJOP7tx/5dQCFDGWIdhcgyRC7Op+P57zN
4i4neofyZyo51/oAi2SvhJPcv9q/Y8wG/gcKIKwHSP+5ptZcEzZ5ZJI78CBhEdtaCvFwqjvSF2Ga
tVdA5K8zCqz2H/1jEwFAvD77lgSBLB05JDXrSN04oM2qFXIOZZgBKyTz7oOso+gEfMrx7Rd6aV3g
nTcPAPDe4Mv1ct1uBH3ThACfRK3M7idftI8uhQkSdd4Tk6E5dC2E6cMFW/nthS98SQCuNroLdLUw
wzlbuPHHdcKLFTs6ju4UTHw9hZm1LWDXwr/mxXLxKXM0VcCdhDr7ueqbiWaVWj2LnQZVAqMKG+gi
09Lfc7s8cuXUx47IpeRTeg3ydukxMSb5P98UXFRn3zWepxCtd4/vhsRHPiin6KDqdT51oy+vbKGL
S4GLAS4I4heOyMtPCTNARNFGb280jzAGA10s8Ub6GKuhu3IML71PYIrA/QU6EvCC88ijWiJarxc7
noMeCeagPgze1IMQHAafp2gID0uY2AoskGse7Sg3XwceXPobBxZdMuRS5xLFenKa8nqGUQGchKao
QO0R0MINcJErNAsk9Nlqv2ZlHc0LghB2g6osVX1ceXMbVhQmWHMRmXVOC9V66inALKKGbHOk+sI5
F58kAPMK+u5KDEUG8s6f0cP9u+uWmD4vGWhFZUZmIgvdE6XAUoUjSTHEmYEFKdwsXbk0C26WULIG
6zRsdkfwF7oB+aWJvk+CK3mapzp3VWhsZEo74L/EQhyyskwCnFy4ceBHP+FSl3Kg4dcGxdNYGcOW
B8hI0PZgqfW+J0tCjl1KuS6CuWnyA8VT70LbgCRn+tmGJTpRTO/iLbZUBG6b1eC1GnxIPQZACuEV
nnzdU1lA3AQ6iI5AJqXQEAq71w2L/7QQWh3LDnLQvzO3tPzEZW8e65i6uIrjJfqYybb1Tx6gM4B3
TKj0iqVHu/JQL7l4mmgAwcM585vbNW+CeB+Hnv4JOBXfen9G3NjWZPHtoPKGFS5MJ1fWsTed+BCp
4CFfUv+Op76Lbtm80s8oAML309q4H51sxDcIU48/AJoZAKNpxAiTliC5hy1kEqKX34ffeu3JO5hV
x++6julfgQcUQek3ortdRI2Lwx9RX+jAXx5xzYzDwVrF3rWKe7SItCTPA8CYfhWbJhXlFE5SVZOC
OHXhQwWBFascvZ/KQwukmGo9LrcEEgZD6Vk/fGci4IiO61oLVxpho2w3R1mHlj8cNOFYEM+A+Glo
BOUFFHPM54Dp+iFYuGmqcYjN15Z584Zz5Rkt83kS9wrFye+wRepXNAPYAMcJUM5n3zrGS9XPUXQf
WtrCXYsKCHQmOe9sFTS9/DKNpO7LhawT4J3UDBW0B/rTFHVpDIuxGoTcYbXdJzFRCGhpVc+mrI3C
t6BCwZcMIIn4d4yMDPggcIbHIrV0/pLWitc3Eov9BF8mkiUsIAAqQoGMFAAom+XZQcbplncq/QUZ
LVxdnNTrsJMSaoI7DnUkvosy27/TJPKyQvtk9AuaGrbX6GtnRVsn9k+INucv5hN345Kai4PvreFH
k0kall7fpRrvpPaRjsI4bY+dCxWZNqbNUmaDIBQa916j95RN81g5KYNmv/hT10NaOOSyhJRZv7xf
m3ZNd8LRVELWq0/vRuFsXqD75P+gzu8wUQeU9uSikOPuGzj/OSkYchaLlN4tiyb6DEWX5SkxIRop
cTsvQSnQy7/TGkP/EkzdJv7pZw3J3i0cKn8Dmu5TFWfKgLIfD7Mq13qN2q6aeT+w/QL0NcPXQJ1d
dnQC3MXaFObQAMWQb/HgBfH7OpwjOH1oA0RgYTLnxGkKgwE6fZ5WzBRgpSQ/pDUQfhmyVPR/AA8C
jHeEoIW/G5DQP9qgtX4HAw9WxyV+RN3fUAg886LJDHMPlAfrVAAB4+6ykXsxpJR7wAmdN47t18SL
AamYg65z5Zh52Qn6OeNU2MDXusxwoPTHaY6j5dCP1PLCeWvyG+ae9B7KeymLIOIcLO8oR95TKqdx
xvLBzRQ5qpD8BwF5bCygG23bRwPDi3wsepWx4APPUf+Xa9o2nwYbeKTI4mbi8PMLJmAdoCAE3aLB
cwBD6tn0FaMiiop8YUtzINFkvyQJrdMi4zQPj/PqIW3DRZ+xvVyaOdivK1Q09gt07cO7BXo98ve0
BrR+ikbW6Q993cdPK6DoMHAgsekfEuCkm3uTQxPzl/DqoLuFkAFhD5k/i/ArhOvC/D6fBh5UaKt5
H4aBDQIBgcYpQJw6EmWUzmFUxgtvm4MG0v43EZm9Sxx35qgCxJh9NkAr9kiyXiGXbyxTkKRS/Vp2
aZviIzaehoNF6swhYrVr9wkfoDQh68z+ZkHjR/culfLP3PTJCipNalTJ686G961cxafBm019k1Jw
mqshbfIPmfUDucPwTI57uA72f1KbdSnAVmz5BJPdSZQWGWBzx0wzp3uC3xNVqyWwmIuXYKA3flpP
eTEL5TVH4cWQ1bc5lHkgraT1bRQ3Cf2xmKlvq7FL1rWKhRiGwjeahx+0ajr2DhtQ8TI1kfBUKX1s
t4cM6RfE5ZsMlBKxiJAc0oGnqmjHODLgJ9Ms+wAgg+erMtVWws/ZNN5cTVB8hdiY5uOi9wIPo+4H
TYF+9RvLjSyhV+Giohlteose6SSPZFozsm98uSBserNF66yGiV68y6lqzK8mWuk3EyWtLmmn8mzX
2yT6JDLfjXctDfMG8D54ND0Bzp22VRensISBXLGNwFXIQ2bXGbJERK9ISXKGK/R+ygbpgVYAk21C
IbrHZvIniATzH4UI/OlLABQT27ViBfd6xnwxifYpTKvz/ahTJzYgajruIMEKMQxtKNAUeyeDRX31
KYQ8vYIBfMT3nvYmSHd1MfzlD6Zt+VDEwNa3v5EpQuMUl/PqnhU889QB02dnPqaePy6lHhRDVIQ0
aFC5rOuBiGcrx0UXLZbgyAd9tG9zmynA8sZxKHpgr1yRrdngfydN3vbFpksVQUV8Hgiag6CTl4he
nStoHs1DOcP3QJczLKWy0g85IoDxYbu19U3McgfKC6R4lqlmj3ZK5bJjtl7YfTgP/e3oCdFWzajE
XUC4J48SGt5+GThBn6cW3xBybjkXwNEDAlW2jQrRGxHGkgJgz2SpmJVkvjExglyxhtSt5Sxm/XWB
dMnj1C0E6Ogxm+vSdo31ixp8pdNMt9RG88YguE2h+WInRixsQ1IaFe1slsduMomHitMPabkgpH4m
boQFE/xzxCPUzRFyJRBRrAoQCniR2Dhs3jW+QT0TxFzKglPTkAp0CJsoxDATxuUYh6vcG/hd88p4
rgv3Sy1QQXNohYkqipblUc/dGJUBemhN0bN0jiFqbsRUotGchtiM60QfKGgx7JeWrZlF2U81Bz4d
rbiuTESOLDhooaFZ4EDk7V70c7LcDXmi45OOWRQeRTc38zHRgRkO1KsNfjuwJHKBRcYoSfpRDUuq
OPIeq2sCQLrKaBG3SUfuVdwLcz+0LLb4bQNorEWYrUucF0uceeorclQ1fMnU0NePtSQUMdBH8u5g
c5pwO9xOLlzRvw5nY45BncoHCqwGrTLFmTnFda7pWOFvXvN7ZFQmaHd3eqomSEd2u9TjI75LmyMl
Q3CQcUHHABNziH/oplgIDMOLebJ5f0Q3ZvAqaOxH7gMMk+NPAf609bACjEGL2QvHcSdxDoZ96C/5
D/g3DnURGCA1j0pTeBGgfmz0LiJIHW9dTPTHbEVvcxdnLgNjpqNwOGgTbcbHwQjPL+Y0+w+Zb+A5
kyFAsKIViUYk8qDOfT83zIP0IK6WqQrGuvmZzFm+4Ly0yffQ1YkqXUboe42cJKwAu4iPXupDdWwR
REQlahpm4C4S1CGczGJ9h/1Xe5jhtENUEEwlHnVE+vnQafy7Lmcxrzjw0X/ggQKbygHD0Q9N7OZv
xsn2QYkIveGGgyN/xwcRI/9QNU3QxHRWHZmvKYgjPRioYc3qqUoDHrEd1MdisSPDFHxKOMvGwsSL
gubBJLpHWHKAL+qJeCQlyArhOzWDzVCAVUXMAXWX+rWuRt4Sm+fDcZbCfYUaILlvFwLjHDsBr47s
IcD/kU5k0ceGZ3vNI++xizuLEMyi/GRhOfqLw7S1e587Gz5iY0YjSgfqPQHgkMGXSwp+A4xD/SmW
ntQFRz3xoeY1RULfjP1HPFbMbjPWUSzT5P7j7C0kKDsvMPcknf0QCa9e69u0n+Mv2kcWi0epF3Ns
l7SPKh0lEOVAybZ+gTMGTnxE7BIfUAaM9UnlSmTFLPF9qryvx8d2UWNWcNtSqCP0E962j7vu1neh
/7OLKcc9C93FZ3hvhb+8nkL8cTGkvZ+Nws2W28lvCjEh/OxwFOKvrVCm2ymQ4GF5b5JElA3pIe6+
NK094NCZtQhoE5zyMdxaRy6nEDaLhC7J7E9hGcXGZjseTcFd32CPQl47qWXRarHKEp3YujsSF8cd
NAWgkL1Lwta7QT3h0X3aj+lPZj0Ae9ZplA2K6FVw3DAD7pA16oh+QCZmu4J2Ogn2GjcAuPSYPPw2
Sz/DTHCC4NGBJ7x+NqttUSvYNkp2wOanadGHwCZFKG4pWD0sHAuyeOnyFOk8QL4JUY3bIdT4swFz
8wU0jrsuLfm6iMNqazcXXSOj9oOdAv8nfBdTW1KV8W4vkxnnf0T93OL8NqnGvZAGP3lGBK36JECS
z+u0C1DFJ4BP9GhWzqVJRQhT1TgnvAhAlHMFm7spLkUPZDE6RhM6q6lzAKN7XQzKjdLpj4nZcd7h
2qYaF7NQQREQX8WHvk1Cvutm1U47m2TQOWl6Q0qvm+oFHxi9lSNr074tgnG0eZnGlI0Pcy2GBwkd
LFNAE4fk9zXK3eMkZPQFKKzaFr3TvYZzComeWgY8M1o8zVoxsd0NkQ1hVer7I9L6sEUzrJxtZj+k
sQa906Ysbm86haliAZJ3/BHGi3o56qElX1bkj3ftSIPvMHvoxN3aQGUMd+qqhtJ1InofdnBHf9d2
6fCjjT3R7Vdktb/nFZdxKfAT//QgzyCSLGt27yTGTAWyRNMcl7C3ApXtKk05jABeo1RLEiQQybje
JzRbsUubGGlLt6bfh26e6I3QHewaU5fHUwliXYIxWZzIDCJOs8Zehc837rFUC/JgO7dkaOSg0fII
rVZuC3AL9PuQynrdO3/uf0s+L1OZJzNBSjXXCbpBQcyet7IENxzCttuj5p1+4TYIGqgbdg305ITF
W0nzudknaoaJ+Ly4tZK098htbFj4CMxz8NQNxGelPy32hFkmQ+mUZe37Lk6WqRhCaJYVKUSi4yJP
hP4U1HHzHEZj/NvMhmAqXQ/9YTYQHCtRt6Eej1ECJziHRN3wfJ10Yboc8plNP4gaQT1YfuMCyPuS
j9Z9j3rfE/gAlmLca3j+KDchSQComPzZx864QyyJVhXeKexPUpqGH+q1D4NintdIFl4PkfdDJJAQ
FHjH44/BbztbtFNq5wKIjP5jlvfmLgFDoC86bIfHsW/Flwa6a78bltRHpLOegxytbJGA6PTE3aq+
ugnMkGJQBJ2CLlISnXI4nmJmmxlPImvkwY1pRNMcIhlSdNVGNLcLmDjO0MwiFLGudaNrTilcyocS
EyHFdr3xUQ74sg8fjMwWuPswO4148Dg44mV0FF49UTzs8GdMT7Cuw/CtlZHiFV1cj61P2DgjFzDD
M7oumY+EhM4fWmTwHTyEIEVUtC71fyUYatOCDa3IQVES+lmCApYWwziicJ3HOX8Yx7GHcKxsg6fI
84PvRDAXlLMZw59GkP59i12/lokKp5t8oUNWegZpyCm1kB9GVzLpb2BIR/LSa028ZwuKW5i7+pkr
eJDP6S4bauchS3NyQYQamq+Q6xFfFAn4V9366D9of6HJ3tSDe9YT6z+QtkfnUpNUh1UyJOm3ms0C
Lw0dpxUj5ch/bmIe3TmA31zpMw+eWGs20V+565EUWhRQCAZh4n9LIzagmUUnivzJKX2XQqvNQ7XO
17sQvFhWTmQFGiskffox0G18CvnEv3YJFLh2TCfpb+RcC06jp9InnUGGsGL+wr+geds+ByJZLOhf
/fQjAK01RG9hRSKUwneegYdhge2CY3n/vATAZRfGkPkzYJsIExBiSbFLYRoU7ujQB0ihaokCbtDz
dJA1PHMh0ZfER5U11C8E7xc0RnLrsYrX4xa24Zn7qEQwUzTMkvznzJT+PYEKposuz2HyEhm0ycsM
skQfwFrNRLlopX76GqF3h22V/F4Qmz8DHN5/bhIdogXRJEgjaq9HFBVCDWOZNdxzuzUKYBXVZy1+
NR+1n6MTgTkdxAPJ5FUzSdV2H+bDaZgcQoGzUfNIPArhyjQzruITZCLLKW5wEzlURb8Dg0wKNM4u
OUkr4e+LWif+bFpAdh4SjuqwxK1tMhwPIyGXbpiYodQKOcqT3zRz+K6LM+yhdYK7ZMmcSx4x8ITw
VGRZkx9H9HlR4vVpzG4idBrFzrBW3AzRPE176XuGFIH0k7m06TQEZQ4TDMws5jidilCn2Q/ALkb0
QuYpQN6J3wTJeDSXD6QNXFRSTDSgmsMZvxVwQ/PuoxalfjVFxBuK3ERo3hCaxMA58ChAaj7lPbrh
ulVPbvJ5U9k+nk1hJLHsEV17+t2EkOYGcYabd0YmgQE3oksfZTcIehK46j/0PZvAUWCoAHbgsve2
0KCtadDXZ+SsXdDHYwmvgOBgtG3FTi2TfBpNhnrVzhky+hqpxwiMTkrue8hdQzzUGPcABh+aRQQE
47UIbYrLLREJoFPci1ZeSO3UUARoOT6FnfPYkej2/3F2Xr1xc2m2/iuN7559mMNgui/IYlUpWJIl
2bJ8QzjIzDnu/evPQ3fPHFWpoDpuYIDB17K9xbTD+671rOyZTRGHQSVqHOjhHpUZLJ1l/2ArUWru
u8SqP2dNVl/ElVE/p64ZfRrFMttrJRke/EBvwg3mjANOIPveunSqvJmCMm5pjHmAsmt/Yb9W7pbS
cpeLmsLdM/FI5sdYcfI0aFn8PT9mFig26qxpIwnS0fghNhYH6BW1GM0HNULBrXIt5XnhtHGbSGt4
bCeR39V5w16rcmv3kQ+Mx9W4UX5VzxGHfVZqV79XPUVJL3I9NtDnDk21HjPsiT+jTFd9TM9FaAWU
hn4wOSKanCmyiU2dsDhkbiJ3QrZHLnCTBfSKrJ0ZTzrZTlVu1iyWdv2ReaS6q6tiyVgfcFBtusjS
QsNqK4Oy1qR9YDc38VHhqLLc666hZHrdcYQDBQjJa2/Ny/TRmjXxdazGIb30hp4JMR57fd+XduIE
85p4EtSR5b4oraXdxkw6fMxNPORh4SzeJ/g6GmXZtHKeRdSiNJy9weVVi0bnIe+7KiN8wsacV5Vd
4/ipB6bGdwlSS3bprI/aVnUpD7DOtTGqy6ooI8p7Vpz7RueM/bqrdXdFTTVvs2St9jiaZvHJikfz
hhRaQaBWBzE7qONF7NAmmPSijCprgIAqHkAtL0m+dMMY9Xv0sDFhOF7xQ6SYIvxWoi2lgu+o5dbt
okIN7cqzbqth5DNJloxGjh2bC3VOtp7qZrKT5qNDa+yXqbdTBniYLRFzPGVX341LxAmFjK3vhTlk
38mvQ+8o4ePsY6Ib8+u6Gjl46iwGnGRsZ7mkEgdgu4udPv1YGavDzaq6+ozS9K2IAjHwKqKgt4jA
9Ti5O1LbroXkTUt6NNmEeYm6bdReI1MysR6zuF8+vd+JPqGTZECT3AZ3pWuCHDtsnPbFAG+A9A3y
MytxY0T9EuQ9k2jcE6YVaTnVNc4YF2XRz5tEmbztWGbnmMq/zWxHYg5SlXAQIlhfeWtHAhVe9gFr
f1Ki7o66K9qThr0Wk4ybPsnmaQNPnU1lEkPH9ieZsBT1AwvBhmOXfgtNhYrt+3flrWCGLiuqKvLL
qBDizT28KYOu1WXSkvGJt7q65khfP7ZGmZ6R3p7oWePdhkC5mkjgSR/femH29ElkGaoxCDlalzMz
gG1dxZVMdn96Qch/cPibKHTYEB+/Vgkd0raIvSr0isnzx6SZr+h6qGea8G+b0+TLei5sAhQ5RC6u
L/crBVxd8uDcpeSC+o5JoHSKl1q23aMV2XhRJXl2ndIuD+9f2qm7SMPD0lD6rhkE689fDUp9ekY8
5ZahTNo5qN3F2JteHW37pK7OyApPfixo7lYTOvKNNy4EhSA0iYS+Cs0k/tyM9bQzpqkP6OxV1wRw
RHsdUOIW2GX/uTZkFxSFXp8jib59N3kpX/0OR+9mrCuxMQ8e17sADmJnVVTXiVLof65yWDPYoTSj
NgCgcqzWdIhCFtRGQsayfQ4EY+xbETXyQU7md7ozbA2yfEqeUdacYyefmgS5wyu6j8RnCLSHjxRb
pGRGyqqwKszxOnValJQi6dAWgPEbFDrK779CJ8eDwWOjnoatoq+Kj1evUNpgzFeKDvysWoiQ0j1i
bSW3t5NFd25cebzvj3fClcoztBBfIFdxmHzXZ/xqQDyasSqsogqjsmiSi1wwUlDrVnQtZju76RZj
uO97+nUVoTYENs+0kY1ckbavm5MbxnVpXZZjrj+9/3udfLXAmsHzhEJu/xafvPq1xsoy0gjAZEiy
cv5VGXGVKzCe/fdHOXm3SddGw418hvP54cUn4zJwGtTRlknqAamn1Le5NtOq5sT3gdj2c+rRE7MS
ES/MtBCeqBgfS+MTu22tieNBSBqqd6GP47Clz2lRRkP5pUaD9VE6XT396VWugQdg/YD1AFDWjxml
ss01k31rFfZVE704VpZ/xhYlbhptkRfCxJJ7Zs16Ozn9HhFbNTFIyAOPfaNJuXhdKpI6dKwhg8Br
mY9m4VFLc6UTpCi9g6rg9RZioI6nOWgqSlQx7z/bN9qo9XcAlWqjoUUdeSy8HrrJzDKh8GKrjg3H
SrqXubl63SYK8FUR61tXbdwga4vxT3lyjIwzh1sO5IFf4Oitoq9mDFHWAyUnbns/Dm0cokzp/UbM
hEJN5jk2+Ju3eB0PyxZ59MxTb/ZNLKEiFrKsCb3Rs29uYjfFxuFI9V0CWm0DXXbn4jTevMeMuJqP
12wUVF3HnIWl9OgKovXGWjURROfY/e2UoFZJyd+5Quvg3CCocM5MCW9W13VQxPAOUCbUtsdB3Ok4
VS4kuDocG7fyPU/ijqSViVqwOLdHOXV96/rNKKuA4S1tXdFN2iZVmDpq0fqWUrblHmaY5vqGVIcd
R4f8a8XN3b3/zv7+MA52n1wjLGGE9HyoMIOOXp16QlmCPqgJFZxj9wNHWupjHlHgRTYbENIA1X6m
7peFbRO7T6iSK8oAUxRfJ8iz6FHEnIESBB4PSaJFrl/odED/g9kEw9S6SaQv8cb+y+bTmBI7qkO3
qau9QmEtRH3c7FyPOlAixXT7/j059XZTW0Vxz35uXYYP5+jYa4fS5MQfNnMrcC4VyXZREvMKYF0O
+Co754x9SzXhGbAarr43bA38v8MBG7ukNVoOTRjNJiVoNZJ3bC7i5SoiuerWEbYcwk4kxvOg6M5N
plblna1PXeSXnTQ/Nj3S9z+/5SA2mb5ZqXAfHC+G09C0U19FTUj8bRl6fd3sqcEkIVQubesgfzgz
f5/40jQIHB5ADELojWNqAvUKo4rVmVueGel+7IbvlrDj0AWXs33/4b5Z5tnP4YznoAXVDUPA0dZO
mlFixjrtk4zdcu/bamq8gMk7Rzd8uxas7w8ILh6puR4LDh9pPBPYQuhXG+ZVo26R/ECVNgzl0pXF
7BsWgo02cowLjgzn0FRvz5OrWQSJLjMJJjGYn4dDE33u1c5stKFBa5IDdI5Iw3GSzQDMagqb0bQv
hnoeQz1hn2MOXnObtGP/hSPSubTdt0+VVEQDWbtmaXxJx3DtfOYcqSLQABHgRntlmZdfHr6du3mw
2vHMG3tyLPaVHOMp/oN3PLxqTsMuKmjGclt18IvFgLarZdJfhMjD91+hU0NhreS4B4d2hRIeDlWN
VlNL12pDVfTmhlesuNCj8lOutdmZ2fnty7p+hXAPgAhDqzyeiWibGEhfPR7lksvep0KMRjTp4yY+
c/feGEp4Z4DJa9w+YsBYDw4vCc9YO5tjRoRUJz73g/2o4IHYyCnrQ8smeFoaFKCcVYzQKm1+5pM8
dT+5RIofK4aHBfdw8L5WDZFIrnJWCm/b0a25QJ2U7vNONmeGervM/o4DJLKc75+9xNF14j3QGuQy
Xehk1rAtGtW+E+ycQtWJGoQ2nJEs2m5ed6bYcfKbdOih/c+4R2YA3W4TNSdbFUkZc8LcTvFFWbra
Vq+aflsRQ7mBcthdlJnnscIM3YM0O/dbRVj1uZn9xCvFQY9eK3tCqiHHPhppxtCG86oj+2O0A3Tp
6mWZNc6Z+3xyFHaGDqxmm6d6dJ9LAhESzuZdKOitbqg0DVc1te2vf/whruiF1TnKQNRcDl8c2KMa
S2PbheR0VbtmEklIWp3uL5W2nFmgbP6pw20S7mIOMxzcsJAxux4OVUPMi91W5wNpiy50C3I5496o
Xha+J99dwOOc+SJPDkjss8o16DiO1zf51XE0cRcNbYjT0WwC4zhjp94UufUTZQH2AysvzjywE9/g
Om/CFIMdg8T5aFkkgTkh96XuASTERpBWlkrBo1ADwU098zGcejcsoluxGrIwwP49vDKk085SeCRk
dNztj9pM6tfGs8EMnHlkp8ZhQ82RAWSL7R67RciEa5I8j0HvDq4betFwgxPkXFbaqfv2OxmTL8rB
Ybj+Eq8e08hZVomjuQvnxAMTS6dgGzuj3FgVn/j7b/uJuYv4rjWngl0FF3Y0h/SaNUzd0pAAZxpr
1C+IvSjt0btM6fIB3rwdjOn0x0hIXnuMRdQW1+qrc5xWRrxW0kzZ3IdayaHd6+Zuv5orGtFrZ9a6
E3eSeUB11/hktk7HvAANW2E1e1UfuhlRH3NOrF2GbziYXXpv79/JE28GtxEskLPCCXAUHj60fvV8
s3Xqw4IAlztaUI5vDtZ05j0/8QWzomnsSaiYetZxnqddQfxapMl7XuQizJI62Vc03shXoOdHGfk/
2AHhCKUUDE2WyfDYgqpHvaEVYhzCOsHyPaqL47cVO8CsTJZ/1Rv+z4/lv+KX+u5fE1//z//mv3/U
jaAtngxH//nP2+alehi6l5fhw7fmv9e/+r9/9PAv/vND+qOr+/rXcPynDv4S//6/x998G74d/EdY
DekgPo4vnbh/6ak5/h6A33T9k/+/P/zby+9/5VE0L//460c9VsP6r9FcqP76948ufv7jL7xlr96l
9d//9w9vvpX8vYvu29s//vKtH/7xl238nRVIpa6JoXnFCbLHml/Wn5jm33EE43jkQEXlh+3cX3+r
6m5I/vGX4f0dIjuk1TVtbP3rzLt9Pa4/0q2/cxi0qQGzBvz+a3/9z2UfPKD/98D+Vo3lXZ1WQ/+P
v44mj7W0gA16ZbjQb+Ekvb6sr+apCli0yFpdD8t8bKLLqdfTqyTrtWi/uHTrv1p13TjAXeJBVc58
bUcf9u+hef+JecUNuTpdj4ZuZZrmZqSGKIWzDeYp8TibNA7GSUUV+epp/Puy37tMTJAmO1mgTJDP
Wa25068vcyqZJfPERgQ+l/O2742f6dwtW1nE9pPWDs0Nx/dzdLLjW/t7TAoflNBXFJ95dGspli8L
7R6xcbHG+Q6O0xegRvETOgrlJm+be7tz/zCjzljHBCOtcVhm/qIKd3idFoYfxKxgBc0mTnI/GjLj
Nic8RfeVaikeSoQ6Z1oiR7PZ7xEpTsF412EfUCI/HHEWveyKpBYba27zK0NtsyvbkfpWbY35s6r0
45nl4MR4zGIUrdfeqEfD6XC8vsh6V2qt2HRGfJVMeUBtPLlB/p1ewF46Fz964hkyQ6/lPjzJUDqO
miBd7/WrkkZs1Lwltm0Rt3hDP5COrvh2Ze2JSH54/0U9WoLW2/kb//k75oqLPFrMhVhitxA5XEjd
/tRja7i0pDjHNzk1yFoAUMmqpKR4fKrTlQUHL0UADOXaqpqbazH6snbdP9uZcDFs5pjguHEgFal8
Hz6rNm9a6r6awDveyWFnU/pIbw3smPEWUYPjUdWBmXMls75czuE9j58c0yqn/XUhxxJM4ehoA6bj
I6lasug20H2VYIqb4ZOWTOo26rXWj9NKXsqKG31mnjm+s+uosB6Ym3/b54/XWokoC7hqIjfpUkUl
1tM1yitxtfgc7OvNQL+P5GAPaSqwYTnu30A27+rEwdmFhAlfEZFvH/VSbc9UPE+NQsob+AGdQD/1
OMzPcUHAkiqnwhtAVpNnXu9ucNdo5wCHbx4WGWGArwDA8kWvAx2+KFNrI8quI7bHo53/BCyph/S2
y1vVLseripUkQBEznCtuHDeHeCvWsxvCGJiYwCOOa0PuGBUxECx8DPquQQDs5qHTLzske/tesfZz
5oVRM+5U49xr8uZ6qTGwbaZXDitq/UYOr9ccCW4goFZsWseIr+fciKnC1cKnnTCZYWzW6bQZhDbc
vT+5HK+44FtI2AHTulL4OeYfDetUHu4aZju0WJ2wQxM3KALyLBLtEhRVraRnpA9vXh/GoxINtpVG
AqfHo9WorLtZbSNCbeKu1TaFXdf7yMuz7ftXdbwicORxdLbsKBDIyaBjcXgznUnjm3YL7AWpsK6W
1BF3najkTlGVJUyWVJ5Z8d7cRcYDCwXhlACkFdt0OJ7SmfW8yATaQAJ2BD4mwlInmemKpwPLxZ/O
KIzG1lBFh8RGDcLB4WijSc5IygEJMLKaX3SDG/kyWbozjcJT12RTauMr5JTAafJwlCbNEkuRroO0
tnF+VGpd/zCzvurp24B8fP95nR5rxXlZKjiV4x7CsDgL8kQCCCcVgW079+kHhF/ppZwWceaFf/MC
rjePIFR4lbR+EeAcXlbs5DKzJTdPj7PmCq0vcj+n7P90llxH4aMid55dOZXKw1H03sIdlWGKKp2p
foSMmV2WcXYuJPLUa/56lKNrsVGy4zTitaO3qlzFeMzvBErejUxiAz1qUnx6/zEd6zGgH6+XReWH
NtEapnH0XXWKGU1rBPWms4f5U9Nk6QMOAOMqT0W+1TJcCvyU3nXeq5edoQD3mFZPsD7OaGCsrYpx
/QwYdB3xVbHtX78R+zA6Qeur87ua+uqwAgLacUTJm4PvpiQYQeuuy1rDETZXSdCp408cufrn92/D
UcPmX2NyeF5PXDTvj3sVY1nJeik1hxQDlNzqbMmdVyjlDrO28jk26vs4GucPQ7E4+/cHPvmZrCAl
PGpo1I7jPZIuEkjeybY02snYa00hQxrPMiiIhj9TkVjn4Tf39dVQR/O0W8kinSXXOCbzQgNXu4cZ
QsJ0ZaFuNsq926vyoU0VfVsbdX3moZ78RultUo4zKQkfk3hqrzeWWVnzSLM53c0YDHai985xuE7f
zf8d5bjv1sbCTubJcehYTMuVOSaoeD23CawGXfj7D+7kBa1TNjMCTXvj6G4WclZadk48OGT/u8px
6q8OELqH90c5+V7+1qZybCdz92hvrYy4GmIkuJvFsqtLz5DO5YSL9okwBvNbrVnVJed5a+e25jki
6+mRaQquiQ/rW3M43SUuYcslwKtNMeea8CkqaXvapcoWWExyubRmh585xXDVTfmP9y/61K1ly8sm
kU9iDWI9HBpXGk4jZWJoI3UeZGXWl6m+xGdmvlPvyutRjm6tcPqZhC8SJZVGy7bYPEwyQ/pumxIC
8Wfc19+zy+uhjpYODA4EwSV8eZVDQHjWZkg0B3g/79+2U0sHEleKpxwvcd+vP381bzoVUJ9G54Kg
EHkbDblcgLNM22jOlGa+JOdi8/6AJ+/gqwGPlg4VKbs1pAQaI9ouflQWFkoE5+nnHsvLf/C1Ub5y
qQRADzP0o4eF98IccXaR/9Z1xg+nm8RFNy/DmSX+1AVRTQG0iATQRBRzeAdbDMKwhPimc0DyAcfd
6EpvvHJb8/TCP793qAPIiVh5Wm96u3CI4qSpydttcQohR1Pqn3gCy/0YJcOZneypz4kuGRXvNQrj
zXtRmARPciggbhRUb6A2SFtKXPhnXobTo9AnoJMLefS4RYZzlqyKjpBRO2qsLQEPzbVAZ3Dx/m07
N8rRrCTynnMMATEb0WXM8vGkhKlRl//RKITdUU4Eun7c9mgjV02XibmvxnXh9wIbmwbA5cwrcOpa
EG/Tc1vjgzgUH75t+RRJU5ZcCydlk75zXDK343R//46deKcpurLqEjqONNA+GqXXLeB6c6MBAsu8
hvBAbVzCSFjd1oqi2Dvznb4dbS0CAX7myM3R8zhuBStfPub4eTZtg1QsSDpEW5uytI3iWq2tvjqz
pXl7C8Ewr0A4PliAcMcHGk1PXTyVib5RulLbspVCswyA5MzEeuKi6N+s21EELWsB/fBB9e6IOo2y
46aGRIwGwmmMzscNia0GPFR+TmDy9qJISsBoz6XhP0F/fTgc1DG2FLmu0U9UrZ8UuIQZiArz2Jln
9fv3PtwQ0k9ca/IkKyPmPKboNhoO4wbYNUoPkc/fI+hdrRNqBPSICxLWB9H60AeM/MkU8GJ36mTM
eOdKHUNgpkecJTgL8JN7it56uq05nLeE6OYq2ZxwmsjE4zWpyi162EQPo36SQNUmrTN2f/qGk7OD
bIWNAgvfm7Nz3GV5PXRktjvAZJwtHN0pDkbDbNPtklf1/fujHa+yxMag/KGcxHSKzuq4M88Tk5x7
4P5WCGpKfy6V/BmKXF1sYv4eyYfuEv2hPs5Yo2pQkxEFjymBWtL6gr5a2ceePlZREVMJXsgDizAb
hkYpyVCyTT5W5bk2yvEL6K59UUhjtkE1hxrS0XbF8tIFVvUcUdBJICSi6jWfO3vSz8xMb+8kWgO2
K7x8SDupCh5eleLibaoH8v/gMLbZxi4a50WUmY6xMWq+gonR5s37z+7thRHnuv4fazw1iWOZLZXg
mVqxDrN5oJPd9FV20cy9e2a6WD8ffvXXXxbHOf55uM0I0qmpHstq+27uK7pAdTjrOB+/FaqttHvH
ZfNyn+qyn7dxqy5kKoto/IIdF3vZqOdQVEr3Np6MZfSVRBqAJ4SH4SOuk+GhzfLom4RDtxqJsB8z
G9ZfZB5febH2uFol9sg4UeCaGbxY3koPvGDJzty2y/mOjS54koHKy+dEtgNQMZk94P3q7/Es41aW
oFfiq0yVTXM1W3lHnu8yJHsxLjTqck0TN5XTWeTo2Wn5aA3jvDNwuV4gVaaWmiKmeppir9sBCBI3
it6+NLqCQsYdpQq+K9F+llkr/Bkr+VdNeP1V0zvFHbwXllWl7pJHY0zLrWNAMIz4TXB1R80GosL3
fKni1B9NMTwsHvnVwCYFyRNLRlijP7VIlsFimEhjROzGEIzyGdGoKksX6bucLMUvAM5RrjPl3p5L
96qFSVD6hYH3O1FM3YfLKW/Kvs6wDYxdAFUU87XoWhWeXKWKD9DkiIUwTQiAQx6V0jfMNb7R7GEG
pErUfxAxCJLAyyv12Ymm5XNmUhHJ6dIHudWrQAAy8uSUJDFeTB3UW7AoSlL6yQhfpKtZGKdYBy+T
sN/9PDSOgp1Ys9Y7VSGrvsH+R2CzBVWvxBhMJXILJymDkwuNwXkyjAIADCBS9fNcm86XOZmtikxk
DR1K42r1NzxEoJjzvop/FQPcup5HPJIiVAAjIUfYdWs6XRiL8VvbJIRrPjyTZn4psZlqd4BWe4Rb
nW6jP9a86JJ/tqc4KXE0YDa19WZL/4r2WDYPhfahhUAyhaLomn0UAwEK22LA7m/UMS7SMtLsq1gt
s+kStMrUEPjGWr5zSitVf05jmTbbymudJxhDymWnDzINYcqVT/qS3ZPIXm9EjT5VF7qD9AmxxuiX
NdCjMB6kWQTLVHs/pDbkd6IZ5XYai0QLdC3OP8yKHoHUzLrVjlwgMMCqDy9Dqo09byh6YnltqzSO
l6CayxoGDKgLoAeZPVuQITK7teo1zkdLar/NTdFcAEtLym2VesVNXMtc9fN6gXoEQaG5GXoGC2a7
Ti2/rWHFbTIbSEdQs+6KD1lDDHt5X3OModayxFG+fDLGReM7muEtBkAoXDsoy1Yk9yyQY7bV8T1Z
oePhIb+3LVnyZc/k4MYQeMxiqm89CLZAs8h/TMeA26EPIC/iftzIwW0QMeZODlip6vrPLQoaN3B6
CARfKzWvjL0TV/CVbMznymXtDv0t1J0124p5qfdgkgg1oeVJYDGktZSeyeT0ctqgKq5d+AwD/vtR
j0S0ddw+c0LbjUlSM5jj+dTy1pt82Er61uRbHTcwNbN6Wwm3uXMnvqQtyAp5F3vSrTYRUSD0mRbB
UQsvtf2zjDpSURRslsmmYhrTtmUyLLR+2zmCrhIL3FkGBNRmA6VAd0FR5PIzYRhW7SuGJwxsvFms
wVddklvs55X03a5qvpm5qt9aC+auzai2itgQ/YPtusOPe51oEjq7O8/5haPHDgLtVIt/xvAk5k3X
69LdSJEtEM54rT0/q7LZ24BlkN/nLFcN0tXc6XmSeu7szEyjyaLUffzN7uGMbMhGU2m3wi5RwQ2n
Gb+vlidPNjZQ1TfaeVZCWvwK3i/DXHaz5ShwZeDxgOBciFH2O6m2GJiMVlwJfIdV0MV0qaC+GTky
brU37KCJoaosKGTcBWKevWTOhTOjqPvA2k6NlneAoDK11tx8q5apc50DKPYCb1DGORw9Z5nB+S76
E+ZiL93BSlqIhbSjzPZlNYlfKmKJ5GJym3zZYkewr708ZcmarEbVQ7yu2p3eNvhatU72wECGxPk1
arl3w9bJMPdJOlrPtj1I9dIYOknTa8m8bG82/VQHY10xj9SZqb00cwopFbsYgIOysrkosI61bxJT
7WwXRxueJO58POupzJv9wNLxEQCmzgJRw6UMOgnbDa2i40XBwLntOqJv81PJayxYpTbPEBDbAYBm
3EZps9NqYfRBMTr2D14yvI2QH8GJalLjChpDTMAjUB6Yfj2AUNwlU2d8TOoss7ZJq5Rq0M718rMm
knn0XVv0yWYsnG7Ygs5KIELGy+wACIOSBmk59SAyAUWj3Whm7Ed73oavQDs6wikgjswBMkhjCJOu
V55V7PVf5yKlCjyVpfElI3WFhHdQGvlOo8G87y0H4p3WLusbVYKJ89VG9641K4uLTdp00Uu7olp9
x4KA43udCUyutRF1bfPV6+iXdjreuloBVNOpFWoZVO6wi5l48dwA4djiBhWGEyBnisg/Daks1E1X
GhjgHWNux60FOe67jJisb2xIl58imafj1suT+avpyPw6HwqVbOoUuCcIo7h8wT/JjNpArvY+1vBe
ssBNlSr2NdGXhT+CowSX2y+J69dwJ1dCXssD9EpvNsBC5o6yq0VUTiFohLbaiVqmSNq42VbQ5IJL
nCG0wt5bClX6HT30H1AyDOOqdaCy+E1VNaASDTyWl4BpElKk5gKKEp9YmgbFooD8lTnzbFBMRgIf
zImNbKPnWn2TAFDU/ZwKg8cWIo09ThOeJfadqNVtTZSwFjigH8cvesRMf7GCX7ON6GdL/xYR6aiF
0tT7/KauJA17mI045cK0mubqN6a2/ShbS+Yj1ow6yb47eprWP4dFsSPKj046FjtztifZf1o45PTy
K0cmqKcbNClmVn3sZznrEcbcoYu0MFq6GbRqB+aSkkuuF1bnm9y4egwJO27hv9S2Ai4Lz/IypT/T
ItHzL45W6QWcQujNGlhdfXL8MlpAlyy4QKttU9pCbIsq7aKNNeT96KcxvqTbSC+yS4Nfw15neFwV
UW8WL0zXsBCdtmvICEngi8C/owrlT15b636XzslLn8Ww2Wt9aR/UEinT1rSktatoNJDoTX8TpvHI
/7Lh+9U/lHR1WFMnnqdvMO/FQdWwD/oAKDPztqKMu2eTf1sJ3YSoFVKPpnmnlAMIYLdjT+qXIwAS
XMXL/LHAZGtfLXOufJk0FsmtGTtavSlkJedwLvNO87ZtZi0d7aR4eKgN6OshmrFMBKXijtO2kBms
27jVqgtwLYv81HVT0m9YMhr3CShcV/gN8NlvE1JAGWj5wOInsSZ6BAuUMDvnkeJoMEvhPizFQCY9
d9BqAvy/ebSNl2RMAkOP3BFMfKURCK5P3n3civZGb8jSuFJSSCuIZmCG03JMnkVuGM9ZVtXJY9Zg
K9qZicxuk6Vnwupg1152OD1H8OHkdIYK2BV2jPS6np1i0ctAp1wRbyFbw5wbxpWerWIvuKtEX/zS
8lI4AXFksFAnR1rsnA0d/qSZOct94TTVdyZE/bGsNDEElh518Q6Cdeb4iC5s+q3SnollH5Jfq8jC
3JW5Pv4UCp4OTjAu1c2oEc1eZEMThcjgil/QCSALUadRM7/Lh+luMXO38C1i314y3R44ujQ2O/dW
yPxlcVnNVj1rd61OUgCxUggq4/BW9BzhIq27hPLOrnDqDacBbyrZbOeUizYGScaZn3tGY4aEn7az
3yPN/lJL6ymSognUIv5mzUYX9uV64aY99N7GFOOvoW2AMiHovqyiYgLtuqS3QKZ+NuDbNtSaIDTG
FReQki0G8QUoQH+X8Kk/NvOS/opSSyeQ1B6rjeuM7dYuk65jOnK1CuKx7HeC8v+WnoqyzfIYlIfR
yvL7WEztU6aYDwvnoAQkFJsj3xrJEvTbRTN2Ewj6TcZ8sFG7tIWLY+tiLXMBGWU7zlFmSu2NlmTR
fTm7qmBZbbVrN1IuZOYmm1ks2qOpxsu1zLsm6AYBsDpx2q0uPO8zrLToymOLEPRORVLMqM7KY5NW
ynNp5tXD3IzKNtU787HT5+nj5JZ65kde+pXcGYpAllQg/i1kba7AM7vbNNKVlwnb+10agZ1l2nKe
YrefH0rPkkGky+nGtMoC2mjHnkoBcmlb5SPImb02NiV6lQEC2WRD5On4sldzpwwmiEkBO58xmNzM
fCJ0PN2DKMm+EGi9hMqQewFuTXi3xBp8sBUqJbybOlh6JeKy6lw89A7LISY383IW6XCRUMD2l0G9
HmRxBaZ1NzhC+EhUId5HJk7xhEqfZxejn89a4SNc0J9UTth7p4aGXteL/iyxHVAALLLPVZUvMP9i
1bmViZy2gOOuFhiln0BZVvzuQK5yYXdXkeldKjRjfompby/mKf3ilWZyY6hKGTSm2q9xWcD1Ckt5
SlSjvRadVT1iahjuicgU4BjMqODAOuvq3izEgPcs+2DIydgaufM8cdr0pVAv6DLVT91IVVcWFWlq
gwKPd2r7K86gqaDrqnrPZEoAVzCXKA2SHryFWXYu6ZukEILPSy/Q69lXRV/KX66rGPscopo/53q6
8ThFy1n9aje2cl94OcCPeFCuMsj0e4Br0J0SJc0C+Gt39WD1d2ahpY9pavdtMI35h2RZlAvKEste
OA1z2SReRoQaW9Yfzbcye/xCOaoMG9DdAJL7/EeUx/Kyput4XVj1t4qtFwcLg6iAxoTVPIn0ai6r
9JsSl/Ujql/9slIwlbQRBQdf2Db32FULBLLttM3YURZrykRhrNyibAsGMycyJIsuUGJ9lF4H4nFC
9RqYdgU1Wla8wFU+62FiT/amoS97qVaVctnY2uVUzNEFYRP51Zhbn02oZ3fS1cCR9mZzZamJyvtI
Nt8T/CXnBtnKPROG81JmJmsDQNc7mEy/BrN/GrmGb5w+6i4oraL+iikGPpnpZgBY86x/gA49XBYy
7faGOt8VcMb5bphUfdFGGWJj27hDjcGuyxzm53QCA7pIDsDLGBGJYBgcRFiXDC0hSQQhtM85v454
y8voi2aIPOEMRZkMmHUPd0zXB9uDsKrJPXAGlux0yQc26Gm3dLtO7aclYPs23idVbcPocrX7iWir
JeTXt7rAqygqbACQ5cI320KBpUnp4X6ZLTatblfoIHWp2/rNbBpfGquspa/E/5e581q2FEmz9KvM
C1CNBr8Ftt5HixA32AmFFo5ynKfvb2dXWVdk11TazNzMTVpaitgK8F+stT7f/oYgu9nnxCqne8LB
AiPeZgJAyHEjlpLpEBGYocxUlkh+rTLueUS0sUMSbsMN34ffLR6x1S3n0jtoMdv1oV6A5BL8X1Fu
pWOFDxRQqU8EvNsykVU5w55cGI2ICq4hGWH8MKGTYFIlbGooLYLe6oEkrqJ3ZutUtaQMx5vHlxcZ
ejU4ifMlzKLKzBciDPs6eCTp7UY2AGLvRVXo6C9Gaes8LkufjOaaqJpPnQF3lixaixBZWdrTFEEK
U3edKwMdl1YjfgzA1b750zQ91gthbKQNuhlxuDy1v7dGEZKlN+J/30+DkFyYSO3AgxC2Pu4Knzjr
tjd4tCGpLKpEGSFshoLSsr+bmaJANZpU1e8XOiKRjLqW5a4c/fGlXYgTjARyDBKL3WriUmBt91Hb
mizmgnB0J5rUtJLkWUwe8zDVQoLz8L95T5N207tptMo8atk5pdFalOpeeL1l8EzPZuZNvuzfgkkz
Nm63Mf3kehVp8OYAuThxKcV+zUPllXHXLP1HVy03Ig5xLMi8VWoHd4Zz65l1MIXgD2AxICZ2Kw4a
G4q5Hc1U/nNCZJv80i8hn6HRDE0FnJo84knLt0fEqJtHYWdD1LDXvpeJtKrwbmnr8HmTixj2DVw7
n+HOoNckWGnFk8AtDPMkly3b0BsMal9itiUcciBMf2/NC4/IokXVn6D1WIODaEN/ONs1GKdDZ47G
UafeF8drgAt7NUCWnWIKOyFHrrWMtR6W7XhjpUy7muf2uy+d9GdWcvLEmpjI57AoxvxqU9SRnHdb
1DDyqcMfPZvJZZcF5GVCVshTuBRLSMCobW8bMz/EOjujcFIYJHRboFxSBtlcgETHMmEC1YvQq+sj
gzmxjFRWLSsGJ3fg7rQ1yICQEI27rRvox8QyMj/qQxK6o8JsUVLazI/CeOzNkOaR6H37tQvhWfyC
LFBNu7lu7BFoVyfuWjJP5xdz69z+YHTcUjQjEjHsrnX5MvZhgZ+fAUm3NAkWKQ4Q01k8Lym23u/i
FYBdCH5BGZeAnuVHyf5GxcGm7ZZY5LI1E4065F6C//2wVlG2MYQa/WATgh5GM2hqkku3tpU7MoKn
+zkP2iLJQUpwReaN9brMQRYcphnkZYKizy2jukegG7tZmutoGejIzrK1+OETmat+8iOiemdOn6lf
3beJBVD1NMixlXcluh7fjXO7rjfKt5olcOio9JfURCPtNtF0RZQ2velHWdPPIMa6YdZvIXHw9a7l
Wce41iexkfnxWD6SiQwRwJDY0yMpbCWTiVxAtRPgHtI7qb3AIvqt8FDbpL4YodxXI9p1lPQ2wqx+
VLOkBNhI8NPlLLpHMnZpydzF24gF35qqf9SVNVh3pm5JphcLPn+eGcNsMhonJvngo72mE1WS7ykl
hTgARyXaHk0FlcInzXRwSWZFdbj3ulv6SZTiGTLf19LIPW+/ruwDLkIH5XpmjrlMj+OIFnfHI99e
XrwRbAv+WBsQqGKUWZT+oSvSQb6SgU8CzVwbSj2l2jGzX0NnNsY5RxPWn8MVG/GeB4scXpRYbIRp
UAXEty53ep9Qd6wtcxNbhWt4B+BMaXsaqXKBubWW37dkKTSFvC8Y+RHsK/p8sbrYhDp0iz3uZ9WZ
8bR1PZyehn31r2l012+VR6cW046tTOnw8Pu1e176eq1PTGcm8VbffNM8yRpjM/q4FSANl4he0Lgl
k47W6L8JsjnXh200AvFc1DazH6sAUZMeZ5cwc1bDrkMfoIVXeTuCiKvmM+PzWu1IEYFPFRFMEFJr
l+Byqnu/QVTVH9hWOtuBIIWhOnaYcM04M6RBC+mp5ZYcLfTqU+e1LJtIPB1HsiuC1ivloc+7QGNg
H4zgrNLUIHjV0U6fghGsmcS8N3JV8yGQ60K1bXCUG8/KhkQAAiXvjPUN3XGZy8QkzLYx4kGTK38Y
U68TjyAltL6AUy2yi0+TX0TZvIAVII1lLtjvL0NZc7YJVR0JEJv6Z5ZTqb2HduIt97Vvd+zhxSx7
YpBS9LRbNI9t2D70UxfIj9Zi1/Wia1M2HsfdavR/t67+H5kU/7fWw9/siv/Wyvj/oUnRvnmm/+Mf
bsD/YVJ8a4vp54//dSna7EfX/LO78Y//8b/sitbfGKOHWFgwPRGnhIf+H3ZFI/zbTdCLAxXl3y0B
8oak/Ltf0Tf/hgflhhlE2oEs5ibC/7tf0RX8Kwd5EetpLFtIp/7xBv/u2/svA+m/tiv+odj+7/3p
LZsBNwFIVRx1iEXtPwcIsO9gcVI0TbwvX5q7PrqPj5enS/JLJEf1V9vaP7a+v78Y0WiWh6XH56vg
w/2+h94ogTZrplIWdqAlWdUdu4G90vW4RFRYwjjoqhaAabKxS6oht96thpoxNHr3VJtpUNxvKgt/
pVVn/VrHtjsbhZ+ddK0ZYDdB8RpmJNusY1eT67Bt6yFoZf9oGqF/8bXtfm6VHA7gg2lJPOYkhEx5
2vxarFPx1bfKoIhVb/ifnKluU8r+lhmZva5ySWQN+SiSBQbOg6+YH6iKU+GhEi34JaYe9XbOnKVf
TiJrfHYpVRl+tufQaBmg2AuP6lozMPGhs/yE0uKr44TUlIQtSlCH/DDTWoltNsuAnGzCXeLBQn+9
axfZS7bXOLlORuAu4bMtctwQaWGtK+AW4vDjYhmb6mwGRs0XB4ARHJsDmITphHjjvIZe5dcyO07C
17yEWJsvebfVD4oBv0v2Pe36viWRPd7sUKcsMw3y05peL3eNF94K+S2rq7hu0GIfGsdNd6k95JwU
KguuJSnrXUyQByveFV07j6PFHSuSiF39g12El94qAe2RFtEFw2OuUms6Eb43sQppA4G3w9D1S0cU
+YNt92uxW9uuurM1UYCRR+42kR1S3EL+6Sm+EHpc9OdB9MqLiYIHfzFq55s1NX74VAulhz1R27xh
b4QQ5W5E9uzL2lQtxUDePwQbbJNXVOeMNxrRU8sQtS3G09RP5jfTmvUBqmNbRJ4uiWSgaw3UZSiH
8AsBRkEVl2mmDuY2srJEmuS8bRbDobiE1Pi0KAZ+ZGv7xauYgoFJr22031XvqR8EacnPnVbmnRsw
R4FdEVxmg6OOedKCbJoTOGRBbfrbSRBt8FqJsXkm/FuyytMFWme6JWTVTAuiog7sl76GI5ZKW287
gB9kJo+Um++dNcjHoQMIzrBIjcewpBePRry3yLG3Jf3g0F6/d9IYw1iE43aYu85MIyfAOZiUtwD1
3VwGMo8Jak7j0NDtR4Po5uiXhvMurVl4SR2m3U+Co0c37suAiRzn/2ZCTgs+styzNxASafdUDF5/
GELPljsrD4IHKVp4imZlbmW0FILebDazINuBjlE3yVBKmp1h2fOBIm49cHVPYVQxzlN75RGxzKqh
aO/CmxEkgt4CrGkzs947+Z1X3xlrpc19y836zddWRafYLFb/F5KtPwlY8LfwbLVx7uA09gMM5b8/
qhomzaY70UvXQ9KZ5tEfsr/wI/zLV3CwAuIeYyIvbv/+n6RG41jJYa54BfrNYQuOZlb+P77Cnx63
grLMaZikRA2kCz5DMI3/N6+AiYNERKKdYcT//hksAtC5VDwLmBVwD5AB5V/lfvzhd/7vMyPEYY4D
CHEPdjTPw9P4J4k626dcOmXKdTCRYX+HdMJ82cYm/FRkkMcu5gB7l0+WTbFdhe1d6xbpzu6D+s6i
iKWXdMbS30sWMZ9WieDsth7U2+fBWszmKMF+WYcUecR6NQ0qs8Sqq97+i0vpd/UVn4Cr5yaD8gQZ
rOSx/FlR3VWwkSUdh9isqzn9QMB7djtzh6LmL17p9oP+9l3xSjZKOZTiLEj4m99/DsNlu2rWhhXZ
un/Fk1he2DQ8MULekn+qc/5eRvyz/f9fvxAeHt/Fjs8P//sLUfD6DYxBZmIzY6piiB0Fy0Goz//+
Zf7nNxfYnidwbROIQsrAn27CFc4mhAFtR6YPqI35NK7K8Mva+kdDVX/xWrdL9ffvDmnjzRfIX7Do
/jkWpQiqiSz91olmMABtydYKMkC/xfZ4oU3795/rTzFVt0sCGSeZZgwQsF2xGf79+6t8ZpjhmjMd
b5y49t9NJ+F8IKQWmetHsDwP2Tlsrs74V3pDRO+/P3b+eGk8QZhNbqmLiCr/dDUqtx+yHtpdJG1v
fg2sBRWCHgjOI9V6zh6IhlmduNN18MOmtT5nU7s9Owry9DRiRUncIS+6I4d88VB2rm8zh+oxi+Vd
CmHV92bjcw+i6XDTLrAP4zi8lIwT37SANxF5EIlfU11YX9JtFF/TEPRoRDtL8IztoRtILJYBEmrN
DHyucHxF7gIALCMuCfW4lv02nbqQmi6Svlq+1b1q/X2Q2erN78M1YEFnwZylP372ZkZ8z9kEyh5Y
FVPic2OmpnPJemV+m/q+eKyrdGQ66qRyRkxkbGezD5AjOEAInkmh/sn5gKRqNdsZAMEq+jDK9NRv
Cbhu60WNfmFf5hAO0Rm3qnyRmxq609qj9da9Mf4odDY9em3enZjQtIAVSXl3pwanfF4SnpswCraH
wzL7zp3jqhHQIIWJGedsFcwoXDrDTSafIID92lnQdQqjpjOd4QbgYq6a9YG985j0qS2bu2bQywcL
zu4iM+kkuZTmk4Ds9WgNdpd0getfww1Wt7FQSsGrnssywVrQPQCdwfS3LIy+XrK1BvBZSjmCrqrG
br0bjTEjvt2njWW8TWC/H5fjxGgD0tXsRU2FczBxyk699G2Q5fHICPWLQAdQyq46eigv9nmIqIOi
ULxgJ5TOAfjrvm7gRpjI2bjsnODd8K30ajByneImnbMr6q1Wnfkx7f0ogzVZw3Q5z4jbmsgcMnzB
LmqjV8VdsyMez1/3Lc5s9zqLagEjbGPgv06ZglsW+sY7Dh0iUsU8j7vFL2eXq9of8keKhxvhpZQh
yiy/Z1NbdMPdPCGOwUQO6HlyhuJk9ykkoHnSZr9fU8beF+Qm/gPGGJZKqeDwaFut9GvFteMcFH+c
D+TIIvWFUETpheJ1cgvQoixuL8PU+sk6orc5emgghRkV9Oz7TNPxg+gtFB4lM6jPUi15efDkothA
dYWNmkpVGOq/L7iZb0KEdGIK6olavRC7V36MELO6i7Omwalut7aCiNPVfqzZAb76RM8V18lpxy4S
hab3l/5QfpXbVPZT4s6jSPEL2/bBpRNDkldONegqC/jwqR1gvCUoFodP8FQHl70kWAaoM9O+dbV4
yRHN7D1NtAypnvb0Ydcuay6kTkdDq+FxNYVP6ez2v2xLucfSbOx9URrhsYTC9kFqpIJKVwBJX9c6
BNBIfPSQECg5o2qb0+U4wmF9G1NwwBFyQZM9VDbnP7pZhM/QIQsjBuG5fRocR9URQOrtQ+SljeYk
Ndt9oBbvPNo9aNiVp+5+GdPpMxSm8ENrJAZRsM7OwWAL8Lhg1YDs5hVwaAbZnAt/sIyPYMwdC7Jj
YezmzBAV8Nl0rZMeT5yxI0MuV3HOQ245MLger+6mP3WktX6wom2vVltu38vCT8ODahrRIToLibVl
7WGqAwhMqEQgVoo3DV/eAXVjDAevSY0hIdXKLXZmbTa/1CSR+veOEs8QtQf/YIq+9i7m3K72Qx4U
IxIqh1FgUnkDG1zPLVADSQMhIautVcijUQxIgUl6W5/oLpW8G6yynt9RbCjS36RZo9VPpqJnHof4
5Iapso19WuYme6fVXl95321C3qr6MMt16b9MdErx3Lg8Olpf5f5+Wkjevjgl69xjblCMMZgqcWVK
JJZ2qix5ANPW/WBngn8jKO3h3MjBUPGsjW0X1KJw2SCMxnNughvfm6It3sBye2/tvAK2Kdv+LHor
hx8IfC2R4aTfw97xt6s1Fuadobd1fpWDWdlxUbTt42SU+WEmmOGbIsEZBTODSXvvVxuqVbPLQ+et
Dqcibtesv9RDNgRH9GahdZKpRZQcZKvttnRAqKBe6PvK7VwDeur2wbTZLkNfd2w+T6lUcu8WOHif
fPIzdmYzm+eZ/s/6Ws+5hQKh8KSLytosr9Kqlye6rw2ROCtkNrcqy5NssbN7y23957afAdJufq/t
OLTSBXxcwWgZ4iRTR/SMrGyG+8CddQsRQK/hvpw3KzuuSmqEy7DMabJ8tV6w5WXHbiRi804vlpPd
WvDhpG2je2n6BfNRq4DBXTJv9hb2j8wYCZ21xW61ddOfNVzQLCZkAkiOxWAcyDyCUHnbiRF/GGPt
rfcgK03onWa4VRfDu6EoS2YXz4vgbjkulW/7R86G4egxbmnuB9GNh8LMvE8w5BFelwwcIP9Zy8Qm
22o+ZYbaPm88AIJ9Bg4IFj0Kj4Sn7XKStW9xl/gEWUaVnVuHzBzmR7TJS3Bt+ny1YnfRmbWvxnWQ
UaeF8+xOW8s3u6pDP3L3ZVMxwBfWafHi4J2nJUidnY9vZrfNIbwuTVWBCLrURWSVK+UIomzWhF7u
8QQLNqs75NtWwBgGcXgazMWyrhWLgmkEUJm2zy6i735XoS59AY9jtIdR8LtHozmI4N5zdPZs0KS0
e9Vv7tuW5888ptGq5eYC4VWm61x+Jh1RqPvGqEvkwa28l73hhtciG01GREM9zJfOpotCsFIyIJha
50YZY5XHYYrLkJFMacQp8tgzyzfYwxulFWvjuvlqrHXNfbeEyC8Rx1WsQpyir/HQre7OkWSzfTMM
ae0ahbUkyZweUYNHuva1AaPlHVnzG1XCGshi5y+zG0sM6YRmXGN5o4rS9IMuXka15aryXU0W8pd1
qEV471tb2VyQYIg2hjBkI7VO2+xUpiZ/BJs47/MmTGYQhMx0h8UywXR6xlBZx2xsUfNl21y1Z0SX
rNelmvKd04xV9myl27wgGO8qGYesU5IGJSNUb3+jgur1a8g8fnkhHYktRVGyGpFD0jKXSVTmHCV4
wvvc3apDqkS+z6Zaxujhs33G3c8qYDZdfuF1Pa5YwnY1IcZb0mV+eK1gzI6/JC7oyEYykihZeIeR
5XrLWVuVUxSkY4MkpyGPa5cudiWOwEYnNtyYERj6Q3Gruplc923Rl2ZkrwWQTSAXYoa76r3ykfB9
xqAQ5OjVWeqBQ9XW1Z7Ggaq3cJerqafOvhOVS8z+Oov6W8nhSmFgiOzUVn51o3cpRHaL8h/LdGse
V41A/ENVS5a9C5O1ko1ZqeRI84MvaZYOezY6267ulKKYMMwvxoo2Pmb+PD6tjg0Mr2lG/2I3VsjQ
AcL4TgjMVbEs85D4idQAbkdO8ApVj3JxT2Dd2p7dzUi/NTbgUKuxUS3RRs1sRYteQwVucyRU7VY0
kGJErj8mdr/6hx20qfxmDZ1V7OegIdDCrIuheSE4jkcIAjDkyYPIqbUY3iZAkK0mYc4ndrZzy89C
C5HHqz06rzNepdtg0tRnzYDwZFgFOyhIb0Z45cRY4joXGVQ4yOy/kDtTQTPVRC1VnXSFeGRuola3
6PVa4SMt1NtgAEMhXTno8uxYijJ9WAuzfiUheKKUH5kMAQxZuAFMhMPNw+ZNzKcRXOsNruu8bQn8
eji9Q7UFT8ouJVK6bQzvQwlMhi7Du59NTQ/lNvMvpMb1G7dceAj6KryMorf3Rjgav6yMOwsIYKdP
ygRqd/bSXJqXbe0dqkbdZt99l6gkuW298TY7rMGisgtTNM2lBVKXGtXcI6lnua6hty3vPR4pujBR
MkdbYQ8OnjGiINvGIRmgjV/H2jbDHZuA1kK+3dmHdFjT7VRsmwb4x74MefnYmIdGtRJVWL2o8mT4
KrBPQymz9hqSNoSmh4v2czEE7Y2qDMFmN20ozK/VvKlLl9uOPvFYzE80VWkd16NjFjurVPo7pwGb
ZVgoWK1WVF/nTN76rgJktzUiatz79RIcy2yCrWT2/njsyyxXz+HqBgzHYF88asjM3yQ5JXcEcnqH
NKgAh3XiRlSVVdpdZ6NQn81lWoYIfZ2a7aSd/YnHZkY+zk6hrZTXjgl6cIbzWTav8F8ZTU78nqDl
nL767NAUVzG1yPK8LgB5jTUdv4ajhfgGG852yXJzuixe7X6sjZ0NcYZDqb3blDJBARfTkD/7KZAL
jkkXYZwzG/piLIBSd9I11/sqmNrj6C6DuvUm1YpM3kd4zmrve98iGTeMoR1PTB2rb27mYkdY0mTy
WtHvN22l1Z0n8+0LwXoD0TvTgOTSKQxaQj2Wn8rJwvDkcOxi+mQ+X0dILMgqnDh/UHiNNoRxfyBD
ovMlR8AY9FcHw5N/KgV1/DR61AwChrCuUaFPQmDFqZZpr9eyfu4Rme1ME6/q7IROi1/KDA8Cj8JX
uO7eK5LThZsrDQFvTXXx1A2j+Y78tf/Wbmb14DGL2tWrj0GLoUH6xR76gAGdJS+hXQz3+XZDF699
hk3eJUzkk/D74lfdQVll8SLWg2DJe+8vhL/zQw2MiS3OxKT1i+lBd64N7dq3xrcOA9s5H/MiIf3e
3vbcch7MZCz6caOwH4y2cYf+ZS4BpJrtEyVp92VeLHek9BrpZLeRAsh10mzmMZERv75MIC4jVkH2
CaOod/CXdbxWRVVfuaJvhE+33PPW5ZNjd9arcuuXtKVM8JhuRFAVkKXhHLLGZDXl9osHjXUuhRIu
prJcnTT1O6BtJBWfxmHu8wN/mntf5U7VJyiCgKkvnfMdDy76FiB9J7UFMLpJL1dWVA70IimhZF9C
2RjHbiXuLzLW8aZxHg2ODNCg27oL3ByJiDWRQiF5HryTjCb2Np3kZz+f3O5kjwaOrEoSc4K9I0xE
nQ6IyTOkGAih1i/GkDXPvrRgcxrZeqlZ1FzVkKJpdgisvO9CvzkuyFueh3QKdqYMvbgN6u5hwopx
9CsBpjikeY9G+r0m8SdffZ1nr0km1FT+sVz5vVAoSW/e54S1B7veNMSB+HHLiND2ci0Vsk3fpL+G
hw2WbgIp22Lnp6m/pV1e8mLcjhlLgtNAfkiKSseZklYt47nR7vqKiaB8QhnLdkXhRfJ3RdH0A2oP
g+hC5vAvc638AwjotY1Xf2lughd9kwKkTCzQi4H5nUeQ6Xhi95YyOHgCjewr4h8vVdLAAY/dwUTK
rbTAQduNJZ8XWsf6ZNiogBkoDVfQtlMS9iwNUcEUB0/xXPNwgDsR41v+p1E0zXutS7s6VDw/dGSh
aNoT/S8SDMec1agZl2trEd4dL9Pg/czGqttx0rdfZ2/EPxeWz2S0Octdv81eciue30JdBS/N3DUz
ZWswV9+3UPSfNKlTy54kMhMfKDJ8zf2Gkzyy1q6PkaiDNZ5IRniAIAxrRN1mg9QBa2geXBu5w7Eo
J1Nf28zyPrrCtXgYMxdNBofGYl8UxgDWHdnhztR40RNhyaAkiSCt9hJ9SJxD/v6+pP68Ix7z0bXK
TMYIWWzeIRiJ67xw62CBt+OFe+pxbOGI+prJlG5s5cSTnW+fBULhz1DU1TNDMHpJUXrtJeTuQnAc
jthLWlnRQqOLZhG3sbDZqWIrXlKxlfuBTJudwNZT7Hu20XgvEP1uu4F9EmrJIJdebBRWcPUWFqhx
iHT/CbVa7UY9+3eqX6489JXRurykG+Lyd+PKEq9sDqbVm6exY7W/ryoatfFq1n2xE43xY9Jzik+G
fvxnOvuGtTNSjCytpXIyIIbtooagYytphRj/FJ7Bj8Bt3IMZdG4i567QRz1ZvLQaHc2dbS7Dk01m
zsNa88OJypx3lWhUgsVMUQ9ZU3pPsqFAqiRd24zNdty8u74YX7t+/ggQKd5toa2f8XIU1027mL8g
vUbD2TvkTxWXH4q6qZ7iwaUeP2A7nj9voFpR4E7NytMWSfAdM3lNedjRNK3wz08WBvqW/kn67/SG
6qzCVu2wCqzLMSNP+kdPUTlFON2bZOm5NCJLmXNCIFZ7y0Z1J8Yn1fI+UQd/qzuf32HwaR131eTk
dZKHHSSxwKQnu4Oa24rjMJTFDDt8nZeIslPe5QqT156SzXXiEqPCm2is3EoKRv0Pa74INKAzJquD
dKcOa6mQS3CPgbfbh8sUjDHp2ZVEauCpb/asgKXXYzCf7LwexSGl1v+oZtRUJLFXHwZxwH0SkO94
TrdyNXGqwKk/FFI8cFs+VTmTgxzGauQVq5eexDC73h43Wt2Cs6VJ2BPF4Nz11YSYCT+hSMo+Gz73
xeLGwziyAK9Fk37C4Yi3zp5DhcOan+zdZwiLsYwIV+fZ6VgUpwtYcL/h/e+xDDQpsV4hZZOz2MRd
FnmKGHOCLWscHeUPd2mmwx8MNH+izHxK8wqT7LiG9oP2is7ab6zha9SOaf3iTO58KAa7+OWQmt5T
J6QUnqHR4OcKOrbNkdaiueqyKj1uhTzbIjl6gIMzv9MfGUJGM6btWdFlo7JASF6VF9hCCyOlubac
k7315nyYN2Ne4lCNQ4Pz0J+raHbnGx04a27icCOHGTNY2HFj4rCX9HWtx2FK4I4j8Ge5nOqIhWB6
F2YiQEZeoNI7VG3tXI1istE8NZkWx7xhvn9PhqrQUTZ4q2SjoIvvFsPxJa4MgKql20ovSfHbBkdH
69I4oE7xP5A3WOrmwsn9RGT1fIB6tVVPGfzp1x5U1BITFaCuczDzPoI+Iy4SCZaBdstjyJJFTY6F
6NEWAcEyzOxnRv98ZTfRmFQfTT4qO5aOlB8LY7rtx0SjVT8u1L2nlmfgemwRC0wRRnj7yco6v0rS
qrVejVu1e8xcxxqPonPwWk4tJFDDaB6GFE0xxk+Pubk0rZ9owgFmgeAwIuG1DTP41cEhZvp5ea35
3verM/hMoC1zT21S3LnLlG4H5NLD05jZ81EhI6CNGsT2MKVm8UhZp+5hDsNGDEDNM1AwA/4rf01/
tHo2se2XHowjdrUZVr4WV9fB7BrlXhyP7ITcH9N3rIBk26btEF4Ry3SaTpgp/PNsc2PHBRfxe4Pj
tYkw2RuUBhayOQQApPZX4Ljz3bZAqUYgwfw0muG4vxcD4wCezb7RAoZPkw294DWbUh7MQSU7zt2Q
DVC3fvBiVbpD6iNfEBMOb3XTe2zWOLF+ulj5H+sGi1TLs2I6LD6Uitr3kd2TX5A3l45x4cukN1fF
dVc59rXwZnGz8g9dZKaztSV5Oo44yE3gsnsRYLbBMNOHQJ4nUR/BOKN76YCen9qmcg2+mqU7VFkl
vzSe9u7S2ehPppjUi+mYJadrvUBH/yn63nhqDGLQSvGjCCJEjIOVsOi8We0pQOvYJzaUWOzKMn+O
lhK4O1Z8RlGLxp7QyLzJP5Vp3g+kGNa0ZubA9cxOWbwxFYTZV7+mmDW6xPHz9KZNHnt+xQ71yLTO
NBp9eWlyPR3Hzg+QqIx6vuiWQcjVxECT7Yk8l8O5R57en+YS3xku4Ebdu5Nsl107L1gTRVotuA/t
zcguxBSxISTacbq6acqAj1+8YH5GS1E/mC2aFHTXEusCRueUN5lnDOj1zZaXd0N/NNkZPsvboZvh
sO4jX/TVEGN3F19Z9FllPLY2PiauVHdXDBZuRk4U+3VsyvZhCZBkDxVzR74qurf9ymy0OpQB8QRJ
K0PaM6JkdXm2rCX4bGGwuRiqGfXD0E0zhpjVkTZOJOucCfISk0Z1El8q+4hvcKbaYj9gfFaf+p6d
BVJilReHoXc4bIci6HaLkSJt5RsVT71atksu0LQ/tazn+GThlNWP1uSFT0VhT+25xh1jJE0bGG/b
2JsPZpZtMjIbxkZeJRsTdOiGdHSzfZtCR/jrXdNv5E+Yt1F4Zkw+ZvC29q9cS6Ta9QW4Mz3N7Xmd
LPcbFSffEEE5/R/gkLdunDf2ObUzEatFosR2sJsQuXyZZbgMJaUY4Q0OTkUGi9vM683GGrM4yny2
BH6oiarAWhzV/mK8d+kqj2XAkRo1Ra2/8cNZd0VA0vPXio9N8ERhGy8sRWuWKwuCOAZ3gfOiptC4
DR3TMams8T9JO69lt5EsXb/QIALe3AK0m9tbSTcIWXjv8fTnw+4+UyTIIEI1FWqVkVoL6TPX+g0J
AS0su3CqPbV7hPq8CDJUnpdbr9LG11AL2hgFxL5/qwclWGF8qdwOpKufqKKH39K6KHdYTCTl3oAo
G+38MgUB1iNsDWKQHGUySVKt1bgKX2BQQt7r8igbVyQmrBd0vNX6Lq4R336uM9fwnMSMR97GLSrc
GyAMebyJy8oikZh62L1HtaH/wQFQjPc1mHWKNQn7o6NYcbX3G+4QP2Djl8MbxDPJf67cJOqYsh60
oQHaRmhrZtm9tW2YBCu3D9K3qust7siVSRad6rog2GlA2nwztpbgP9VuPWmnBFH1FSP6ZJ+Lo79T
fZRBkZiJx/egUlTQjn304ms5eSXV7VyBsdObyZdZFgs7LAIItqRjcqh2nScF95Em+OKz7w/M8JC5
ZRw0jux9kgxScBNSZeZN6tP79mDKzXdAovW9FHUFYC6Iak+BzD7sdPB/Hk2M6F8Unv2I0wptHty4
tZ4/eZ7UN7edLKebOMq8rzoXocqGFESuMcTojwdONXwvIjM3nMargtZB38jrHJlzuz8IowcVQsJ+
rFplfRM8Kl6sjPtYc4vsoxjhucQBxAM79aL4I4U2nNqiVNWvtaaXr4OOwjc80lwg2R9k+PwVJZq9
liCDSlcgitkD/LzMSYoI8wIuwsktCb34iW8XpBWCerX6Mxqa8tCmWvkoIaG/ltVifM9RBLnLEKle
KZTckeiI2xudtAnsWY3KwURCFAZvO+gaKj6DEiN4YRfxxN0Nw5rKpyGW8lOYNvIvVcyR1fBxlNtE
MYDOrwF3QHKfA7gIm9KjsatYL/tSC3Gd7mXjm5Q35gFZD420eikWKyst3GjblWKQ8BAMlA20CvGp
zeR2Kwd6EbMIB/XNrWJ22LZhQzLqovF3DW9iqpY4c+zkRuWRFaRWjSVg51lrjeLEH44stKzGHBq7
q4Xx96opyztghf4jdEsQhUyrNMOGoYB2lQqgIO0UmGzzXMiF/Ah7JdgESdvfoxAnf5HKWrrVe0lb
Fzl/VEH13nXSoNKSdVBQQozlLt8MVTYwS9QU4nAnwrNRWiE0byj99B9kilIEQDXQ6smQ14dS8b07
Q8uNdxFuGmUGubnPu8baBR76yKuYGjTvFckjgU9hLOVOSuH/F2vJXbd5ZT2GkDGpobp8kKcrGy+R
xAclaIBP5nGNxjPbyUcjcrkXmZpr8Ixmb9euLyd/XI+7323QgXO88UwZrQk3Zj/ecUkH/ep3obiH
iJi8hFLVfVPQsUltEqMI13goMSmPfuDm1Q4cX3ozceF3vcU919biPmNGi0ICrbREq6xBi/S3KLvj
V7nSqIyIVNrKHenK4a0YxVq886kA0hdqkrv7TmlA23YWlpkKy3DriqpbrpQ6LGHOClH87HkmWQeA
LNJzRw6TmxRZN7uK5Dbd+AJlTyupY9nxAsV8S0Y309Y6TJ1iXSGPwsssSZpVEipjunctT/BXSWPk
woYbRY5SAzXCHSbKY/w6BGNvt0LS3crc6yx7iNjlNhlH2gHcXyNtcW5PHzWTS87gokNJ5lWCDMnQ
utxbpoHDHYJLNRoxEPq+tWMhs1BKWDejSBVh5SWtd9cEFUBpZUjr9l3PuGZZ3lD1tlsIWr9v5FEl
62ySSGOJw84ehVFaGWyTglNV6G34lHTHuG7X+jDJUsXRo9vDArqJvDp6hpRIWZ6hOOApNr5Rbfeq
+wCt0ZD8oeLtqH96r7kQsK4g/997kj7RnwzJA1HCPT3cGDBdY5tHPetipMMaR+D2vOpHoejtoffL
n0jydomjZ3X7TQs1Ni238JPHCuWnfoVeYRg7JL4x1KUqkT5Dq6N4CWXo4LKN3fOE0R+aui+fpGBA
N1YWUyoWWOtsLFfgvWLWUQtTM7emO32sbsKsUvEAliftUpN92EHCVXymcEbit+DPypBzU939wGHT
3tS63jx0RQu+MS5KBVUCDdqQ3ZNZSOzARccC5EWTPSqhKt/10F2VA9i6rN8rekCKyyzF7FGo04ji
TstSodKPxh9s8gevVDXWRpduQ+43B8n1x+9uGXUvZQ2Q0m5GrbstrWas1nniuRZaIFywNrkFyNNG
dLvdk7mW3xHC8j+Am2Ml4moKZQe1kL43sKZizo7YzR77vI/WcBpbkyvaAKE8CkrrI+7F8jbVRhRY
fIZFwcQS/2a49kKO4EoTUvUS4+ghbOmgDdcEySS3lFY6NVNTT5+oQvjDC0iCuPzCtaeEcJoU/k4r
/ehPJYqmsE0sSDePPOXNdttwn1kpVawnjtii224jeINJ71TGRXpKN3uy9MBwntkGIpBLYsb5MeTJ
FmsW+c34FP8ksbWmx8WvQPtydkGN809e8ZLhws/J3fGIHTXSEdRMY7blpA3h9QgVNV0ro1yj9PiS
kFrnAhCR6LsNA1m9hSlQhE4CMO5NyT31XcXGAQUi2f9lynzKrlT7vKIAkZkhr0WJzBRf3PuHwaz6
Dws9GX0TWHoprtlxLYBYHIbeh2WW5i+sxuVon3aoN9yBTizTNRd4ZKGwYZXuBqvkaiOZ3fClTtXw
R9CnyvfCbCsBMFhqfvNBNtXIS+VJSTXfM3/5lC8stnjqL6RQO6NwBDDVbF1CSZnID5MHaE/QICRw
GR1qS0M+7mBOIGOTNMBAZM8MXtqkFPP7yBW7jmUIk8weYCS3DzD6J/mDtv8pcq7+VrLCH5w2ktl3
Mkue5jnEry9yLqkvQwHBmSp7ELi76XpmUC0ktbQhn60jACejCnILFg23bRdTFnEVyFb9peQ1eQh7
Pyr3WdW6CLmzUUMkaykmQ7KQp53aa8keJLVniStIzl7kTLKm0XrEsaa3I0+o3hEeU3/4KRd82NS+
y2HC0VrfBG6d6Xtq5/1THQlNtv2fuh9TJMRatnDky7KV0KrtH7OpFIjVZKCfkZ40t5LehLfYGXXf
5bAuyMGK4tfrsNRzVK+B7DO4D/zfDTDEM2ho1kktbqJ4a8nV8xCgE8PCtYxxQYzyAtCWWiRepQqC
p6aqzgDdYh66wlDDgIbP54jCc2AhN5jdU8vN1b+yq/jEulqq/CnGosF8NWcNAp+VI7BARhd7V0cU
3dcoc5/+us8wU8TLwFBoDxYcp0heTcmFvokIoeRPufGajmuS+NdDnKOgTdxeRAV8mQbr65PCdUQU
iHzca8hWQxm3ulUhQLOPtiIw2dFfkt81zzDQpoh/HKe5hQsyLsWnjUlxz7HcIANLkrtosJE2CESe
CDu9/5mYN4G1CEeexvoUdE2XoTwPRgQUuT4R4I45EFmOVAo4W9WuYvRHSB6K0k1abgPrLgzuPG/d
Uu7VF8DX57N8gj2DYZM1U9IRsz2NCXMdnjPYODtrn+Ws2bVpvVGa9fUx+4SLn7YMpVXAOQwXjmDU
5E6j9HCtAZJwh85XnVOt9W276leCLdiSHawzh0vmynLIOzrFqnXqNYqGK8mh021SJY6wovywRq56
1SwwBM7R33wWoo8S6G9DV+fTNTfjJih1PkuyHvrmvTYXZKKVSUr2rN30rCyjyIqk7WxEhdgjS21C
28F9mXa3q3YlO7JDLsiGUP+/7Ya75lAhdcDHrP7TarCWjrdyHXKpTr6wgmb6y2wEE9geTo+hi4r5
Hzbl8TyTujx2zQTtEHPYBxQlvBUVz7By9JdqI91jmZ4cdLthBN58++XXUqfLZyt4Fn5ad0cruBXD
NnNDwguw6UEsPCExkO6/PWTOpDvooEIU7N1NvvsJlMVObViYg/2ns0NnSd545kEzdYQpsVFNZvEm
vKb58FSk3Y2+RFNHrRqnkESnzT5CTYeO7Ae2rAITzwVbab/L1XtFPoWU9D4IjQUbq7NtBnIKTB7O
GFk30fSds4ayBDaAhd77oGgPmZ+vGrF+HkK9chAjeZRRKKYCtWAM8UmpOJmYU1BkkHWUxdFbmauz
67EFZNeXqK2E1n1ZfOQdl8hK7Z4qIbtF7HbddPo9dVxS21oJPFatH3tTcSoluk2LcVd53l3u9c/X
t4lL48FXKRpnCJ0B7eR0ZpTVQLET9hfOkj+yXD2IXN21UC3sNrsz9cbxepRA0+bNkuMHHL4pLSk/
8I1c4L5cHBCcvnQUm/kOczYghkyR1+uBWhcJSF1NWFnQ/rsCeRRT2mE04QAa+3m95We3gGk4jkLO
loRcDuA+UkKWTHyNRJmIIBc12qbsdpm/sOWf7XqzYPPNWPMAxncEawFVcc+j/m3wCr3eorNzhSCs
LEOTVQ4zBvN0KMHRohWRopskDtqaWtM2R+Cw4AlxPcz5XgLnGx0kjf0bN5y5UaFnCHUt1AqiMZr5
OKTiH5zxSKkl1ds4Gtn79WBnHWeq8O4sUimGAT5wbjUha2VbaWGEYlH2VVEPob7QmEt/Pjcnpj/d
xo4wm/65BbTUw5uDpF32oyalMXbGQhPO+osmHIeYPuFo7xVCoQXPQggRSBVPUYSUDQd1mxqgxPXO
Op8AFqZ8osntSUcUSp1NgBxDMaHW0OMRAnGLnrLjKe07S37hUnu+WAnz6YKgKJMf59TgowZltSe3
9Wi5tiG91+EmAY+SgsKBAdB8MXJt4cJwvk65rKNgSGHfoBvnFwbMgfzaKjxS1kRFeLTZt267jvrk
KbLGdZuOC/HOhssgHvIJMvs0f59vRUFgkk6XZNdWsx+tLt3Hff2cDsh1pd6CRd9ZJE5DFhCNsuhE
a+4HJkyV4BTDJ9tH6Zbfme28tqTKHSrmyq/FhZk+bTEnxw83IhlfKS7xKDpAAz0dNRF9rwa0K/td
41Tqi6T96eBapSIVdmOdtF8Qyln/5XScIqo4IUgWNx5tvh81RZJEnkhE1H8dLUCGQPvtLhq0nk16
9CN4lzDf2ffgg87aRSp3kK1J+6vs7/v8q4agaRQt3BcujBQxTMZK5aUgqrNdgmJxbkLF5+Ej3Jok
ytTyxog/hub9eod92iDMxoiGUIWdfD1NXZu9TNtaGZDulXnLVYJ0C9e/XhXouexREQoPQ6P9cZWu
BidPPjdv0100QGksqZCu5dD9r/M7ciiXhTnO1p3Jc1WnHjHtulzWZ9tWVxWxhSizhv+H2gHOAdNi
JqryqqhtvB9rmWSf2qQLt3fW1/k0hcE4UblBp0/29qfTtAAN2SoFlNDVanVYre5Whzv+aTP92Gzs
zX5v2/ztbrPZ8E/23t7W9n67tZ+3/PT//9Khn/ywn+0tv7zn78/8Pn7vevp1fnKmHw5/raafHMde
OU9Pqx0/Djtiraaf+J/Dj+m3TL91+pfVr8P70/vh1yFf5fzb4cCPX4fp/8J3HhZW6/mMU7DW4TVv
oERiIsJy2g3Y2cG4qiUQPkj4R+VPWRw3bnTr6q/Xp9z5KCuT/4yiQQgGtjwnbHuDVoxlDWo4Y9a1
eQsXUTskgLvywMmtP9eDXWoUi1RFVMlQiTtrVKK0XSBZZB6jOH+EKL6HXw3IuLtF+3h3PdT5NFJU
tlQZU2HsRhCLPO2/CJlnZN5SRI/jCP3Y96ooViQIHegP67T+CQLherzzXQhRKUZL17C/5qiamn50
JqL3ruQK9g722KrlQXSTeAVEIbvpBaStr4c638gJZSGkZnFf0bjCnoYKKt1TtSqCltia0V6i2GAH
7ZCs+kHHN4Pqp37jGUN7AIbzboDCWbhkfHbd6SYFlm+6ZrCpK9MJdhq/1fxU7OOEtLid2d/+86pW
HgBN2Qhg28G23cBDXSXO724Dv0BZuy+w2rbdobMb+z1fifafX6bjbfD1ulkyop32pPmnKTy0SXlM
a2Zu7TmC0AyNCu+CRqmoU6AKoCzdsc5DKBoLZToNDFk9WzA99kkAwhqDN6pFRRpacLFgnzkzseZS
wHPsOMRsLuWS2RhS2TJ3AyndZS0+BtqQNfsSgK1TDOBcFCn9FQlt4XRp/KA0YuFcn2IXFuq08fBa
RZCJ9/HsC5LYdX215QskSnIO4ia3GUp+ajp8wb7n73c6yMga4k/kY3mKz/I1MDIGyiY8jWLkKSXh
RrTukoTbVvV/jCOfTttSaOGES8QBYbDqpDsXBFGAKk0RL1wWLs0Q5Bs1PIdEjs+59TmaqpHXSKBe
ELR9KnLvZ2gszfMLuw3EZq47EimUaaqftqXzIzDFMamEEuCvXSmto8nIxPlasbDYpan3T1cUA3MU
aTYTeiQETD+j1xoVhmPwODLx/N+1oIIYTxycs6FMf6/A+evCUugLWzih8Xg2KATwD7NGhg16B0AY
2Vak18B7AGqhiruieuzkrQiQQQ1us/ZG7Lc5nODy2S9vAVY11kaL7DH7fn09fOadz7vhn2+ZdYMa
1gGyV3QD3zJkW6++z8RvLpowinYL4Rtd2qB/id2DGyIoH631aDMMC1ejC9OKm6Eug+jVmVzzG4HU
6kqml3RHXooS1TV8D1rwatcbemHh69ggSpP0Gym6eWKsAZCP9gT1MriGf+QMJUhV+w1JeY3FxN+H
mgTkFLYZmbfPJHR3fGIi91uoeaTo+MyUH20wPOWVdgBbixp0vrRpz285n7k+oDMGRRie+frsNuBm
uCV4cPmd+LXK7vX6oR/vxPAheLnee/MZOw8zOxkTs8MfSITM40YvHpyhOOOlBcl4N6pbxNAXOnB+
D/iMRrZMh7JBfmTuHai2fSp7bU/x+UuSOeAy5a/hjfs8eGTur7drvt18RiJtjyy2ZPA+mT2xSq3W
a/glVKG1gxluYxmawl+eOLMQn2fi0f1JHpQSlvs0Qt3H2P2SqxWeHUm5vd6Q+RqaR5mdNXIgR0qD
eAdg7wzMe4Vi+sIpc6mrPt8v2G9OmczZTNOivJULzAKdVLnV+hRy10pfMkG8NPA8DyXyEwZ5mHk5
zupluGMyoIBq+Ia+3ZjkTuI3tpwDac23QCZWKEtc77izO8nUc8cxp549Gh89jWAya8QUwOGrKSIn
Jfy+g5ggnoii1T1ukeXSZnRh1QLq+Y+c1FQnm42WUHth6afWpOKDF5GI1U7yOxx6eyx/KO7uegM/
r4bHOzwNJBhJMzY91NC02RwPpkMbM5TEQQrAaV+gs3MLAdbZvQeHeq9skht0qp/JSvfQGx+tvbVt
UtuCoDOZxDnhwh1CujBTjz9Hn13yke9FPkWg7RBft7qTvnrr6M7d2cKdf1Bughfx+Xr7FwPOOtvr
BujQIe0HaWjuwTevvKd6ZxCqf3edeJ9vfy1EnF57V3pcnx0AY5e4Ckq6idPBJ6MuGTn9Tbh5HNfK
TerArVxYmfLUZdfiTd9zNIX9pusQeiJevapvlduxdXhZ84RJH1RH/J7de/YHvhb3DDHPOLQg5M1C
g5fGdPr1ow9I/TLTq+zzA6q7St4wx/TNT+/mQzZtl6x9zQNJWMgxXpjXSLfywDdEFF55oU4b1lFQ
DWghTuRFTlUFvXvdXenQBiC9tAbXJu2Xictgp33JpcG2EFFSkbkAnhVZf5RwvEvgETfVTu1vLeOl
Fve6+ew16RpI2srAzqFaOAPO1/v0qRSAdPa16Slw+qkiPlr5iBQXvO110D1LyVfRc1oUKvT+9/Wh
OBsJ6Ksox/He0ESQJvMSBgZ5I85tOhzyLMs2BbQ9UhJjvrBpTl17MuGmKDzS4Upycp7tXzzdcz0N
zNgxymS8qTLMnix53Aqp/vb3zcFznlc5TyhS5LOZ3Sq1Sy4csC4+bt+TQPg6yt7C2JxdbWiLicaT
JvHgB5cxG5u0FpRYS1DptfKvg/JSj2D/esrYHkjyd03/Fz1nIUpJChTGtDG3y1bSfIhGrUwcPyjf
8SO4Nf3y3fLyhSv12YTjfQsCYULm8P40Ph8/R2tjIlDkqP8hAYBTltm9KmnteNozorjOqCyUf+c3
6+ktzauehAmTnGzqrAMxyWktqJ3sduaL7v4BCp6Mj7DXrs+ES1F0KswSsoVQWq1pSh61aNA6PGwy
Xma4AD2Fyg8VITVMiXiejQu3z7PC8dQgfULOICCNQfI8mVeong6ThFAI96z65qZVdm4EY2wnqAdJ
czAY1HWAFd3X0Dhg8PP37Zyq6QA8qFrjdXXaTgtrKwnmfwrlFEiHsTXMPXkM0vPRQqALOwXQIPgm
JHvQs1Rmx6KpBHFuDQSCo+JQXsWzRH263pbLIXia4Jgma1RWT9siZwhWqFoK8BchjLwCmh20+c/r
MS7NCwCuFJXZIaZi52kMDxl31EowVRm1H2YPTuwrNGpb7BbCXNjxpiGhjs+QsOnNwzRhhJ5ySW+p
h6wgkaMaK6kSF8ZkKcrsmWV1badIAVHKPN3imnMbauqvJE0e/0Wf8Wak3/DgAEN12mckwkMECgnj
6V+C9EePSQ2ah9Xw43qYsxTLtJC4Wv83Dpv4aZxcr6FBdsSJyXkJxXbsvynZzUhpB6oyTOb7rIRk
joHh/nrgC1v6SdzZ1JYLK/ZwjCGuWsO7rZ2UjCb2tOsWASFVeRZTwbke8cIspJYkaShUIvcOyu+0
pSlGVHVfRxh4WQhB9rg81cDMlHe3X9jYlwLNblp6IPgSzkcp4Jk4eTECRd4DoMwOQ5l/iwx/6fF6
oScncf0pjUmuSrNm7WoERBcxaiFcHr2LxTB5fTTw6lKy8emdAtrDVf9W03d6rQCjo6rKmWyi5Xra
l5EhCVQiG2ySEMbs2tZufXg76D0spaMvrDZ2eBGRXV6cnFyzxgUtKiAm7oBocVhowqaIrIIjyxTU
pP5+dnDpM2RgixQcPw+co7MLGfq87QAaO1hWoU/52lpPEMIDLBavx7l0cpF0+ifQ7JDsXZ8EGBBv
Z7JIiSI4Z+hf4m48OLl+gzdUnyNHLqxQvIBMcAiUhcl5sUMpEjF03AzJs5+OXGplxahIuPwixLGW
hGgtD+pakrPn6828cLmxJv7kf8OYs20FkxsJ+VzCeCjmq+63TileVDFb1bK0y/KlWXIx2nRCIvzM
W12ZNSroi17ozJFGMV5inh1E9UcQ/PbaaoW2wfp60y6cmNaEcQLLoPJWn88USajEomppGpaaj0Ki
3OIycj3CxTE6ijDbQApxALJjEcEIWyf1Whvb8Wc1ijfXw1xsiKYhfIXHhiTNMbp1kA5JK3ZsHKb3
JBr9ixIsvP8uT3YLByUEWVGTn1/TsoD/nGQak713n1382NLs1SArBQzNfIHYL7dPhnpn/BZ9DHCS
enu9gZc2YgU4Ax/A3QNc4Gyuq1XhagN2nqH5gBMXzg0/gwaJsiXQzqUdGPQ7pyiQZwposyVdakkn
yVTLnFAx0BzJV/hqI8gI29VCCtoE8pwsnTFneM5pB0Y9XwPcMoHv51nReOzStMMP2lE15QMu6V4P
kuabESuHvNbuUjR8nFH1X/XSeA6QirRRnZP2pdqJN25S7DW1VDZ5XSBFIClv13t9WmyzhyePNOAj
SBah+jTHUJS5JnUBpsqk5KgUADKuUPvC8vf3xI8arNdmCd54aZiRpAETyI5G2XB+74sbLcCfIHXI
SNtu8wM/byjoThAtbN0XG3YUZ3bzQ9QJbmGGj6bbvtX9Y5vuRa1fJdout+6kfJN3C6XYS9sAxACs
c6bVc1bsDZi88Ot9ruZm6KhkpwUBf9lSWmjWUpipe49OPrWuw0oy6T7deuwMfLVHb4V+8/VJcWmJ
AOVhmKb5ChLsNIiJ1B0c+yDFtvPe9VHtRiXS2Fnipk7X/vBvOu4o2GygfLHMoL1AZnQpGxbFQQ4Q
tFxyyPh8TsznOWJ7PMtUDaieONtdIsT5uwLtD6dAOlaDjNLppNRajHg7xLnkzN1onVriwgYdNowc
Kf2ZaOld1FubFmfgtoAjoP3RimJh07s0Syc+DmUZzqazwiXbPNqmPg+6tDZWdQ5QSvoT5dU2k95A
KwrZHf6318f20gQCMIW9nQZEjXV/OrY5kFx0tWPGtkhChEhjfNAVv7+bfFn+Tajp7ikrlihx4p+G
wqqpclOLxmXleGcNLl0tvsLneLneovN8NDEmF0SZN7eEl+DU5KM1oXBLTMTpVTQ5tBqR/9bWwV3V
/h7cX0rX7U2/9m2tER1N7V6koF9raPutBBlraw3JgesfMy2N+Tw7XjqzNkeVV1UChzVOkRvBaJDT
SpENua2DN7lduBFc3En/WThzblo7qmIXe4TypK+5uUPLo0QsI99fb9BSlNnC0VER6iuNKJa5nzTa
8ocWHmb3L9YBPC7Q1RqPI2orp0OoenEbBlAzgSF7K6uBfB6QPvwAoIO2YbCREDExh6WL6KWlYE24
dOBRvFfmSyEI0Z0qDXYebvFrK0abovTWpvF0vQM/QVbzKXEcZrrZHU3PWirCBq3q1BHI/76h+tDm
O7cK6nDdasbwgmi75G6A66MTQMEJFcJcstrv7FUddpcSGneG2caCw5VAyp5NdJje+0YCWSq4lWXA
sSuZaoPfZQerzIwfCTLhz61eAvZA59x8wWrKeurBCjht4lZfC/4UlB+pF36JC7Pf1n7mRRsP4b2a
qiBy4aAIKUw+ldgpwvgaMFPAurbIkORVxGjT+b2Srruuw6PZgG2MmOyorKrSyB9zF9tyTHRjWOhN
XoNb77V8gy6Hg9EpXKJKzVJKYnjiQM6ngHtvIcuASK3ep7+Exgi+DGJEcScwChFIIX45q6pXqbyg
UOUBGw8n/4qoNZSVbHjiC2zxPrxr1EF/BHhk9eu6zTtvbfRwT5DNaVZyrnhAIlXktBG41E2U50X3
3c8Bqt75iWwkTtgpxgOGg+Xe99D67sOW24FrYoi8QVc3EWl9aLx1KMpSbWnaeIuORLZJUFpLkUGq
QQiiiNwdWq/qv8MICdGIxbBwjRRYHi/spJcW4fEUmu1w5diNZRuyPBLKm5V737jPKLbZZvR6fa6e
127ZSqmqkLgni0lVehaoCkVk96YE49A/pNnON9ahuBmKN9OMbFSYMG9QluCXF1fhUcip7UfLo4eV
jXQBGZHSx/Rcxmmv9VFtycev19t2sQ9hU05MMlgW8zu4VRUjjr/EQcRg1/nqNivCt1DRn/OmWxiu
y934T6w5RKEfUtCrUyp41HeS+UMcnjDYcAbzu5rDuV5X0RMSIAsnz4VHBokl3ro61CxuEnMCMYqL
XhlUeN7H1p1XPGbdXdn/9PzvQ4atKfomG0wHWeeIQ6/lvAbFuwqiL3X843o3Twfc6W53+hXy6XB2
Uoncg89XtBH+qO4LSMQVIFDH9Vdd/uEHTlAtvFvPJxARQSUb0wuf9PvshErRPe8Dv0ayGbH1vBDw
PzCxPVkKcyH5ShxuapRHdcp080qT27VoL40ZJ2Gnv6hW+xS0PqoovnWjK1Q/0VHEcEPhkYfE/z7I
imJtItOwMLXO7xcTZhUkDwxxcAjzwudoRlaOf25KN1Z33GX9LUoAEIQG5PksdDNtVfPlv98VppbD
BgHwhS/o/KB0JTC8UkTQpMA463eEWzK2Mw7VQyH53g73g3w7jEt1m4vDehRUPZ1IYuLGXqkykXpt
3IWS/qX20Xcv1YWbx4W1SuOmEgS5dXDt86yHCM0KW9GKfADl/GSyh3hFLtJMHswK8dx1Ut2hEbiw
Vs/3oikmZcSpSzl7Z1MWvafGanDacarkd4kgX5jdu+g2psLv64vxYh8exZktRhcxVMyxaFtZ3WTx
jzpZS93C9WYahrP1fhRidnMrQ6sBw0RT6vJpFLEhQ5/zeiOWOms2EUwZ608/pRER/kecFPsoMJ+M
+GDKaL5dD3Vx8zpqzNSfR2dRkpshJRYak5oPgvFLQFsZawGFp4sr3XaSa1e1vBDyUutYUaZFWg+d
iTknycL4ou9MMsxyra785GEI7tM22Cj9Xz+zudP9E8eY5Xg7f5J2gSni4AJzQABqXUOoGGNvdb0H
L8244zDzmd3HrdpgAeQ0AqCZzlz7WGPkSbXQmjP6ExWGaSeCREHFDXr4LA74P0RsTLKuedCNFFE6
V93IdRPg1IQ+b3IXyQju5GYhoKEUIOZVDuk3s0vag1zhOmJ3JeCwv285WBQ4UGBFqADP5k6Ok42F
WE9GDRDcV5lgVesVnbtucun330c6brt8OksNpVR5JtB2DMdeMlf6VRnqysgWntWX1sJxlNnClhBo
zgeXkTS6D6tGoz1D86F4Au3go4NmRl8o2/+LdpkknMiETJenWUQPQzUckUhxT8TKTYhJyk0G7Iva
ZqwtDNalXQvk8gSB4SDlsnvahXUV1142hWoa5Ra5+Mcg1Z3rrbl4sFANm+apZYLFnjUHDZ2wHkXq
HBh6IvbrKMNOFlFR2yj1WrIeZWDSdfNwPeil3YTuM0nsMA2RTzhtlyBY4pD3JLcnVwBDqp14HPaJ
qq71tF4YrfMkIUh70vQoXlHGB3p/GgpPi6IcAzmlopjYo7AaW8+W9K+lfIcrXlq+/YuGHUWbZQmN
pEP6HVVtxydtbKZbRURuKKtwnlvowYs7CycyN2nA8+wv07o4OgOEsYzx/SHSoIkrU0NvxUpWAQDg
usLb0cBTYfiwOuQzi/7OjQ0MyYaFmXNpEPkA0sigqKbZc/oFSZIh3tBx4Pm8st3kZ4NUP7Kge9EK
Fsbw0hqf8GZA+C0y13N5GSGdtCcEIOFWqLRfxGHsShtfNKOyRTw/v2f6UD1ogdfVDgYTGs9B7oj/
4hMm+R54uUyjs1JuMOpmCg5tgrQ8YA21mbC79aNm4vuxx2HBNjBVuT6VLk1cyj8mck6cVFRlTrvX
1L1eQo8yc3rz+yhxi31MAOBXkm9j4uhV/sJoXrixM5a8S6Y5RfluNppygZjagIvNJJxeHIpBNW9C
ofSxT1LDYK2QBdnWtVm5C62cWnF8L6PQL0IzlGklz0FjXk4TOrko8IKGjaMI26IwfyqRjDul9fV6
Z87n6mcY0DuyqALikT5X09FqGVrEpVkoqKbV7a3fJ6iW4mKRDWtKfAuwuEtswkmxYEpLTBgYdXYR
tFShKvLWR2QEWQTzKUcpbu/JitB9xHVehBslRHdvjaKa+aEqdR8iEjnCuhOCCOA5yk3BHnM//T0G
AWvcuWXe/Y5FzBdusauZdksEHZNVlmik1uoREboNCozxn8HFDmulj4H2LpO1ehTL2LqB+tLX8Kq7
9jX3S6yPekVP0anJU7JNStgjZgwc8c3QR+91yvR9RQCv3odp3/x2jbDe43PThws3rwsjMW1b/0to
nH79aCTqse06DJFMfMyEeJVEvcezQuwglAzWusrE/vX6yF8gOqHWN0F0yNsChJ+T17IUAfrGTC0K
p7qtK/lNHoGRjjvcW1Fmxe66FIvXChU9NezhnOCxkqWHDItBA/cOSQ4XHiLzdcZxPhUwKR6DP7UM
bXYjtMoxjANDcG0pVZ9V1cNtrcRXsdqFo//FHKX99ebPbxCEQykLXAbzXkNRdLaLeFGuC3IjCogr
Bu5tWBl/urEeF6b82SKGSTMRrrlTTvm4eZuKvk4bytSI8dXWSmpuxpp5ag5/O3NmUWb3yQGr77EN
idIOeKagq9TgsTqg/mUswfHmWy+7xSTYxmFDo7ijzOaolseDUgQIXifFj8BCMsr8VQSVMxb3Ybg3
5AVmxPmMmNQ5TOggU7aGo/R0RcCVV9CCrtkvzHGnKO4TmqS21LR3KnwNZXQXNvoLC5AeYUFw7yLD
aE4z5mgBirpGQruyTDQ6JNtv1hpYIWPEjzhdCHQ2K8xJogsGPuoSk0jU7OaFBpybechx22r7PchE
7D2MjaBkC+v7vPeIwvUHR0R2W2RVTpsT5byTyKt5Tl5JP2vgky6uhr1g4L5UcnGWKnN7fUVdapbC
UYJ0BrdmYJSnAccmHVpBwrTPyF7THM/CwHAkfanzztKkk9SboXK9A5ShonEyW7ix3JdJJsS+c/gC
e8H2bMQffn44a+dpIS95VpckErphKqh0XBoUYp02yIc16aIr6sNQKVf/j7TzWpLbWLr1EyEC3twC
aDOWY8jhkDcIGhHeezz9+TCK2OpG4zRC+kPSjq0LMbsKWVlZmSvXgobicLiv3cSGIeL6xn3szPld
f25o4Xm9Ig8oTqGbjUrEB4dfBY9f5Og7hX9TWOT8T8pfd+/v7oO1e/i0t2+GeeGHp1+qfa/apavt
ip22+2U/oV9mM49ofz3sXp3j8+/fd1tVlsuDcv5zF18A5anYr3z2RTC6yAnbLDxkUoEGsR+/GFov
bYDoLh15NmcCR6Rsy8D84ukwSJosUbsJnKgdbqFC34ulcQsa4GEYmj1X5sZnv3RjRizB7lPNAVgD
FPL8qxetnCGSR6EbpYXbuhQRUBv7u0IWnq5/9WXu/rd3/bOsRRRIPMFozJJlBaZnK947Egq7uOa+
b4ejAguWriWSrQfaxmVxsTxe5jNnFI1aQjkdy/PlTb5aK+ZQxo6fT44OZYQWMwWmbLzC1qxYfDYg
QtzlwGrOrcheYEFWA51vX99rFdqjU4z+1ca5mY/F2bHh3pOYsACsSjiAWencSBmXhahkfQzDVnvU
UDogFB6vf6SVdbAEHV8gWusUHM5NtJPfKknFOiave0NBbl9DEyUmxr/3Oa435qNBFcOJu6wnq55W
l9J8c0f06TTUxVrxPk7er69ldtyz7ZoJ3E6MLNIEhOnGMWG42xlC9ozG9E1bJ0CduL95YiTen2Co
Xq+bvOi54OSQ/JJhEUYByCwn2buw6BFAGEJHk8PnoJf3KqJtQyX+kiT/eYg7FErEr/TFIToq3VDd
ApFdhA5wKyjXW3gJqKELN2wRuE26WW60F7vSbnrjl8Ucy49SaSVHguLQTcps/HJ9zSsuw8GCRJeh
JsjglvMqQ4/oVKTnoVNFcrnTtTw+ksWGO7/nUF83dTHnSBt0TsOwRtEbdrf5t5ykLEHE/FZXS7Qm
/T3a3TZ0LbtsevMSlO3jtzYZkGC5R3HuLkjmrXZSePaHg55G+yIWb4T2sfL+Mowbrd9IruWVownp
p8rgHWg6fuTi3EzV2MelqodAepj6gh8nIouyshqdEV/SKe+Oeag7OhrkFQ94vW2OeS5rT0EiCzsx
rFrvmIamH9xW3Aw0qxRPcZFJkJ97NBk6twLThSKtMAh3phhmqiPFCK44aBDzDizTUnkHj4B6ANyW
UbsRPy9dmgA6s3FQFOBhxIE63/NK8xBRzGKaPojfINEpBXSJb0QaptPekNG9bwvbqnZBtmF4xa+w
q/L+Fg3oZZdTAFMZZJ5QoBKBLqCjxJqb14LrG9Juw6fmqHkWJlgfdwO0OuTCsAAsfEqvB0tLq4zX
RMLHKgLe38+W+YVWWoyeIZQbTbgrvVvFP3T5G1qGg/laiU7Q/SiKO3VWH9gN7ScKCdd/1opDkZfP
6D8OFQN8i11HyK/UQmR20IE7IBplS4St6xYu6r0cpjMT8084OUztUIJRY6zDKX5BYkcfmKZwdzu+
9z+Hb1vEMSuBSYMFB/9hlhORzUUstqZyKJMcWyaC0SPyNvWnRlYR+GQUYeMVteY3vD/BhMxvDliS
z5flMx3ro9vIFeYXR0TZXD/Wbsxc3Ni+i6RwnpgjEFmze3InL/KKxJO7QRCryGGuV7mnYDW5Re8V
jjh14lEKfX3jZl61BzUTFxpztxeXf1xNnVTriBNYQXIrN9/8UEZ9fS+q/3774C+G2ZBBJS6SZb4E
WUAn+2HNusbykRvrV+OVB18wP1/3vrXlkMiQ5zKvwtjo4isRB6eA1Dlykui7pP3uur2u/C6CjRRg
3QpgOTgh9bnLcO4LYShKjAfKkeOLN830e8L5/OEp7H5fX8yKy0Fdo86MFbxxSWrOzURJQ3LrWaET
kUkfhFBLb9NSDUPbArO3UWKRV+LVB6cr2TpP94s7MILWLjfCOHLkoBffUHe3OjsLIul5GJkYtUeU
XGRbBC76s856wOpIeXxJEH28T1HbMZ6qISlSYjcv5QMMoSLSHmLt/a6RLP88BX7yyzBq7YiUOWIz
Y2ca39Qol378+/2CHUckVaEXw1zD+X6VLfdUL3qhAx7O9QIkp5ittTzLvW5m7eufmlnky5nsxTTU
MIMoBZLbR78BUxvHiKW+/QdDM0KZ6X7i9XI21FJLuZhU8v02NaBazgZV/SqZcflC0Ub5NekBicF1
iyseBx0otRTiD5Pky/cGwEdpNIuQ+Xs9vhHQw1HR5PWa8HDdzEUKPVfauH6I3CyPiHf+oZRK9kDw
BwlY9wrhMdRUaSXfjlaLMisVvqJs3Lb9819sgm5FsYDn6PLeb7zKG30Dm1YI6V6H294U0nOV82hM
n+KtCt/KxfTR6VCA1YLjXdLqQamn6bkSJ45i6nciSWLaGa7e/gkbaMKNLQj02mejskJ2Pldj6WCd
72fp0dJHYihx/Mm8FTVqv6a2k+uNELHi95BOSVRwKC7zulqEo1ZDSNUSkPYUc/0wFxGitLB7RFPt
rN+4LVa2D3/n2Uvvhhi7dJCaPhwBZYgcautoV4qd8EAQ+TlkdYM2ngj0Fi6sjfrIyvL+ZsymlE8l
/yNhPclbBM8USsqoyPT0yn1U9k4qCghppEev/7dz0uQQZ6YWaYs50RspYwq/cf5WQEOFMhN6VO+B
uhGpVvzizM7inIWi2GhKhh1Ejmjp1TujCY/tpP77qMEjhb8oaDOjvMxZxFCs1AqFLnbOdFupevQQ
Ks/Can/9BKt48SKjVmnPguukpzezm597udJVeRS1s25r9LXXKx74r9cNrGwXHXyQNPSP4D9ddkQL
r4gDPW9jRw96Tmq6zxUw4t6/rsfPLx9iH2UQhZbg8rSKWm0Ggu5Tb0nyexpqcCqKt232G4ZSJCW3
uujLXeP6oPBPWwrUAEW/5ROyLhXBl+YKRZWZjJrKthxsXLurFlBMYWpO55m6nDtJvZwBt6BJnAyC
HEv13LL6l+HgYw0nFuaje3I0gcmbCarcPJLy5867m/pXMbqz4hr1yA0XWN5MH5boMlF4n4chll3q
1usqZNaANUTTYzkcxfLoBbuMSUTTCeLddXf72PpTh14YW9LSlpXnV5mEsap0U/mhHw8pYNl4J/lH
XUUJmqfpJ/RIc+9oKlvF54/66zXjizvDE1IaiSrGy8f6WRxs4YvljLv+8Dt50NwHRoVoUB6+Skcb
hg1bohJeOCAzHdPpd6kdbP2c5dFbbsUiIkIR4ANA5deI5X01OrJ19LcmLufU/9qCF8GwCCzPkyZM
tInbDgjI29rkAumIrL1gOnW+8bC6aHv8vSSDsUETjQ7yt3OnRWI6VtGM5VIu9nXzJE7viISb9acR
qe7mL1O5SdTvBcORFEGcXPxRaxvYwLVjSQ5HKZTXPkndvOUnh8YrdT9qFdabWrXDkIrdyRtp3KoF
xlehVNZBPiwtiFOBXIY+JcC90QpKH8RQ3ajMXaKQiF5gHMCaE75m2Ob5IiqmVRBWFZFkRD1Uv0vH
F8k6CvGD3+xydIqtGIIRRy/5e6PyvhYITgwvz2ZsdH7TwaDnMDZgIT6v/IzQ2x2/1MWt1LjXA8Ga
85/aWnhKhIy4RCExcQo/3yPCW0zyrRCEG1a2VrQ8YiU61GOElUBRbH36lGR3Qsim/hSbI8y+G9a2
1rQ4bS2CJ3UszmtSHMX4Xje38Bpd37ZlkjgfMDro9JcAqgAKWPgG8t5VVTYtUvOeWrp6Ff4Vwopu
I4U47oLBp8qm11scImubSArCXP7cub+gER7Q3AytuuNQxa9Ngya1I4hfcokRcdQuP19f38oW0pBh
nIPGjE7dabE+te2kXNCx1VjqgFKh/rlo9GmfGKB7r1ua/6RFaERhSQWNwMMMNP7Cki96jdabhKow
C20J6LWfP6kJ+n4SaJYZ6KrsTS3zN6xKK5t5anap3YAe9czrTfwIB+s4T8UxlOb64Zsyojkr6Ld1
8bnyg7suqF3SCsfjKemMYBeiKbMb44saobndUmKUfl3fjo9W6OV+4FYQRZPQLGu3lY/2l5HhvEzO
QzDU+vFtoOWizEhRGL3JkDF8M63EugmhRj1GKqM9Vdv06MbJDXXlZoL2aIqDr1lViE+Zh9KEK/aN
ljDuGLdUJ/uhuc0GBVRfPuqKiwxo8btFp7J3ZSEdfidZpP4VeFW4r9UBfHYf6vJPo6s0ZD7H+G70
TYAppA7TS2tVEk4hxt+8ugxvEOyu92XK2Po9+lPWQyx2+Ua3de2TQccGBQvFPBgqFpeK34pqlyIa
7xijEB4EfZJ3emndFEVV3ShKnrqjSRt2zNXu399mtJMN6tYURRlRWdR2BjMwomnyoaIsPnuZYIeb
GdHKcTuzsIjCPaDOMUoZvhPKwg5Rym5vvS1szErIov6JBsBMoQhcf7F96QhEwuojViHdi4Pbdt86
Y6+gINy/XXfhC1QawRFLxEVuZ8Bwy9pRq0SGP3rIgLXO8AuMnpvaxj4ubVt+DW8mp3genM3JMPUy
jJzZnJ3nJOMwM7npdFB3zrBH/Pau35nudMjvk8fyBpbAvXazlTWuxK0zg4u4lWhNpRsdBsWD/5J+
Ce/jm2FHrfzl+mauOP2pmY/24cm6tCIM9L7CTLc39m1k13uN5XTf/m9WFv4XZcEooUbF7v2iufDs
3TPjKrjKzXUrG1smL7IA05e9JumxEt17B4gAv9Zutwv3xkYx5aILtPC/JXFZK6lwEQ/YUZ+lfXdE
LH5HXHhH1eL5+oJWj+0/jv7RQj35OBMjzNSsMKSLx8lz/erGk79cN3HRq2QxlPDIQWf4EuQ1Cz9r
kQoXm5ktVEq+FcItsdfNu92ov3jG3rQOsfzHEPf5luTisiD1t1WUS4gXCHkta4ha0Hq6kiRQt1gd
M9YNEuDHkksg30BN/H+Wh/A4LX6gOsshIilpkxq4MOzYervLldL2zK+5+N7ng2140s7sPEpUQnuo
+9T1p/jnxu6ufEEmmGaEA48ljcrbedgoVEbz1VzDJRkd3xV7BDxAvTvFnXf0Zds6aIzwH6RX/+t1
uyvbe2Z2cRKSqJHUoMCsVN8yXy8ov8f8IfG2xvY+Iu0ymaDfBf/HvDgghOfLM0Sja8pApfAMMyId
3iDoHkgPqDC1Qn0U1db0bT0uhp9mpraP2dAXii12cYFgW1zf9kh/viRxXvt2g2Lglwp0x1OZCO3P
Akrejdt9rSJB8xFWzfnJRWdr8VvDtCDzNSzEI5/bN8tOdwqUiq54M93m+5w55s/18fpHWLkyzgwu
PoKWQ7wDNSabUz+jYQX6fHfdwNpXPl3R4h3SqH5jom3LV1aY4bdzAS3JUHSif1tq5bAi0jrTRcON
rFCrOv/KQtmVbSiRn5h6uWvb+DFDR6ftqo1n6cp+KRTfoT6bZ0z4Tudm0CWnxRX3qdOavQt3q1sN
zvUNW0tRAJ3OxUlwtQDIzy30gaT2s/qiI49OJe3kbNe1sl1nnV1JW7yCKx+HaisdfPTuQJFfwJpE
tUg6j9gdABHIvlfDpybfRfGWV68u6cTMvKknVwQDAeUQjeRC48F69RNbdvIX4y755D2BTvzDuwY9
KHkPk4hbboTWj+t0cfhZIeV+PhiDaEvkuqrEEE3HrFB61V7VW3Un7KKf6vNP7ZExsc6Jb9ARbo/w
hzvhjeKMx+jQbz2zVlzm7CcsjlisWaFsjvMmZ9908wENn+sOs3Z9nBlYHDHkszottDCg/WKktPHs
0O5s1Q1pFwe79qe+0YZaezae2Vt8ziBMgi4K8NDgpn2AtC5zvfvpoLb2dJvZ0rNwGL+26DC/KZ+b
bxtL3drLxeEQhERJVJmlVu/RDTLLptt9BTWc29LsSE7zEu//fYA8W+x8hE58Nxi7qaPNTlxBGkMU
dv6whQTfWtMipEQis97pvKZMjm/0LoLqcmMN68f8n0Mw59cnayiLICmnkTWUmb+3lMKph696YzfS
/vrnWbUDuyBjdLShtCVkUOukIuhS7KTS86QNtm/+aJRHK9oaZVtJWJCj/sfOwgF1Og8wEvFS9IWn
sXuo+69Cu+Vp8017EThObCw8LdY9uR46bEz+S+SBFkt3GVLLfn9spge5eg4h8rN+jP/hujxb2sLd
GKSzhNCcg4WK/EHttGjUQk2qbH2qrS1cOl2Qj43VsjzPfNWKT5U/2MqWfMWWjYXbjfnkpXKDjcp/
mcxjjky2usXAu1blBwcOawb50swNvfhOrSmHQMHZsNLy2THXCo8wWFQQyxnil3FEc+utSl4hgIM6
AXLcBOoZ97rXrz61GBah1D8zskA7fH688rpM6y7H7dtyrxjPXbrPJH8/lI6XWrZo9bY43Cf5xllb
LzCAtAGR/AFwWHzBRgv0agxJrCp3cL2b4iesV9QXLCex/U8Q0DyIL4PA3MXGYufFLM8F5Mr/M7v4
qJGgROyCyXPvYPCuHPa+bVd3g9O+l6/l3dYzdi2inFpbZHWgYKaxkgwqlOmxUBmWdMwa2Ozu+qLm
33xlTUvcUmWlcPPNVrTqPSvA3DyYXWHHNXGSuef368ZWU5KTNS3niyShHKZSxhoUpwcmfflk0Sfj
kRQoslOmm2z53adeFLy8KrcVODoXoaIu2koatta8yEryAW40phsSZ/r0PbTjh+lYO8GrtftLvmHY
264ORWm3d3fDRlxdiwmcVgTbmI6Ew2jhtVMhxbkpkgomlVvBejnzswkv13d47RU16979z8jCR/sJ
kFY1srZm37nasX2kpvgjve9dz+4O/bHdyvBWM7BTgws3bStkEmoJg/JBSvbeYfjsP+cQUzA3ZqNB
uPFCWN1DtHYlUnd1bs2dx5ue6q5VzvlemJE83zfRsd965qyb+F+1dwnjzPsq6sOBkKamkQ1ma4h9
u+421rGS+Mxk4v8reyxcsItjEUJ4yh55ONiZ+ShtZf8r0YPyK7k//8srdvmaToyubkAuUFchCMfC
n2F4EYKHf43y+agTnZhZrKMJFJi2LMwo/r0f3XfBUfM2ov3qVp2YWFwxkyyYpR+jZTPI9MyRpyj8
z9cPzcoXP9ur+Rec5IhC5VfUI1gEfRc7t/4EEDFqxffrRtZOJmQWvNB5o89KOfOvOLEy1WYsFDJW
Il9Fr5laQJDYmWJn2SOlGewNmjvVuyL/MrRfvC1Q4HwMF3H+zPrsLyfWY0HpIkHE4dIuOkBa+co0
zd1oZLav6LuqTtx5Yj4z68P1Vc8x7ZrZRcwLk8jn9c2iJ+Wl9u4T7WGQvinVd2WLUvzyG1I4+Jgp
RYudkZVFGErrvtRrkbEKpnEDO27LxxSN00QMNuBAl/s4IyqQ7GPunqLBRZ7ftGWTjXrspFltq+1D
Mbz25ej0yo3YHDrjCeKV6zu4trBZ0p1+M8AtAInnH24oUj0pCibDk8QRpC9x8CLU3/5PJpZ4A63V
M8vLMVFo7aFS35VWRzjFvW5kJVsFIDoLIKIDxHTBsqTsSTAYBWhgO5Nkp39MVBD/WHZxVyt2U9nG
d+FBf0X7+3jd6mXwODe6cPtRKAwmijBaGv1Oj2q334rkKzkNJtBGxSVQEqdcfv6ByqbxA6jHMbHL
PqMn66T76JDdWPfJDdxluZMdlezNOBTOc29b99HButduri/yMtaf/4JFEE5VQc/EkF9gdFD13mjy
rlM67qy3f20GdOJcYISqbw4m5wvleCGK1YYssP2iWXfKsDfEz0zhXbfyUa08DxmAIPEQRkJAqoKD
OzcjQsxRpklKRmqnL/Gb1Nn+LpIcyjp2eBsePMa3FXg1Hrqdv09frc3scOXAndlfHLgymeTaovfh
wPWwl9xkr36THse9bCdfzIffxuHH740FzxfYlQUvW3ytOFVpZGLQ+65Jdi868Vt3J9nWTntoh730
B8k/e8PkZVim4QFgdqaSnGufizs1Ekeh0gY8pnKF1+ipfOxeIzDi93pB+Ww6WN8lJ3ZLz1G0zYbm
irPyYEWsg1b+XOldXIOaMOpS7Pl4UeIl9lR6L4nYPvaTUN9IorfFbLu20FNri/MfG1o0CYoQAwku
Y8hhfgxZ8ln2v5mTfBybP9e3dcVzZjWLWegM8tcLjbUoKgKvLPmQVu47g/hjGFtbL16vG1mJaBBk
Eml0kVF6bVkjH6ShyQ0L5NHAsIGG0GpjPM+aaxteuWYGEh7uVIPWwsVIjhaaKULoPU9sCv1g6wrz
36fycL7R9Ztn2Bn3WKIEQisU4GsF6DIhpCUbb1Y6S6K713dr7ZMwN8wI02wLNNN5MFGNhPFlk0ab
YD539T5pXU3ZMDHHg8XxZUqWCUBlpjW+aNCOgZVKZQdA2PD28fQeIKwbhTcFbVppz2A6zYUtKem/
B1QvbKIOM1NasaplXy+AU8kKfMYhlMKsJ1tUvdFJPdF7GhQDPzcCKmlsZqE6EJe3rtXDdVVKJtgV
Sl9CabPzAtSqvUDFP5zq/qbvBfUNcnJeI6EIOXpUKPHkdgoJlZjqTXBo+4RB2Y7k6r6u+vaedmP1
WEqj394VRqg+6ZPOzTON015uxuBOl1Pxuzzm5t0QmvVNy0EMHUlKyc3USZUATdKZqBgZt/Q/qZgP
+0k1x5+hMGowxHjpawCC72sRm+2dasXDXsPGc2H6+l2RZTJUbIPV3aqJrr93ZVAe5HgMJHto+2Z0
JV/IHvPQ7NxJTOaBr0pkrlVOonov+1J+0+r4m131RvrUZ1Uz3YEu7b0nSxCVT9FgmZ3TwxPa2EMW
5Dewno5vRVsFEDd3lm/nUiMj1xzrhyBUJhCMZl4w3dCOUW9PciB8SuRMfI/LCaKbpg7BjRlayfyN
ELlGMfbVbadmNZPeaZDdZUWc3/IZFR8Gsnj8Sy7lHBa/Pk4/h60MQzv0jOI+q+vwT92UiYyWQZVR
BDIMpgRaCNnfZbVvvuWT38183Wb0U/IrZVf5rYrgV5Yo92pQU1VvdE/YuD8uCyiUoCGIIZDP5DdL
KFFIrhoIZc6bP50cdaBsIzSHKRIPYVMg9oLus7BVZ7gYR8fNTY2sAEwicihITJyf5C4ty8CfEZfC
KwWq7P49d4zJTh/Uz5/9x+4udPRX7THelW77lP4MdiZpGDSFysbK18LiLBwHV97M1rcsuWqeb6jo
LnHw4r3uK3Y7bOYfKxekeWpicWUpvTfkZoMJC0EUdMIfRucndWTDlp+szFWey5vwvrKtmy2k0dbS
FukdvGlG3vTY9ZnwF5LR7rONPHXLwiKza0aJ4ciPSMn5qsPHQX6+Hu1X3tgmKQV5BUOL4AiWYJmG
90fOdCi5Yy4L343OML5lgU8RsTQzuj7WVCf71EM62VZTvZvsJvBC2W1iOf1d+UqE/0KNDp1tV25c
EmtLP71OFwlX4ntD788TD337RSCl1YON5vya15wamH/AyfverJo4l0tgtGUvv8VydihB3mtjcZvJ
/8HS6ZW6eG1YaUZEiYBh1sP3WNPdqC3cKoNyTtkSctm6vBebJuZtXvQCl3c9HqXqtuapvYWpXskP
ESFTyUdBcTOvsMgPwm6UO6LZjKnO9qmGtsRBfw2g8VE96XDdObdMLfZtyMU0HgVq314RHnv/JkuA
JSJuLj4Ewcard8vUYuMGyfCRaqdRkQ+e2+ihO6pukr+pYulmwhbJ7tplwLwa6n6IuSE5vTBW+nnX
1gi3OT2K5TW6IYGjqEeEBW1tuOmjLadYc/RTcwtHr6VYHTMBc2NKt79zR/GPh5xm8nb9a610+qEn
BcDKAC2FF8Yyzw9UZ2kQhBYg4Ntdu0N56/Uvesi/uHIqek2hrRzEY39nHYv33nK3sKVrjk+ST9kW
irRLQI/eDq2WaNgOkBQA222CE5GmfHd9iRtWlu/OMfNFPRy5UVG/ss3gSVdf9HZ/3cba1zpZybI4
kk7VVMYjK9EKTT/0SlzRIJQeJrhLaCt70ev/zdzijIWjWiZ1gjlF+ZUYvzIy5MIb7CD6et3OR7F2
mYCfrmvh9FGZmpIwv8LCH9ZnkVqjPd1TNOPyvDd2NLQ623w09+HPDbMz0vzCLGkHaRDoKG2p614R
QioPpVCn4wZNNcfSXlr5VRop44YujADNuI1sWDvfM0ByVvdgFH4pl2sFUtD7ucqe5lkBNYhyl7ft
a9sXKBlUjx1NZsHaQE2txS+ItCDsIPbCpbA4e2TC6AL1MrkeTEw7QXnS4tazzTATb+CTf0f+e6uX
vjwLTEWfzZfPfnxyfYaqEMH0Mj+o0J5IqkJJ7ILXjFvpY7XRCFimAn+bYpCdZBY3v0ieOx4nqoQp
rRRuzNH4BPTavu4nWyYWqxm1oPMLDxNVMVgvk19FEOD5/st1K8uzvVzI4isFI12nycKK2Quwjz9M
KlybLwoPy+t2lt7wtx0qK7gCifeytN9XBgzuY8FZK9XXrjPszvKOvLZ25Rg/KALF3ev2lg6/sLeU
aRhNJSBf43VjFTWMuVWQO3nnG7Yvl988z9z7oX8I8nj/H6yiWz5TJELBs2RHQkZOq/2wpBySJ7cw
mBbJXzLKzYX6lCoSkMsNcxfIjY9Vnthb3KMQ7xu1QLXK8TuZR/JoCzXiZ6ro+ONrr31KGaXRxp0V
bVw6F1OVS7vzSTw5aapU+KIYYFfypoMS7NXyeVQ+9+qhYbVjfsjr0ZnCbN/WN/oWMdaqJ52seXEu
eAinrZ9iG0gLnqNrwFOAUSX+g6TxgNfSjVR5Naqc2FucEHWwoKjI57XK976UMi8a7PV+68W4eg5P
rMz+fLKjUxH5bTV7zmhZu0Frvvd1a+OxEV3GrdHKS+rWOVDCBSjO1w9cCIslJQ0q9LXKRddowJmD
trKLkot2ZqULvc8A+FpbHe+zigxJvBG1QxD98HTd6fz3bksye8WVqCJDsQ7D+jydtXztiWbeRonH
dG5fWcpLNknizPOp3aFWVDmFxRXZ5kz4xZ5MayRLAYS2HujMNup3tRKa/+Vjm+h5QudH12JZGuhk
qTEAllCYDeu/UjO8hS/CtxPT3+hArn7uEzsLJ1aQ1YUUkS8gyAghTLIjNDJcJd/D/0TOyUngKU2/
Tmfc9dyx/BJOkmIgyTGF0bKV3Crt1Mo3ou3aGYFkBQoH8l3tgl4ShP5AVZCXcQtky/SLey3x7tvG
fLseXtd2DfIdSnczFwVaIOdrMYpOCOCdxhsiPfusi2NyAwVCex+Q8Lxpafz1urkLWMwc5qhTMT47
szlc+GbQMc9QhVQiEurnXXMDYVfefdN5/Y23rZDYpfGQ9G69BZZYFqM/zH6UhaW5x7rE6Od9pnet
T1Edb7g3m0I9gBcVbTHX6iezuQ0ShCtz2q35j431XoZWBiMlimKgWmZGxUVcKBE+axhJ1Wy/tiBP
nBrjXgiGd6FW5F0MJ6SdtuZXIeqmr01PybSJRtWp4/DFV5TvveS/KWYVPwr6OB3iTgRr6sN4ef0n
XiZF/L45y2Nqm/HHJQtcIoi1QDcCyDTg7OJrn71f//Mv04bzP38RhrO0DtSUCQaKxIdYeDPkz0Py
nKQHzXQL1DOvG7s8NefGFk1KNcrUqaDrYXuJK1LOShR/T5NiA3uwFmElEM086lEo5xm8+Kpy3XR0
cGA1RGzJVo03Lf6uKF+EbECK+T6Wv5T9Xd3tRe9BRhjz+gov8AIo9sxshKAt6WPNxH3nJzYzujwp
lUazZembFLtzt7Dsdob6x9AcqN2runc0rd9Z/RcvBrZnPWwyIH/Mnp8+t/7+CYxiM+cPDezSZQQ9
182hw6mNsdhJhRt7pV2Gt426CxDHLYRPLWQkXcQx1p2hlJws3w/ybuLJAlJJfZJBmwfHkgwc9TKY
XZwmAiLyOaOOVbmKGDgijclSC/a9qToMzNp59KpWx5FB+MGs7Kz+oWa+GwsPTfE9Vf+qq1fL/KRa
h2hk5hSOdqjwkvS1NW6zbIuLZiU9nHf/n6UvvDkMDW/KEIqnRRO7qD/ZA2RB/oia66ehdRVqfmP0
orVbTcGVQ3RmdvHRo2FgzqHHbDfu2x6aYfbxFTQVzubfQwa38VC6DJdnq1Tm9/Zp6tT3sVn7mMt5
QjdApsXkNh4Gu2HoETEaffwtmlsw4pWje7rEJVF0WDCoLGSdRnlMh59lonmCZu+02TCR+e2XzvuB
BOVNAWbjfG3eOHp63GJnnAbIA1K78l6z5C9Lu5XaZ8MQ7Nhyp9gtxq99Fbu6tJeV30yh2r2m23La
2wIUrYXy0A+HWoxtAVnd6wf848q99gMXLxAv9VUtl9h8zWfzkeSZ8Hk1xRxn3oBE/a9klICzyzvD
f5rC73lxF9NLbcTMzQbYGEKGUqznVkEpqfxkMtNUGY9yrW/dbKvf6yTLXMTAzujEcazZR3+SXcFw
rPhLGNyUSArAnB9ZvqsaLyZkwQFo5vJrW9AT+q3m5sZubf2KxXmUS28wYo9fQb/fVr3fZS3ZWZtu
Bd3LNIkDoc9qaYCUKYsvFytaU5FJg2Yn5XMq7wOYFdTEDkIm+C23td6N/JvIhvMy5p8f2pDvROtb
X8F0/nnDO2ZLF95x8ksWC86hMFSUml9S06eJymML+UYWl0hO3loeSW/lSsqcA38S6xf6pP70OIxf
VIEp7OjYQpUbRaMtt7eIizu1uUs1yJZCBcEn6mbJu6GHvDWLw/XfvJL0zbun0oHSgX9cKDEJcdIb
Vj9qyI+8e/KB7pOgBHZVq4cBhmuvm5wG5mv0oKR/q9T6cVPNuHJAITBjLG8q3+z0vAsnjSmPnlEP
lLHdVOh+qw1Q6euLXPeQfywtvotvep6qVFiCm5aHAfDyYN9Q6ddbfSM4b1la3AVyykfzYiz5iuh6
XJVTBmFm8qRuFakv+MgWu7e8BtSsNI0xIOyA43NNlVY+/ze5LdrJTcPnVoh2MrHJl5xJeJTEg6zc
+iHABNKQt8R6V4o3w5z4l+/9CO9JZlftp8wC51vucvmNVHO0tvqcq9FgriCaoOB1IMXnsZ3RfA9O
W36wLniPQ9C4RmU8+/MYRzMo+1iGwU2cqOQYbmpZ32PvV1UJqMh44WGyOhdKgY3otO75Jz9oETem
QC0HxF40O4MlKB8LRxIRB7Tu60CGwqqgonNXi099o9tG6F53yJW9oEwMiG2uAkhM857vRSqnQh+m
BIqsCahXCQ9el+yapNhilZhbgYuAhB0DctpZrOJCjAdACkpUBhF40ITIEXwgNdEYQG4yNqi7eLWw
57/1Dp4HdBFtlcym3QeNcWduKdGvLnim5qcGQ5heIui8UqmtLCLKoGp2kxj9PpyyXd5s0bWvJeDw
D/1jZ5FAJIo3RkGKnaiqfww+lICW9KY0uisP8JLl2qvn9zemGN9bYuekavCs99KnUFX3Whdvzd2u
bv7Jb1nkCm1sJZqo8ZHbudihHbrqRtQf8smwLf+T0jt0Rm4N7b5NN07a/OdefHR53gWCK6z1C79O
IOWUwtluHN3qku9YzUY3YO3kaNqJhUU8lTp1DMWMXU6tR9/4Oig3dXqM+6/K8Jzmt+gsqPJ9n2+c
mbX0/szq4tDAIu0Hqsm6NOOLNH31BO+QiLdC9lSFf5IGvu+9iOTGfzioCKejdSnDS7isTWgNr1Z9
ZKWqzrnw1GNKd/P/kfadzXHjSte/iFXM4SvTzGiCcrC/sCTZYs4E069/DrTvXXMwrEF5X6/Xd2+p
ys0GGt1Ah3PKwuI8WumCXWzZQgyzoI3YRJNBxdAZnmrYADszKDxlfCgVHTj9nKzCRcsJYgcgy/9o
xawkbtlyJ1SIUml5J+W+kBxBbxSHv7PIQqbBywtERqcsfkkq2t4Hzo1j1RX8KxzjROe+L0vyTOoy
uF2ljbzBEm97pTz2mck5BTwx9HQun0lZihxXBh0r7aHtbhP9bQ44xaTVg7bQhL5mFiLKWIxEMmLX
0lmwxaF2et5oHE8Jxp2lZSdqwOGGC4mijTLicTmGN1bZetetnHoE1vxQsQQrBCgyKWvOuSJhPQLd
VMSWtGjGiwErEphHqe5AwbEXdB5jw/e9jpGGOwDFxEaSBKx+VOnFsoWqWWltgp2ppZt++tIieVt0
27ocHT3B9Jp1K84E5Me4kxiZLRgb0Wg35vhokS3RflnqSVR+lSBZV1wV3WVd4bZl6arDXjDeTb1x
0o5Htb7m7s4+mLm5lAkqnxU1pSSV21s5mZABKbtPxaoIYF4BNgPyl/glDJNiH01zjAqweGtGJOPc
LdeOLXwQ7g2UEQo4e8w2GaSUAjVCA3WHCRsvMq3alZVGPEhBiW5KLbTsrBgGR7WSxyjD8Jk+zOB2
izUZoR6UC5LBOwBrLhl0iOhQAw8QWgu/V26xleinHBujUzR7zn5YmWhrxVuYZrZRP+vmrh6Bo2o8
Cqrw9+Z6th/MOiDFhvdtif2IaqRAZL0T8dgi/S7NUTQG+Hllhx3GZq6fEeoTr1kt46LDXDZjIAoh
5s1egRTaUGBsPS48MBk4JFFtUXk2MZp2Xei66dHxO5rNo6hW52dFLUel0EecTG1o7PYmyUw4GXCP
uOYpM26LqflS9fyhQR8zRzD1XRfq/hHM4geGPaZJsMr0Uf1Ehh+S/BVaoluZT2Wz6xKwqs33lbGv
yWgTHhAv643QP4S+NlB4oMcNxAosX28dKkVURE3qIGWoRtuwMRF97+d0U1qcPb2w339EAbeZzqqh
NZ1Z3iTLNb3PISq4x0y35GkAmbnpnFj2lF+8w8L6ckbW97cszoosVUFdJJDVS3ivndB50POw3diA
9C0C3JQyGH1pvy+jTjPqciYF4GrqqqNmlehWerhuFuzzlhHAIpBmRYfscpSnyCM9F4OvR/sy2OjK
9rqU1ZUCaxodV6QUe0yAMMCtVbcEMM+KAXgfX8B0QDJwLnZrmoBTA/gclAMCL7Hzg1VWs4kmW3jy
CI1keein+mRnpSf9de8AXbKlILpni20XhaRR844KarvqkOZWitS3NINaoG3v8AQOnKYnILnQ9Z+j
KLWgjNb8TI8VgG9gsOH6wq6dLHBY0eOFcI/ulPNvyTplLmcZiSYj9UV5dKToIRT3Heqyo8SpLK+Z
4lIU9S8LtYtKrtF5CVFBhnEN5X6IeGn3dQk65ulpFRb9ZecSKNKfAdoLGHu7qcqT0nMukKsWAgKm
//39jMO3CsC5NiP+/rr4hfq7GxbI4VqGp8S87Pp31+LS2X7bCN5qCqXDBlgsY4wwRDA8NRCFlJgb
adp2jAVfC0HKmg1+NxtuT9BKH4LMLy0PnTCdJnPYzS1xmqG3E4WyEot2PFhbIp1IYN0PBWctqOO4
9oGMEXd9ScAPig8kwqup30X6DToT0GNUdzd1tVXIX7YLsOvBOIC8izQrisFckaYtmu47TKQB474E
xj1vqnDN1dBX8v9WnrnagetDw9gAFEsaN1KeO+Ekit71Q7dqp8h4AFYelMhoSjy300EoNBTrAHSc
yIcolYCuw2udu2hw+We9/ohgTHXSS3WUE6wXcdLaAYIPcBH90DMwWaLfkp3gFl/xE3k0eRkOnmpM
vOlnIxIquk+o/sWn7g5o4mC5sX+JB1QdXMmpHF6X8aoH+7OY7Nh3XGQWsuyQmAGUMGufWjBrZW9Z
exDy3r2+byvd1PDcC1mMtwyGoEvBJwtZu/mg7BW3dqyT5VRevGs/xU/ZNg7TVqts82Hm9JJy1tVi
nGdg6c1QU2zsKK62ZRIfdDX7DzF2qRzjctDiMI0J8LUdSyebUhluC62wMyPjGD9vv6imizBQ92mj
SgHWcEKnDNLMBnAR69RV+8ch+dscI3MKWPo3cHPKU69j1eROdfXyOddTWzc567bSRX1uFYzHSNpB
bUUQiGLi2Tqo96Nr+cEOJccf3T7ws5v+YbJ55rDuff893mwSKhCl2LBa7BXKRGKTojhznIZjrSd2
o7uFtLEU/7rprwtEagYXIyQFWJclET0etQwje/PbcKqd9JDezTeKE79eF3PRqvG9Y2hfAUo5qJAu
5uMqvKQHVYUcIz7E+U0w3mZmgt6JVx2oP6Ifo39DwtQaRuJM3kjGquMHcY2JZjzQ17B3zGKc06RK
IDpqbwqCtgYM5UfJhqPgqvkvpDDG0idGqkVUSouBjPkR72Q/vqlei8oLdafZT7v6MXkGp4n6IO2u
i+bpR79scfAwszkhdYPDYJmbxNg0GFSWu//iphbaMWGnLlC8mzXIGPPQKQBdgi6L61qsOsKFBCbA
hENVxYIACdhGOxBKp9c474CLiv4/NgiQCNCH4rn5fd4XC4XJOnkuKGW46Ayb+CFzNb925q3+4qNg
4PRH/S32IwQ1028Pz5PdbjkfsB680Tv9vw9gbGTE2Hqph/iA0T0GrvUZ75vd7/Sg75KTAohVvbBv
eFM0q+d7IZIxjhJNsnqZg427MJOnBHcgO8/BmD5Hpe4YygTK6mx6yML2HbjKHLvkqssYjSLHY6fX
kK0fo942Qte6TXx9E98Xr9rRiBxhQ2l2KcQ6x5ZWvQ2KbRhBl5HO11h+kDod2sSkOx1r4X1uKoAg
fBra2ouT6tC3hlOM4n0zfswdOOYST0XD43VjphvJXqIBaI03raQilcOS9A1CPsiNBM3zREoTXzQm
cav2AnKaIOs6mGYpPV8XuOYDYFdg56OEKGBqO/cB4FuXuqiHwlZkS2ll68XtjHao60LWXNxSCGO+
kD3GlQohkfIZo7mr3Ga4E5HmqSUv1yWtrt9CHcZqx7Gewp7gJV2NnUOGAv56xjR36yg83FrewjE2
iuuQnjU5JHXWexhujfTRMLzrylxk9qjfAcQxarIiJpWAHH2+OaqO2QmBHvvacOeD6ukuWEh+azfD
E9lHm+vC1s67ARZmUIeireqCj16W67qNhxnnPXg3Yj81MPVYVXYt2oP1rgh+HX5cF7i+gP8KVJka
j5mRKplbCJRLxUP+0h71zs+BH3ZdzPqR/qMYyxmWjrEsTQCHd+Sbpnee2sSVfzVIkW4GpIBtKXF5
nIrrNvhHMfl816pSkxq5oDaIWfrCU1W3yB4VHkTpWthb7JfKXM61AqgKBJNCmOx6y9F/WXEebry/
n/58EfOMWJ9RaBSRnBmdpAtt/sTrqsXRa9131wF6EM4l9Emb0RIQLj7GY9NNTjK+NOj8tVQ7FHbx
9Cr2vLbIVT9E8RaQ1AO3FZvbCoEwE6glJFrSIQ56p0j8IhzsgUjIIPjX7W51/RayGCuQzUzQtAbr
R4FTBP0+Vziu7qKP4ds7LCQwFlCYU6E2IyTUOppWb6rmsQwfGtUp6g1JDjmyCMkNQGsHQbIl3Sm4
jcxUg4tYhQoTxT2TUXNiQgcoXHWJBLBATCBg+Cc3ejSqxUJj2U1ilujGCQqnV8b6ITP0/BbknGnp
IMMeYShpVhvMZIW8k7fqUgBBikIIqvEXUISGHA51Gyj4IuA+yV473HQWxyfzRNDDvzgWSm5NdZyp
uAomxiklgCAuklOB2enr1rN6NhaaMHEMwaU34xliwIvW7TUDzW+BIN0kY4xpXC25AfsCsB6ScK/W
JS/ftXr9Am/Iv8vIhLahqaRJNrCMDxnIo29lL/jR2l2xFffKfe42nvxAIVd5L9jVw7mQygS7oSOx
1ldUZeB0iLLfpI9ltCkjZ6451+nVo/lHEjsgniRtb4YNJEXowm9U0e5kzuHnWAnraAylNIymhIRM
xZuq8uWxsdWckwHlqcF4GGuUKj2ysE29hEY9yHi8boOrGwIcJlwOwSEDEIlzUy+SpBi1GnW8GOl5
UXPy0U2yoxDcJeP2uqSLqjV1ZXie4Z0NfwauFEaVNJOSTNFLhExzsgNl3/dfGR0bOAkNWv9Kb1C2
Rv5jCo6VdgeQJY70NUVR6BDBh4kECmjoGUXVNJrjEnWI4d7y1U35MG9LgKrtOu8wuQa6Q+xD45DW
ETitd+tyVZARAnUHl2/684UvCdAunwggSAYUdPveRIKvjz+jyrodtScl5fVvrHkUTHqYuEaCcQm5
7HNhZYn8hjkjJyVjFnac93nyMSqmrYGvqtj3qdt2v68v66pAAJmDAQnApeDpOBcoVLiiVEiPOqlZ
7qf2R2siDTqeInNw5iB8mnMATKUJZy/pX8rGJFwa6MwWOHWAaHou1EC+xiikHkJV0xbTndzvp/6/
5IUQ71ATwHtJB5LFuRDLHAmKSsi1NWrrt8GMpnlx04Y83oDV6z9mUi2og/5PQMmdy2kGOdVTgz4G
4+w4NbfzhMR9054wae3lnepHdXQHpMmHKWkdK3u/vn1r3gXzhBiPssCqh3LguXDdmguwENK3B7ps
hPHQl7+uC1jdKowfoQwNYglU0M4FoJm3HkUF1wdM5ICPCmdfQLt7aHIsggbkC4tYiGECtqhkZmnQ
exjopGwiyzbJwTf3qEbudXV4cpjDLJXS0BMTz4wAd9gYoMNp/l5LnaPxcGlWz9VCISY6x2agk2rG
upUyelqsd7Wy1eyxU2+J4RZlvG1NTuPh6kaBHUmH8wBiIotTUA3EEpsa7hGUndP8JuoALeJ0i66J
sDBdCc45zJTKbLwEAQEy1QJyoFaSOMboFSCi6XglsDWLXgphggx4BxI1KiAk1807USf3VvFw3QZ4
EhjHoChFXk45vE+t9bY03moZZytWH7Po2gBXqIo0JDpfmEMjTnE4NDiVrfkqlieL7Cf5USDPSXQv
FU50FI7Igs+8N/SabS+ksi+1CHftTKP5myGdwS7y0mHWozKBubS5vn7UdNmzupTDOLywEYexECFH
qvViE8vTfT++NrMFFMbPHAObtpF+XJe4anh/1lNjbaJIlTItcZhSTXT0Fnjv5CGtvetCeMvHmEUu
t3LYBFCrtzbgsLVnHWPSthJxXuw8MdQ6F9eJ0mgHZTQgpsKLMxsnO9c/umFbibzWYPowv7ZNdFEX
gtRJygwZ7QiOhpx+OL3PATbsGFQPzUjsMK0cWZNxk/sPzRwoN2H8CNUg9BGyGQ8rCZNWpuEw68Wb
rjBOPXm6vlFrx4tWtCx0KwKlBziu55oFGniErYCKMOpTTdMCmGOMI2LniWJPA6ZkxRtDKdxBexvD
N7kKORfhlS1ELwlaN4HNpWKumVlZzLhLeSwjiIiolg/lJlHfIvGnFnPO2YrVn4mhn7HYQFQ4QjU1
IKbryDboQBGn1l9dIbrXl3PlOJ+JYVazI3Pdxx3EZG1yVEHyaoCV5H40rGNTBraF9MB1eSuR0cC7
H/0TgJK67KJIJBDbJxjqdBK9flHl0ovIVxSEG2F4pPPxY/lhxbxO9VUdFzLpzxdLicbVQas7mbos
t5kfm/TetpUqtpOO0yy1umd4J+BeC6KFC5bCqm3yMKaCwBWyIWbk93N+U88h503CE8Poo4xNaAwi
xIzdptbvgC6b/T2KH65aGC6gIHA4zGwnUxfUVZGaoBroB8suYs9qkLWye1yZMEd+3SJWtcEcP6YW
Md6EEsf57gCfA0eKihqjwSX6VhmJk/HyJetCAG2K+ws0Y/Hj21zBTL9mIus0FE4mP08g+NRCTuRf
szNJBBoOruJYNnbqOQxHWQgJhgXVRNoEESobiQooc3Vyrd5yumxE4jTmsQysaUYxR006HIYBTPrz
hXEng46HcRUCr68zRcdq8to1rB6DWcrMUW/N8S0lMR5png0ALadQL7JUpyLqoeitXVhELiLN7u9t
AmAe3xAmCgA9GKX6TAgyK0USuBp1bxCTTZPo3tRYnGhMnRsTJAEug3cobJ0iCzFBH2A2VlaCWBZz
1YUdTxsAzUXmXjfsKfGvK7S2dktJTNyPhHwOphEKFYI/j7KtGx+95fU86AT611xTiFk3SZDFEOpC
jDbfGoO1KcuK48DXNaF87ThKGrBLz+0N5AgGSqLIaOXF1zQieftqEG/g0UqsWTXqav9KYVxcnIIS
PKJZYlLdlWQ3Rd44cvyOvKYJxi+Q2TGALgL4n3NNqrHPUzHRoIkNj/OrOsQP082T4GT7cav5zT7e
GTeo597KdnFC9/L+XnRxX3u9bhhrii4/gn7k4vjGeW6RgX5EN51G7UUgsSPyQOx4Mpgta8ahQcSF
DFP11fBtANgZBh+u67Hm+1CQtwwZQNmqyp7YMZPTEZ3KSEQm80eVR4deyfepkvgZOAm02rRNKWo5
MtfuEgrQYWh2DtSX7E1MK8GW1YXQK+4rVxJPCcJGnZeYfgodvfKIjIIYx/rpUrEHbCmS2a4eYO5h
JcJj1LlxQkecIw/5Z19JXm6Zfm/k2+urytOQ2TkVCAJKoGNVARhQOp06vgcVyCqyvn0re/GHaIWl
F8TWKUc/Mmdx10pXGEHAkJKIyhGgD5nSX9JHSV1NWF20kPlKHO8kXXakHrzIRrdFsEE2MnEph0bf
Kz76Rz0zfBeF8C6LOMHg8pwqmgqSR03EtDmwK+kiLY7IkEV5FY9IMmfEsnt1F1c/E/NNN/zra71u
wX+siXE5gkjSMaug72xI40askC/UTLF3c0N4H8vgh1hKx0jjVVQulUOVBkT3tHUNg4wsSUQ45/JU
CTQEDXu81pQxtTF51gRf15Vby1NCjm4AIkKRkZlgnJ06YsRLL6FdLutHMdWdKdNd4KBuaiHZ5+mP
zsx32hhicmbahhr5vC5+9djQ/CES1zryU0yg1fu+b4AlgDdT+dmlOU5KDIT8HjeJ91z4W0xCXFnR
kPFHGBNr8aM4aFsDuTA5eKj0l3ROd1YLwGvhvzxmlpKYRdXKukv0BmpNoI3FPWNvFAau48aWjOVt
0oluE3W2OXNnUVaNZqEh/fniRBT4kWkOkBsl1VbOGicBWL9WY/rEyo7jNDnoT78L+8KRE3EbkO4x
r/RbIx4wCdplmzolttTzSN5Wt/iPu2ArzRRouQF4Eo4PCgZZ5AOcRlfdANW76eO6Ma0e1IUkRvvB
aKxSiqC9Ov5UFUCqbDMUv9AkEgD4QO85prsaPBfSGBdcTqIqAVsOQUbBcOAEbBXZloBveV0nnhTG
+URDqgFsnloSoBUGT9UawIrzqDNWo8lCFcaRAs+MRBL16DPp3sAzcohAttYHL0ETeaoee3H0XmA4
5v9LM5Z2tasFPRhzCA1E2VUByWG28aYSOk5gXrv5gisIryAFWAlANz4/EkbWVpqV4oEXGpo/JPo2
mbPNf9Hkjwj5XAQGe0DNKcCvtH14kxgRuvmjl2CeOWJWD/dCE8ZXlkoHCo4JmqhTuGva6ij1D1Jh
oseHB3KzVtJFt6wKrjNMGqKpjFk01epagARZuHyGxAb02Kw9ZK2tKS+GChZVnwS3gKYt1N4mxAN8
7PXl5Epn1jPCtbxVGygqI5FWqvd6dBOZQPLfy42XkQ8dXwKEV+CNy2gRHLzr0ledyEJ1ZpVbY6hJ
QxMCZdzgdenM+iaMiRvmz4VlqwLHOtcGVM9WmolJYRhVUY4nrRPNJ633KvT8a/1mjhtc3wBb/ZDJ
7phweg9WDYn2QtMDoYAV7NxewVMwgJIEMqsg2hUNiD9QsC5MYUOg4vXVXHX+mHgD/zwocjBBfi6q
n7QcWBRIDQD9Gy2JkicQFaAerTOrb7hb/vWFkGIbUIMF5BR4vxlpUwnwNkEFSDaeIqBTSrNfXW0B
NS8Eshbgk56v67aacMb1ExOEYDyTRTYXFpaWCbgjiEPjo7pp0+rQtXXpal047vpk0jdEVz67uG6B
nEhKVxnN0K6C+THXK43jGy7XGVdhHXREuESh1sw606FsFIKOwsxRzcGTx2ynW0BIbFVgcP4IR5Vj
tZdB6Vwac0DnHihzSQNp3Sy5tSx7mXFXj3+dzKRCLAXNBzQfzHawyFE6hoYVY3Q1Hz6HUR/vTKN/
LpOu5CR7VrSBsaBSD4g0ADaz9UtNBSYsrsGAVhd+tuDTIrHHxcS4jLCgIsE9npY/DIwI0v1bXMwk
Mg6A7aHHXP/Igt2cuSBbAfyFO6b7snwdX66b5ppK6PsBMSsyLsg4MgFd7ESk4UIA/aaTJ5hbzXyc
/75LSqGtRf8TwfZhVfIAXKoKIpr6mIU/at0TCk4gYLVAvvQMDoO9+8ikBdApIAp0jVIE/6ANzj2v
7Pu9vcuXOyuFWStV1+s+mCAlARRPn7abeHoppxmoPK5ivgObQMIAObBUQUQF7AncYiN3LhKAcz5W
SeemsV92b7IFRFUQR85v1/fx4nX2z8cBGhg4Ysh5sR6tLYoqryYJWKDkeZz2mbJTMr9XGnect+H0
qw32ueqkPE6sC/pYVixzwNN5VgSrAODcQN1n6qXAH4mz2OsEAcNprimZThm8g7RZihq7zIAabThC
XdhTuMmEh1wGdSLmwp0EcKWduW9538fG6O/PQyMwIJvg5zHCfX6aygSEgpGAVdHVwU0mFKa63rbI
XWDs2vTHND9wdoEnjzFEoQyRDW6xHEk8boH1KMWDHUl+Ve0y4SaunnvzUdOOKNdGqKEK6nEyAGgQ
/k5GN5bu9armBNWLwMPqz5gssu251Cd0e7S3gsy7JgMpLKBRSPwsC05KXiYVrTLZUz3hizzOYrAF
ZEY4y0SBG6M2gnFYA/pqB+ylQxZUvh4cAwBk54BZq35Z0Wfy1zkYCex6Mq0Fod8IHQvMrawXB3Oo
BRN8F+JOS0BtDe4C7aBIL03/UJacesZlhgvt5d+VZFyR0NvIlk7ozGQ/C+heffM//N3vu0/v9Bi6
PLjsy/ljiEFpBgDw6KMCbh5zXQmFSiGg9YqdF80++r5tH+zNxna8Lafmb11c+CAItC6AAkR0M4CG
cX5e5EDOSjmsYsc9ukf/7fjPL98/+kcbYvEbv7z/9y/+Y2PvbPz2v//954ee7RX24eC42/v77df9
1t3fv9y//HrZcqzrIlACzw5FdCQY8Rv0qIxp53WnqUGJZPfgtI7v+7Hz/WvL49a5hGSggpCxlcBs
ArJIthlHHMo8zScsvrt3Xd/1obRnc+5JazusoO6HzlgFLQkgUDlf+Eax8ryO6xhj8vv9y949/vQ3
r5+q/epxtvgiUCDGn0liXJRYhFJgRZC0Px6xbY7HU2VtYzDKBF5cMGEjrc6oEpdWmbQxUpD7o+u+
Hf3f9gbm4Gw5WYHvfOMyHFNFlnIYRaQ+L6O0hJzjz58fT+DRtGf7abQfZrCWz/hv/D+I9g6es338
qpzHr0fMgOCfr8kGEDj9n/vrJvmN6X75RbSJGgUhjBbSa8ri7tYAiaeIWgmWQo/L7naH5bUdF7pv
HYej/vdfdk0YPcoLYYOBFiqtpsJcWL/tP2xwMiHJ3bocUd9vggtRaCjG+CB8HAgqz0WJYxtOndVS
UUd6AvwdPfbUEUA96OfS3/9lLRcymYtFCN5c0tYdZALTxMYfqQ2wUvsF2iKR5vzevG7uDneHg8fZ
xMupfmpWC8FMACF1L0diCsHwgKXt+0+bH86J51RWz/tSinq+pEYoySDYoOq5R6CAwoPebWCpzzwz
ubgBfJ+ShTqMTepx1kjit6A3199t7BNPwnfm/cI6AJyFeyfYQjQWdFtJykJIQZ9Bd2pv2G+9TzzX
39x9Vt7nt6t0tvQMcELv+vFfiGWOf6oEeT5LEEvtI7XfiPP20noDwsHkdG7r9a5r4FTYiJSq3eGf
DP/5CiYAp/OAKG/rdoF/sP6cwGSx157vFV98GBOYzCICrY36z9bSMOoev//AwaGHh0ZUhFF6WOkf
+BO/Dvjf78OE44RfLj3G18+TTs/LlV1imzuFOqiJePZV39/mu/9Eb/oV9FvwGxGB/uJ9gUJNmv0C
GZ1NSPFg9hq9TecmX5YAwVUbME9QwbhRfP+Ci3ywX6H9ybmhbtK993mXmos7Dfq2NAsVK2QH0FjI
FunRwh8pvQm5PZkamwDdS7aIbaWap2Q8Urlv6vIzJRlhjFfukkJIIlNB8Cvt29AObbxHnd7+jf+a
7RF/hvTm5kFfG2pvDnfOw+5hs/M8qP/1df8Ly7Lz6UF6ud9v7937l5f9/ZbYX6E72L94FXcaiZmP
pf1ZIi4EqENeNGJo6ZAXGEmg6VMxaBw0yJa1B3JLkHzXY0CMzWzM8S5siozjZFe2BN1tmoznKjCu
UGo7NwUzEOppVtGAOUqmauP5RlxwXb1pE2be0qLhTXKsitMx4IDECqaP2LxNQzAa0M8jcgLCT7WO
bMHyZCuwJR7LweVIHdAEYNoioMLRuw0k+3O9wiEWlYAKkhqw0ekOAbJaXKAVGOwftML9FgbPbeGP
xatsbMCfga7uTPBMfXP9sF8+S5jvYK0wHS2R0FZkPQHxpAw0GssHYzzewGp1RCdFUBwMOE7JqwHC
Y8YHS+BkyqjzZSzrbCGYO2A7C1U2yfgAVYpCZ0A6EwVHu9DiEpmR1MvDwGtkzbuu9oo5nwllIkKg
VERLaMNyN0ZeUt006DVEGVHot8L44z+IQsMXiIM09KywifE2sIhcWzg5FpBIhHBTIbPZxK7cu0HA
CXTUZi6W0sLrEiUW1N5Z4zXT0sAILW3VtG7nbpf3rzMPxXtdBEY+aKJfFNkiTiKqfVHTfuQIo0fT
6E7SVxa+XV+xy4sItUnrjxDmQhc1UTCDjxQF/NYQW5CAiC24UUPylqPk7Olmom7DdBYfizFDy09V
DYeuArqrNxIh3qVZrPEeQhfxiPkg5qJXR/JcxSr6iCPZNUSniYArY7pasDf6xyC6t+JdbfkxsVzd
OMaa00i8D6ACLnfWQAoEFTRAMTDXaqB6qbNBZ+8NTHZ1kpMLnqLudPGotU6poaAluFbjGIB6rj9V
XnvcZT3pW/0/0pn9ECZ10qYaJlyKm6g7zUZgy/GHObnD8Cqaftb4bcPReN3O/ohkVtwa0rov6JCW
EvzM0oepOubq13UzW/UB1h8RzL26rMVZqqgIMO6IzSd4DHPztp9BXMXrVuApQ3++eH+peSmaGUUZ
UJLpVJKfgiX6csSrfa860oU+jCe3UvRJNj2V0gG7pUID12YwHQNpbqPxDF4368XTnbEJxm2XVpH+
g2Ywzncg7latk64fRszogDysuwGDyPXNkni7xXhsFPa1hAjYLZQT57fgq7WV7fyRfYS7cpc8VHaz
SZ9gkB8a5za8tndAFUZfOiotFtrtz/dOV+qsCb7rmtV9PLyHCZg3eFjhHBksyC+RUykfehRy6jQA
7VFqy2Q7gOri+hKuXW0WmnxnexZWKIO7ZsAAJ5qyMuUJvNMe6VyxH1JbUjiHd80SgXCP4WK0f4FW
njm8YNlSGytCgRZEVoB0yEGWMb2RmNhE2w/B5rpaq4u3EMYcYynT9LGXIGwIBk8P7xN0wDf9x3Uh
q2u3EEI/YrF2ATwgboUQYiDsyf0x1/0MRIFisLsu5zKlgGOlYKIJBVcNja3sy8fsinCeWoRwsMjb
5efYDzbK3a4meU0te2b0mIEiSCrxRCgc0riTchuN7w3hfMaqun++4jvPuVAXTH19LFT4igKwIcP7
qN0o2WMgcI7WmhQkZPGeQPO1DA6+80W1LMRwPUWpu5tPGF2wzJMwuhgruL6ka/aB6zUt6YCr6gLA
S6/6qB1yoBW34YiWtR8tILqGhDOLc5liw74BqBV1WDqLc/FynAYJtOpUigTsZodkdaaCwak0t6lc
A6oD/j8FBcicNUDjNcnRNOfKExNM7hxH3WgbRzEzs/49CMiVgmexDC3ZmZOIuGaYyb/FNtMA2xhg
5MMrtUKs/XZCj66nmnnXHdARO4obgJKPuJk0aqW6qlKEvNGttc0ygZmMVzFSe6g7n29WVsgS2sVB
+ltLslsEXi6BYsy0ycSp0NPjyt50UIXDHQcwV7jpM3GlqtCLLxhYyLoJiY/h/S+0yar2dZtYFQJI
AAwNUjhTlu83IGokgDwXj56y3cdgFcVgCccHrq6XBfYwShFLOdLO10vvI1LPMzoN6IiWO44/G6mx
9VGbXCCScQ7SmjrAZgFJlkU7lxVmzQLUHeppgndKp9w2y/s+u/v79cJaoXmGAvtctG6ZVg/A4wzK
aJSllOyS7vO/CAA7kEhbX/B4OV8tK0zG0FIjcMIPBpDtRMcEtw1n078DHGtamAPEMCXwEzRQMJ8L
KRs5r5skQfNHG2wkjJnJeNHmrqC7ivYSJoNbC4fCFG2L1wq5uj8LwfTnC3faV2E/NVmaOUZdvPe9
4aihzDk2a+a21I05nhKQs0AuDd1C+YcmK+gLQo+G5k+8nqC1ax/ocUHDgu5uPDSZjQKTiGEmM4i/
GgPzCFH9ifFAB8+Apk/urBH4pGqRHTD+wbHwVfVAAIeBN3AuYCL8fAVzlB+7oIdYYPVGmKxU3DQx
PrJSeSmEX9dNcd1MECeQoAYGP9qwzmWJSBYXOuWy7yvF0YODUd5O+imKd7Lyu6y3mnYvyE9Gv70u
lv6tF8aJ0I8Qhcoe3u/nUtW4nHApgIZ6E93JQBEtftUgJDXTjTr410WtRsRvvgcMaqiYRzsXVUeY
hJ1auHKhtk5DjDmLQTl0YepdF7O2Z0j0o9nzHzHMjT1rVVJ2Ojz5FCi9rQyjkxulHYPGLCE8YGqe
LOaWrqZgDBJ6yOqLH2a2L9JjVp0Ij/h69SGMyAQYUDTPAHuVERPm8dQqiMYOHiO/SZs4tUhsA8Bb
RFftPGru0iJzy/ojbnjN/6suRAdfDkDMVMxvMAegVPvIqGWYR93heddKzTYIEx7WKE8I885PRAMY
ghOExEP6MgTik5HzRKyaOWIVMHLo/ZKdQBEmwxpnAZFkEsjvOox31TA5IODdmsPPuuk5lr72EMHo
/r/SGIUUEY/8oYRXJNKMi7RIPKRc7XB4NyPhNeitk6S9Xjf61XyqZQHAFEcYONEic7jQSSrksQCR
ZVTdD3PuSFX8bJjlSyFO9gASc62Q3K4AkGagvCnW5MpEdYlZeYAH4wS89bX+8ynMAQzQLpplNcKO
pQ1OLeDonbraI1rnZSNH1MpCY7BfQtIckQEvZcY820ae6/ybD3IECXwL8GgwUmx1I3dD86fAo2Hh
SWO2NSZmh1n3AscQ72V9fq5DgC/IqNPgyWTd6MX2+p6uOBcMcaPVAi0kaMtl4W7aqtFmeSAI35qx
Qd6PCL+07sGca06QW4mtGA1GaRROE00BLNSvOjZC3OQ9GizRgdU8Ac5cE24KdSuhTb6R8XquOPni
tXWUaDs+JbwHiwjjzsycgAU5QKTL5rsRSFLFuJe9HUm8vms57eErtohhe2TAMWZtyVDxPOaIgt6E
YoWY0xJzP+JeAdhvNBMDL8QOUuNOV/+WgxENXRBooAsKgxqgGmN0m8NyDFIBrjoZ5A0RTLtDSWPA
Oft721iI+a7wLq52/8fZdy1JqjPdPhERGOFuhSnT3psbose0EF54ePp/MXG+PRTFKWLv2+mYSiSl
UqnUyrXKSi30ejIT4FoUVTdF5QSF6vfqRiRby0rA+AUIGZTcQPnw5+8zQ8LWm7oYO2TIRQmlWSYl
MRgYVXE1JORB6iv+YPFB+xkIcOYOWR77YWQ0YIQMjWyTHu/s2XqaWzxaoSACylSAqk4XUwotNa0t
Bd8SXRcWOie6GgxuU+5ONc2XZAQ0vKfY4uvyXK+668zsdHzNpgDaeGnfhiry9156EDk2Ymi85qG1
k+zxXpgR1NU25UOnoSzSspOhLvJqPegDrcq0xCnU333h9e1OJQdmX5v2wSR3dv0C8jChJ1SPDl2w
cYVciwfzaV4EVVlKFXPoMF7ef3L5s1P9ZJw0l49gJmJ2RflWkXVrghdxdawCwXOogeF5VwLU802M
L2nAqJpHTpd+Kv+a9mNyIzQXALCIvmpQfZ2uZ9PVY85yuFEtMypV+9rU/NZyZAjcd9XGK+N5/89k
DDUFyMOBewG0BKfGYtYHrcQxNs0oZNTGOQAg3QD0cUrQka8EPwmLCi8OO/WoysqTFCia25m14aAA
bOMQD9PDZW9ei4gAGYCHZCL0tpaVPrsrRKRnIIEoAssz9eKKRDuQq1hSvBPpVpvXGfh6Cocza8uK
HtDNrC64jvpUdtco4O8TpYDE8AOClxPmxO3SyM1K9UaEfqG4qmMeDP5cRNcI0lL6KJs0uu8ndZ4t
PpaVlBPfNb2Do3w26cueLoukVRJKapiFHu+isSjucDRsTPTa8Q190on0RdUt01hsYTsOwlKqp2gV
czN2hzYGvnwwu4NajoL7vLfrp8tLu2YR4FuAGsHKh5LMwtdagRczKwNWHS1X0V3DKtTJ5DG+Ea3C
0Tdab1ETTCNYBincRqZ2E8CI0eB9Oom4fOgSkMy4lFeSGzToBIFi++/LY1o9gOZGFtGX9GMldyGM
tJJt076IHPQneomuuXXU0bztdyMqKVlkP4DPCa1R/NflD/jjoiejROsrUghgtUGzCcDxYh1lXP0j
aUSNKLrW3OiQep1ne2SgEoAy2i76Zs/mDcLHQE23/9k4Tb2R455jNhcfMC377PzhtpFqgYkPAIzM
l/Yjp8q19V1fv/+y/OHYu+yqvyLfqkdoA+zCVfwMwHzkyMfbenREQCE/sPFFZ362+KBFADVVLIod
4TIlBs+ocrzz+RzdP2yrofAsVMGOBu4a6ImCNv9M2adKxiZomgBgyv4OxBpOJfyuuG/Uyi+6jTP+
7MybTKE535jkBgEjXbhyLHRQMhKYsvLGfogBXH3okuoK7JblPm+BK1WH7odWDf1VzPuflz3sLBbB
NhgD7Kn1Dn0xy0DRMa2XSmuqcsLLAzPzKmVjdGcH7GQBGTeERNDIdMZMwEBqmWTGdDnUG8+UdGqb
9VVc8LfaHJx2rB0Tzan/YVC4aBNQ7AFAJS92TaQ1PETejSRC3Ecg3K3N3WUDZ8EHY9LRboAmgD94
9GWwS6PStgQ6Z4PsfhzdWDw0W+/nf87C5daHtisecNCJiLfYxSBM9HUX7Z+6y2d/F0E5edf6PggI
9mxn2k7ljp7XgS4nclJ3a4+t2zagbYOlM0FcPHnsbNdbRtkr3MLNJd5H6Ft+ynwEV6fzKnBgOZIj
XPv3aDjjDfP7kVZXmw0dq/P71/6yNUaOeKGRHvYb6M3iWAZvuGO5o5PvOu8wOl3oKs7G+XX+2D6t
6czmYk1530ZNSHCrCXMaHdAKdTTfpZz+wAv1zx6Dd8GQ5AVvxc0W48059Ad+iusa6Mxs0PqcdWEV
at6A8ZtNndJvUDmVgaxp9z0DOQoDyOW+RT4i0DJnyBRNdZcd+TyanpqeNu9soYu6B0RYg2nV7A+9
4nWKgXz/cazdy3bOU9HFGBceVXNVCbIRhopr7Vfpj+/pkUAMrowc3SM+z2izv2xx5eg8GdrSh6K6
IlEiw6I8OOQz34O3/W64YY/tPqHpDSRdHd3JHqCd9qLg+DwWGzO74k+n9hf+lEVKIHPoPTjhQbqz
n9hrchCvkQu+q+eBeSO0cmjmiGf1dtx6ejnfPaeWF1caJam7vlZCgHws4LjjtzAr/HqLpfb80Do1
sji0yoB3UdVheKMC+q4G6qNq8VjZPc1r+ZUpNU3Ljlad7Vxe1nMM6akjmYuUrMe44mDyWHnXXsvR
3qbC4b8HmzYdVe86tz+qV5Zvu9rzZcOrk6rYSMWgggyYx2K8RVfF8kgwqZNMrwq+vPw12HpoWt2N
YPhCLRU1b3sZdlXBWqmdbAjbaPedbv+OR+UOMrbFHhc9/z8M6K+x5f5ooZmAuh+MhdpvXfZGnMKM
bG2Cs6rJtFozI4tNYEKiF432MEKk64C4rXEdAbOYpZpfqsdK8cbipyq9Xx7YxiyaC/eH1pU9KAFs
2lzN3DKJbvR2IDS2c8nLNWBQL5tbdYzZEBeOkcpB1pt5BIfUHsLgXrROs9VHuWVi4fOhHYWjyTiW
yvoBQLiGioi5Rbq7vrEmgCuK55CBWIIdoEajk07HOHT7RlKcUdzkaAzB6a/tg+Sg82dTAs+xTDWG
4s8dSdzIgFDiVslicojTrAcOM/uKaXFnB5KdaQWuqfiKvjzIGlXDnoKsxIy/wv4ubdCoG7hG6Nmb
5EqrTjOza57aDUu0lxYV7A7Rk2qgVXsP9KuLesBlZzl/TcOGgBkb9AioZ57JBVVjgwJIADsSaTgl
GIdi4F0ryF0V9JU0HFK8rymuVGlHPK1dNj65yXJu0T85Fb2BysbbxekYhRZxlI2hLxKy4VaThBcn
W+zU0zSdmYDwENAMFlrhzpQDeaAPiorhxcI6ElNyE7l2ul77NHLzwLbO+PP7+Z/Z/J85Ik/hZ+Yt
4EMU+aDG4FbGDc38XfSKywJKqkfoEtIyg1J17qdZd0DCeHkq19yF/DNOLOipYYPL1aBCywlgscoV
mnFgvPRNsKG1ANZcNrWaHhI0axugI5kYOxeumYC8ock4bFkVXg5abaRWM6JZIHEHo6V60XvTv5eV
dhsryR7f6o7WxkvG+kTPvmGRJwrULbOkwzdIZhQ8l6bUXaVGJrnRmENATEb5rJPYuGO9NRwLrpZ3
aV/ualCobUA+/j+TgfeoP23YkMw4nXglTFJohOBDZCNygtptm31k/pRqP9Z9Rmhu9CAEoS20f/ut
CLm65hBygbAK8OhA05yaVgfbTgEmxRzwT0AUYu2XPdWCNhKctViPghZ6jgCt0wGiOrUSSb0m5UU5
5Rn6sTHyfQjK8G74seFUa7EAZUUEIXCPgO194cBmUnDFipBGqS1CbA85g8yUUqrXKBQHDfibA7xq
RHUaQOmg+9EX+TsI/x4ECVAXTrWXoCbaRnRaDY3AtEBiHgg41V4iusDGhoOpTBE7qtQLtOCRm+O+
hu6V1IEeJOAPpEk9vU89lmxkDKu5OmogaNKEX8H+cmljQJE1vC45cXFfGv2Ol+RHMsQ0rR/RQ+kq
LPyNRhPojLy0XUPb4gOshKHXleqh0mMkaqAbtj8ur9C0o5aRFOsCpSKUgpEKLhZoMCsh6gHBmvdo
+mqhnDfsUHikQdDf5lnrB9Cvv2xxzb/nFhd5U4E+k2EYYRGKlIJqSNcqOfngOtRbpK03pjUvn9ta
eLki1WOvdrAVI5u2O07N4rXo9pcHtHYYzY1Me2B2OpS6hG5zG0YGxMcoEpSDBd8+BrjIt95lU2u3
obmphQPlSd2EAD+Aua5WnSrzwGFj8s8gZq6Ke94A8rei2YjJ6yYBNkd/IqLRUq8r6goet5NamBwI
WIqcMlYPgw15H8O+DSZut/QulsYN0K+2ltFD7BClUYjUgC52MdIkaAwJhJjI6Hf8jaDyjGvsdX6j
0cS5krzBCQ72de8S9BinN4U70uD5XTjk0B/5c/AufpGNNV6LYybIpnR1Iu3CW/vpGktpqQ+hgqCM
ehGVTeuWs82cbdVZUSG1AetSkT8tDuA8S0ddT6B0FTxAftzPj8xrbbd3VF/fMT92i446ycZmXPPd
aVGhQjFV/pfYgbxA7SCvoBuWGeZQ3KdD26VujKipuzwpOiditf5YVejc3Eg31gaLvj0A1MH7hqLU
YrBlkeKsh5q1kw53sebXaM/strLEtUiDt0+coxD4AGXY5NqzjSnXfZdxvQP3ePMljbcsfOH2i2H5
l/fk6kgg84YlQ5vsWf/YaPZDguMUG8TiT03TvkZlSK1u9C6bWU1J0Dc7SZTBQ3B7Oh1NbQcBk3t0
7iX2jR56RnzVZf4AzsPmXta9XPFAh6Ua10r7fNnw6vhmdhfxOuyVJuzCcYqhqM/G0UETj3kqbczi
2jk0H91ig0WMjyydukZDkxROqZm/J6N7mxOQ3xaZ6fOiAXddln1eHt26XejT6ngtx5m88BG9y4RW
TbIpI08dnlpXrQmB11G6CyQQEyiQCTS+L1tcCyUTw+L/s0gWl4mgTnmrof3W0XLmWBFkpba0t1ZT
nLmJhavghkeEwWDCgi5Q0WBneSG7Z91bAWlada+iszzYesJbOydsJHhA56G6fHZOBHqhV+PEfx+3
uWfpHwCMOH3cuVpb3/IS+gIkvZa74XB5MjesLieT4HyP2xZWrf5uLIB+vVfD11K6r8i+FI4gG96y
thdmg1xSsNia3cSSBnNd9JQnV6GG98gtOtU1j5zbWOy3vC9zg6mwQeIK5GRUJyFVpwfowR1q8AJs
bLytIS023pBa8SBkmDPDrwQ8eVnvbfY8rZXl0XWMcxxuD3j78ulRi1ktKiQSTgPYJPcVtWUfoHAw
fvIxtn2wQGdPfW7Ft2Zfl6MzlEy6SzMZcPQuZt11KJLkqtYtwFkve8/K2Cc4IGhzcc0C1fZi7FZm
86LG/RpVqEPAjpXZU6sNNk66td0IcSkywRyRPoBS8jRwg+ytzLUWhcKuE/q1ZAn1nqX6VdJ3uFSW
9m5o1c5FDneDpyFQIkX5+B+GCViOhvwN7FnQSFl8gGlWRZrgMhtYTxa5R+eUsgUbPWfSIXhVntlY
hBytLcbMRs3cqXnkxPHokTqn3Si7ZlB6NZeu1dqkYWsAWSWcWLOdOG2pnCk0hsDtAGh3r6m0lj9N
1AQvL7KB0S1uOCdftthPlhmLoJoKpyXzbO21a7CHjmzrhWslqsO5LQNoTyCvz6gIjDapwLiCW6Va
fsflc1i+XB7F2u9rE0gRCHXkAMvIA8Z/kK+a+P0R8zRA+wgH/mULq34KPhhIReDzgaxZpGQMEhC1
znC5yI0ru973lWfl0Gb7ICHU+vRd36HksgHDO4d0w23mNqdgOEvRynCi7kO/s6M92QodduDroOQj
39m3I96cX6tr2yUbtd+1TQ9WMECfJnDumc5SYmiQc82n65p0nRg7CZe2bOsdcuVYMuY2Jp+cD0uR
A7mup2EJ6JmgRuSO6U3AXwD2isH0uJWCru6+qR0Yus5IDFHaOLUXBaGpVD2uJ43TuvJLz2lL8Qzi
QJbX51C+mQRvpKvaT3b/QY9rkoFAIR8dhbghLpymqgZmNBruaVw5kvBY9J8W37gLrp4ecxsLJ8mz
mDQZw8VI3pmU75mnfgTXjW/vQmo8MlfZqBCtOgh6Z1EiwuEAFsDTyUwF4WE4iTdbCk6Fn116M9Qb
JgDuwo8so9J0n55Q1LjuLTGTddSXQ4xmBieRuHiZqGx+6HLcvqLvtNg3RaB+JlVmHwIeSbdmFtXH
KFVSL0KP0z7I5fDAorL+IH0gf4koD/aywkY/knSG6oORa7u8ZYEP4H5zlI2xJXQ0s/ED9GBQt2B9
AvfoiVwAqWiVbjpEzU3NE/hIZRQOrxr1phpM6a4UQV+jvXYYd0IR7EuNlOTGSJviISiq/ppEvL5P
pLJBVQpC2kAypHYPpo6KuUxWf0CdF2j3jFSBCkaLon5uGs5xKrT8VjdLvXK5DoUhpwBQqaRZaALI
N6J16rU2YrLDxHWPOFLYQQG5ngeVyHAEd71F9mHR5wWepkR5zTVt+rIgOrRo3nRV0WRgtCUh0JZ2
3vnC0Etfzjo73TVMNHs8FXQHI0g5c+Qx1F5YMlrHzqigFi/3mca9gCQD5H1TmVyrhRzsWWf3ES0q
uapog0n0O3T3u3o5Sh+9YqTSvm0S7jSm3tp+ZLR8l4628Z7WITAHsiw9RzjiPsfACu6qoiOepIRa
43CgVhPKAUoiLoivSOsNcqy8aaOKqz7rjaskbZSvJinV3yTn8n1nJpGXlwrHnTJAk5IrZXnylsZG
JwBUzpNfWaD3xwidMa+R0raHPFNGp+yG9Ab/vbkJLSuDYJ2p3QTSoOABVgsPVq9GNyrXoaEI3saC
CjwLvdlCNR66jNkRiHlLraAFsZLOD1LGkl1ThOohV6v6IY404QNwatdOpGnDESp83afZhjIgVyUe
lSxw7+46EGwCSgNI7L2VsOo2CURUoH1kSnPQyPjE4jR7zLPRyN2oCItDkwvxwYgR4pFdKbsv0kZS
SRNlGPWjGib1exSbkg8diOIYNLL2nDWFFhxAXMX3TayOD+ixy/w0HnRHCiTzQTdFcKiVSsfTPcEb
vicaESjUyPB4AkU/CJzskqrqH5KiHVraJ3Zw3elSujcCCQKdvJAUakJl50cGoM6zhnkJqQDM9Ykp
epW5kB9MnvOI9E8qq5VPu7AjhyW2XFPIoWfPmdaKLz1B5ZGqmVFbEOgKxVveJfZDYLMKdHeFpqFp
gqRXVgeZnrFpez/Jq+5ZFYNaUiaV+TeoCXpPAeLhWTV4WjmJhUdlmqo5YPIpt8MnLQ7AHsD1sKMM
99dndVAlPw8aLaRyLieQWQj67lUrWXcIkrSE8mNnGFddoQa3TKuxgXNZ77GLBnKAJlN71XWx/DHk
mkLVWBB8um4FKeC8uXmblih8UQVedhABlxA6jDIewEUylkdSSvH9EI3AZKLDWBwE1B/9TK9RV9fH
sESVUu+vJeRevyA30L0Upt0cUiuxAWjDY8FdhjJGxgYRukWZl1/MCsJbRMPGlcp0+GGmqvBHokm4
QmZ9SCuzADxtHAZ2xVuO2509GMFOkCh96hGufTmq1JbCEGhL7EL4wFvGN6TIo0cpGMK9EWo6tkNc
YCMZYe0xDS05yTC2fg4xxI/UriRKhrDx0iE2951stj01mN66ZTmYeBxQVEAzzQbP0mQwQWZDROfx
KCNe3sZ6tysMo7QdKyX6SMFsWdlQlOWidtWwSkLULUrAV/TCNEFBAAoBrzF5rTkmM2PPUOLk2QKZ
eUWzqpdAZA7RmMEZKzIWji1X8Tf6TGwGRVVRv4rcDrxBK4sPkwT1vg2T2B9IUn1oTKr3AixvTik1
tVeaZeGCYLN7CTNpfCNKI393JLaoacb5A2Bi5jUDl+gV+uzGgwJHRLOFBETa5ZRyNfWeCmMT8Qbu
WcvkQJerYKhwkqa2B1GjukzoIFwr2wLRrp3YuobeJ/glyGSW3V2dGuFuGSNz1YKjKv0W7c5KNsrg
Wyam/HyW0ckgaQKpGUw01pPdcgqCEHmLn2HLxvT3mY08Llv0FCMztfJvMZG43/XF439Zkb8zdZaY
Wg0OIwyjQKgQ+puVfwap05Vb5d2168p8RRYrzxU1ZIYOOxlaarSXqP33hRiQDPwdxyIllAQO54Bg
qkTqCcDGK/1VsV4vz9XWcizywChWtRYMaLjSVseoeSvtpzh4uGxiY5r+XMlmKw5VZugPlzChQns6
QddIudGGuDoGYk/gZJRTsP1PXQptufEgp7gYpMqRg7cg5SDW2brETbeLZS4LQu5/jCwWo9UgJyDX
MGI8pF/ilt2Oe8kx3MbvIDjkFF/y/vKsrd4a5wYXKxMngKyCcAIVFUfB2XY/7u/bK0Cv7rXdi+3K
11uXnLVkHZB5GQwJUOGxl4/lsiWBZrBGHBtS4D26e0t6aPQbZt0BnXx5aOpayJzfCxbVCo0kfdnF
uBfoFBBWv3yvD3edxyzH2EX3hms6ISh23uujQe1d8Z05OCJeiEL3HQor3uVvWUNjQL7q7x1lcasM
uTSg+T+InFZ7HLkvAw6imB+q/SYDNYihSwWNB59sdZavbQpAlMFEYeB16OwyWzZZmCsTYlCqdmIi
jyzLjVlevZ7PLCyCOWsKldkTXNBuhs9C+TX1/tky+p01vHjxn3aS3JN6q497tb5CZDRK2UBE6Ohs
Pd2LVVRplRL9WVrVSQCpQeFhbzVoXmF3/MfG2k01veWenBtb7ElRmVHTSzAWW6it8YMOPmhsfvCW
8HDf87eA/IrE94bRyTkvGV3sS8i4ovgPHUgn5KCQK3+lR5SVHfJTdiOv32UvG+amMZybw2UDNK9A
8y1rD0QWggXSBC55KNG3lBx+cIfd1NRMKZpZ7gO/OuARwrpld1uvVWsOBFzWP5YXs2uXY8iCyUXL
xIeoyDe7ln+Wr9HO3MAhnYndoNwHNtC/hhYzmtkxh6gfDBE0tDzlr/644zRFVxahxq/0Rn8Mf+C6
dzvpJd6WL9bGPlmtUgD7hq5OSPMCzLeo6la41KmkwILe5I/1nXVPCmrtBNIsx3aYE33m98MVLtW2
u6WmvFrRmltexEHdDnM7nFypfrd0eoe0WNmBTMgEcZsV0sEvKXfBL/Uj2kEdc6utce2tFcLvf8e9
iHxc0qQMiTNISF473Mn2d4pJk9fOLY7SjvtbfShrx8sk5gpiArzsoop2Ghh4FSaqMSGJ8+CWc9oZ
fl3suuom2HpaWssG5oYWcQ9MSYPdTgBfqXxuyneNHZotSri14D03MX3CLKOJBNyVT6F1NA9Qi9wx
RfsPKc0kz4FKNVqbz1SEczQxEnXCKUJotxvQpOTZ+kaJeO0Qnj1mLAHySpVWMgR7ME+jdd1ZybHm
MZgBOUhGVfdyEDtfe4IzduIjhBwcbi6LQyFJJEtrErQgkQF0+JoHThEaANYjJa/qvybbAAoC5/mk
HQHiBpwOp2sjp1rT2jbINjhIksco83BnFBTORwtEWHp5YOe+dmpsmuOZI4x5lgS9AOOGXNyj1lV3
L/FW2Xt17myQBdlo/FPOPEFioZkALorGa5FBDFeipvVFILCpGzmNQ31jQOcxHwP6a21JRyEMUeOG
iwENnDyF1sdYvjN7fMA75ZWcWV5SAKGETOzyLK60F51aXUTgMrMESf5wU9zJocMes9YRCY1vbW+8
5Q5o4Z/tHQTLwb+BxrHgNj9sNemdb+jTD1gE4oQJSWUKJjkFREdF7bWNNrbAShvgqYlF/DMlOZX6
CDPb+4qvP4XPYei2LjmKXXElIjqGjnl02If8XlLbLf3LM7zuREgg0BKLiv/yYS1NC5ReQhgn0beG
HimQGWk4a7MXvdhYyy1Li5lEhaYPq2lHNPIREQZYTkfjD23Lnfrjv4wJL81oNTStM/KZOtRR5TN6
sBPFMjXrWxTLWutZLvdtsHXRX9vmk+gWlLqBG0eicLrNjdgauJZO3ClQQ42LDsVW9C2pr5cHtHIg
kz/aXv8zs4gmPJSiXC1hRtoHN/mXBInOR1J68XXn6vdWT9OtbsnpB09zy8kgpKY0wHTB6reIy6iP
ZsDMDWhYNr8i7bsfcvSZ31XGxmG25hMA3QNPh34UKLUttndTNR0rQ6wUk64bdpDV26S7UvOHxtgo
mKxc5jCgmaWF98mpnjdhPfmEUuzG0r6KarumWqZBPL5oXAWPREkudip0SPuq+lXo75eXcHVCMcI/
XBnWWS2wKa1xrO1pQtGwZ0vEZcKrEavZ92U7qw45s7NIzS1JSjQSyZhR6yrSwfzhS9VWwFpftb9j
WWTlKV4mukoZcbY9GA/KIUTZ+aH6naLCuTeeatOVXkDtMjocrB5b4hZrpxD5O7w/uNnZsRr3Bip3
HNPYt2+DXVLR76N+oEz7HgLuq8OtrO0vT+jqwoE8UVdkPJmDTeV0h5vWoHboMcUBkP8iZHAM5Tsc
XAYll8t2VicVwgQQkQPEGeZO7aQDb9RIh4PG476Mvgr+LKETvLjTtxBPqwOaOAIwHjzyLiN+AtKQ
nEWgq7ETCT3f36BgxZWfO3IpNnb3lqXFniuTgA9BCUud+mBbPknftMp0sk06yNUTFOSd/wxpcYLK
IgEpQgAeFltYN2ObU80owdcYvRQVeSzj5prLhdOHz2rxmvHwHvASKvHR66wPkuR0KEpvNLhjiugA
MsTD5XXdmoQpwZh5bJPowiAC36YIt7K9gtzIoVtKj5etTNv6LF6DRWPKb4GxWt5UmbA7VWlBwmP1
n0nz3bYg0DrI4jgUTvfrsqk/2PNLthbLGqY4Bw0CW1Dhfld32V3Y+hWIA1jtIh1zZXQMRU7+Y+ua
OE3UuVnTnqhCAJxeUoORIVI6K542SH+XK3d4XKOXB7a6UuDB/J+BxUrFmlQMsYABUGm4kXY91G4i
wBu1hY5ZDdEzO4ucwVTzNjUa2NH5J09HqisPSvzj8lhWo8nMxjTWmddJRIKc8mRjaFIaxe99wZxY
CZ2oebS2BDVW5w3YeYJ6JchAlmRbHWtFag6wVRZ47n3vKyrLTi9vlNlXPXxmZXGwhWXVyZqMyB9i
yxqRVwfUzL1GvrcCn1jPl6dv9ZiZGVuccDJLOk0BWBN4hZuJQ6vyys63lWfICFXlXvCPy+Y2ZnAp
i4aeMGDShj/JwXuT7/piF2rPmzzrK+Us5EBIiycGHMCUl/d6UgwakB/TuZ1emX77LnuMQgY3j+hw
n9HqXt8ZT437NdCtQtqqx/81vERgKkUeNxko6p1KsnajAqINo74JanMj1K5GiJmZxRGq8z4pAuAk
HBCkUw4ZbPXt8jqt1LBPZnDZ9C40LQUYCxZG9ZuAjEaU+85+JeRRFW+hilNFOVq5t2F0dS/PhrU4
3fqwxcNMDKN6gdMsExTZOIS8Q4rLD0qCvxqu+2H22Bi4gdgfPQ8dqXnL5ey57YFuAWggwjv45W9a
ddjZJy1CpdTITC8YPqkFQZdpPRWFXyaP5Rb7xdqC6hrw0jLouTT1DIpW1GkLomfQ+KkuH1onHbew
was3q5mJs62nc2blKKQ47Db2gAkBaSi4SsZd48e/UFpFw9flmds0uHBSI2cykzMYBAPed3YIju1V
DXRDScdvmapgK/QvG1xbqvkAF6e1zWKjTLmFOWzfetntzQfFfNe3ngi3rCx8NIjgDprAqIbkd29h
HKAQ7T9r+/vyYNYCCZp18ZiL6rR9Rt1hdHkV9QKDSYVj4sKhE3+MtvpH1oL/zMgyWllAv4VqCSMC
L0Ype7JBxBQ9WCWtoisgqd2irTacYu1sm1tc+ISM57guUWHRED5hEOzDHgfMObvufsWbHKsbc7iM
YZbdtGA6gzEpf44bt29ftI3jbIXkgoDIXAHDPXq1wJW78Ia6lkg5NKjq6mX1bBqi2veD6ptifEev
Q0xjqKPv+godHZy16tEyknfITKBfBQpI/CcY0q/1tPO1fqw3coi1SGoA9QzF7onqdtlDZoMQO5Rz
lKCsVkK1Es9lRoBS8xc4NmpzI2yvTfPc1mLflSwHy2oFW4Xo8G4M0ZXyJ9lq1F/bdnMji4lGSsSs
oYGRbEADIVPcPGlvUymmgMn7l7feWiw2QB8NStHpDXdZPUfaZ4XQucHRp7h6H9Mw+7psYHVxZgam
sc5SVjmymG2mMMAUtE6omgN+ORq0rznxlCzdyPXXRmP+4VE3gdxGZ8GpMUBpB5n3BHR5/WfR/RT/
WggB6dX89xeDEWFDTBaA3NdG+ZZplRuaz3WfbsSNtSmbW5n+PpuyDKjxII2mUQAErO8C2SNKC7gk
brhPlxdnzZvxyIySwXQan2mVJV2aW1aOk3ggeBWsfK0JfNXciBuri/LXyBIOlOlBq1YyjAQio5a5
C9ut03dtv5iTPgvaLnBLNafQP5+wEpz9fYRjShP7sYISBvq9HqP/slVmVqxFw1Fm6ngxUDEOlUGh
7LsPNslK1mcKByD4ctC2rC/G0TQ64ssACxDBQCA7oLZgNHe838WyawWHonzDDo3rXcHwnor9ilvm
ZX9Yn8h/PsBYDDECtKJEC+ZUTg2dElquxktevfft4bKZdbf7a2ZxMDKZK7lSYZyKAtwqzobkyd5K
XVY3EUBN6LYnoBxbqqgGgwbgLLD9aA191csnnR/k7JBXXrRVu1w75dGK/Y+hZUyAAAaLJpJxVBHV
7qbrXgZpT+r3Mt2TrbfOc1bmKQDNjC1CA8kBYweoHWlfQ0fffLIpp0OEVgV6f03f3kaHeteeZ9A9
sO6X12zVN2eWFxd1iGJkyWDCcoR33DHNnc22KXXLxML9o7SLbCiWYRvfNalbPUqOdAu+zB27MT3h
ikPheLT32FPnZi/kmrlb99nVm/Rsdpfun1mlEY4SfMb6VJ7Ybf6quAUQ8E+/pc/qXnk4Nm5JyxvD
uzyzGw5kLHZDrvakGiZyfDUFHhxk3mA5bK6BsibxZ2Js9OisGQNv9iRoBSKeM1DxyGySNFMw7uPc
56o6dXocmrHcV4qNbqcecOZiq9NpbV3BJAAEA1R6VTzUn4ZnrQ44DxKkpsAaBJpM8aasaZzWaEcX
B92iPPiNXJlG4jZWr0G4Xfe7yzO8esGff8H0hbMDQrIgc8pbfAHLb9XeHZmrd36R3ITspoR/RY8B
Lrz/xSbqZtMDGPryloVNYH3qGgq/uNRAj7ojeGm+58W9VF6FBhrVjZSKPKbQwtowO03msp5qTzR0
OoEclX1GeIXWGKhRwSzY4KRfRTxWeEoBqAS4ufSQVZFwLHNMdsIsemgDR1PfpdrhkmqNMr6stnZt
08UbCfpavJ8eA2XAgYA2WD6CNCC6ikuVpU5QPlbaW1JqWPN/D8tH6WtmRD1dYzUbBzAuhSnYEiF7
eTSsO6RL0VZL8Jovz60sfBmtFWYryRgK7hnUFBo1g/3lFVw7g+cWFr4ayEqKDmJY0OOHLkXVEDaI
jQ5q97KdtQMSnaIy2renjblMNmILWkdFGaWQGAfIz7TvS0W61Yz/I+07muPmuWZ/EauYwLBlmCyN
smxtWJZsMwDMmb/+a+q+Zc1geAdlPysvXKUegAcHByd0D3vLaNe12giWtWgDs94PJF5n/jzOuZdI
u2b2hIl/QwbXefOttH5Dz0Bw6Ba/zhcIH2oOKCHqaKGHA69bt9JltD+IzteSAwUlCvhdMPuO3eO9
ddgHYRZgHegGLVMn/S0dY9C4F6tsj8dNfDD9HlfF5EMAbifU1Z7/+MXhBlUPKAhxvC8kIBQkSqyy
hm3kkdvZDi6oA0QC+ke6pV6CgUDBdi6ayNeR4hN1hIKbPGxAITJCsSwPP1qpBBPoz6y4K0XVhkXz
+ILiE3aKPlp9HGNlQ8g8jFAe4iHyVExnXzf6RQP5Mnr+hqdpnJApwIo60q4HZbifcP1dh1hcCUiV
FAWsEDa4x8/9kIGhsg66b6lbFx8amC4ouM7C79cxlhqoTAspApAaKhi05ScgUoNVHRqFMeTiTiv7
oLvhLvxVbaLX8L54R+JRewBzu/pTRdHuU/k3z7b09fpvWFjn2U+YD8rJndoadUjAsp66YHMMdGcM
ZPkOzaAQ8tKzjMX+dbSlBCtEedHMhGfDPOLObausMYgC6lixjmkFMBNBW+sQoHmrNdGg4xYTBbFj
BOWrO61qwL0nYpRfOPZn8NztInfg5TRoha+qrySUpgYkmzyboWtYPsqS4L5cilfO0Lhbpq7TnFJI
e7ma9tAg3TBh9q0OHTN6aTVc7EjAHYLmH662M1Du4iEj+KYaFTscFcci7BHki56XS8+XM4jZpk5s
JtQsNNIzrEuS7gOyqi1fi0JPl29I8I1KfpxJTvVTAw1TEvlR/BolmPwffWR1XBOKSfG+Nz7k8PtY
PoHQRGRgl7MFULY0IFah2LON8SqeWkzTMh7w29riJaW/6+4HmaBaYa3T6kmfMK6pe1Y+CC7hpaq7
hTZZVELm4jrYTM53RItJziILmz7u5F/6d8wTdpvSIy59Im67V7al38uOcK0Ljh3PeBlvSfB6wB1y
3yFKpCaTVJzdYTX66o/gTfWnD9tJ81X4K7s1VunRhmVvk3vR9Tn/Ye4CAzBGJzXQUaqEvz3lUQ9K
xagRCQ5Oor0Y+U3SrK57isW14Wkz0wQTBN7cjjJJ1gbNbHFSVW1tDh8qW41h7Q7ZehBpES2EahZa
nP9AcScGI3p4aeWAihSPSZ7cbuxsPZqCBS3cWWco3McqhrKxyxoo4E0d1GNtZYJrfvGjnCxjXubJ
qewTkqtFDIBEBZHCc9ytoljQe77UqGeDywXlkLnbmNjzVzvBiDBqXsUdVEXMWPY7sINaip/Sdxp4
sXLAgBL051isOmgGECxuyZeeIXP3lKSxQiMakCMIjaAsnqKV5R3JwQl1isKrUKQTpbcWIUHuiP5R
dO0gucotVrGTgGkdCiXI0rD6KQ9vlFZC4s5pxtZJ0taRRrwfBK5k4StifOALlF+nbCUjnQUTs+ku
N+5k5bch0rtZuATPILgYHnryk1bOyiKY3IM4aWU64G4+WM5oCT7a5ww15ydOkfhiXd01pFdkIGlF
/0TacpcEYM7pE6cuQJrZQEJK+12xb4byiNdEaRzSIfIVC3034IahCQbCom3cGasxrbzQeFYD2U3V
j1g1HTRROh3J7oaeHBPM/V/3PQsO4exn80FK3EWgU8DP7pDPUPNVr7zY6JfM/Oswi98BdEboKcQQ
OroKzw9TqEfgKhmhtjIak/4Sg1r5LYQZVk6qaxGeIQSevckM6MPKFPz3gkVe+iMCbQOcYcWYGcZ4
5q+elWnWhDE6tthjLu8zJljdpSHj75u4nABBoFHGrS7tirgKZpGqGoVau8RElkxXtvzt+h4udBcC
Bo27yJSgTges802cGz5ITiB2y+KHCjzrdCVra3AaGWHo1MGRTF7ZOaZ9aNzyiYDM33VnroPVJHKN
S8vFWBYmf7Bk9aJZuokKJRlVLLfMf+XUODSjtB5bVdQpfXktEsghQRAac3cojPFZxoZlSsmaEkm4
0SFPIBHx5Jd0B7HyG1K5mC68SX9mbrpnO1Pglz7FPc7PMpBBmC8bkKq1UTk+3+hJllupkOGAwdYx
RY6ERsffCtoN92OudtSRWYNe/qacOjfOtfo+H1iGN0uqVJqnxHF+pyA1dUTvFrS88sKuMS/XB6rf
1xW4LNBxl0KbUGVh7mBWO3oKzLZ+6qcc306TqbVRg0R0H8+GcbEe9HpbWBR453jvXrYpM/SkQqVd
D5GbKczWB/mH4pqSZTmQ3D6MFUOIzpJggzhL1M64MDyJ7cT7B9SeGO64GINQAoY+8wqHP9mqb8EP
DRPVEnLUNniCAy//1iFFvel7J3N26VG/jX79fefJGf7n5Xdyk0vKYFeyDfwcE6LGPojXXfBK0vX1
47l4Kr5W+RlPnKAQWnQJ6YBi1Q8UY2og2dCV5+sYS0fChBwtmr8wB4oo/NwwW0wT1wXYEJCaLe5U
zL5HtrY2gglXdO5YUiA4CBdLQiszgYw5RNUsJMB4ukiz7DJIsCMJDc06iuE0/bfdpDvkjkVc5BcO
egZCIADtZAxmQ273fF3gYEFX3oAUVdqO3/PSjhxNGJRe3HSfGAb0fFGPkpGOOsfAGHbaZw0wMhMq
5Ri2yxMoF+oqTqQgZXMZTQEKkRRolTHoMTc5nkNZuYTBhAmJXaOBhvCusbWQ3bQVLQZHR7bPmAvK
4NkyepXe6g2JHtRIbfdWW0UCH3q5ZvQQI4jFLzFU8CFyP4RoPQFveJq50AL0ewMpjxzd0cTJsoe/
NExMJaDjG+KcYGcwCQ+kdT1pNbvM3KA+ZMbbADI/lm1o62SlLrjML43yHIqL/XG7Fxp4dTFtPKIT
ClOnORxL+Xx9PSIQziA7QmowmgEEpZCwfrelzqF/nXabJzkQ6Ns20qOIurlnX2x1lTyEoJCkReUZ
rNukJluBQGzz10uZuXgU0Koi8XbRbDsqIwkKRc7crDZ/4EZfm4GZO2ERClJAC1t2isMHwGhaz9Gs
PMHWUrCnFtKqliCgR5T1PywHgwXYNggqI6N8frYkuxulujSwa2PQges7txzbyDNIFwV/f4wVjNLN
dLlgpkXAxRlBWIJeIGVIXsVG4aSWb5low7yx8tizqjejiFYWOFQxqnh9gReh8kxJge4mhFez5CTP
pmBgDD0JYqBajD0VVfWiFuEqkSV01WRg+ZfAIRPa/nXMBT+BgSLIVGOVBno5uMiy08KEtVOcQxJU
XnUaxDD69dQE3oii43Wki1AEqztB4q0kiPOwHgYgNdYzmvbQ9uRLAfGn4Y2oIMP2y78mjJp9MdQ7
QbcLVi8Yzbm9EPCVW7YEX0yr5nkIWOEEKpgJ8UoTXJaLXn8uUEPlGbyCJj+CmRCo1Vhz66mm2jsN
aisOxWxdUEdvQdf/nGz1JUo1V82zO0UvBUYj2lbuVLAmD8KgwrZistUx+5Vu3ib9ylBfY9Pya+mb
KSLIWbQYvEEQ+sLnE35bW1NvyVDT3FWM0Rmj+0EdPTC3dCLmjaXTAPW9/+EYMtffU0EZoQgMLCyB
WDkdXnV7mqd6JPIttV/BcijYx8tABA+NWc4aRw/r4seXzAls92EFZ1kaexUslBqeVtcPwIKbREXR
mlmuYZMIq87tcShZbkYt/FdhqbIzyn3i0yYF46JZiB7dS4tB3c2QUcqHN+HFkxCLM4mpZuaysHAI
uROGVJdFHdz0YNGZ09DwxaAVP19MW8mUVgF81QBKRqcIyN5MSbOSxuQYyeAOr3WyC9T+oEjSzrKq
raTmz2U53RRqGCLJAF9TR3eZBqZRRrpdjhJuICEiC2VNRGZ0WY2ZfyoUKPAQwSHFnpz/1L7qLGLR
KAcvn7EqlHQjR3M2QkYXNdpIoPhaJtBiHT7CiXiJErp2J2I7WvjyENhVIe2tQfYVD7HzX1AXAegT
RmmmjN6FnemE1QNKZX9/PQLERlYNfH8apCXPQVKWlmkxhnAEcEJBLa8N5HWEXV2XsjAghVJmZhYL
UoiXAXvN9ClRbRzLYUVW0u374KU/aqdCg1NZO+vxo3p9AOvxMdsf6BEUoi+P0hNIid9MbxSsd8Hr
zr8EXNloolUuw/o2KTMFvPY5bhLqZ+2zOVYTZu2HDahpwRnZepj8fFAKtAaSWuTyF78oeMhmdMRw
fFECYXeJcgiw9cT+MQ6NOxTKnkWTgH1o4RxjiV8wfMSbVaj+tICJ88apmXHbRKLBr4X7Aw8WRIew
Tx1t1ZxXgrj1RFMJ39OoHvTgtsu+afPgxINVf9P1TSukqptt/SwjAfs5xZvd/sljuRkbKxjjJHen
0surWzo6SCdBzq+fdrr0ZmtO0z9LnSASvuSrm1ERaCMcgNFCdvUclXaFjQYSlrv2RmrW1r3s5676
He8hw9O9dNut6cfPv/b2Z4jcOjXEVGkR4posUvk4avluCMkxFkmgLtkhqL/RpgRCMzAXcZ7FKO3Y
lhg6HAkb/aoZt2VVe0oWC+xwyYfCQMCqb4GdHkPOnLtv7J4O1pDjqx2jw7DqtrVLXeUtP+gfiSOL
CjDqgo2conFmj/RcoIwZ0JpV40kbYx2vlX21n26Zg4f0X/OrwDbAZoT0FO5KECNze9gnVlQinsch
GzNHq3/h7XrdFC4LpxzCvN4TmzfNgrTggMxdTXHYtvmGSQxHlpzGMRTIRHe7yf2BOc+/rl8CVceN
AzErvNAVvlwLsvDJ6owaPkp+UshOQx6SiexiIUgz0DUIGdn5QYvQ93xlAanUoBr63M22ydG6eTJ+
qlsoB+zkR+qB+772XDwLpdi7vqFLVq/DZcH9gvQErotDpWOUB1oLn4WaSVYZIF9AhkOUO72cIZo3
8ARm9s4nn23MQjOqig5O44hEdOchIgSZ3ZPaOnRt3uSH6sXYlHt7Owlcx6csFu8jT4G500YKkHpD
ngsuav02AHg6Yg4LXmulPYJX6VdxAGeU14Ugu1CPiVO+Sju/bV32A/o0DtmWIue5dEWc/hzuOBpS
AikjAz+nqX2yMR9rt9sbXuGrj0Xu1avBh0TEpjzER/rqonB4/VsvgiODPLexwcnxr/7QsHKb5rCw
2Ni3bJ3WzFP6exp5WfCr6r1UJMG8YNEmmAxRncTQGAjOuL1nXVXpNm0KMAPJrtlClbi/b/K72Iod
lqCNTtQ/s2DLEBlFScUC7RxB0uHcyKSxIyWyQblLs25yGusDwrJwFKqox3c2Vs6mEHsiavt8FkD9
8hwn05QiiGJ5fn5X0m7q1cZNOzK417/WZaUKF+zM2QP+B5we9OCfwySRGRppP+JoPltv5qHxTAcd
xHcQJ1gZUNJrvWk3DynfWCswJgqwl7byFJs7r2VSjSCaBzaUGX+nL9UBDVZ7jGhaMFK7cCeM3DjF
s/x6HXZpY09ROYOxaAmDYUCt0/2AWTFVsKULBwAUxMhEYcwGGpA69+HUFnzhVoS/L1V+ITuZRZ3E
elLqQ0R9NVyPoknQpVjpDJC7rQpK7aYoZsC9sW4OysHcT3vbl37VHtoQFEfe1wIPs7hEXFQouSFM
u6BvYH1AIEUI2zTzYdfawzpAVc2wf2vmO96ZTqCYa/S3Clr9F78bmolRHIPYF877uaX2XVaC5led
Q/hmY4Y9hhZFbQ5LFz9STzgMKAWA955/+OmQA8hRuM3dEGlxSX9h8RZ0Dg2yGGj57Z5V8BxMd6j0
h/EP1q47BFeiyHdplae/gPuYlAzdUGY6zkQwSTv0GqlHvSQf14/Apc9EczGmNDAejzcE3Of5VqYS
CUJQVhVuSx9lEKEmu2bYN/pRkne6/us61hxRnPuxcyzus9E+kfJ09s9j+8PU11ngJMNBiW9sUc/5
/IfOgaDkc/LtOE9WaVSBdeDbJVT2JfyLRo8tRAMEXmshnWZiDBBFMDCXgG2Z8//QcR3jwZ79Ml6R
TWG5yoASYnws83x1feeWFnSCxBdDIZsSx1GqQFFKmzapHqyonfhTbzxch1laEEhUdQg8fQ6AcfvG
qFImLcpNblilR9MO34cqvpGRekGvnaDwsBShWRijBnOgaRoIdrnNgxgTBGFCYEF/YN+24d00Gmuz
gry1Za0obTaydqdAl5eVqmMPt6ryCJGIQ1gTp9TeK0oFS7/sHJvDlK/fw29xA32OvG7xeyYSvOad
4uuVsiNFtktodFejkABJFc9EuoKY0BQcsr8+h4AnM2+uOc/y8EXiHlP1tG/CAgUfNEgq20EB247L
QBQ2D2SLOA4X7MnCTY80kGFiboiPKCYjhN5MEQNtwigWWY/sx9QJnLQIg3NfJMgp1GEi6JHGmTMF
62wMvRJDhH9tsmcr4Uw2LItBVmqsRKdrq/kuxbcR86LE/28onJeEQlPb6C3WYqCjLjwwbYv8oyri
DVreMbzRtblHFx753BdbypRAfQdrYZhXVfQNeNWc0Ra4koUzjg37A8JPQERD28tTNX966SbTj6m5
SUZ3EAlfX14rMGcksNE0ZqPqx4f+ZWYGyWBiw6RaQ8TabAutPLR6wZyOqS4o8dZqL6o6LG3fXAHA
7B8yxRhaON8+lpi0stFj4VoWmNtH+yCn2dpuRO0cC9cyhOJQcIPLBxA/eFHSMlHGooQtGOoN5rTW
efB+3dou78k5zTU3MSFrgzEc7mUe9XWrVhreFaYVp17fgYuIRn3qK3X21kNwDH4xTAX+7/KDnd/N
s9mcPJjnommr57ibm9BLrdskeLYDCLVCaeowqH9fo1VnUba5QGsjra7PP+YEDGoBekpLfKkotrZ5
9CprxE1SsCOaGMbJ4I4G9N+zx8AWRXWXOwthVOAqsxwFCL84bzEh3GlsHfFxE3ud/V3X/KDd9fqb
kMl7EQhpdmTc0BxzUbiIA0Vr6xwRatF+G4zvQbUN25dK3U2Z4DhfWiNW9AXEX1t1Tk3CekQGSvXN
pLiYREOtlwE+5ikxxzsn2NCIydejar2b8qYxEEsN+6m5M7K1FL1W4abs94W6h0DZ39r+ORxnh3kI
4bCqBRwrRneUtxNEuoP4TRo2TcIEd8fSR0L2EDUXTLJCF5RzGN2EyVb4E1z58ktjJRvIT93nWuVD
ls9Bu4og4rl0Tyr8LjqZNNDa4F/uVBOpScJ8vg/7PoWS1Kq3noPir++pGQMkATbqemg2426QPOms
Me8xqNTmv8j4UCYHsI0mIke7ZHPgJzEQuaE2d9HjqSjozNXMGUW5NwJMWPf3141g0Rnh6sDL7tP/
cVvVymWRYWqzcPPMMwr0VX+E+lFLtlAXg+Stex1syQpwRv+Acc4Iud2ohRYhro1Jd2K6JeY9IYVj
ytta9D5fMgET+SKMwyDwRVf1ud9rwFwE2TZsXImRVFatbYhUk0gUEi2igHlZx82rIevG7V5U5QRV
WgZxG+l+tDGfZz9IpmhQ7TKMwH1xAsLtmlX2M+sgQCYcznxbxx8QBpZBz/QPHwclfUTFSBljpON8
x7KiqE0aA8aiZJ/KkrRBVqF29HB4M1vjRg2DVHCEFs0BE0PovULjgsbXYiMSZWCDxd0UpD/nQAKc
s6W0lfrCa/L19cUt7uEfKLSfnC+u07OmTvIc5jBuarot+8KBFGckGh9atIcTGM7NGQEp27YHTMB8
o/veRg9F/HJ9JYubhkqMiYIWOt0/s+KnF3oS6VXM0sJV1fsuWTVkJ9sBejVdIxa4hsXFwPnIIFuB
d9Dn/z9BivSg6LUUi+nreAVKSjdh6bcBk3vXF7T4aU5g5v8/gWFpbxlozy1cCgZUlrhD7I8KeL5y
QRVmyZXiDfZnOdxZjQ2TqQoFToVREq21XrIpFFiZaMe4k4rkcZih4FK4XfhA4mNsH6dBENAtf/6v
VXB+rdbttiSzIdcKXUXhvgW7CGasIz13OmHiYDbX8+QOPM/XlvEPmMpmfV3qAIPUFXVIXyOnOq0l
8ma0lteYqd9NOihC28RN8m5DJ/u/7ScfNRhmEnRlCHy411Z96vR1UIsy/oJvRtRz81NZF1OrAAar
bM+MjnJjg51B4FsFNk4431oaOWafIErhKqFnN35nrYi6M0Wpq0XbwDQIeuxmlQi+S1yTxyhSIDvs
9sVHkDnl6HfsngWha0Ks5fqhXcjZwjROsDhTj5Q+HswOWOpaWbW7+Da/zZ9R5dqYEzSfZlKru3Zj
Pl1HXfxW4FGzsFm4oPgrKtLNGo+cAu5VhuCtz9JfpsiDz7/7wuRPIGYvcuKNkpA1kJLDuozsxcre
B+UHtd3OerR61UFv8PX1LGTC5l38WhDnYoOoYQorsaAid5TYUb9n+wqDOxBv8uy19vM62rJ5fIFx
jhYsJyzvdbymK0lztLj1omFwEX/35D0nL9exLmda8PQ7Xdn8Y072kTZDTeoIYPK4SX3ZjV/AaOCb
t92u2tCt/Sw5tt/5DXSqtHX1EHuFKDQTfUjOQOswBJ1Cjq2NKrJBU0E3vBJ07Srad7W46dR/eHGc
Lpdzy2j/o1WoA03N9HdmjrGD5qfVWAkVvxZd8pfF8LoKphYWaCjEvjahXwVPJPNMdCJNyWZovdzY
5DHu0GgTyKbgwM8LuHIu+MbPSRkiUhjADSr60tnJ1h6eSDBjYvYV0tIKyjVlJYhABN9Q43xzHkx1
FFKAtn21StV7MHRConet1t9Bc+ik/cd1oxW4F74VRJ5oSeXZvWQtpNvM1K2a4oFBqfs6jGgrORej
YoJs6lLAyPkHSdyi2ZltgOzjJurd0XZq0ftBtCzOyYSsiKRBA14w3kBkJ8+f1PLx+pLmn3zNOjjX
0pWsKO0ZYuofh/EdguvX//5CF+OZO7noCraC0Eg6AFhD8zKN0gMmsp1Cie5DdHSNBtnH2bFgoZek
xvY/QnOOpLLUUk5iQBt6/qKl7SFh4d40xx3T411ly+5UZA6EQH0yyIL7Ydn+EeVDaERD8XV2BidO
NAvatNUaXEaJpLtM/pCTaB2l00qZAi+tkpspNwQ5oUVbQQCBUSU8mkEGdI6oTVQfWDKfONL7BqTD
M0V3eipqx1+8ik5guIOtt1ZlJyP2tAE1QWpZbtXHxy5WvVT7Fdm1YBsXCmCwnpPKK7cqAy+/WE+R
cQ3epMiJ39J7Y1veVJsQgjhb3EC7ZHCU78lWVLFf/H4nuNwyjarROjkCrtIoTpPOOq7rJvcqecIo
+SvtBD56eVe/CsxclKmTZKpVCQXmIH+R0M9rvda5N4EDVnS3LoWzc0YefFmGSS7mf4lRk3ZC85Ub
x/J2kOw9Dv99Uhk3XRSJTGXJW55iccdPkbIMFPk4A4NK16CW6SE6NW2Q1fFtyQkjxJqYFLx+5Jf2
8RRy/kknx05Pw6JkMZZXs9+ptZfa30PzTKPAjSTNuw61ZCHz41pBczbmO3n2lKrtIHXVzo6TrszA
ieI31ToEY75SVc8KiQBt0Y2ewnEGmeamVrQ14EpERKa+ZZHqSNa9hS6jyT5AEaFIf7WGIYBdNJeT
RfJ2GbHGLLT5E6KjaVh3YEmkaFgx1M31zVxyXqerm2+pk++m5WZCG+Sx3Lx/o7IrR3d0FMR585/g
L7o5P6+CfhakmxZ3l6JI1IZGCf+YW/ltVwQPiBcEF44IgrtLs1wqrBycnRCkDA6o7PhlLXooLm7U
PIkKtXUwMvCJNySVyjiz4Cg0jC0r0fdaBncPca9/jcWD+wfkYjIJibDYqgc4P3Mc36bmKbbB4IGE
7/BeS49JrNxbNBNALm4dGl5R1AU9Jxifzg0gQ0uFFdT4OnR8q+w7vfCuL2nRkE/+PvdpBjkbO2kO
EGPD2Fh2fIwoOgbCXPKD8V9yHxbKuehRQC8iOHbO1wKpx7iPFawFlV/mhKYEsei22ZWRSAl32Rj+
AOlcarQ1B6ZSAiC5wJOieP1/88ICl7q8c18g3A0sI24yY7x00YHfYUTDsRIHsyhxJDieC42VKHdC
ABpJkFmnmO9SR8VbtTq0I7vjPYmc4N4bPvKdkUArBFSpr+F62IHOyaPbwGE7UQfwoi8/weacaybV
zWhpWCN0yiwnZJEbpTEGy4bYnewBHLls0+O1dN0kF+4qsBJiOppYoCdEHeLcTFhGkgjzbei4Zn4M
MdLuHr2HVe5J9st1oKVcBTrYIfKN9luMiPAtv3TMMiM1bHQCktbXx3QtsWkVUAyyV9Om0X+hKeCW
IIGWjMYhIaIuh6V1ol0KvcYQpcfkIX8cJrnP+gQ9Q3pbtp7G1MxXemo7Lc0b8N+qmSdH5SDY3Iuj
AXJC5LgUuHvMjkCw7Xxz9VI1ulCJa1fJ73updI0ehDzZJPAqlzvLwcxrP7m39CaVIFcUYVhk2lbW
qq4PU/9iSIYbs2918iznG1Juy+nh+ge9OJIcKhdYScWQNkaKxemltKOTue/ZbzBlv9aj9PM6kmgb
uW9XdXKeZRClwE1wR5TnsXtsgt//CYIXPU5a1mZmiMWodHLVGKPS2rSaWPYfPxXf+DJZdkTaft40
kEaWu4ClTmttK/XYEb9XfibKPlc82Ui3/215nGsJo6FT5AiwIflWgTOrU+6J+nod48J9ndsD70mI
BeqUtMBXivvaLTqwBfbSN8vq9xVR3xPrsbZiQbymw67PgikOcf7/E7sfbVoxPQBiVd4EcoOMDhSQ
BEd4EQO8C+DWhZOEFvs5RlZbtdKT2TDa6Da3e8iv2HrefvzD3sH7olEJ+VX0YZ2jyAxz0WggBEpp
eKOEseWbgI2eivdCaRxDEIz8Nzxu59JwGim40+AxyodKPwZ0RcdDYn1Pg/vB+Gvp5PkznSyOi6pM
OUZvrwGwEaMXkb6tUBWOqCDxsOiNTkA4V0vDrqdJDZCgL30w1LhybLsys451PgnMbtHQT6A4d2ug
70WlMqBAuazZqyDwm+l9HB41dS81N9c/1KLrgxgt+eTUwZzZuWGYTT0WqMDA9YGgfux3iuXFZS5Y
0GWyff5CJyicOWS6WkhsvkCsm+hYbaYNuq626Q3yUmriqI6RO7GnbTFidpOuZCSIbyxfFXy/z9rL
xWE++Q2clTStDg4riiPQfRwhzha+2I7189uTSiA4WnqdS9YmZkvGV8tvXfQpEkwt6oLfcFmU4vaB
M6JpoENah9iHdnQyL+1d8jDs63W3Sd7Lj+heA6+wHzml4l//yMqiRZ2snbMolqmjUZfAhYafJTm5
g77+jfoz+Nlqjmw78kp1yne21Y6ocmimn4qi3sXDc4I//74TRxroOqZRYuCTxxs7daLX4ADaBHx7
eYXZiYd2Hzyot2DBCt+vL1yEy13siVEXxMjwzaG1EI++ot9Mki/UHheg8H13JgVx06BhdXH1ngR7
aNnQpHOm8u36YuYfe8WA+WSrSupAS+x5E1FPZ5H5S2s0B6o5jqz9niLZw3Pagzyx4NsJTOdzpPjk
0+nZVEXdCNS2+CkFusfoJogY+DefDNtBoLG6vkiBP/o8QSdwOVIaXTTvZVll0AIqXaK9NlQUJokW
NX/RExRWZbpMB6DIyUet+HXrldEHoT5Ue51ENIGyHD5/WT/fhEUkUDyjc6l2pa5G2cYlzZ1senHX
ei3kvHKvBcej2bzEoagFULSZ3LFT21KWSIplNu1aTfYDFBUjEdmtaCu5I9ZoY66ks2uxQaU7fevT
bTqtrSDzKxOEt4agR0ZwBj75TE4+HBmruO3mD4chDKn1USOWM5hlsp3UDrWp/SASDhVdXZ//f4JY
WIUUxxU+HtuCQFrdpRhePzQYpGNOfFOvQA+ruQ/j6pmtu13vEEfEZbkYH34Zzye/+Qk+sSf0ic5X
p0QbPzRNsKwKjtzs/C/9CkHDAvjAwR7FhQBdKxFNVxFuWPlLG21Ne9+ULxHzTVEuWQTERQFkkMo8
DQBUjKsy+jnJu2xwWe+1wqTDskf+WhJ31xtdn0aDDiRUMPPeQbTGStPJRUPGy98Gj3doiIPshx+b
HxNNVphBcb3UCvjFqGvp2+vucPl0fSFwJ3iEfuhkgVEMWonQVo5LeNyZ40s/dLnkMOTf694UXDOf
vT6X9vCFyZ1oEBlHdikDM87KV6qCay5lWenLNks3Zl3omlPqkjY5DE+Nj7jVwRIuQZwjTRmoY7JY
0t7Vdqo/2iGXDpVuDQe5H4o3vYnYQycl+k0cQ0nRsewu3qRT3XhJYVRe2TbWb9bLwUs7yuM7OC0j
6F0OujdCTd12xwYtIRQ8uZuwMZEra4iGSKaw6Y3Zhd0NMrghRjKN4SVpmpu6iQk0hnJ98FD3iT/Q
CF1sLWqTzWTW+q9ILhPIpoF73zUk4ifa8CgXZroGR+ajhmLRRs9V4ldSfJfbsST4oItnYCajB9eS
jZIKd/NImWpWrZrhoax8B4nYCD5oU3N0ehhEsqGXtZQ52DyB4oI+o+ptS4JyqGsn6hbT/05kbQr7
uwSBGsXc06hAv5DPRLxiSx4aD0wVPMo62lhVzmLLFpOdmY4zMQ6pA87Y1ZhRt8/bbUUylMeSzZjW
Xt2IxreX9hXqJGg6RTEaC+ecWNZ1ZjtaDM8zNOky874jCQjfixoBmX0j7kVeullP4ThXFkQmkeQB
cFS+71nt19Zz0gT/8Ig+BeG8mFlZ9gSNWdhK/ivDE4l6aJcrK5CP5Hs1EBXBLslhsG0WrgAITiro
FedJsGM29cVgF7VrYHaEBT96yynQcqgFkNl9anH+6saxs9Gxxwaz3IJIfXFDoUUxoyODyycomKQX
CapKeIeqP0G/5sbTayMKoJecKYZX/mBwH61MiVbRocJHQ1UxntZ9qHpmggjiu9r+1GtB4Ly8IgMM
cbg+QczIu1GN5iHpcdIhrurIkenr7wP5657h+ZuhkfJ/ILxAKO11WZdojnA5r1/Qrb4C1ZR//QoS
rIMf3zOKScpaCeuoi9iP8Hosx8Y1up/XUf4/QfKfW4dfyRhMZmXUuHWy0JeKtT5MToqpV6J9K2XH
lg5TDmYw3+5Eh2xpefMF/r87nF8e5I4Vtc0RKmR4fyqD5ARwiVTUnSZC4fKjkskyCNLBK6LnlZDW
DSB4Efz6ly0E+Qjm2UCFZ/K137C0dZqNAGmTx3Bay/3zRNYUD8QgXKfxSqrfq+g5FvUnL50qSDn/
QeVuNB3T9XU1ADWof8TlS6wkKPLspW6r0UdKROnSxY08QeMuNWbGs94H0CTpe6x96KiwTMKbcy72
XURAJyDcHTYOeRIGNkCS4j5oj6p9O0Dzoc13Y+TVYeNkuduHHi0kgcNfusROb+x58SexfhHZjE0N
bmyzCtYTml/TOLpt+/C2MscfZp3+Q+AP0gwVsjVzTZJ3+LbW2HGcwB92yktDXdVI4HYTzyrwiumY
d906l8zkFIwzE+QqJhWSjIhGusfAuFOswkNfr8Vyj5jbqPnbgXP4RQRZGOhDKACfz5VzgzYrzEBp
azDwFOvQrMAuQfyMCi6t+TfzdnKKwp3qRIaMDbQ3kKi1bwNQJhn/R9p17UauK9svEqBApVcqdXI7
22O/CGPPWDlnff1d8sU5083WbWLmGhv7ZYAuFVksFiuspXuJfBenHDFrIdWpGCa26YZxnsgMMcGc
b9KWeE3f0Vox3DKRQUa2UE/filLL2bC1k3YqlbktzcQPzKFbpMpvZvcltzvZfLpuE7z1Y+w9wkRw
I0sQ0aHJCA2mqH0AVPVtzMm+kR6uy1pVBxOKKLQsM7Ii4zhyPc3anvSNNcASUMHFqK/6Vkd/Tcey
GB7S/99XPtHZPtCyLeJJ6iBGxdPNGg3zrivJlxIUXsYdx11xF0BSBwE5Lnn0X7AF7zqOgKKe1LWl
GptbGT0FQ39UIt4kxbLPjJGfSWEObj6RIgTDTI35k005t7TmhWUr5g0BwIATxYUVhQ3dJ22KpsSH
ADVp7CzW6SwRt+ie5lqloi98hk1GG8PnFD5W/BEAFxdWP1MDWzc7iwI0Ck0J6ra2Kh1RE5CPR43c
62VI4/zQHko1vr9ufyu2fiaPvVMC1O99AfKE3lVAydQUmzTbzk3C0esS98kACu2JYkzcmYealjYh
BEmgryZboHK3mpc0TmK+AFdarnKKFC54ydS5A+Y6yIvITK+runLUTr+AhQjHwwikBTK+YJpu0mmi
srFJeLTka6/bMyGMh88CoILPy/4lwuT4I0gaYzCTj82hMQEVrsdOB2+CKaDHAk8ejoL/h3DASwCo
F2CaInMm0IwwT4Pc1ZaCoFFFu6BggEvsNSePDRCtfX2LSVwwRnLErh4UgOb/RyrjwoQylQdRB6yx
3rmY08plC49DVwSbdEHLDCVW3jj0+kb+EcjY7OAreSbMULNubirj1hytauQkdFeXEmQAEjAuQCxz
wYgyEd0vg3KAuYpRexzNcLTFavIdoCZk9mjmgPDW5I6aIapFKpk12pNC4cRda3pKODWgUMWwPMKh
87gr00CAlAxzbQV43vqBbMnzMSx+Xj8Va976VAhjM0KKPp65n2orB7/UmPxIZU/0bVO3htq7Lum7
oMC67FNRjKG0olnXfgp9NHDXawA1vo/U17B8HFvPxOTbUDppchOmH4rozd1mANkn2LEjW9bfrn/I
ms87/Q7GftoITcxovoLPywKrVF5ycbIRW9MY3WbXJa3uoCrhqY2xLrSHMiFSsnTChpUMjQEfgu7k
SRYwsuZeF3LZpg/XCjzE/0phQqLQLMOUpJASq5ktNTYmSQxx14PFvPIAnd7rmevLhyi5kXTA6Lyp
yZc/fzQh5zPWbq7Tr2CsdSpFcWg7Cc4ncnSgIABUEyO3tA3BjVcjb9n+y+lYoAslQgCxy0Jbaobu
Y8YI8ubZLO20UVHf0eWfaqvyXsnfCHMXhovHK7r3gI1xMTuOwQ4gIoRYYJWCC80ZbZWiYmahHfsI
uMTtTMFN6kQ7cCqmX/VmcqND/Pq7dLJb+RjZkofL7BWkiwdxw2usXbWvPx/GTrUhl1p144APq4zH
xAe70bxNFM6bZc1ByGiFhB/Ul9cYs6+zMkxpmiu1ldUvlQgfEW/aaafOjiTzZhbWYrpTUYwviiZT
GmcF6gAKVkTdIpF5ZUGeBMYFZVWbDskMCQXIZBoJJN68atLqzXGqBONd4nHMItJDRBRv1XofEmfI
fobiJiZOJwA6/yDxZtvXrADo3GhlQYiP6RJGqa7OsymWFisgrmg4VXQweSIuGRngYwD1jBe5qSMk
ZjF2fBLi5RDDCkAyuWvcxjNNu/mMvNfJ7lyw2Ni+5VNUIjMgsm4KR+Dcx2su+1Q8YxkAZQQE+aJi
VNaWCD+NyFgnu4gHib8qB7E+4HJBpAF7P79yDW1Ag1MENafxNgJ6e/yhFbeq/HjdY69u2IkUxmGL
sjCYIFqAwwYHpwYIcoDqNZ17XYi0fCvrtQDiomDYSJNV8v3vJ2mbQU47TJojT28a2VEQvXocqfHi
By/dTBW12CfmXQb5xHDN1DF5J21NPHCSkAImmHcXAXV5vpTppAWhVEzo7RtvGzLYo36vh68qaIjz
JwEQ07ONjhcDh0K5lf+abgU1PsRLyzQeCloSSzvQ6Hh/SiZBh6Qo/DLKyg4alTc1tuJK0FgNxABA
oANXhB3565Iefeumhtxp2ZcUbFiuqiec19nKnQqgS2TRETqg+sASC4iDBKb1PmwtNTToHDkz8H9q
46uLnGasaWRwTGbF+s/EMa5LC6dMjGaIE4bY9QXjRhFGWveI6dVxc906v68mxjqByIvgEmjOC7UR
8x4MDdJjIDsF3eiuoKE7WKBsBNIQTexuV3h9DBD7wvlADxxVQfkRUt2KaWB/ZoC0VyyR6m81R/m1
tT75IPYuFcyUDDPBB80dOqF/TwB6g8sOQbfYBzdlPf3DgxgLADRNjFYsxNmMq+kDtSB6DnmSRE0q
WBmxofVn8yPcmAnFpDYtdJrwUGO+h7Ev1/2PWMb3yHWP9GQDsS+ZM4o0qGjnAYOe+ltyFx3mjen2
+5SOgBkw35Giz+hPc/uz2fgBVWjgNh/HYrZbd7K4TOxrxgcsOuC44emqYCzj3F8EbSSiVokP858F
tzwEdvvZLeja/iFwpJqWFDTLVrblzWSuHeNTsfK5WD9IBWlWIDZoFCopPTVer1v6WocnNvqPYsxG
K+Kg9qDvAovLZ28rG+IsoB/xj+Y5svxHFTlgGjySHxi+omhHsHehk9Cv/+cnMJuelYkapEHWWpPV
0M5pP6QDsYvnu+zm8628Ub3h1bew04KN6Vd72hsWR/6yd5dG92cJmBjSBC0TaqtYAmFzM95mX4aF
2QyMgm0/fxSeiDEjMNe+k0fj0fT0+4n+ui5+7eF5tgOL6Z3chGONPiISQX319tawNK//kOwR7abB
/adkYZjaUax6pJxC61pXrazoGIJBVwhuI9bDmQnQa7M5aa3Od5oSyDURsuNgo9FsFEbF9kYIdigd
irFltJb4HoXOyCsErN7ByjctFUD3gP3CrPtU6qWmD1j3ucXjWmkxP0oonDJmVzxF2RbmrdHQoEOX
UH6cjSPoT66v/OqZNiSg/UkLBSt7RwqjPBekg/xB3RuxHcTb3AyQD375/4lhzvCgKaLciNhfX4AL
q4oDmKU+hTp8kFoeeeMlHztCCwXzCkB/loELyk7KhXnYSupiS+atb7V26Pn3AF7ejk9AzfeUTb8f
H4Ba+/Wo/kLU4eIqcQFsT0ereeWdqrV3/9mnMGrXcaMPgYDVBc2Ravd4A+NpGrsZKMcgcKwtmfae
6M47fXt9vdfeOEvMI6GRzATwPJviHydM1UhAtrfMdrJmffQE2bTaGls7Zph1iKZbJFh/tq3iyM3A
cSZrDhupcYLuZbzEL0oZqVArVTXhWMkBpl9+9/7DdeVWgnMw6y5RCY4MHlPMa0qcVHMIlgtSDqdp
BKFpoQfuKAWAWGsyEC9el7b8GuMZMd2J+A5ZY0D2smBx4HMLcx14gRaoR2grmI9VbViRiknP6L0v
eVn4lVTtmTTGEda+VGtBtPRe5YGVpzdZbfm+DjCahwQgZUlzQxSOqaxLROIFxHRLMZ7xQOjZIXnS
wOFhjNVparwTyWucYforUx6H7mtB2eoTXlFtrdhgIo5AbIliK/q9mCs3JnHfaiqaQ6TWatSj3ARU
lnNKakcctnLqCHNqEQFF859qV9AawIYKJ75d2dczK2JC6TiomqkaYUXgdN+CRMhtG8WZjN5KIgJe
y7frVrR6JmCy6PYUDQUtn+cXXKNLwQD8REx0AjUYrRaHUeSSMa3KwJvYRAfHd2b8XEYQFxPQVsrW
KkBXFPUFANPR518bTuIX+z7Pd/6wsFBEG70mdG460BGC6L5WLFlVObA28tq9gt5WgJTiagFhGLO/
cp8FSt/VLRDCDacEtQEx/X02pd7ojxspld08T119eJQKzcpExUu7aZvLEq2MktZqfAAKHEApii1A
J3E7v8f5zwTFSrUDhFGS3kyRMVChTVE41znOa9Vz6ijsoVoCBnSE4eermBA5FAIRXy5VP3QQWJpU
bt9Kw+vCOyC6jvleE3kcEGsddBjq/iOTOfVA16xFsYHMoElohK6DXBGsYHAyRXDF4nY0b6Q0pWaH
7kS3+4e08JlwxjTD1JfHeILwbhCeASa604ynRmodgGLS0a8omT6un4XVaO9UXfbo5YYK/IRF3RK9
lsjxhflbgoS0Rmwt0OhQ2Uq9EQOMFBGkXVqail4kwBv+Hqa9bv7mfM1iioyDP9N/cZAnsSfqYmkg
jvgaPW5sczx8dwyrtjw6s584un9X5T9EgBTkyWuV/haMR478BYbgQj6StyC/IRhzZzNaaiLVFVjg
sf7yU40ol4QvyL7I8lbVaK27ZoJeQ15tfu0pDcqM/8pcXMmJziSSpHIkPXxv+hj2rhHtJkGjpuL2
Y0mLgJMbXHFMZ86ekRZOgyIEJi41RS9+5EBp2ZqtXHNczoo/PxPCnFsSDUJQLG2TUR9sgyCyNPW+
1iIQhaduS/6heQ3SUPbD6C0cHEuzoMcACR1n3JpmJDq6PFtG9CpF0VNbGO4UI0CQeOgpy/czZnIq
UWXQLBC2SXHfLR2b6Oct5XTjN4GVpP+Q4YcY9O8sCB0AXmC8gQD49qGI0cwLOl4AkQnzuyj+vG7x
K8Z3JoI5/r4MCm556T0V43yDxCjVRndpO8gDewwjS+aRZK5aBpiJdBGMxeYFkoQyRmggKyqolNNe
UNzGv60jzwBddz7Z11Vbj2tOZDGm3ufmVDcDZOlzId5NbXljRhpwnUyv7NEdrcjCo0yihkrIKAPg
KZ3ufOR7nEoNd12axbetkWXPnG9acXCgZ/mjP3MyzL4cejPCN/lZ/KIUzXsmlsc0TT794SVDATDx
fXsQfE9NYjqTHI/94FPWAp7PWQkJTBPpWLx2wWgLFPtzn1MGCtrEK7TWFZI3VD+71jaT1wxwSRx1
1wLaUzlsmko1K19sMOoP7tAU0JzRxrc7FLOB3qp6P4WbyW5uZyezg0fhoDnXha8d0lPZzIOvN/t4
0otFNjC91DR2URHaZgpvKS+DFESQSAQvdFvIxaF8cL6WpGsTuajE1OqAUFlUP/vuWZuB0+CGwuso
32ThZAl/G8EuIlEqQNcTunZBcnQuErjpQRLXiBjTAbnIrDmAtY3jwi8sZBFBDLzZF7IINMOdi5B8
KZkxpoGgtDmI6V7HQ132zOH++h5duINFCi5bVZMBMAPKhnMpBtgZAFtMUguY1ncYEgLyUPU4GZET
dN0RHPAcl7Cc+DO/vYjTYfGo72Acjm2uFttgAMs7ZnuVrmr2jVaYB202Xq7rdGF3jBDGHjACgbmn
HkJUdcSxqqgQJ3Ylcxz3utktTZCg4F3A9JkNSkFLkMeJllo9ye7rAfRSZrmNhnAj+AvQG/iiS3M/
qL91s/rrsHzREKVNXRZhfIqxOLmTiAVvxdD0IzNFD5Nit9GbhHglrGW3B3rd2GVepr4PxegFYAW6
vrSXAwaQjOkgGS0+oI9X2ARAgdccKJYXVyJkLsk9fX4L/COZvLYJnK6+l8UnQ/kyRfe63DW7ORXL
bCleA4qRKT62NC5cQfEMbeRY5sU9vCgGN7K8c1AwZtOfdSAFStNMsMwhBzWxI/XPseARYdOhISyN
ePXG5YPZg0BUTLSA7wPJFJXxy+rs4+yHON2ShFfVYMUtsZr4vRAi5+9X7lQQ44Qxup8HjQ7nSMr8
sZvzJyX/605FLB3RJcxKgMNpIRY/t8aI+Kli9DJ6RtofRreNq7ucl0Vb251TEYt9nBi8KrZplaFE
DNSaZzh2HQRoElGtLrDa6q6SOEd7dXNOFGKcopmYYgXCodSakp1U9xbA4OgALDP0e17fHJ4gxqxH
IZa7PoFasQ/MkOc+vambBz3cXpey5g9RnyfIt+gqOqsZRzXGszFrPkK8IDXAHyC8lWW1GYKcc5Ws
nVGElDimuEtAmsqYtB+K6kx0uAYjickerOUdDVopfr6uzGVQCWtDUhtDCfg/5qyZzRHbWM+7IYcp
dMJ7Vyke4HeoEInWBJTDYQwPQ/OhDKjETrVrdoET4EgZZWCl6NLlfMqiEXuIDeSTl25S9BuxQPVK
qQ2YT81Sq55bgqHdfqTJGNMaLA0FKLEGjNwWmDY2y4g28WwV6Lu8/gUX0d33Wvz5AOZYaGaVZjqS
R5aGGy7v3ETf572b4q0cZKLTFQVF9HVd5JrJnurMLL/qD3FQBkVqmfXoRu1HE3nFoNhz+3FdzmUa
iNGNORsqHg+RLkG3CdB6GM7IaTnotqbXu6BFNgSvUFtvPwBl7A1D7sQoV6UKl0WZt8PM0SFJL4Nh
CB/RZMASlD2COjcxfs/qZ6V9TOFNO3ZWglGSjhP8rfm7BRYSND3wp+jsOfd3hjKFCVEgN5TiTaCb
1Cz8gxw/toYdax9xz7n8FjUuDfmPOGatqwIBhEAgLgjn13yqnJ5ou7JrkH0EV69kfl3f21UbUpEp
WEoIiDnZC6ONYhO4pEB4AcHIVNlFeZxFD0jR/6IWHgSg30YL2EVLURjNRUciyKmyx+VQ9JWHyoht
VDfGX7OsLdZqgpIDIRFmwdj7vKyzUKvjCq5AlCwx2CgC2Njdyf8ZKXfXF2/NNNDthc5GAAkvMcu5
aUQTsNG7qUbk0DqtamvSfZ/citpg6dKh+euuVah1Kmz5mJN7V4qSMgh1CMv7JkebiySiSZ+0W7lT
/npSihG1+LoTUUkyVySTIEoZjvr0mQp3QOrnGMSa4ZmwBBkwWgRM88wVJTVGJiKfg9cOejWSDsTs
skxLGSwV/6TNiSQm7IpBYzybBSQFbUuB+0gl/9j3nFfomvs/VYc5R3HVE2AuQohKIpD4PjRVRCXV
k6SnbKpoM95WvPrf6gKieQwpCyRoEU+cbxIum6DLpxZtAeGRFG4pbqP0SeZNTPCkMFY3Zb3Zjeh9
tco8N6kUCO9zOu8iSb5NQ59zha7dM8BSR+2NQB84JMbVhgp4aGID7fvAfHZqJHwGMLxpVUo78qWn
wpYomA/MR3UXdP3WlyXMifGg91aOND4BDcuYnQDuKXukx7KapnL5BJ18ybrT13apbvuipqL+2fsC
5xCsOHsw68DrAm0FjaMac9DkZiyaeXkRZCrQfiLBRX7yiWjjxhSKfRZoEmeFCWyCuVyWhQVmIvLD
hk4YK52leuwUBbs5i5ozaIaD5qzrLnHZogsJQI1FBh99h4TtO8wbpA5rpcdtKbyXwTFDHTxOOf0x
PBmMTZI0EvWsgox5QEXKeE904SAZo3tdkxXLNxb82/9owuzNECUqqF9gCTUw5hTAJVXbSHmUWt6M
wHU5KkuUNwc90kEztBFJTwvxNoy2HdghA4kTLX5f5ezWICew8HADgxy9oecOQ8a4UKXUeFbPNdpT
aFdPqHKFGCe0fWmMQhtkoWHhZF1lOr4okm04jMM2HnTzMBolvi8dwsSeQY7ozWEYu5DR/c7FRERz
Uljld0Zrgq8wqWNkyKJxDnQKRkt/cFqcNX3T5UoqApAJtewkLWWqCvP46g+z+BYHTXAwo3J6H4NU
9++TTlbeSDehuSAUwppiQixAUlzSfvlRMt+BUy6TbcHoc68syxxYSGMwoOdzrDvfq/1W7w9mnQiV
qzRACvCkIACjq9oPr0JdKYqVF0X4Vk4GuJ8E8CvmqHvL/cYv5dwd4jo2OQd8zZ1oqAkDUBxtP+QC
vbbE5ZdJyOn5eWuDi7xG0FqSzVgdSuJkxsN1k107GKfS5PMdDuIummIZ0vRqoB1GP4U2BC4RLwOw
ZrGnYhhDapIZRjNBjKT8krL7xH/ou8+q4CzdWn7L0NAjjYQrfu8CvqX21dBUQg0Bf/VZKraceQq5
TcLYUsq9EHt6cWtWd5p2f30NuWIX7U+Cn6ENgxSvAOQSlV99r9Iie0hR/dZ64Fz0GC69bQSnjSyh
23IEr+yeCYpvUKPDMcNcln8/EWxUM7p4AE1tAbj9kxTvcz+6qnof9M9d0uy0YHIMPAOCRN2O7XFO
1HtcoNs5BIiDonvXv2XlXjr7FGYN2tpIhVbCpxD0kVOlUG1BLW2itAHId5OtXGSczV4Jn6A47iUQ
k4JbncWW8TU/B1/MABjIQnss0sIxjDKx1Mw/dkLxhQT4ppmax5IYv64r+t01wTjFU8EsSouaSckg
SH1m9cW89YH7LwVGBkw6gbQ3otaPAwKfJN6D50Uvdkko+HtRT6PI6ssm/PInRRSsNtEkZH+z/k6U
p3gTZ4ZUUIDYpIDs6vz2LUzU8aUPMF9LYxJWu3Do1R06YtI7McY1nAcF51myZsKIRVGRUDDdB+pn
xpLiYG7asMcIsST0veUb3Y1oNCq8AnkDznvi1HXyhDzMnZp6c5WgeXnsvq6v6yVAq4yqAho3MQaP
7RRZDD49UPVmNLvM0qZntRTdUMpezAF1zjh9NJuQBoZopUJvSU0NPozxDsVx2qrRYys/ki6+8aWn
US8tQVF5p+wyjbCMO4LeGedMlAm7NkbuK6QWqwyjsWaASL2VrUifb5FRon4ROuUs0nj6GPvMTZtP
v1Ifry/M2iFHexdBe56Exj32EiahPgtKJII/VMheFSX0zEZ/0SReIW7FRaNteMmFIfmCFwLzupqH
eNTUCmY9DTNoX9xeBSZF6GWgWbuuz8pGL3lGjKgSPIFRBmEkNdKAWpYxoXUUOBd4b5MfPfiWJDub
MUf6TDrX72gYbhRQBaQBpq+U2zTahsFGRHvX39MHIIj5X2YfNJottAnnLlRM41nAwUISTs0ANr3p
ptxKR04gteIzsHNwrjpuJSRyNXIuRUhNhLUhGgFt9+b2afl78Ci1dtbjRDch3Ww48e7lZqJdFnMe
C5wEzjXb+dWFva6MFW4kwKWAtNIe1XdZfhnb9+tbuXz2uSs8F8M4fQSNCohvICYbQVFJjkCL5xjL
5bWySMBrB9znIAy5YIlPp0jKVEgolM6ZxGcQOyR56qWz4+ecc76mDEhJFvoMeCBwxp/vkabNPkwB
/icx4/auBWTyAeVOHnjTSuHx3JswaxYHgtprbZ2h9oHxl6oHlpgwUUUKj7P/VYPFeRJIQGe8IkZe
5m5tMVG1wnWJSxNOntGwKAAoMOcNPCweylF/I2PACcGRP+7nhFdWWrPAE1nfM54noUk0YFQAZAiZ
pcxoB5MwhDHulWhv8N4oqzoto8Ko/ZlocWQiyyTUkNHWEHdkSNVIgKjSU7ebjmn7nvNwcFcuSWzd
iSzmFI89abpEhyw8WRGT/xYlxOQbbSE80T9mpLUjgLYsjWdP14/Zio54gJkofAPnASoyl7NsGlGj
kyK3huwryAUq57iZCRXjnW7Gzj/IQnIB5oHcIf7OT4Ew1Fked2UOLGO09hBPBkRDqVphA6SUvy+j
SphvQEUaMQdQaNjwtWynSg6mCrIaT5NuZgCZNaNE546zfitVp3NBzJkrlanW0hGCugygnzdz6Y3K
L9lwRqRG9Y72+R6VFlF+KYqt0Tgdb7JyOVeMm0T7LSp4333+0Ph8TXPVTAMEo7nlq4O9oJG2kWYN
SxVUf0QPoSUrvxLVu76PK+fvTCZzrynwZnJGIBNjhq4Zu1Lmb3Rlp7a8OhpPOcaplFWrxuVYo+wO
CkPwe0CpCYw/n5Lq2y3prUh0I+PtunKXb2Ts558FJUz/FWjsJnTkQ7lcR6Zt1zb2TN7nhuCRD8iA
evv30hCWorsf4YGKxo3z7ZtGsa+RPMfDv4gcZaqspD4IyO8l1egC65WO5V8TRi0J7hOJzOapahfl
gy6CDEIqvWb8KYCWcjA0NwozKnCjkzX3gjezBlwwvKUQmJ3rh6asOMQIc261Y2FPuU5VTQBVQGHL
wUsu8B7pF3u3jPJg6BJBEIJMBF3n0vxBHvquk8DAgMYuDE2EOQ012YrFGyO+x4vt+t5dXOqLNExl
o+EF4d3F9RBGGMxIfUgTzJ+YqLEGwgmBLsEKGAnMpeCHpK2KGFUIzZs/o026defNb8UTduVLZH30
NLE0KtpYXDfkTPVenDxI1nSMDmEOA8GRzORu+qLRoyrVBZqLeAkh+9Aem+IlnmLUsQGO0GzKgUdT
zBPJbF6aDXiKyjCPYHpPUdsUwaoLlrjULaWfvaFaps85exePH0ZHZnWBot32ObK1dByPhuwqmN6X
or91lYwM5nr152DO9BAyQrhkP3AB+UcF4GbzgMzXbBGPK2RqkOiENTJ+BOM0TShHkFOXT6kC5uqS
Y4vri/VHAOM2tKSdZtCHQsD4iIyEJN2HIyc84OmwGMhJWNeqkwL+TogwwsBVQYk9E56NcUSwNGGF
FCOrsyxTE2qUBC+i+U82pWNObInydcJEA/4IxjiAm0CHuKHAg6vrB1l7uO53LqdhF6MyUKZUTGCj
XcQ2gxaCHK6HFtqz7P3o7eQl3Q6gtveSbe41Gx6v4eV8JiOPUarK1U6US8jrXelR+tH/kK2HBHi0
tnx3GA7yQbdFj8fLcFl9Y4QyFk3aOQnRVoaVDBI7qFSrru3Z3PedFRMgMem3oVDTqosw7QdEM86x
XbUTAyhypqkiD3jRYhskWqLX0Fj3b6oMw8V/+4b+Vu7P7zOnKej7Pu4y/L4waRZRekzUUXG+SXmE
vzw9mCNVAYNRnRYXVwD+IZM2YFmzOMZ4EQyeq8KiEdakE+IB9KQUeQ6QXL1H9/Oh33w2qLl95UBg
0NzMLZ8rzgL+Hzb53xVkEz2Rb0bzOECsKVvTw332JVoRzRAR7oc3YPlk22fTzlROxuCSXnRRFv9J
QOBHmMG+YDqxE0TUkgSwJQM+SP2Uvckzbqqv1n4CLi2dbkOchcAGFsKzuOd1zV8+7xnpzKVcmQ06
IXwciQn4XaFTvLS0rTF85gie/BpyjsDl+Nm3NBAEI9WDvhW206jIIqmYlxAgPlRf1YtsIR2+17aS
Nz4UP8ZdTdE9s09ETGxzLGqJsM+eNBC89BEDqh5/lxzL8TzOwwg1x6SgmmqXKDPERwxgKtO2VO3Y
P1a8queqsjoK+gTtibhE2Wdwk/h9VwpQNsuczhGdvKOVl+/Vh5QOh8kFtND9sBm92PnrjoZF2RPB
jG/VmqqtehGCE/PYinSSngi6FSt1c31R1xzBqRjGm2IvUSeQIUaU3/RhqR/9vi5gNVY9lcC4NEH3
fdlHlydFJhJzebvSJXctpcGhCWyNGvS52eTevbJV73jnYsUDYRAC9WLMuCORwQ66y2MZqnMN1sWq
eZZQq6nsiWxHHv/tSgAEKbgMlgaJBYzpPDpR4mU6oZ7h54iTo3gS1gmK1iHHna7sE5IWgLjAbAfY
dtkWDNGvdaXLAZMfm8+mfi+GHIq8b6SKs8OFDKSK9xgGxoAKfDHl1UuV2oRFFlr70TasYGPeKtTw
Ytt3K9q60T5x2n12TzAQNFqA23i5Gzz1qOGlkdPsrrmFr9n7DjkeZy+3iq0MKKPnlLMGFyvNfOKy
RidxYGhErYA23hCT7cdk2Ceao/h/exwgAnuIB7cJHHMMu52LAKmvZNZDDg6cGCM0D+Svp+aX30dN
R/tmfkTzyfnvC70IdIIB/JKt8iXVj0O7G0I3H+yQR6F6YfuMIGatAtPHuQjK0JKLmQ7+LtLfSeqI
NWdLvmllWLP5joUAhK2jS47xH+mMtKRSdFDI1l5GqjvlIXGU43tpo7HCCrz2EO16oBoB3/mo3qcP
GOeyEQF4wlPh8IpmF2cEjerfQGwg/oARs7OXSpaLWZ0PoSXJX4AJ6HpeX9LKop4JYFxZ1sYSQLMh
QNVvZ98Ns22JPlRe38KyZMySouoG21ORkVlIY89tJPEzyVfbRUp1k/qgdpI3bb/weKOiYl93zisn
6lQUO1MojWahSCNEjfMdKbyu2fUGJyBb0wbZEEA3KBihRLXrXJu0CAnQ7MEqJZFPUlIj3/sN5qtQ
Uk3+/uyilPxHEnNj5rI2o6sIkgoV9dscVWwu/vQSSLFbcyqCsXYzN0SxKAnWC5OJFHOosuPbpdME
3iRTgEtZ86/rG3T5pINNn0pkTC4wx0ZKR0isBTd6EUxKrMrK98GhQqhFPlXD4rVAXyauGZGM/bXC
jCuCQGS3y4WbEiVT67dpjZb4I8osdaJSZgv25F1XdMUSkamGvaOXEc0lbPGwHYY+IY0aWhkydMkz
0Zy45vQbfBfTmN2DDMwbKTBFjJ4zpqgI2tznoxZavV0dA6pTY6ffZg8jjazBjb80O6Dgx6XJIT9+
Kc5Aj2h2o8YRuGEDlyH18sUAAqHTj2Gs1aizRm0LPQRiWQzYXTO0yURbez4QK/xoHd/N6VhZBWBH
v3l6fc59v+LKzsQzloypLN9ofaxFqvw2CECAVFrFDwVwZK7v62UVmtGTMeA4KeSqmSFochQKQoFj
7cpO+lRY2UO7kTaz99xbxE2p4hC7PZqeues2KM5wIBRW1QW2MTCIAFSHwPrcC4Gt3Cz00gxBX2PH
ihUj9DRu54aj7MoFhGoxupxVIDcpmAw8l9JFihxpcxdZKuBPhKeIO4q+4kzPBCwfcBIB1QHyeVEL
Ae1nAydn0nQb7QPH2IYf81G8Vb3AykLHMbfS9vo2XmK9LXxXJ6pdnJ2okqsekhunAGDkD/LVefMt
+L7R3XwjvFeHJsK9zovgeQvKHJJe7vIwkyC1TNwmu2vLr+tqXZoFeo9Q84BySGZfhHtROJhKUwfo
NY3ldmP67dEgc7NtC7TPVmPIax+7fAuhILDUBBZ0yqW3htEHLENl0vVIiISKNTjo8cfsW2sPP2fA
QLaZU9MJxKYvyRNSBoH1S0SVh2Ohi+8+d4H4AIxNwH9jcpWww7hghRQSNA0ibx/B2SzejtwGdwPl
Jgkud+5cEKNpReIUvPcQpD6mBx0LTNEfX+6jbWa9yp+ya2AInhOLrtjouUzGpyVZPquNBploXn0S
d6JF3jqs52/jNrLQoEuzj5wjcm05EWmK6IU0cfRY8K9el8GbskycqcCBILGTh6BOuEMLpBjbRTtQ
n9eoe3FNouUAg4OYNDXAn3KRzp/RbhiP81wCuCC5n/FOiQJ9n45/ezkwUhifLScjwFE6SNFSz1DA
2HOXiUe158Rrl/vFiGEDDTQxJBh6AX/ODARetK6LNdXCY1U6Y/GyRLzRPoueI3/fNw8T+mlV1+S1
V6yu55JTAoY0egLYQdeBxAhPNbG0QDxDlfGgTu8ar/vmwkgWNU9kMKupjC0GjwOptMTmIVTsLPvQ
258t4OX9XxVxqoKzrBc+jRHHrGrzP6R9167kuLLsFwkQ5fUqU75qefsi9Fq9mrKUt19/Qo19z1Sx
dIuYfXrQ8zADVIpkkkxmRkZItJGrAEPStHd9/CbKs2HvC311++S82t9/rSAfgeISwjY+EW6NqZ6z
ee3qcXC78isUBSjLK/OPAW7Wei1EH54JA1WzTrJdpv5QUa/m/BMXhyHGACSeOjPK2whpuesa/NpS
aNG+QP4wZ49F2OxsfST+1MY6yvt2dqKylqwVrc7+iyVCoDv3bQBldgV8VQY0B9lsKNzUeDTNBykG
6cg+EfGjL80gGikAb0UrBfgXOUfolUYqylCdt5fiBZG8pfrkSUwVRO4LngDpFrQ8oRMK8Hc+tKoB
jZciC2g5uUNkJYeB7KRFqXm3/e0q8kHv4rmV+SvOIp/OLs2hNWBF0sf7Ao+SsAQBnhU91RZ68qDF
dtvcwtyhJR1XJYJFKFTygwqbNMVdiXvLbJFPr+pvtRmgWiwLwtJFM39lxCCBYwGmeTkq1NmJnA3o
s+/i4p11ktOT6t4OBU/w6xcdJg+Pb1Qf4WzwufkzzibPjIxM10LEGoHFdORBk/hRNsL3KaGxH6nt
IQuKUxIbb7laFk43GceAZtBObaZyZrCzt0mt64Kbc2k9VWDL8E1I5+s6Fx9kekGiqQwBaFdDpw8B
H5hOc9Sc7LJ/rXaH0cMQ1B3+Ahf4pyWLoyKskzhzi74lx7ilUHJgTe+Sue8H1UoJIL7b3rO0JdAq
CnE4OD9QNdzOI0EGDlcCHGLbDejFiI163RR5Lej4vq5NYGBQ3Zy3HoDNWNjLZZWnOqjyEdDAIlwr
0MOp/NA+MhCtQ5kqRc9yuq7knVFUTq19B5Yfah9htQ3a+0hUPb9+zHJfwjlYEtOIxqCRcZNXdIBP
XvVVeqU7uT8thBkdaRse9PvQt/x2Y5xGgXcveRLaZkGbAEwiTjnuFO86vC+72ZNsXOF45k0Oa9CR
aLKKzNg3JB4x/bfXd9EkOn0sFR0DSDVy2zYcTFoykmXuMIAwYgf6Sfz9HCH5Voj4Pq5re/PePbOl
XC6yFhldbGiwNYJJNgs3rIudGrR806mZPFV9GKGCVkn+7QFe849yVrlJNQKwodZDmgH9maQdEJJm
fFQIuM+CwBqPIGFV70hg6D9Bj6a7FW3aGvJ2hhxsqUy6BwjqMG+alJmaUhrkrU06cKLUVW2VTqG2
QH2lkk0gMEjR3hlRXFFNP2tTpYpabIIkoi8h08bUK9EYtoqCThdgVhZCJGwcnAZo6dNlsMRczqle
Tuj/t+CuUly4RN8UuRfRV3sSmFk63ZHoB+YDYHjcXrMbnR27dp+WI8mRNDMyAnESsrLq0B8DVbBY
iy4CPjgk9FF4nvFtl3aobnR1X+FO7Ec77XzgpfQ/Ule1iTMGShys7AgE7ci6No8pjkDT7RhexejQ
ykJRD/vfcigXUs1c5OBzsQG2U/ky1TTGna62FAjslaS5wZbgjak5g/9NPIgcrNoH6qsghce7F+qE
TryLIXdQ+tmmQyZj2I8+W7eg739SDuUTgLOCY3kh3jv/OB6RoJK8l6QSHzfpc/P7U2tv8ZGhtu7N
I+sEQLmlxT+bCd7HeooDS5pnAnJDoAzopUr+IX1pPbZSlH7c3q5X9w303BCE4wwE9wJ4bjhHI3lR
RBnN4QCy+maO9UONyOXfm0Da10aqBCwc0B679DF56NvBTtA/ExYgA1RLBVIHVJQ/WwxUzieNO+yg
JmAa2bxCxkMV+mSv+JbXucDygBhjxU6BL3t/bo9LtEzcQYdmdlBbJrPD0sdG2xZkHSSCqbvO+uAw
PR8Vd09rem4UdQ8b5tM7JG62AGZ9Km54dyDu/bS5D5wsdLRDtFJ9KnilCSeUOxr0ya5q4N0Rifwx
n6f37u5rcGa9Nn13n60HNxHll5anE2cdUq14VfE3o1Ko6AxqcRmn+p+B3SvtPhIFV4smZvIk5KhR
1uerfK2dx1FfIZiV9XGdAG0KoL+fFELGvNnXro4yAspNUB4QNFBxngFxqURp/3pGlDvjqH1R9p21
6UGpcUSN6e8KYoOQCED3Z7KZCiTskkhQsLgu/syOcxYkc6uXpHJDKnV2zqa3fDOp3mRb6lfg7+/c
MgXZXKBrTzK6YB2khfeDHkkf4Dp+RMbU8MkoiWTSl65N8JFjSnCrzWl07gywWJ+ocyAdqz8N8XsV
jYnTxmgF+0VkhjsEgjYue1LATJKfgtgrgmMLaoNRF8j+XQMJ59mF3hvq/SAFu+KAaPs0ieoyQZUa
srWrrsiBrYgP8Tg+2+1bCPGAKm3dUo7eWkNasXTa6sr77cPnuiuR+4T5xjqLEAiJQ5pp+AQA5EL0
ujpxCIXF0S/9O4C733qQrBLI+G3tbdc7seCGWopiASYBz4Y2E/HxJHwdrbNO0xFZNtpvy3qFszlD
vq6i31kveOYuXrxnlrgDUFX6OirmGLYC/ZCdvIdhC7i47IRIfkVtvy2CXrC4VzfiPLFzuQICZjb6
e7nNK9Gxq9Q5fkVmBLD0ZBi9qtVEGeelowi8cpDMRO+/bl9tiDHSGllmc1udFycv4CMGWNMT+MgV
6g1DgcID5FUtaOQCpHPpI2i3N7VSQnQHaco+3w3ja2utqulgyVD4iV1ieqZIIWTRL89tzlv0zC9p
FOS6ZMOmAtLlPPEIjpriV6eeVMCBFG8y7sISPbsrXXovFTButGAEQQFja+RbOxflYhbvT9QrwFxl
4R0PfYbLr7FZPWdv5/g231Pb0bWfYHgoYkcKnF55MoAHR2zJPKO605O9ipKpBc/ata1f9B9p5Oex
4FZdOqDAAYC+IjRIz6ym3PcMOfIoKZ4Puvwz1e9QIHJBxuOCt0wQsP5FhfN3ENg4kGIFIAvwLO7E
Ne2AhpUBS7WfevlGWyN8WBEvPXRQvtnoq/feAbXlXeTYJ0DX123noDfC/Qh9FaBMyxn2xAf0+2R5
fe5smvcRQUb3Oq0D56HwgmPov9721aX9AC4zlEPQsA4kOrdQ4H+oBx2Ed66BNx88Z4ruLVlwOyzb
AB83UBGAZSrclNSRlbdRCWdgo74xAZExc7KRSC04HOcUDT/z2HhzYgU5VBwml2vcJ2lOUxu5lb5m
doTWWCLfdayPd3NTPvQVGvmha5V2l42NbLhjFrK323O5/KoDXy/oNxHeXyXtcNFKFdJkeKRugk+p
dYYvCGvp1UpagYddRBG3NKtoSkALMuQedSSmL4dL4qY1gwSN+FO/stVPljkyBNVvj2jpFji3wU1p
IrdIR0/ztqHeBOU/ZaNAIgPsvOiRNESyPH+/mF/Ac2vcnQPObxbGFCOK0A3gw1wJwEf3ATm2zKGO
8TtfQ/sE7HvIKB8md6f/HjeiovnSJQTlI7S1AiyNDAB3TrRxkCNHiE+o0LLgtNADiNtY4CaLC3dm
gz+pMwkdwjpsBNZUrWXkCrdKHX6ZWS1Kel1ZAvMXONPRwIKiDPYdN6GhLGlGF3Vo7gzMdUSoq5ho
5a4nweF6ZQa7Tkf/CtJqEL65IivMmBpNRouNJ5Vb2n3IwRqKu//eEc9NcFFXidZcJMlhosTDSwoO
k+FHk0c72Y0Hy6ly/7a5xRGdpWm5E0sFdUltVbO5TnG1zD6Gg+6P0fR428zS9jrPBnNbuC1LA5Bx
bK8p/lXnnlmBdEx6M+pnW9oWpmBMi8HzuTVuMys0UiYA+xC5AsGQvs88WmH2gtg5LN4ay89zIKd+
5HKbxqLVu5pOALh0MGfiQkQwcNWCo0ap1vS2UWEq7/vklJrPsiyYyuvMOmeD8xAs2VB3DDZMxR32
5Y48Sm7kG9seCg8P7bbbgXZlPXyQ3/+66jkbRjwpo514IZPTWSm1kgzCyfpUr4IuQeajhvh0EAiu
t8URQlcKNTvEMZCB486NfCJyYkvAA8vr+tECGKXbEzRxQEJsExyQcvFkT96bW0Uws0uLhz0tI3xC
cQ0ItMt7pqdBl/VgtnGj0nqLgmwDAaujFYpwrdcvZ8zjuR1uMxA9t8oqhZ0QCIK6fImQ6zOQUa6V
EdXet2FCZ0zXPtVR71MIwxVgykJJ++X2jryKIbiP4PaIZmYkQkYOizmqd20AsIZWQxZKO0gGRanZ
8vUeIqUwf9usaI65gxrs4PowU+ihZVx1ahAoFMT0M2N724pocPNXnD0R1ChvaGfDCvhXLQxjeFGR
wVLfQWCbJvtgEJGyzA55cZ9zk8k5rJwbSRmasz1oFgceAIXMfpNHgX8uWgHbK1wTvLwoG16OCs0F
MiI6KEsy9SAPa0QqfXtUyfvtubtGvsyDOTPDLdE4AWqXzWa04/Ruto76FYMm9xTtmjdj2zwUjwY4
lH9ENJ5/s29Xc4hXMbLFf+UnuPgcWKEaWhuYwyh/rTQAmHfVH9PwTOUOancm8OXdr1EER5l/85ZN
7iilkAU0xwI2ybBK4j+DDtKe8c2OT00oygxe3YCY1TlIAaIDrzOdl9fIQ4hKVTU2vW4dK3Zsw2Ol
3TXFqzo9dCI8wpKjnNvihtUq0jS2OWxpaQguAb8IPC0vHKkXbDPRmOZteLbNIqJFuRHOB1mb+jnC
kzL/HYEpK2aNYzDVNVrLv+2cgpHpcz7izOLU07as6DyLxV1Of8zuJZpix5a922aW/AK8XyjAoTEA
MR/nixVL5V4ydZgxIWKXnox+N4G4MGj2SrG+bWrpQDw3xa3VoKVDDuwIDsR4G+S/ZHOr05//mwlu
mRiaAkpbh4meDBBXv5eK73IQYakXV+afKePrV3aNTGFAZp+LWs2PZVZ5pNaJEwWWcUfsQPTUXvQ9
tLTNmGnwdPDFPKMprAp6CrA3KK9THFN3gohKBRVBOWXOWKtvQPK7tydycYwQHUaN6a9MDRcg2FpI
aNUHEELPKy+ZLxJoeodeqj39N3bAmosswixezS0YzUmFdk+zglBsv00TN4b6gi1RtxA1Nsw/xJ9/
OM3RLQvgLxiwuXsyAsSwBv69QvT/qy724O4HUeV6SGbOZpX5ZBA4++K+OrM3T/DZ9s0KRntlgD1l
2uS9oyoebT5McmQi4odr0Md83MI30M82kw/r/A5Woh4nO6awP9onSOCQt2RTbKJjtUtfiFuDr2NL
71F4/rHbTfIlrW4v4OJldm6e29VqHdayPZvvVvmpTdG+4LCvdC+tI6/ehPm/9ktU8MiMsgEjlnnV
9KxkEkkhQvBXfa02/b45BpM3Ktvbg7r2fliZu0IQk0N7lc/3oRSgK+OUQqQw3gz6waAv1eBJoo7V
v30Ilz6pgo0NaTo8NFCp55GBY0+mIetAFj3uQLrjK/h3vSZ79aTs7FWDLph1DfjXKgZ8A9LakafV
7j7yRK36156Kr0DdAdhbFY17PC4LxJcxKlX47bTyQiATIdJerML8vqj+LQ4Dwdy5IW5L9BYNIdGL
4Q7qN0Und+eZ9dfthbtuc+FscJvB6GSrkdDB5MoPzaF0ja21UtcAzqzRq7FpV3SNllI/WUOSBH1i
MVof5bXla0fR+2ohsgR1ITKwgLUYmFg+BtLGKejlwapd+lp9owrYOtOdsYZu8Y/ps038ph/JbhSU
dxZeW5dGua0Y6TY0ImejzfeIfjTTmTbVIXK0bb2SPqvTuLk92df3+aU57uwmViKHUgdz8XioyR+j
+85TQXQimkc+CmoLZW5bgo3XYmsd0cv6IIHpzwkOb/YO9K9Hcnz4Pw2KbyMHCW3SKLNBZdzG+laV
11B+vm3i+iq6mDedexSPoOkJghQmzCf1DeGjVzjRMwTZBO5wXa/BXjjzQZ4ecZCnJm7HeX22FaiT
Dl3iklW60p6xF/x8O67azYvlM4euUyeIVpbgqL7uSebsc68ratBAq2d37P3ADQ/aqVnFH5mP19V+
eOw2Dfagib0IJYrt6c9wr9yhouVHXwEcVVTLFs4Fd/3nMovVoMG30NfWV73wEK8YtIlWtp8c4i8U
j16ldXx6Co8QdFuL3l4LWZ7LleBOPsDZdT2ZV2LcGX4AenrHBsiKbIjzc1Ac6zv5kB6sjahJZZ5f
/noxQTeF22WmE+B7wgupHAFcsJA9i+R12mT7iuaC/NXSEXBugjtxqBrLwzTCRC91m6Kgmwi7pWyZ
AGK7dEXhcgKDBKDTwJGol8GUqULcPm8Qjea9/isJAYquM3M45qH+2PeNtWK6IrhIlvYo+JtMoAZB
KoHL+dKiNgaWUgbze48ACkBPk22su84Pp20YqjOrS5YIDp6lmOPMosq998AdLY9tN7+O8leal/5Q
Rp8dm7PinYjEYl6VK8eAPKkN9hYbdAHcJam0VhIF84MC4qL7hDaPRoYMp1Qaz0MfPLZy5+Xg4b59
6C3uAeRa/tco5yq1XJZVJiNONOl03xW9Z2TWtwVxNdv8HFEDSijob2cMTT5KD0Zen6CvtZbNFzkN
PFvrdkw3V0VCBYmmBc9C5wnaJgCqQxWTf/7mOq2sKY4ggC09gBU3Bru5WXgGHvRQUhXMwPxm4qYd
7w9ElrOGqgn94EufqnLEYHmB2DWMAzeevu1C8khXOEU0riI87E01J47cj0gLTY9MF7G7Lu7VswXg
XLoEqXEQZFgA0kyg2a5OA1pu8rAULPSic2EkhoW6AOAYnHNpVtS21oAjIRs+jUZztJFCIRul6Ptp
2NTgn7k9qwsLCMb4+Z2KTD0e5dxDtZGrSY4tjCrNPhqVrSxSPmTTH9apaLYSXWmLYzszxt3cpW1Q
s+xgLKgz32LJJqm3su0a4b5utsQKBdHP4oqdmeOOvYpWkV5VmMopAMSi6/1Yl90hkgTIfdGouHu6
lQxZ6gIcB0NjQ/HqVxh5kvyLxG8goTCl37fXa/GYOxsTtwm6wa5sMBrjKIfgAcJVr2x+04FtoRIq
8AyRJe7SrSVWRfL84jfYnzzxW0kBFd0zswaBneVVAsgSDKMg0efb1yBIopkx6GrcUtUcoIxPzZA6
6HTZ3J64xdt8Vmv9jxlulUAVh+dwgTuwaBLZC/KIbMaeikDsy77wjxVueSCrIddWi8EYNZBN5ko1
3zsAw5q1IbmliMp3eYXQoGPNKFJUwS4PRH1gkx1I8O/GkqCQgvegUTtqiRImUwSByuK4LHQTzARR
86P+0lRpDESFbAjSMRFkPo1HtXwzweI05Y8JIy4R4W+XTiWkpeVZ3RwAGb4hmakT2IRDHPWsgjB9
daqgpJAXD2P3Xmn/tkkYE4cmZBXoWFxjEFW4HBmD9pEVM+QqcooWig7cBHeKEkdrVuj3KY2b53/v
huguBIW8LQPmzmPtOigiaVlDa1etYj9T6GmkIikt5W+sc3VTQjMBGvQg2wL/zuWY4tzKoAmb1K6F
5NZOj+Pww6Rj4pOmlye0pyTJMwuk3pdVmm+lSM2+m9wy0MMW5E+FPsjPESDsJzqy2k+Y1KysONKR
yLGkQ69W3altSA8Cbh0I5nWhJuX3YGX1e5IOqqvXpHiHtoEFbhlSSIBz5MOXLEk6JPos81SldoC+
LvT/kI4OP1FrZOppCLRwS805TkuhlPbHGJq89tQ0VLbFNEh+T6d0O8khcBqNnejBXgPz/kEvUE9w
siHTQdHXNcrojcNogJ4Qcp69k0BgHaLxaCcsnGDKtNCPSQGVVEDwajwjQMXrpxCc8fGS7P506AkA
BQSonCPXjltbdSGVxbYjUYd9TKTsUIO899lKpuK1lsoXIJ3vYarbDDkzQ2eUp6lzGtMGF0ioZKlT
BYq6iro+/WzNBlw6pEgfW9RHN7S2SeSOShdCVg8V45kUuyp8zUgAhB4z2Vhreqr6RizHW5Iy8IsQ
5OgMdTB38CTJZ11Vb6WqAzNj11nbETiXDjWHIfSbTmqb7yRoCd1pKRjq8NWFtasaI8r9UgPpGgi6
BgXiOXlmo0Hc7g03Syvg5ht1LJ60KoofFQZQjDrV3XNWVOBwkWx7NXTobXdK02gdS6vlz2GMUeZr
03w0PM2mAzio4yBemaqGDqSy6CiEtuvGekrToR3dTmfKG+ubbFNoQ0FcY8qSVU/I+BsiY4mXVaQo
/ExKupfRxnJ5hAVGDo0cDTaVSg/fIOtTWjuNlvYzgu5sM6JBS0GfQRmoxwnYetuxAPOxNoy0zWEA
hSvb1agsaN6I/+6zUg6hR2xbge6orBmh98Zsc3LaqEByR+3zbtUypr2i5yQJ3DplbCdlsrwpMVOr
BmH27yotNLyVEsVkTkKDZ71TidcNcnNs0Ui7CnF87eqQlZtAauyD2oOCEFZpEnum3NBNk/bxY2UF
01btUUV1piEifh400VqDYhuojO1udKiu99QrUrPbdlBSYwhQBuLNrV1/VMj0oEuuixBTdMoQOAYd
goMqSemTbOb9jw2OFn+0p+Rh7PNmA/518oNGtQK06rE17RMWB15GdfWhrAmAHxmS346K0a6gVQNi
y0mi1SfN7EhxzKygH0oco4BVRBBkvA8Yy3ZVkEooakGC/EHra/upUUp6n6ls/OjHejRXcqLa66lX
AraZTKk+QNXdxK2nR9TPINP00BWp3Hq9JaXk0Mhp8ahLDdsrkhH/yXVETE4/2aj9aVrd+xZlre0Y
idX1T80sch3HZbMzJnP0gO2O/QSaC6N/+yy+JlkFcgN/8E6FGCR4L7gAsbfNTLdqiAqMLZM9acrR
CYkORdP20Jzk46p70csfLa1As44jE2Dv3ddIc4/lR10evgQfMwe//KF9/jFcgFLLclHTZL6IUupo
2IUs82LzcxigMd3SP3n5XVL9EAaIwZoGpF2iV+1CJeJyNrjYJSVSarFhztoDHxqz1mtLBj4Lxa0y
DfgystG0xjfS0EP7iG+p9ptgApbed1gMpCjmZhVIklzeWuhpi9Epg1vLqL6SUPPCOlyprP5s07cc
jVtO1eV+Y+TUS6G1ZxcipZCFaApthwA0IA7EY4jP42tQUx5Ss4T5przTg/YLW2XXsR1DmVow0iss
/Ox3Z6a40DqX2sls2qp2wWzgRTZoVkofSU2ngpZ792pE6yHctYogAF4I4Qgoc/CkVFQwKfClwkRO
tQA1PMRUuPz0qX/VFXMzTbLl2Mx0iyp5lMZftwe6EMbNffqA4EOhBL0pXBwSUkma0hYmI7T69lrp
UGWmrtoGANuJOowX4nsQHVhI2BKE8leUMh0Law2ISGQH1O+G9o4pagpd8o9zA/P8nlUkcQwqZW7B
QNuUkUslLTuxPnhP42TEEyktvdtzt/AsgtYDyDsMJDtQqON2g6bHuLcBn4MA9VPVv4bxGzUEacHF
KfvHBE+bGEI8qZB6mBjUwTOG2qur9f9pEHy0ywKAKw0FFtrqy+o2rfnyXxSm1b/KQkDS4/BAG9Dl
sqgTmDSShCCgnhU+LPQO5GXtSIS8M6U4dGHzAP1Upyh7EYxhaT9BjGOWEobXaRa3QImajnIhK7Xb
1cQJsi858xGoSeHk1+nzIAuSDNdIVZwZuKegUDBn2wx++0rZMEpKg8qc8cm8RnHSu+qNnBA/bfPf
ZeOI6AiWvB3cqxCbA0kTKJq4aWVt2dbqfDUm5LnM/XT6ksw94qLb/rFkBcrx4JCxcT7goX+5eG2I
V56MmNON2V1dgRtgQEMzQoh/j7pDJ/yZHW7v6oXdQGFYxmgAlZZzc1NP6SFHiJoyWVClXdpU6OoE
rTfanGYSyMshDVLV63EIt0C4cUit6TCiQ+D2rC0dDSDPwqkwv5Hxirw0MXayhlABriC1JnU6g5le
OUSByxTU22+b+vtU5KMSwF+wrwBEm4VhOVu2Ukp6ZiMq8Yd3vHaMzN8369LX3GlfrCLXeApWpm++
oOjujLlT7Zgg87A42LMP4Oazh7xwmprzB6S1Ew07xn4SYXPaPGP//1GCAu1ylHZfqkMywYi0QUNW
6R8zv/mq3WCdroxt/h081/f9W/UpIkdfqjiDA1ufhdEAyUDPyqVd3dTaikkobNWV8zltzMyJPkFF
SLdPpewoG0gXCfEmy0P9xyS3oCqdpj4JMFTZ7bZkQ1vPuO8ax/aJK30YG+0x3ikn6V7eiMq2i9E2
qJXwDziBZZuvQil6MYZqE9Suth4OygvyRrEXrYMNwARriLWWTvRUrfv9620PXtyPZ1bn/392bY8k
hcR2DLUkabhPZN0JFEGP5uyA177zz7C4sHmyOryKKQxUBxY63T7+w16jlV045PftkSxeAecTOJ+m
Z0NhzKiTSMMEZhDQOjXv7BD5EtCUKx10o6AXe7ttb3nn/TMwzjlpSKOuGWGOAqEHug5Hg8512j/f
tnLd24+L7XxUnEPifVyYpIOZxstOuiO7pf/eoXFrGzzJq1/1JhIM67ojjTPInSiaMURdZ8Kg+g0U
b3acZFeBgPd7/UxBRSMa3lKsj6wi3hUaMGaARV0uGlgTSGyWcA/A9pv3eq18AMNytO509GoJZnLp
NjUh3oFbGwE+HjGXpuq4Lu0po42LdNqj+tR5gDc2h/gdvKqPmua3e2vV/IrXtuCOWNzY53Y5v4yY
oSYUdVCXfCd++Mq8CFzEqE48ApStu8pJ+4whzLAOj5koKNIW9p6pquh6R9INfX+cixpRVIZ5YiC+
jOVyU7MEGWq9GUdPCmPQNeU9hj+VqP4UKrSnXWpp8dNUyvVL3pvEA0P5sMkh63ksqkIW9UuJvo3z
62ayKoaedZwLrHMVOmxzcB4IVnzRuYDvnJ895gxjvFzxUo4jtbdMxDWThsSf+kTKj14JN0nWQUkb
kILspyjQ4qmHgmzF8uD+1zAvNDVzWNXRiIkPYrLqTZD/k3QtGNyiO/8zOJt/PRrI+Y0pBtfvigP5
XSP9gmtSfrGgZ/1zkI7Tr/SP7KiiiujSeY6s+f+bU3vO05ydss2Uh6QwoOA8Mfm1KZQNDer1BIbr
wtQo+i+pa5XGfV1oH7fHu3TcntvlDopUrQD3kTGlmXRfpl+ltDOLl9smFmcUPfgI50C0gyb0y6Gx
chwsM8CMZoARIH+p3xkAkcvvt60s+saZFc7x20jSknyc1y36bRXbVoSDX4yaUMmblbAVC+UozusZ
iDXkiCJqUu8wCLdES+xJvi8947tc2dt2I6QbXhwRWi1nYiI0mv3NnJ25xGQwhOE5boxOeZX6QyIL
9vHi0hsgUgd8FC3nfAm0QgOBOSgYUFvlQBwPzlg+dJOI3m7ZCuThIcMJbC5P59f3IU7CHqMY68e8
98vxvkoEB/KiCSAz8C5B5kLmHYwSq+maHpddOf59i4P4BALvff3f+PGZGc7DrCnD7843eBlvdS1B
Y+FGM17lTPD0WNwuZ2Y4P7NTGan5+T4dx00GQRBz20peInoEzB/Lx48zmuU/c6Zxb4/ejtiUUlhR
TPS8HuTqMzU9m2ytwQdpyu2tuRhsAZCNHBm6M9UrGQsp1TutL0PISv+yWr/s/GFnoQ1/ne4iz/LB
yWd13lwGEpxty1v2zO481Wc7iLAKmiPVbHfXr8076RHvuWPeus2x8Ru3+Wg3twe6uHTonsIfIMTR
sXBpT5NbY1DrqHFjcogm3dXjZBtXvxOpEJSPF4Ny8x9L/PLpKO9YuIexfKPbFivL2OvFGxnBvLNN
WI5kw7aJH7LCqakI3rIcd52Z5i5ItSIQum0xSPt7BHTiLXwij9kxoQ7bDC5Kionkhkd5n3uyqHl5
0WfPLHN3ZIfaBG1Y0rgJZEr6x6w5qO3r0J6y+DCUoharJRDzLKhtIr4DdwxIJC8XU45D8AKWGGdt
evVR3gUoku0mf7w318UGxcajit7iOyEGfZ6+q40JQmXUegD/VHgfUnNWJvoEn2287g1nvxM80e1H
eLQ30/1tb70mqsGTZOZu/o8p3oni3rJpMGGExXvrG+vypH8lP/lxvBtmLn1tpd8nK/mTfqDPX3D1
LO/MM9O8E409dI/mUXYecWwnW6d788Q2Hy+Bm++FjrPss2fmOM8h3dRAZWye1BXkrjf3ELk+do7p
qlCio655SI/Zlwi9PIc1NxaSv15TGbc6Q1slWm3vKgmafvdV70gGQED+7XVcvP7mTCa6T8HJxSuz
4H0cZ3GAZYxs9GhrxOntry7c3jayGIycGeGO0sSomtaOceBIeuCQ4RFVytsGlqZrhvoQBcAb9Mtx
HpEUXZZBlBTqaKjWNGPoTjQ95oPt0qJeM7MSVCGWjupzc5xH0EZFf14BcyAagfgcXbXVUSpWmagn
eglBi7D3n3FxAbZSDeD3VTBxw0rdgoqt3OjO4A37njjVHog6/bPdS5veYQ+DaH+LpnRe07Prrxjs
FBl1mNbWENX0cS9MXuLbvnZXFa79AOGYNd1OfuAz0WtGZJk/O8HYobYZZte2fmXhDjQTYwrYw6YV
sUkt+f757HJuabe93jcNDOnAJJbgbwKZM3gmbrvm4lVgg0EMf4HsABf45URGddZazRzDlsynoPax
0j1N3yptmwZOG+/l8FECT2sBioJDrDwnzA1CQbpvaULPv4CLPeWgD81+zmI22V06PgFB4ADFgqKr
Y8eRYLhLcwoQD46TufADbZfL0Zpykk3WgNAwGkGk97vMVqqobCoywXmmVNWdIs0mxpw8sBgJMCNY
NV3hChZu6TI9Hwrnh0nHsqJlsNNAGyn91Up+pfg0/6PqR8COvXB0M/tuEGlzLMQpcJOZ+QoE5vMF
ezmBUNBNEXfDKqlKh5Cvrq2hgOpo5GkIgBMXSRUsHGUX5rijrMuhFAPAGB6mtLovGfO0BoyM6JDF
404woQu3wIUpzjUmvBat3phfWh0Ed5pkR2uRapFoNJxrVJ1kqmMDE112N5G3kTxZ0xP7L56MGAiY
K2ceOiwVF6mXvWYb+RwQDP0TQDh6tGXNSuB8C2mycxt8bwiRGjDlF7iXR6gPoj3as2nmoKH0ozFz
R6Gl34A4aYqGTRmNDwLb85pfBh8A5wJdOlOgqbNMxqULxikkOuu+a1xZld+llLnJCI6/QdtFBspL
GSoubRM7SiT7Zfoz9hD7zlsRo8RCyvsv1hTfABAGCPi4YzMNCFB1f59DyczzDvkiA7TVVbtqldEZ
gDfqxvsYOlEk/H17+NfHy6Vh7rSsS1JCAggzP1AG4N2GSZBhHQQR0bWjwgha+wGpQQYFMcvlFMsF
aoSGMUdE5noK1nK8towvfXq/PZSFSBlm0DaND0ZLE06TSzNJ22taO7/0CL03ksnNR2hyJ+mmI/W2
S5pNpI9PRvGREDQcUPSRl2SnsPBfR0v4CFB04kyDSCNwAJcfIUmKMoNqGrdv/oe061iOXVeSX8QI
erMFTXu1pJY72jBkjkDv/ddPUjNxbzea0Yj3ZqWFIroIoFAAqrIyQVgDecGckrRyUbW8PdrryHlh
hyVpGDLg2LM4wwM6ix6VMHJLqXiffNHpZAo0xfcY8siO5i9nN4qJTQBqbtQuLBbgoE5p0klD0dh+
qESOqkzpusr9hESDf68o+WHoARCWcwFKgpKcc6b1+lRHyR4XChUoQPTHsUIp45DWUTXmja1on1F/
36V/oYc61B5gZ//5vIL+05qPdJzsLNw8lAaBxnLToEHqtag3UfSnDr/i4k8rfnHpT6/PXAxKVWVw
GgCJgL+XvhL1WTtqfYUZVXLSdt6Y4+HjScFR0tDn45m43hfyq5xyjqaFJNOlXebgGOJYEcSuRshT
ve/BfhDWdeWZ74/Ci1m5Ye1WL5wos7h6GhhVrbkNH20DlwPVp8QUarltIC472aa2V1EWkD7E6DkY
OH6yFGoA3//HEhPPEq3PzXC2hHoYsWRSiB99bKtcXrN5aa42w5kdZpvTwVAGc7aTNa72KM3CAiTb
Kg9gNaid8r70be3ptmNyRvZ7hJw9Ufw++r85DEH/2/jHKn/NARK20sfbdhaeYfAOqNCDGg7MG2By
vFysqTbyTs2H+S2k2+jhffKgrQCR7qP0Tk8T2ofL+8IGhH/6c9vw0lF0bnc+qM8G2CQAaedmD6+s
PynA1vRALc5F45qtE5045zaYHdeJEJGOBdjoPLRnyS/l1neGjbmpHf+UP0m9g9QqxFg1h34k9q4i
EMDjxJfFrXA2u8zeA0+hoAgJZneS5ft4Ej10cth69IBy5H1XVpvbc7rAF3E5YOZMHDWjGfUBAzZO
+ip3pS/h6McQ96V3QUjG3gHJLzAe4sYEgcNI1De6mrbml/gVvJhe6HA+Zl7Bq00DOn0wlaJlG33b
zAqHBtWnAEFcXGlevvJXUGmcJXQ86a6064hQaLPWe+WvtKHYTatopT/rnHTwspP9+wnM9A+TP6Lp
EMdmG20t2ZVBoMHDVC5uVDQQIayjoRuFystRpsgrlWI+j7L4bqsf9PaScDrp3c/t2Vx0pDMzTKSL
h7IIxBJmEovU3afYg3PqkIOFHE3xHJ9dDgkGBOSAAERhir0jx1M8TIEPW3SIVkn7Pan6rpE/GqrZ
eg8gjd7bYEcHB0P8Fx0tjjF2B0urnalSD0JkekJyP9CYEw8X78zwpH8+al6Hs3gBuTz0BoklDhXF
cMEJ7QoQQRk3Y4gn8ttUrk3xTmk5Rmf3uPJgZDYUKEhjMliVcbGyxlyRcXKmpvgQp/qJzzu6dLED
aPUfE8ywlCAWhrHEpUDOFLeKwPS1EmNHKOhmFLZBxotHixvizBzjrXVrNUJQw5wSiujBLewAML4J
UPD/wlvPzDDe2uuFNLQ+Jk6PgWmrvTwSHUkRAfpyio4T9BaHBO5WRBncNFFGu3QMinto1BVwDKku
iVbqBG0RA5eZ9vrNCowcOIpnvXlAjNlSqp5VSYNbaWNX0g/kNusE2tIqVKSQ9u1IGtmBTmQesHTJ
/VC4xRYEIhd1aOZoNqZBL00Ni1Wk0LKqlLukrzgBcil6nZuYY/jZrhJK2TDLEMMSwsgWgmMCuiuq
E4UHdVgKX+d2mEUKyxizWsBONvPy1Ue0Mk4D+njQQiJw/IFnap7VsyGVci7FtQpTsYxElkmKSkZ7
gF01+yT8uu3mv1p4bIA4HxZz3lZZrKNREM8HYd2iRw/kJ4dmo7qWLR+L3WCnTkLAUuNOq615DB6f
I/uZOryH2lIEOf8GJoKkVdu3YjN7Zpu5aeb2U+71aN7SpB1SKwKv431pu52bYyJI2Q3hmJswBwTU
kyDjgh+pIZoNodZwe3IXXRPJVn1ug7LAXHK5jlC1mhShxZ1bLb1J2RfqwaQfE89bFmfvzAoTqSwr
TFK5RT4oTFe92a3RGwvmw90ARoTCvKe8lOQCvR3iyJk963JUWVkWht9hVPlIzB/gxdM3xREflFcN
BPIdKagtvIyOuJbvSq/x/AM93Z7VxeWbFSTBEwKcHnukdYomDMGI8QpRhybKEKl5NMdzcCeLgevM
COOSdNQD4XdS0dfviPJr2PIOmIU6P+YR9JuGOjMFosfoch6nGGXLwZ9fZMKxzO8z+qeiK2P4CtXv
qjvqERQqD1RYxeLTfzF/Z3aZ6OLLElj35x1fQ11aqgMCFgMi8V5lsxdcxZUzK0xcQVNx2k0+rJTZ
nZr/Vce93KZEVwkt0Ppag7NVf789rsXddmaRWbIhL0orK2a/qLdW9AfkMbT+o/HO6gUr0DWHbDCI
K4G9ZSsoHTp0pkaGlcIX7MhQvAQSIrF57KSQcwoslKZmCfV/TTELhdZNuTfQ7YzGd2KdpA7sceFh
WgkH9R4c9umG2uPO+iNxSosL4WTWSpxpiJBAB9Ll0i2LWmgV2iMp2RQHE+0zeoVuUeiwSbndU7fl
5ckWdvOFOWaQDXqcjT6GuULep8KjFK0l4fG2YyyAIZDJPRsS44uDXvT/i6ipQE8F3H7lpN2hTYBL
QjkvdKXup1G9ytyJ5kPV7bTsvg6PNXVaBLaAM7tLD3p8C1An4CUBFw+bWpZqURPQL4HxOvQO7OdY
2fxDtR/Dfbdv1sFj66UC8dfxPrvTyTZ4rnnosIXLxcUHMNsENA1FAioHeJXv+YNXBE5g/emsuyIw
7Nvzzh0rc/5V0AhLQg2mFOqgkQi9EuhD/g68v/H+K/Ki11xyQlChokC+b8G4V6w+eMlR3mCZs9EE
WYSBZg28nlMHnPIqhQovCO/ouxK93B4szxJzKiYGBIczHWNVQVPg78pkOyaP9XjyQ97BMe8IJrKe
LyDbZAlBHJAjVLBUyftKfW9izoV6oW0bre8qVDPRhohmDbaAhq5X2VdVVATGAW3LRzBZDIlXKt6U
7cbBweAUCgiHqnFuS+pC5AHhMDaFoqKBA0Ssl5EnoHVdJIMKZEGjOBXi2zCAqGoVgQRJBruG6ZMo
tqmlAzq5o91BCHYlkgfaTlfueu1N7x9CMAjKYLfq6Sr2nSjv3KkmvbiLJ6+H8MeEl49CRnUTmf6u
9UcSAhHZ1ZrdQBu6Hl66oHCb5kNu5yqabaQjKeLdWB2NRvSGwLbwYKLghudFwAXPAX4abGdI4YPY
jj1RkJDJc2HScA9ABKTgYbIOcWxbKN9plXPbSZdm+NwUE2zzXgVYSp5NhftQd9DxrwBREQqOSR29
4GS2F43JKJNCYByHGFvdolPfJqkCY0lnkSGdPFHQSSO9Ae+ct3dRwSvKLpzMs6F/7DGBra3HLMQb
FK8m4UU0SkeRn1DC9qbW/S8m8cwOE9Uk01eKWp/HBbhUWqcoe3zl2kqZglVhmBtzSjgbY2EiFYgk
QxAemEW0ujEnsiAHpi/rZgvMgSvSYhNO72NzELLyCPYPnnTfwiwqUHkAoFfTZmQ6YyzNjHKyqNXa
suZDve159CdkBryexyC5cO5f2GFcsZCUAM0JRjtD6Ib4kEhPYccJyQuB8sIEc+wrk2KFSol5a3zV
lpXe1lXOFW1xEOBKR4IR4UqXGVeQJ0WnWYDJUoP2tckmpyuCxyzi3BkWx3FmZfaPs3RAJ5mCHoqw
EiO+KU1Kch4fKm8czOEVCYElFxMslGjvKV1lRK4LadLb+4ZjhMVMoG9NodggrT1oMWm0TW+qiLwc
jl3OXLE6OmZadoaaYyRiqx3BceMoEhc9vBCwIT77z6or8uV6VFVcNqi0tfaYTYdQ34MuAAqM6Iwb
FacIs33aoBgQ9HiMi6SZDBS6AS8OJCfoMqL14soHIU3MqxPMS8TcCi4+itm3WQfhC0vA7Kbts5mf
yvGO0l1S71CVksCp3z7cXszFMHE2B8z2jXyxyyJ59smwX3UhaArD10SGRjQHHMdbT2YPtx3awgpr
3sNxdN9W5S7Nnm6PhGeBOTbyklrmIMJCr7752UpuJI7fL+X9L5aGiRJ6mExZXGGuEk18MqMIPRFT
b5LWGu+HTnCt2PQGSCk39aNFeTwFXONM8AjoBABr72NDiE+pX5EAm7w9ptN9rW+HyAJP8C4DEePt
OV10RmS9cPSj5nBVdagrU6eqEHR2iojlZ26oRqQv0SHWkuRDfxSbv7ftLXkjek+gKWiAcw8ozssd
aQ5qDUQs7LVW95NW+dOAXFgL6VNR4U7ovLvZjXZui5lQsBvLaRmHnS3t69Sp0MC3Lz6Mg396lh+r
r5yTh1qAtwPidTY0JjSbvgoAYAZz3Zd4F74Yp/hu/FtapNgZUOxyHW3zoj1Q5/Z8LnrNmVWW5b0w
5ITWCazider2P+ie1g7qJgCNJikijjHO4rGQSlMqQAaODmobhU4HrXhok4QgzaOprm4Paun8OR8T
E7YDLUriJoKdVIHmWaLugh4cQiMvQcQzwwTiVgoqJW1mM+CGNftthOwaL2u/hBw79wptDmpnV4LR
HI2xnY0IaxQjVtVb9JTtJSfb5W/qKdJJyAnDSwXVC4NMHDZBqdnF8yLV2Qv9MIj+3jggxXHDVWc3
GlQUip381FXEekhe/n/LxsRnxM2kCitYVpSv3nyRlZqU4vNtG9zhMQGkG2NJQOtzZ+sHBeimd4k0
u3CrZU7bY0j527QF14OjFURembznNiegaExAwamtB+AW7+a6ODh3paOKQjzRC5JT948IWAFPh2AB
TvUrnA2qIRVagNBqvvQef0xDq2jAcKQWId72xzTZxpGbKI6c1k4YncbykPnrtl2V6Hsv76KYsxMX
MgzzB1jIMMx6qah4Xn7ABLJC9C+gk93qQTzRJU5aaPYIjFVNRjBxR5sRymGT76aFy1voeTYvw/el
aWbn5CYF3MqA5kms76iBmiSUOs113G/C+CBYxzTfV+Vbrqwq48XSSCeDhj13FfGvJH3oeKOATmKI
HwAPJRYVXaVxw/5glv56gpaDUTwhSyILb7NEkwUAZV2AxrN6HwLRbpojnSAiWawVGWSddNOptVch
fVHv6ylGoebdnARXaFR7GD1JXkeTW6QbrdzmQuaW/SaD0Hi00bOJQE18Mlf6uKq6UzwcfOWoAQlL
I+qk2TcNdzQNCag9rTR3rOk+iY6Z7IBwbgRPcbEesmOUbqLRExvcV7OX1LRFfx0Za9N6AR2u0iAj
kO2S8SEZiSHFjlmtjfJkNl4aQy6x22v6NqIgg98L3XNgvFoo+E/7uNrlSmKX8cbIH1NoudQffv+E
uklmnYxunevEGFexcsywf8QOGsPhV63aQXPsJ68zZDf0iZq+ifWf3AhtlEQILkWxfghm5fDnLDoJ
+Qdo2BzL7wkuLI1OMV0jamrqthYcK/ySc81W6R9xRLfgUShCND1TqFhG69T04H52lD/75Tr1van5
aUo7svaif0Qaq6ufzfizR+tWUO47dJiAS1Kb3Mwa7LjzqOrWIthR23Lf0HGlycdE6YmYmyszfgNa
yEtDFzRGvPP++uoENLUGwWkQw6MsxBIVpxr1QVTazmAcW9oYm8prnNYNSbKvSSMS8V45GM+VCw87
iZRw23kXzIN4BarqFqQG5pbey51ZJlreVjNMMNonjmz3dmxnxwr6LuT1pO+pk22/UDh6rV2e6NEv
dpTZmBeWmY2pgwHWqHCo/cKDfGgvlWR6pSVJcXW1H8EIdSjcej+ug43hFE60QlO76FCHdxIsxIeL
z2BiY9DV0O/s8Rmy3do5TENSc4Vg3Hv523NGcMI5xj4mb9b37ch0fQtCheJs4pljriticxQN1MsG
6gTpeyG7dVGQVuGNb/7+W9PMnHRoAOpLQ0P9KiXpnWoru8CLMc7S6VaN6+/qdWvzUkoLhazLsTEn
XBqgSaMxMafpC5SzNplXqqRykX90PprDXbLS7J6zjXijZG7NoL5IwDMKi4a1VbSVP9wpwvr2gi2d
omcrBrbXy60SjIWpxxVsRDr9FLX1JGYbiEmQuv9AxcmxkuGj6cGEGwcx8cGpPko96cPuAdyCnOeW
fNt5ULS7/BTLSmRQ/+JTcBl8sAKieNkmcuI73/mMV4MzPeJUIyizkNozSWf3HtD+Dmi8yen2nFx9
h6UAHQ7AqoJuAoDfmc3TC8GYiLKPa9RYebJZ2iWCa20cZF7r5dX6whDYIACtmKnkwP7FDBiM1IWu
hj0SbzIab0H4JbgKj0vweoUZK8yelDtlSgZIIdtVSMyKTLifkTxaZWtgbzeKnQ0kR/GKx0HEGxuz
Q7OiTw1aRr0t5A9N9FRoYLi2b6/T/BMXQYAZGLMhkbEUavT5w0QkilB5LNNXWVD0yB3yMT8YbZT8
CG3Ea1pd8g60LqH3XQeTtsk+9OIIMJluSnqUA1diDSYD+aWvdrLydntw10/m39H9a4d56E2q3IXF
iAm0cK9zIK8LnbctWLLQb7w3T9ljsdMO8UZD8z9nH14/y2bL6OsH1hJMqwbbNkCNyQL7RtzbyQa7
bmOI5LUinaus0Jfhzv1KnHXkGmQWsqVlG1YtDOqHZh8iM7yybO3BeO+9YRVszTtuOmIOaleeczZC
JrCCGjUDORMMlpo3OLndERnNzripeZldU958zp9/w9pvmuLsmdtmSd6NIqwNjnQ0V7OeHalHV7bn
99m00o81LkZoKf+AN41r3rm1uBHxFgBxE4CTV11go5TnmTylPYBVgLR2ayiWkl7TeYNc3BazZAQa
cmVIHjH7XW9Mo7AwrbhstT/tSrR1V9iX2+LTvzfcCumQu/Seek3/X/kOxOZRupiveuyh0ZogAddN
2EVh6Ut9ALDe853kU36abM0uj+0nZ1vKS4t5Zm/+/9liaoKcNAEY1GwDxPVrMI4Df2qHK/QnOr1I
Wrz+ODN7jT+Yt+OZReXSotH6iZ4KGKH5TkdSIk/tZZ7QkcjTHTDh1MfRMVbCBg0i65/BNt6LrbCP
OJQ/87X1yoUhvQTOGPAXgYv88htA+F+buTIHo2SvSj9m+/f2tC4P8swAEwKALOtBnYJY3gyQYDDB
QqBGdiSaj1kLeGpbWMC7oJRfoe9tVJGCDgikgz/kPljTIrLBhExk3SfWVB77ot/EJgS3+upkatCU
KISQ98C4vubPa3L2uUwA6WIzLkV5Pt30jf7ef0wk173gVKwfwWizNr9Sb+qdaKtsB1vSncEendN/
jIC5/ASWak4R1KFKNMxYOm1K8V1oH0zIdJivGTpsbi/O4uIjwWLOWQ485pjFjzqthDQu4teEWlc2
FXfDIK5um1g+7YyZvwAM8OiAYpx8yAw8T+eIPLUAzOJS39552k5JyfinIfRJA49nBYykV3m3DS+G
rTO7zHst8qtYCRvYhdzDRi2mParUNs1HNwi+bltansV/R8hc9rpo1KaGwpJpvYbhi8rTgVs6ZYBy
AeRl7ulW2XuJURcB7WkJl6TaqkbSw7+3hsc+W0lZcpfy4B5Lozm3xoTBVC+moE5gbbReW+rlDQ/z
xDPAOIRuhNogzQZ086RK3w2PAmF2WjaiId8LVtCZWA4kCJcRTZJHRdG7qrc747PWnLxZ1aGHbhaL
2rfXffH+fWbJZF5Y+YC2WiOGpVARO6gMBMg4x9Ehpd/Ujz0qKwCXJo2TddZrH0L3Q8yaF7FDN4Nm
5nd+UnM8/hqxi8ABNQfVknBa4xbLzOxI1VLpMnxP/CMRyXIagIpqku/vAFJCQqThUbQvbTHLBAAI
EoUgwLSY8KGGUA8Iyrq3qd86o7EvlBTdNS60jG5P9NVFB8EJqVgVNxBoh16xBcppowx+XUMiJbG2
alsit2YcEjxbb5u5rioB8oiIIQK7jRcixnTpOU1EO1AazKq34aOZfRTdQz44qMAg0ttB5taCAGUg
jtGrOZxtWjIE1OArc4/opU0BPclh7sNmlNpSfQrxjsvBwN37/08783ec3W4MuY2omKF1d0RSuT2N
mWdMx0p9vT2FvNEwHlFEuH8GJkajJR0JQLSXSidVfByjp9t2rj1injUoikHJUYTLM55ehmh6FJt5
NMmp7x4y8VjyynFXYeR3Yf41MYexswkLNABOQKIf24PxSY2NVDk0t2P1ZwpXt8dyFQ9hyAQDAHq5
waAPEoJLQ+gr0YSxG2CoeKCV9YhaP6c6tmhhlmxQwDYA9mDGrxUpCvzQF2MkniFD8qoqnDvk0qqD
dxAMEeAy0K6elW1QjPXQyNg3xnOteBBVI7F/zEJe2yTPDnOVlIcMsPdeim09deiMdjSeaVLiQskZ
z9J8oav+FxsAHRKW/bRtUi0uQPFsV9ZRzv8mvcw5OX77Oy/OKBWILAWcZhI4jqAFwfivLhiFOHR6
bBfQldY376CYgKSB67/Xq9EFFTh5OchbxdNcf6NM5DV15O9uS52GmETAIy8iH75LwXU4rrgkxAt+
r4lYRBUNt9CA/v30M7+vRCvKxkyDs6AcUg9PYusTKNFBiksjVX6wrB917q5WWi+OHkB6sBZU4amV
0WIDGhCdQn9ML3ncHIvfBLkMKCPOhLHsdq/axK8N2YhtX092/tTuqlBaKXjij9iW48RJzl5XW7E6
ADLOwo/zucNi4PM8iWPQZWP966n4Mxp+bBLwUhkyJBkSkAVEo6RC9rstNdC7pKCfVNXOgNiZ0W9p
STvXasHPAEW+cQZdQdsWHM4Rijl+ISf3GrgAeP1pC9EQpRhkGjUQ+8lXV2x00E6NIvSJHU7rUX0V
o32VPd4OUosmED5AN2Ei4rK6DUCqSRWkyRK7G06GvBnjvdVxNsXS8Quk4r82mO09alIJiDVsWNXb
9K5iddELof2Vw/e2e0hoRbSWx9yxPKxfNTQNwFXW2cuiadV87BJbqzaU/oSaqyoft2fu6vaO+xFi
LqK79WuCOXh93NVSLHpi177bAw7xgztplEEf3JVrTqmeNxrmJLFGmgRqC1MWVLGptO7Dd23inCUL
W/FiOMwixS0YmyQRNsAcRcKEqMbLaKbEknYKL0ouhPsLU8yxJRll5UsFTPX5lyRsk/qnAMsrXd1e
n4UBQYoEHQuoaGrAgc+Tehbv/AmKj6GK2DJKwD/6kMoVJnAEh/l+EJrvLOTmRK9SlIgu8hz3ZZD4
47LJFENGIzAGapqxLQvI2wNk7PRKu7fQx2RMo1OVFlAHqSeU/apSedxj18iG2TgCqQpKHg3XTsb4
MMXon5oEXDY6y6l6cS2IlmeIuQ39FA+dVc8T8g5hUREJcJmC3t+e64WDVcOpKs1fYIDLnJnrDHcI
MFlbuB7Szx6Nw3LNy1Yu+IyGND2iiGHqaL5kxpdAZBVvID+2Td+FyGop7YbMbbO32+NYClUXZuRL
p7H0VhCFCtMovqASSp+VT/HP6Mj6QUXNm+OgC7v6whZzVxiyQGo0Clsdqu0DJWF5tLhSNfOPsBcS
cDBAiRAnHpBUzMrU1RROVU0TO9MGL07aglBqSbbRSOMKGrQxybQ+dpI8ps4QNcMdyEhK0km9tgVB
5UPXTFypynkKmS/C6Qu+e6gwaXjMMl80RT0I9FqcBmMJ4lBdJ5MB1bG22xmlbvsygB9WcWeYymrU
/ENg0Ieg5DRsLkUG7BaUSlScqgqbuVJCHxn1IkrQyPSTGAZJzTtfFO5bq1/leBhyXGr2TGa8sDQL
GCPNA5oFZpmVrk7qSENYKCRfIUA67S0fPBxBmZd/ulCPkIkRjw2djDuQbB3AXWQ40RRzNujvOl99
hYVUICTKEB1YrhUfOsaQwA0SPEZ0dHaaXQpOCaqn6pNgRbLTxMCuEGuIs2BXlSU2WRjFPajfMgnl
JCOqngYlbgECEgz1w+yo4sSCgsRfqabxVizHLHDjCb9E6kavn3IrlJzCL4IKsL1mdOmkp8+y3uAU
bnLpSWxU4afM6nIFOSP5RfOBkkmaESKhgYp0XqimL0Lr+xDHSM3kvqUVVwbheushgYQUPWYChWNR
ZdZEDA2xG6UQW0+eHAFv8mF4B2s152nOszJHzfMTyMpSrUhgJQTaITq1fUigsHjbva7jIkaCYwd8
YSANgZbEpY2iSnN/QukPdTGSTUB4m5S0EgkC3qF9vWkuDbH3AytrfMmAoQE4MlX4ouUBKKypImXn
3R7SfPxfuiqYmiFbqqCEgJwQ+ygQ/DaxJgMhK4S6Z3bsQqcxTl1+h60SI/GVcjo3Fu5x4AcBKBAv
EAP5IWYG42Gmre2g02vK9CGVjftM+wJtrAP2Q9Kaijfk37fHt3hWq/C++RUC/sPfZ8qZX0Sdrvat
kSd2O7qW+YAm1ax9zYynoPtorYdQdlScN9yi5rU3It7BU9DPBU6Uq6pin8jguEoK3LqCZj1IwL7V
8VGvVM50Lo/OnNu4VdBuo/x06ZFR07RVr2J0OXBzcfpZj8Tyd8Aw0ME2VVc2tl1ak0L6j70Gw0Oe
FOQMFnKXLJ2kqTaGr6dlYuvN89SehmJLo30jkFh4Fqu1xEvuXOdkceECbArElTOrjc7W19q8LSB6
XyW22jynnTMgCxw7aOpuYmJEb4AlUljV70yeZszSVevcLrMPIznIBHSVw13rZhUaw7ofebCe662O
oSGphMnUZ0VpZgWrpm/kJMMK0mgNZseyX49lamu6nevTfxwiL00x9604p5AvwrvcNimgQVSH9HdC
xDThOAdvREy8p9FYTlUAM9BUJ8VwP8RvwKna/vgdtDlnSEvxBOUwSJdZCCgqe7/R2kCqQZ6Ak1bB
VebRiixiaQ+Vf2pF5FEyzvXimkcHfqgjklggcdIROJnwJZUCyPCU+YIXkAk9RFZxArMMjVyhfKj9
F8tcCeqhpR9jjiLtWsEztbgL0BoggVu224ng/ACRbVqckmmd6U6Y8fg4lqb+/PsYf9XLWok1iotH
KG0hodONXmU8KPVnE3KuONcCn/NMIJMEhgNIpYD26TLwKJVZS4GGmahmpHO4Ssb7JCBlUJEmfij1
0QkkhcRN5iY5InvyXii73LeT8ktTtvHwkpngnEDjt/4wcAtKs39dHmmXn8a4eStDtW2YJ6FMd6MI
rH3kIpdeRY5iPUWpp0dOF69zwUlo6mQ8ONlS4Nd/iXaB70Wj8vz/s+OmLJElRuo+sSfgwXOqEnSl
9jxJputDGyM8MzLfU86MxHVhZTSGkR5c1A3RmpUBjvfgqdcAgD7KvFL6/HNXE3pmjvH6shw1Go4w
p2sRyIOJqtwNoIa1eM/OJe9FAlIEUAW3K409zNpRgMvliLZK3IETYFNNjwGeLar0kSScnbwQN3Bc
IimtQp7LvCJlNnw1SkMVptAIoSMplhoVofmRSiRW7Dzm3BsX1uvCGrNefSTTRBhgLY42U5lD3yMg
YaASXSap+q5QrwdB6+17z4IfXphk1izSVDnTOpiUK8UVm9bp84PIc4yFBbswwoSbqY8AEKhghPYp
ARkG7sGYVqAona7k3HTkxRXDfprlwUQ0ADIDSrNITdRxnsPkFA6bPrxrUAxGcVYDP2f2FEZoNui+
6+wbvbo+NHGVClwgYIgTPXR9huGmoV7lJ47UuhUqEUPSkqDzcKOIVWhOHHsep+vi1Jx9LjM1iI9t
Jof4/Qq6WFZF0da/MsrPXjBdg3fF5U0Nk+KrTNCoQU0KB275mWtOLbyGqB9ZDYmDjTi6VegVyt6S
XDm/b/RtOmZ2KT9a2luSgsyAdwRdoxWRqgWf0f8tFBDCl8GpFhO/F0V8jYVpBskxPWidrYETuO7Q
2kKJ37+11bDStPsMdC1oBLnt+AvBCuaBPNXx2MSlkZkMATmBepivpn55P1hPMvoMQfs98Ch+FvfX
v2ZkZpTC5AtWHcJMVr+FVe/QYp2hueT2WJbixnn2hokbxQBcWQcxS1sxN934V++egIYYjW1JP3MQ
4XJRRgvZk5kIf+aqBzeEwhbUOmsKhl7S8FYCmAh0UEn4bEDE3d8O6kQG61VBSqXBFYczzGuyOVx8
waNuIuEoyagYMYemkQpj5ed6gnaF+qX9SF3lU3GCb3BRoatygzYs+h2Q/LU5mDseVG1hHWEa6oby
/H4CRcult8ZVU/pGZfxWfUzTSZtVN7j/8SoaoAYEQgyCURb0+i5NFKlRoPNPwPFZhnZjejo0bUFc
LepECx3EoijnVDAWtsC5wd+869n1QJezSioGH24DLGsSFWQKN1O7jxROiW9p7s4G9vs4PbPTiZSa
amrhPSFA3dRAMmkgNW8P8IzIl7NnFK2WZYjcdtDjbu/bCmBAPC2phWBtIK8DtDpSEvAE5myJdWFK
lRj+h3rmvoa+oFJGu6YP3TylNu0izrwtxOsLc8zZEAp4QggifC6Rv+MyhOixRBLBLc2tibnkAZx5
1hj3q7QWnNAZrMm6U0UfESCfarUe0OgqP8Ttz21fXzimkblC2gNwpnlTs6lPQ0ussgGOz96hKL8C
n/lTvhq31aZ2zQ1Aqs+hrR7pPiPRnfAOkI5brKK9g4BDapfX337tOZefwkyzKPp61hpCZBsg3NWH
baN2JMu92wO+3mswgmI6EoIorF/hq7UpRSUINNK2jJK22jqlEOIy+Wjw+D+vjwLYUcw5pwSICHCM
l9sgmmguFiHsSNJPbLhIY03lq5xFpNMfUqO3A43zwvslOLm89V9aZKYP7+pI8n1YVI7voa281e4p
2oSr1n36ssj0Fj5+pbUb2tD5CUnRENUJ9wVJtvmJepOruEjtrXgFlut9evlJjCsnYp9LYzpPtu9W
2bqztnXzx9KcrOE8DxZKU+eWoC5yOd3A6BR9NrsxOMUVJHl9P/SMxgfNihJFXmilGm5OVf6tBjp9
DCQzWOmtxeUSX3SufxZdYR9E4ijRvtfxFWhOwqvBBT2Z23wmIrkfnYKUTohtA+05gzP6xWlWJdwB
QNCmAW58OXi/skBuICL73JSHGnJUifxgGn8GzSkrTiRc9OozS/MEnJ0gqRaJUDuHpbhHLx2ACqWO
1mt0XKnroH/t1Ae1+Y/PRizsmUVmH5mqr46SAouKsYKa8SQbKEcc/eK/qETNhv6perBwMXUIsmGc
6xGiYYe6rUk16dAWjVxA1f746qMYPg3WncTj2Vheu3/MspKgPhUjqmfz+CQHQE9SCfe6hW5nV+w5
L7LF8PrvANkiuEQrvU5zWBJUV0sO/XQvjW+3g+v/kPZlzW3jwNa/iFXcQb6CpDZLtuXdeWHFScx9
AXfy199D1/dNJIhXKOempuYhM6VmA41Go5dzlo/hiQzu8lckqSRtGCZOjX5fpfAyJLObCV3IfkSN
7hnEw9K47UQduQuaoe8ZLbIGElzIb3E2Eoda0FlJhNg+3hPlPjXesu9HHMgenojgnGtkYg6vH5Gj
SvL7Rr2vumdWOBPo+lqBG19IWZ5L4nzmwNCJhBIhHqJvCSBIqxwTOd0L4BNXwV67pegg12n4c4eY
567eaTH9/JR/pIL8x+VsMHAm0QmHbjgwC4Fui/Moo4X32oCBQ9xeVGupvrZ28k8G0PGXAsSxOYAm
d8MneJNEoxkLp+FMLudfWIskJekgF93+qfwI2BkLU2xw6PG4+b6pnonijAa9a5jwAgoUyIQ+G+nN
/BP2TlFi/qg9KOxFiQ9o7xa8mxauhzORnBGlkq7nQJrCSzukvfI2yevK3ueiWs/8K1wccCaFMyCg
ptTTaEExW/k9dj81yfXtBxY+pNHGVwU+ZVEj8AjMPXjILvPle7nt67DvkWnUkSjoUJWLaidIwRIt
2K3FE34iRz+/d5K+U7WkgZxgulMN1y+fOlGsMv8Ev2wweHiQOU9u8AFb3lhhofpot/dVdHPKn8LB
5WUBYHP7Gly8oATTLGQHyJRCB0XzzER9nIxvT7Hg2M6dkHNlCo1dfJNVEipGD6VnL/W7KB/M4F8s
+FQA59/DRlGHKc/QOZgdZRTT1eSOpA+hKJxb2u5TMVxFqorBdjmTbDphvZ3yF8Jo7AssasnTnIrg
LAqwtkE4JNDEKl6k6N0uPEtCAm5MaMoE3nRx401AyYJBBjNn/ICKleg9AKZRXzOivd6UTp19G3x4
3vcTCZwyCYKVopiryg2uBOSBSkMQhS1uyIkA7j6omhI5PBttAFL4HOlP2jg4cS/YkUUZwDYG+tDc
CMSXBkGMDiL2ASX4YriTAH5b7LXs87rTXwhfTfVEBHe9pFVQJ3oJEeV428xYfy4YarrywECzUTI3
J7bA4y/5YhUQwvrXnOlFWzm6GwCToCHrGI4rZtauWuDJBfgmcw//DBpxgbhFoz4Rx+nXGDZIi+dU
rlXte2UTkReiuWO1AWLy9YVc3qu/enGXZ99ZrIsmCGqHHyYmddFyqwtMblEXFLGUrynNy5YFZmcY
hEFCXiuf+vI5Crd6gFa8x1gE5CoQxFNgMtCcZBmD45fHTZc9IWpNS6dDX5YpGLBYXLS/GhEudRmA
0KxR0PDmmOGrlBa0qiLPFo1XL93IM6wzQIIRr4KK9vymlNFtD8S02cQ1qtsBUABcuX3xq3/xaSdi
OEtTmjhWwgBiVPkoSW9Mcq8b2NJLAtNo6BLAnD+QRL6qFicvzSI249yfGwXYlHkMqOJWnLhapG6U
sL+R+9shz9FLouaM5nYt6PZeKIkgSwCaB+SZ5yY4vu8/zrWIWM0EV3Sr3GRrpHxdWaIo3K61gfoe
OskGgciv+gMffpyKnD3Jib7wFCCOryFSXefb6OEp3wIVX3m1gQFUfiJ7sA5vlaPyQ3Mkt5KoiHxn
yWo0hD2gZkbbKR5w59IbLbO1CVRUzmDdFUlKjXjTS+j52l7f1aUTgD6MOUBBZtbSudA0bIDdUls4
AYWyVv0/3Xg3ElH+eaHFCpv3VwiPklllY8syAiFt6aCFxlWtg0/edbK2DUdBPTd/iO11nQoO99Il
fyqVP9yjhqLtLLXOb6KmoOX3hwyhFnjqsEcA6UP/zPkWVWo3lVOJA9EMkglsaxLXa230VcD5kMRs
HKOV7UxwCpfuSw2dkyi7o0kd5N3nMgdtUlAigUy/0XPwOlo9yH3qUgJobNRYa6NXVbesy+gA5m3k
9kYgcvyDwfxVms+OoIBcJ9asNCt+ZmTLrPdWyJw0pwYvTt6JDG7nWN/5rAQCP+Zdt2Gt0L4y0Hxy
nzb3E1LEte8Wkier3nXFLszFwhwcRpZxDPDWAPnb+cqmGIkte6OsnN6e9kNCHpK8FazdxebNIhDu
zG4UTzO+SNcP6lDrXVU5uaUAhiCMaVEGGE8tQaRYfBSYfvBja4vAThDHXdyns9x5nBhXN3q6+aZb
2+6lTqsZ5Cp7NXIKCc8EoOzE6aaURVP1F36Lk8V5zQxwSBnpsIwlYS1tQW2wkkz5qUlZ9VDbkibw
0kviMMNhYXZRwaOXf+4GGRvrlNSVY9j+B8CU0bbZVLSuMPfWF+ThuomIhM0mdHIjjGAfYHWP/ZPs
xM1wk5tApFSf/FC0iJd3LbeKnGuJ5BDjMQVWMQSyFsabGqQnRmlvRdGfJEwPmN1BsleWcw+j1OCM
IX31eV3Vi3sBH4AfAP4Uus0xGsoFLcU4qGXa4AMUhpQr/ufC88f+w5fqTnDuLgLyL0kzcSywFDEA
NRvvyaLqAyviRodx2roPaJEOWMosBsGIptMZAF+XK0Yrg4wCR7p0JhDK/CeWs9O4KAtfUyCWVYTq
nRcRV8c1G+Y+yNlW1xdzybWcyuJ2M6+q2oglLGYEKK0UcGhRKTjhy9v1nzZ8L0VZlVIdQ44TWbdm
2NC+v6mSj+taLFr/3xXj6/wWbjMQlWHFgvwzQsQThSqyMsFdwzrBQ2PJT54eat74VHTKtTq0SYDM
Q1qQz6C3TLZfJm106ii5z6oSgLBMwMMikjrrf2KIshmFhq/DlbB416eyW5p7Fid0VNAZm4EncxU2
mcAwFo3wxHtxti+HPZHTDiJ1MDCUhUIjpX1McuaC/AqNWaKZ6sUdPBHH2XzUVp1l2RCXGiPV/K3Z
HVkNdHTRkO6iHGQMwIwGIAFMLZ2vZI95Y2UcW7QP28VN6BPH6DJPKhNq5qJMzuIKnojiVMrMxO6A
0gk/VeNW/WkOmygZHH3IncoM/2W3cHviFYLZNMxMnqvVqlZfZjkOgKG1Fh2LnyRMd0xVQzfDga70
QXCoL+Pm2TX+FcgzgRhEanMQ6VWOqshbudR3ZlTf1IG8zdu3JmR3yJtSJYSZZjKOSbq9ft4XfQrg
ARSLWAqwMrldZENa+CnDLqYScGSZRv3pwzd8gR9etJUTKdwGFplatE0MKXIYuVLbbeUwXrVJQYGw
Kzjgi7eqPReDdfDJkQuMEzBk9FWQQZbUeCrQtBOgVseA7w3cstIpuJ2GAE/0QnDBLa4jSII0ZAQx
acs/sdTWZFna9/Aro78avmi1tdg1pUaQ+V/0X3/l8K+sMcRgWCZ1IMZKbCfVftQgiAWrdGetYyCN
GtUvDP0JVJs35yxQnw30RCQXqA8WOmQlDSJTbJgdurivu8yp2Q9QMVDZFOyfSBoXoU9WCVILCwup
91T1HwPpwbQPof4ISJxABL0hWkzundWbuannMmSZHfMmyQVOTTMhGHnJO4cNipsIM4UiiVxwmZQS
kMsQyDnKGK8ao3NjOwDDr+IGONn+kD2n0XBntuXv66d8MTY52cLZek9uPQxMRp1VQOw8G4SmTzcU
EtYt8ErCTBBKAkNRRx2E5+1WcwLvEgFZPZL2YfdSsbemBjmeO+O3I+mWbzJ9NYEOzI+PlhxSU3YG
44a0W610KvDWXld48TiefAy3zlWU1d0Iem2nMx8yTLQhEwt0H4GQxVU9EcKtKhDQY6Nn0DhJdlo1
eGwUFWQW/SZRZzRMDLIjUD/fN4KtSptugi/DEipo29Z9KufUQvvHP6zXiaD5Q04MJNE1v4wxjoRO
0oYWXewE2otiCnzX5aboMv7MnYOgwcHY8bmQKlXUlNizIwGgidRF66LVVwUGv6/rcrkt52I4DyKR
KNASDXtvqWrn5Zbse2PUiCYjLrfmXArnOySDqE3XQBlrUt0sfqnSiDL/ozcEc+HLcgDYpWPiE9Pp
nBxrKEHVYiL20RtzrVj6prIxKKX1zbo3VREqyqV7glIYsptnT5HG5ofsVCuZygGAkMjhNTQcHzXM
sRA3RCezEXt4e+DUCgxvcbNOJHKbBTR0MwlSGfeZOd3iiU8bOzhet4dFs7NsZPG+4HVszrY7MhSk
GqGUpKUfed7rr4lOfLBz2d+e87BQcJpbODQgbmB2lwum0hJgHsqoV06cFDs13HSNdqvXKmXvgFy6
rtQl0uUsCzOXQI4GwuBFQ3ZbF2piZSbCxtFR3lby40DVY+GUN6ZrJ+h5698Cp/1QRLx1X/nO82jg
XC63YQqeZtZoGpVD6JO1S/fgzvKmu251VJwUf9eCoqXFX4MJ3aZPhjc43Wu9ljzLNbzKazbxi+Kg
d821nWJfuI3Xv2q/r6/MJQYstzL8iSmKqsVoG77wLlyHT+UrcA0cy7U9fMFN6fUAtpp2gAN5yEEp
vNZoZwgc0GUIc75Es82fONNJZnXbDvgATBdW1atiPiH/rWf3o4abQmDcC+HuuTDuiohkNZgJU2EH
GNrRD5rhBWitla1VV6388rFC2aQUuKTL59i5SO5AjT3o9aIIpjfj7mltBLAMNFYUtPM3RHQDLq0l
KiQyRs9wflEKP1/LQLb8rpAIjlRBB0nDdIVPxw440EHnttVN9nrdeBZeYzowof7K48w7j4hexgTy
8uS50Wkq32blD7z+HLs4SCN6IOcxqdp2r4td8rvI3s6cbYCRMfkmmKEcpDBJUS1E9AdmGwkUgmng
KaFNk3Kjys/W97k6ATABxvY5VwwkSH76x47AszMyCGySVV/9IMXL4AvO4WU1D+fwRAafrmKGWqpN
JeHmqqrHCXygbfuzS6If+pxUHZV7pdRvSiN1ZatfM/DYJNMrkTXBWbwciee+gjOgOI1CfAY07fvS
KY0P5ufHbChWip87kfoy9QGeMntJikAh1AJWLRXkrpcOy+kqcAaVFIqR2TlWwexsj5UYMtFfJ2Vv
xPdERCmwZEWnojjHV+RdyUgNVWVkO6sSk5rE1drfWo1RGiepN6T7F+dzKpHzdIWhxaSeIDEZn2K2
HjJgHmcUeINu0z3XJPAw3FvJ38+0nhsW5/KGCgHJNEsdyHOBYoAuirlEC8k5OCtTDLBvQ0CdTwB8
0YG026MAB57oTgP/lea/5FJOp9x4uO4Glpzd6XJy8YNU+2WJIVy4AQ2wvcOjnjSUNMQpwz+gAYu+
n5WZ1xE5knlM1ND50HJqUPlOgSzlBNln33RIxqCo72bK83WtluKvUzGckajM7xQyn4Bmijd+PR70
RkdlTzT5uhQon4rhrMKImkCuNYiR64ccqDYTAfFL6ZDY3FzX539xKX/XjTMPjfljHEiQVIUlJmQb
z4hezclVyVoD8Lixmp/wBgbbXZQgqUD27K748At1aAW1/C/EFM6dWUOtFJMe1E6fGv2fLNGHtZlM
8TafyYRpm/ndg1Tq9evU6WAxqtpip6Pi6VVxJq2uf8qiY1NUdBSgfR8Vx9mYT6IcLTXbiFRh7WSd
7oagZklAlRB7uu6RSFAq+EIDuND6RNZ8YE9k+YPRRUkNrUnVulE/QSaETfEzS0zgpr5n2uhCzZvG
SNZMNd9JGVJZxsjN0O/l7lOyshXMf5vKv2wFpG6KjYYSaR1H/gOrMMFWF+DZEjVdiNaH88ZSWCaA
98c3S/KfId/21aqUbgokccFU9n/bCe6A2ah1x2EGSRZQxwvi5eVTIb8FLPSK8tsj+vN1erIT3CkL
kMDS2xK7nqerpnqUQKCrj04OTrDMiBypfVWil+vaLUa4pyK544boRSKTieNmkHVsgIPOk3UA0wKX
DfPz7dEekV8SNdwuBy8nenKu2GZ+1DYEa6qVR4xWUNkAf/RrOilerQSrvGpoO6cMj6NFK3uXjILD
dTkJ8LXOGCtCOd+WQYJ3bvEMLSakbtDWbSh7XHhOb2IcINxM8S2OeVn9sNCm1A0PyuCY/VNv70z5
lQhRY9RlG/77FdzS68nYlr2KryB3d+b76ITryo23Na1kCrpyRG+0d+Vt4fwqaUg/US6UV4krrVLP
dqf362aweDfOc1b/b0G4DVHY1FXwOLWDNpyEqv0PJDFAAJ+PbiuzraHX7tAaRHCyFt+SABz6Tyrn
5FLgEqI3BVKBl0nzVRjSPz/sW9A4/w7xjMyh9fycNCmAC4IVbHPzfVQ4zhA41xepWVKkIb4gqajG
YAihW5SDQM/LIcZzKTwLSIEEeAwWkNqR13XmtRt1Dd7M7UflZh8G1X6PDmgmX32JWm60zXed11CA
o75rD78UkGkUWyCsuIkrPoSCTefzUW3daFY3f1bZJqQGgJyOMSopqjc+eu4BG1MNz1JnKQ9oTgSx
DQGI2K5uIzAjAF6j/aMrsa4DHHy0P2TdjkFxqdgHucksUIHktj4eQa/ZvBddwvboD/XRkkyM+gFg
Bu1qDOM6XKl9YrsFcN+8JhqkljZlaQMPI2R+4AEFkAHNy2g26IQBaA9hSM0ySTkOcms+IgUBEnMF
9AkbPyyt16zu/V1SBWNAgbYP/oK2RNpb66dbND+n61ga0BuX1wVaLsE/3gMUY5/FNXGRYQbmdFY1
z2kx9jvftENg3TEwP/m2lR9S9DrdFXpFftrIuR6ydiox6ohueDROFh0xV76h5zsNHfcrwyeymwPn
ng6RBKydstbewVjS3hew78y1h6BEMXrK3anJwicJeHAgk8qs+ybtRkI1vWprak6TsmlKywBWRDOa
v2Qs4E3IghzYjaSVMSxll7JGmR0O4FBF7dmQUtLDV7Nm19p29WJN3fgEJl52bw1DeFfLQbIDCpAC
5hmieGnfyZ8RU8GEUFTye9eo9rbLQ/wiGAOzVTkSNmL4S2m2FSpSuyDR5aPs98B9RInKeu7krjmE
bATdIGNy/tufiLTyQ7MFEwuaKjaKlZVAOw/SSt+1QNU2qRo2dr5CPktvaeX7RoaKU9IOFDUhdaRW
rCoP41AHR91XgRpZlKl/W9umeo/XOpAJTGZlP0gV+GC9iAOQB9ekkoDEzYi9kfVcv5f9pNmFmSYd
bDTzNU4pW7FXmf74adam7hRTnDfr617yK4d+GSn957Bs9fze0CekCxMZJ0Y9RA8ICH/E7n2y891f
OY3W6l2xjdzX/oZsx1VIJVFy8LKblnMjXMyThXVhd7O7tNYfLTJrm/AReJ3TMafq++RZXnwEygvZ
kzv/Fg2oIRWRaiw+3GyM4ZiYwkHfJid/THGs9SCB9k2h0wbUzaY+WZ7f9j+z2PoFgso9ybFpRjFu
ry/8YuIIuRuMm8zthRp/YUdMI1k5ZLWTKvXK12rwiFr2zyRk+qrSOlwPpoTIEz1lVE6BZSApyCaB
Uk2QbZgv5IvtP/kK7sImTVVYMopfDgpTt740rHVpO2VrECi61/VdjAxOBHHXcQcUSQkVttppWYuc
b5t0tIz9vSFL720EWs1JZFuLYSC4AtCargN35QLCUUoT2xj0uHaa/kbDtTNabkUeFfjmJsD7xu2G
Q0y872tpyJalmnMAincyd5qaUW3TETLl6iMnuOyNV7MyqNW+GqJ2mmX9kI7D2CfApEF0cy4rCInc
oKWxdtBICVRKbbjBtDBuHddCxxrRVxHm2BVFoOAcRvL2AuwfAM7OwIoGX7Ho7Cgouyav4YxyIN7H
N2ETeSXe6NfXcVEMoC5A/AW8Z1SyON3aMWOdj2i6mDZVYoOS+6A2n9dlzK+cC1VOZHCvIDyAAdSj
QkZASrZSqqbbsiTwBQu2dMCAafifJrOmpy/RcdRapkBK11e0TBjtgZnXqy6wsp3r+iwbBCCy0ZwD
4pkL7LXIzMtYkiDK6Ctv6hFr4w6x2OSwugAZemMCpSOjISZN9FITHbelHcMsBrgX9Lmg9fU+OdET
T+QAxAwNSOnRDRFVXgQYHox7b67reOFF0DuGtDcGPsCPO0NRna+m2TZ6zRIAKRVjSgaqKeCUSPpI
+aEmPtwl05mfrrOhzQQVjAtb0dEpjWkFgjo0WvoNLqgG/HyemD3AcvLQ2BbtgfhMcBFfrB9+GC1k
uIQwaYYeOU4zKQWCmd5GGQBYk8wzJjl0zarGFEtE/lxfw0VJGHZDIgZBns13Hk2lbSayZIOvClRY
vXpsybpUmXddyGUGBvoYKhjhgPEBcgn+BJstkCIzMAADpNsdPf0QuupWc/ObcZW6ljuhvhaCn5AW
OfgT3Hzt/tw5lidoDVrAvzr/CO6IR6Q0Kl0egdK+jltnWCkf9o3v1odoW2ztg0XZ7+TPXqXJXela
D9cXYMliTvWfd+HkPCiTFVZJBf0NE1UghKSaaA7zawnPHBi3xNzdrbHKwlsG2mEmAi5f//EDbD3v
v4yddTdtEHwfQWr7IzsWT83t9GFGyEs7iuf/vK7nwok822fuXicTxnNlDR9RZWiRvY/llaJtsmxf
jKKhyUtCO05f7m2Nqn+OwjZEoV36naFvdKDlR/a8716kT2ujPzQJwHGua7e4i7jKiQWCKiSOuF1M
8iEfwSyPuVAFHEitjcz6r+sSLlMms1YnIvhdjCI5lyaIKFCPvWM0ytaNK1Fy9xQT+kum4af59FpR
8C9XHgIzF9BtVkjbVfRh3rY3sSR42V/cV/gcRBToHlHRPYImonO7RQcbweWgASlA2an9Lte90fos
8NL5ttpoHsW1iH8jMY2CwrkcI0WXVSTbMN44KlZ2i6si7+xqoiQ3zMAldmgdIjkLb5FQaQu3KjJ2
2/cpMConLdqlmZoVa79SwDfFWAtAbtNPH1XJYns1HoaRqpgg2GCAzoh+1H1f+zQuYinyzCgaVaTo
IuMxtaUYnUW1am7jGmMwVEoVSQRsfPG+0OcWWfAeAvUP8Nq8F/RHBBRVBS0BHyx7Y5/7jl7X0rZH
xzyVGFgFVLXX18bYgk+lY5YgJLh09RAP5iddAaY4Br+5wwn8qj5KyiBD4VJlq4YkwZs1on8u96t8
dX1DF0XhjgRRHEZBL0fQ7FiJc2SVnbTtRkqUPNqGpYlkJ1LqAttZEoWdg3niLsYMLWc6calJRZ/W
GYa1y/qmsMzyqMaN9WGVGoDyrqt1mdDTwd4BbFSEHOinhhM4t9Mhatq+LhmuKSd/Qu5kM7iG4rYp
xfM9psm+8fxVsg/Wc79K6sERveZoEbn+EQsKn30D5/iUpG36oMc3dPHeMF5C8p7k/7CoZzK4RR0T
OWgLCzKm/M5v76pwFUeP19W4dKZnS8k3rlfDVDfSBBH6NK4UJd2MoYiLc0mEPUPoo5vbBlnhvJIn
ty7p9ZzpPkRIMVlFJrnv80SgxWWmHxZxKoNz2BgrSPNGggzmpaEX32fP1l7eqmi/2NnrkKKDahJt
jkgtzgjriISIvCEynSpqAwm4E8S3X23757HEuVKciQWybhbSLKHak8cQ4MbI1xsPumvSbNW7tds5
1h3Z5Y4sqNRddgFzq8nZHfJ9kT2EVe5Yx/S+cxUEjO/GjXofOdaWeCnE2y/KS3fwHREv3azShcp4
WoK02MYNxCdgTAyINBGDZLMA0VX+FL8VJEEV3QU/gDx8XLf9hYsAwOJAwlThiBF4c4YJ92KnbdXk
mKi+Gztgbg2Bi/znYIIveT365hodjdclLjkN7Cmm8oFXYIHj7fwotHFY2GWB9FmO0E8edln8s60F
Mi6DBUg4kTHb7clxq7RKwlsGMtDdEH129ascgP5GdOAuB39tAu73GTUPlJTq14E8kVIbjYUWcgzv
+M/yrnw0Z7NQV8yiiOsFeBkL23QmilMo7FV/qCSkIDPjRjJjmoWPZoUylk0V8wbzxmwStDgvrCCO
Ft6PBnq2L5NUqdHZZt2BObAs75gGqhEgy3bjWi+l72+VjAEXPJkJshEqD5YbqCYjeYI5DN3HmFwE
ioUpAoVC79U6e7hueQve6lTUV57iZL/8Ui/kqYGo0WR0qPM7FC/er4tYMG5YhAqgFnMeNuHfsCBs
QkxXQkTfBW7ma/cJsMfCRERutuTrUenRkEGcM+TQ6tzA28iW+iAdM2fqV+30EKU3UvwSqCgfulYE
kDx2M6GuFd+W6T1Ln67reJmaR/AIIjxVRkLHmBmFz4WDaYokoa9njnrskfulw97aesk6WaOwNdJx
ZR8lvGN7CgarZ2ktgrdd2kVk52do5Rm7l3/6yJJE0ENhgPcZWL1ZiyMR/UPIiLSloai2ZgLth/OJ
RmsUvomnBRj9XjDWNalHYai48GbEGgKUBq8ajEMAn+R8DfWoG81MMfE2NW6S3rVRk+3ocIwO07FJ
KZNWP9UN2wg2bulQAzwMM2UWxsow1X8udCqNojEYFAPsNm13QHhtgBcdodcZW5XRu85V1/ZtudFu
/U01AsA3cxKHGHSuCYs+ZumClU8/Rj3/mGTCXGxa42OMFqzrNO4oyltuQpv7eIXnpPxGHiJQpNM4
cm5/CxZi/m3uij2Tzd9BVh4pSQ7Z3VvyOe5cJfAY1e/b91/W72k9bJCb3/R7k9D4CNRQ1D+d0r3+
CV9meu0TZjM/cUYtA0leNe9F4dmP2ltHmaMdjDWMzhk86XBUj6Ugd32Zh0VBBy4J72iYNiituXPb
4rLvgwooX0qzHkNn9OoD8l53de0l94NA2IIjnF/pqDjMZSQgHpyrNwZJUU1VCUeYbORMotO0iVQR
zOSCK5gbttAWhIEIpAQ4IZZRsKi0FJgQxp7bxNN0UQf80jaBRnLmmEd+F0yDnC/w/Tys84JgTPC2
XoevmOXz92pL5cf75C30QOGEhERNBbaxEAGeCZ3P8YltqFKY5VYGob1Tr4ONQi3Ev5v6HRMAB3Wj
3hkxrVbhIbtR4P0EkcZCbhId6vDtSAtgBBTx37lwYk9D6WdW5jSuv2aHeGvtAoAbfKj3CAuP+Uvk
GtvoPXmNHuN1I7g+FxyUCTYClAlM5LXxz7nsjCmVFvohYsP84Ie3ETsQ+7NXBX5wwWxm3lqUwoA5
CZRSzg0C6TVvkjzB0xk4nfqbKYLyWbB95BmAEo7kHMC7+WJAXrfNmOh5jmYPlFUSV83vQFV73Ubm
XeDcB94HqHYhsQGaZJ6QTU193ey7+bGnrJXsqbfWBXnVza1sPPgg+ZLMSmSUi9EuLizUcYB8juHI
872Jsm6UzA5cIg0mtryASj/tzgUsC82FL6ClU4dCyl9Z3AGQpgRMbBVk5QBXv80O1u9wZbrtSl2p
d05Iw4P8IYtemgtWcSaTC6nAQzSqvQKZhRc+yesCV2Togl0Sbjm8begOaJXXt1Co5ewGTo65JCtD
F7fgKyG4gH/JL0ngNHTcAkIWMz7+I+aQdu32+1jfeLScLC13vPtaBdDjOKtpP07SjV6iI8/Rmozm
o2iKbClKPZXFJ1aKrDPMZoAsPMNqT4ZiDnH0x/wGvRzkWD8G7vUVXTh4oApCOQwjaybeLfzB1rsc
Xk2Gs2zRX4PrJtaf2CDatwspKN7jwIHZVkWMD191vm2gGZAnPFLAIAI2QgXQapgeJyIGRJEQzjYY
hscbf4AQw29o4xdoEPwHzDFoAjI3kPQiFTxnhDlNlH4whwGouLEKY9fcHq1T13fkwqF/SYAMGUlm
tLNwEhp0h0WdCiDWgdkukEIs+0FJbUf+uC5mYbUQAYCSYWbgxNzn/N9PTpJfVCXekUATrFkD/NUB
8EOvwbefBQZqu2hinTkwQU3Jr5ZUF6FRERCr56F21NrONXKg0AUCP7SkyqkU9VwVzHr7LRAQIEVL
tqYsr5WovdNIvf7+iuka1gs1FR1peM4NdAOS8iaGhJwuNfbNoB0I6UCfLMIQW9IG7G64MYDCCURh
Tsw4SSr6TFAXryuNIqAhTKNSIjj2F+ESNgY4ZbgFUZ5WcOOeL5lasBwZfbC5IJ+x6m2wuEzjGnSX
bp3GD4PUu3OT2/Xlu7h+OZGcD4itkpGhAccKSOWcQvai8mfgN24yIGOXrvRqbUSCuGz+xbMLH1lj
FDAQhoKRmFy0ZZGpMEujQUXVsjAzkeBp0peekZRrc7IeOj8TxEiXbWCzPES8SGwBCwTZrfNFDX2t
9dusR0MsWgra1CtBJGavixh9+c9J8qIoxzB8swNBZXxJS+Acz6zRSHwC5fFcKqKqPsoqJFu1aheE
QPJtaB3d1IONWX5BhnfBNaG6hzgbDLOmgkfRuSg1T1JQ80EUguBtpvn7Nk1aZE4+W7s5XreWJVEq
AkLZQj+dhsvpXJSeF3VvdLAWw+xAi6aU7cEKx2Zf1gyooMH4D54KFD8g6gVW+MwOysnrVXB1+ioO
RKWaHkiwqEVQjhQlYpb2CrjtiHKRjDEunni2nYywHtQQCyUhbkICQqc0P0ZKCoY98O6Mef52fR2X
JYK5GiOmuN35wJqRqksrNnMmdcafdBzWKuCXp6BCm7SVrGpTBAUqkjeHjCfXSj3UTUFCyCuz6FMO
G4zRDbuZZ6sG/atZieKlBWcJIPy/6nG32Ih3JkNzINTLe8zYPAHYYFVE3vU1XBSC1w96hdT5icW9
mfNitK1i1mFI1C3Tjk1neKYimq5ZtPgTKdzKzbBFSTz38gyhupIr/60FtYw2/QqiStAJsaQPiq1w
irhfLNRez/dIm8Y4nuIRnrh7SHvbwTwbDUXOd+GGQXYafRb4g4o5f/XrsQ6+OmkOKGXFDeVXOXr1
UWXN/frIIgCLCvzFojh0+YEfzzQwKszpNA6hLOuYKHbqqdyRZJ9qv6ueeeafsg+2nfZ43SLmveBv
Fg0N/Gh5+MKG5XxuJfetXHeIOBLb/iWllqflkSAbtGQOCM/QMAl0dnTAc5aNQwTQ9hq+Fmmcrdzm
btuPP1DToGjNE9yTS/aA+ImgtDSX/PmCVqQwvOGAU+fEZGNrGgbfN7WaCq7/y/QtbsdTKdzlYepR
ltsMCjWpnv0GbIG58wetui/UbnxWpImgcd4s1+haSZGcJ/VNXKJWTvMqtu9Uu+8ezcxT+277/Z3E
EtvI3YCgzOaf6G1aTnka6jOtnX+vReX9wJ6vS1jcSA2w4HAgeGPxOM9qYOT2WM0SIpZEu07OwHQ9
aAoLaVwa/s8m7ESZ0iWRSLzpiHmQ5oMJnR9wv8GYcm3ACUdp9tbLr1OiHUvU0x2UWVbXtbvMkHLb
yh08OxoNzFnAeCS28dMeHF+eCbpvAyhPsVswzdHDdS26R5dOO7qacFWbqBgBU/RcQUUKKjIZ6Gwq
q2Ybmdp2itq9nw6bEa7Mr9pdolffj5jnRqr/RHJr2hXm6OcBRILMlza6SQfrV+ODINv30HWZR//g
z/C+nFtw57YqHoqwG8dODyT4swbE4S2R33K53AFM2I2JemhGIOlloob3JauZ5yYwX4xKM5g+zxc1
ZNNgxDZCLoICnD7JqzHLb/QCdRbLEKTiFkNlnLfZf0LgJWAYiROjaGGhPko3WtJTHdcrCVZx8msg
VNJumf9I1JVOBF5o0dXBYmAzOrqN+Fa1EO2yEwCv5gw0oUqe3VcAwfABY3L9VCxFQciu/38xPPxF
bY2B+j+kXddu5Lqy/SIByuFVUke3c54XYcbeQ+WcqK+/i3MPttVsHRGeA/itAS8VWSySxaq1Ouaf
ck02pH2R8GhRFduQTq5QKXNp2gxQTqM6DGonBn8tJYakxGrKzpRjAKKCwP50qsECA+IYutRJduuW
La73eWzhvIQ4vY2CLcyW2Wk3Uf1Q2FbhJsWwSw2yVaf0fZyMtzq7jc1QsCNebrqoF4CsBx4Y2Z2V
3xHVvMtpoMSllwao2XKmXwOFqJPAvEUQMBWjRowVv/FpkX4yGjPrktIzqX6X9XXmAq29shU7P0qg
PHWlUbqLSWpdKaGkeeoEtVA1NXeW2SduRFBcGX//gge7kbbWsXvgeYHfokqqytmowe7e+DCqx4Qk
PgoBfS2lLnoCBdmnywVyDsa8bXZ+7wqtlksTYCMZg10uGRSaqGh7kUL6a32oL/MBDAmHDhnblG5c
nKqrAnKQDVgaaoo2ijQkIKGIIslXqHSoaGRAeNxRXFwo/mnH4mkde8lK7PV4kEdnD6vXOLcyDwO7
JWFRoq08POQEe0fe+ahNFXiTCEY9hzGVnE6FBRPjdl+rGbRPIW4oKg66XP/n48g8ejZjbU473Pmh
nyJNpodErgWi4VbbCFlOL2PaOQ4zdoZD41rSmjIrPUKbG6sAzxiqI0FdC4IF1P3v1ydoyTnA4IqK
ECQQZciBnIOF7VSrKcS7vK5pwMepgcdVl83xpchbw0WD5WeUokKkqPv4Wa677Nt5DtRIgNsYRV7Y
nfB6c47ejnju6kapgPRZWbvxVLd3aIdBD5aBbqlpGjsB3tLQ4toPqnIsA1alcY43tUFPwE1eelVG
3b57cZpjF+wVch21guW9EL6RU/6CsrjnwqnIdCPSEd/00QhcBbLztAjfjNb0EjV4Tbr6IEvmBy3V
A5WFVf9Lds6XHXeRnhJnIkRjy+42u0lv263jRpu7fIuU1YSa/MRN7ppf/TUOWIYo+3h5YlTBHfu1
4rlVkvdmZUY6g6Z3iuqhz7hFu3dyyug+EzXWibA490n7SpnGBlgEFCR5B4YAdBHqfbPp4/Au7h30
6IjIG5cg59PKB7TGIJAahwfFWXzXK4VLDOVWKkDO1KduOVkWmO4kQRphKfCwMkicFsECY/MNknZc
2eUgszWKP7BMScGzEiU+JYKNYtG2GQ4XRQOjavpYA44dDP517hc5gYLAnZRsbZFEyCIUdgWcupFR
xav6+UIEHXfSaQYCNvq9PYL2DSToqtZva2Vv6Fd2KjgGL8KxYzDGEDshX8gXGGVmKCMcBf3z0b6a
TAW3qDh1aVbQG2hxKX4aBddlOnz/PQ5RAClx5KlRBw/W4XM7tUoN6ohWIEXLbtmNHwXcsqgLbtG4
GQb7fbZfxEmuBfIAjDG2frV9chVEkdfZeKR1zIMVgtFCEj3ULkFaqMtFfhbvNLhbnEP22VDZUF3B
+6zyJEmeQ96t6dAMT9mg4k7hf3+LmoNxEaXo1CC04ggsU0nshf2nHqPGVAFbjPYzlUI3GK4iQ9Dh
zQLHedoJyuYoIbRwR5Mxd5x7lmHUyzGDlJRpOyrtcWqjbTeY23XLLkmumIK6inpMBzSBqEbicKYO
misVOwSqQ+ea2iMomnsbt5etboBL/UNL3DL7R0KbRDYK9qelfR+PxIYp48kdt1/OMWM5BrF7ibUO
hWucLKJNFj3L1ktnHon1AIkwsC08rRu7FMX+XJvwAs7Kr7i91+wIiRsJY6qE6mNXKMcuUzehMUIF
WNSPtbj5zrAMbvO1x7DX8wTjqiefId74M9RKeaDufgYJ9ibKi4PajpUrl86tLZOXdTuX9l72kILE
L577LmRj8y7sm07Gxu+kaAAIHhwcqXIZ9yiJeHkpCGwiMG5tTFNvjLECsF77cMhOBQNzGr9W1WbU
vq3DyXx1Zhe32dZTkyS1xaCUFzX9SUTdr+xTL9YcMoQmupVV3eQrAIncErt08P8bJ3tUwv6XmomE
95YhHAvpXpx1kVQ+D1ulXEN9p4LTo/ApxYuMXIaCZXVJzsFGCXVI/4HgExJ5KWdymuDwbt0WkVee
xkOyo3fVm741H033Z/kb3aSbYtNs7J00uNph3fcW4xbetFnzJaQm+CdKiMr0Q9wyQj4Zomk5pF1Q
2SDqJ18K/vYMhDsm4J1Ls+sBIJrzXFmHDLIPk+1hIXjZeJt9rFu0OGUzMG6nQaqFVkYOMHWUILrO
Wiw36wiLY2ZplgORWSQ5efojKQcdrVqDKYgSxXSrOEBlb/qsxM1f4UBYC0EBzw383KD4HosVSlR4
JA+HnYwbzibpw9xXlEbE6bQ4Qw6SKgi0ODTy1xxJjhNULyP8OTLooM1jjLrI9h8DsjFy/qQFD+sD
uDRFCHVIZEL6ENkcblU5E0oYcvCyQHj2tYWqnNQJ8lFLM/QFgBfd82VLq8nOUvAKgYXtpwUjKusY
irYMEQa3E4emXjR5DAxqbp34XjNucNBeH6elDXBuBrduSrmTy64BxNCfwhiJ0UPZ+cICXZEh3IIx
UGWmdhpQalDSZlWypa3jZm0t8OaljWd2zeNv7pakOu3AggDrkbXd0HlO0GSdmB+583t92BYN+rpQ
WmxY58dbp6M4WgOpRLWZiUqBzNylQlXURSeeoXDnoQpCWbQcMGyQ/r03bMkdwB+Uh4pv6slzr7R+
6LSYOOqBk9vX0akDXpBom6bxTV2J9FIvGwuxicwHlzvRp3La5Dq7vndH6dZ5pPfo8UOXk6tYrrOT
D8Ge+vkmfrZfRb3PiwenOTK3lqluNCqNMdij7bwMyC5HU7FNUcprFeFxBNEbgtduAhVLmMW79Xle
ClozaJtb5dBuHDodGtK4Dl6P468KdTbDZkQrQO9PyuM61n+x00beC0RAKDHk7KyrtgAzN8A0GQxq
KdXAXdqRNysjhxhyTS4aDw0vMeLHwnGOckXL7foHLBiLyxNuT9ijUU7EX0h7Owi1om5hbBFidX4M
hQ3v8oxhp/dHIT/BkrmA000TzWw6dh+2xmZrKIUat2PGSB/YoXSjKzgXGy1yXpHXovo16YdPGpob
KjcueD/265YuLN8zaG75pnrNCJdgaaZcQ4wwrV7yb8vds0YLSPpAlpN1BPJPCeBFDcAc2CAnU93H
nS/pm9jZBv1VqwkqwBZtQcYSpQjIVqLN7HwYe5ooRmRhGHtzr9JjWLzEw9P6cC3EVeiKfkGwODWf
KckkCVhRQTcQbeLuukIRkTRupnHviB7k2cBz5+0zJM4npnpwxqTExOBhLouOtPwxkvs+/rVuD1tI
FyigHcBFiLX28DfpFDJajQrBE1ApQ1vHdbz8p7bpwB8jeqleuktDvQ63dt1C2w1Ies5HLolMMy1C
5tvX9Ege6E20ox/SgRwyoHWCSo6FIguogXyh8eXjFvqE5VCS8UZ2CnfxqTyF2+gaPe1bspt2xq4W
tp8sbFB4FsBjKiuQty5eH60kr8PJgnkOOmz6hLitiBtnybu/EFC+yw2giqZypQOCLN316JtsDpmI
DH15kv614uLp20b1yQCmchyz7ief3qQQu/msN3QbvIY/pO1f3PfAyILSawDpqNjkXALtNRCW1ipE
2Uwe/TjD2y2O4SJalqWFNEPhM/1Wiea1csAFotPfWt3L1Ks8fm2n72+Pc1v4JLAeZJ0URrAlhmxF
jirG8SqNt1L86mg3+XS/vmqXXAFUNqg9BXGYhgrpc1ewO6vOkqouwRZSq8i5mY07TGW4sSbbcL8P
BR0f9CqwXm6U855DlZoyoTAVYahI9njepfGPTlSytjRBtgN6N/Z4D+oCzppyHHq9gW6DF4WfNXhM
820EtRxou65bslBrgcvdFw7vCKSNU3VIEbsjulG2BFpOLpJqd0bASE5OZS64TyxN0hyOu7KUSZQZ
dQKz5CZxp7LwxsHLRKIpIhDu0uK0Tq9GNduPhsdq2KfNQ0wO6+MmguB2ValICfrCYYdiwADU5kII
Bu2t6yBL4RNHPRl1mHgBuGyQ6HCxx6mPPbeDmmNqr6js/MUKxSM70lcWSl4Qqc892bDDPlMDZJdC
FGOVwQi+vWKnInMbF869Hv6ytUwwckuHBRt97mizR8Gsxr+ut7joDWCgwXMm1H3bvnJV6cFIiWtQ
aAobglu4CIzzhEoDB2mqsBtfvim6zqPjsZniLVVQlrVdnyw2UvyhYW4X5xGFVNp2EgCqH29kWrro
C4Oi4SbL/CZovbC+k3DlXIdcdMLZUHJhqB6SnvYt7n95XhyT3HlrTfVa00NR3cvSwR8+gkco1ASj
w5Nzkn7CVZxI2CzGVnHV5KWyXhzdHayDEoHEWvCMsTyO/4LxyciizWhhqQArSbgf0vwU0m6P3q1D
pOcQkJn+Uc2xc23p+9L1OJHPrLxo0JDjwYwTbFaFYYPD/3kkqjtF13kgel+77NTnkDiv7AIE3Z6Z
OKjlz1DRoW7dGNhL6Mkqx00ma34sh7ej/S6bgV/Yzziy7eJGdVtzuFVLcMDqeFIF1wtapv7CoVCR
jZIKXElAV3IeDXJNSrXSwtocTbJvGpwLovY3xB8FQWdxVeKdgRUSojyTz14qDUr/oceC3Jj81ASP
rXZb57vpk9DXvzCHHXkVkE84Bp+9HJyql6oJ8TOJdY8i/eFYsdeISpUWrZkdBrgtrQJBGbicgSKb
yT2+BRSN8UMwJn6WFsdWEZ09lnfsGR7nPVMxTQhl2N2QxFEhuPA5hT8KCCzJ0MzEq+f1pNCnQH6G
ZKJnpiLB7cVjyQyci3LJKPVpQrDvqXJ6ZRuPmRw8JuG0tTCy3588MDrj7o9FCYoNLuiQLOkCrQBS
UZ1QzVpXp1BU07qYYmC0RqgkUmTQvTJrZxfXqMSzhzXK2P3sj44+gWnZRZWrF+o3HRxmjF01frSz
v3iUwr3yC5U51AwVF1zqoIAfEQ5lma0MmXRRYnhhlmAQUkQoDUZvLV8gVaF8AZOEBaaP6nOi4fIV
aeQXlAdRrtSK6tgW/B8Flzp4iLHScJLg/H+g5mS2DfxfUj4hn+ebNDlIUN+wjcbV4o9ve8UZGOf8
1kgUNRwAlqGXe6yxCbnDIHifXBy9mUGcj6Pof9Ig+1B6E4q8JvVZTR+SZnBD6XPdloWd7swWbvse
GkluSvyBtHF87ipja7WoN3Iqv7ada9ppz2TIN2Yscr+FU8MZLBfkzUl1+iFj84VHXhMFJVlxS0WP
euzbudPQGQi3smy7I0pZwzYiFYfMBm1DK6qLE9nBLaMOBVtjSmBHPGpXfTuCgcqBISJOlIXDz5kl
7PfZag3Rn1GgNRXeYO3M9mS327FW2XpyjRZkMwKfWB43y4SAKy6YKn/tazMlM5wGwb2kha81V1Uk
yjldsgkzQhDlXwj+xgctWnTdSYAwttp+AGuN7kHY4kp6vpFvh3dyQt3yE+pvrstdsElqN/mV/U5E
H7G0iZ19BBc0jKa284old1Gk3Q2uAy0jw7MLD+IP5Zi4neLhadYUwS6Hqi/TuegROr3UKgVQ08pw
G+0+y97L8dSHo0tGQRARTKTFBRFthCxZxdKuJhSwBrqzJdHVfTl8fBnDvmDmmIXUF2XjMATcNOzB
HaEXH+8gCuSS0o+V3ZALsuKi0eMCB0i2k3HKADhV/hT403QXDYnXRf6gfbtn/9xFuegx5E5WZzKQ
GnlHO2T1FDdXRNlQlhq8DFFf48fFj0rPm7aLcMCQKaqjfTN6rfMfraK7vfwjj32quv24W4/4Iqfg
Ygnah9DBAJU0T1NeuuCHMFW5HBK/TOLOTErVgzpgxP9vnfCnRAcwReWvbWls181YOjfNVy//7NWa
ZdhPzLlLMBlJ9taO9w3xUk3G6+O1mfu5ejREvMNL2eszUC5kRLU5Zp2JQAxHtw/RRi5dZZ9fRQfE
D131qlvpCTEkF+kML54GGCMwekpQ7M1XClgJTj6BClhwfflRJh80JCos6cNKRXU4i97xL9JFLrtW
QIPddUCiNTjP68Itm79ZVzMEbggLy+o6me1ltZ24Vv+BphyoSKw7x+J+OcPgY6xdNXGtwTeM9N0E
JQ65QWkCtDB9S0MFuQBsMSSpqMeF5CWuePwboSINVmVW0O+V1XtNwWuN7Y/NqYtuS0mwdBeX1gyJ
C0myE3ddorNo0TzIhg+Sb6cURaRlB/iyhotIGlGjYmJqxIPE5EM2ktZucnWjlK1bQdSsHtzMdomG
csuXJIM8mTd0gpUt+gIuQNGywtm6hZVN8WlqH+h7WXeOxT1rNopcgJpSZwqykVmYv5DhwYFoonQX
dFi4ftbEGzzt/W8OwhOgGVMe6Dl6aD0wy+FJ2wsmbyAfRA8h0/I32+OXbXxWwxxqdeoU5otIHEls
vt4i+tYnR0PE6ibwel7KS0uKdrAahjRIKJS+iqCIokAHYvwYRcUVi9EPPZiol7ZRoMeXzFQTbaG0
gtUs269Sq7rE/NUad42oHHxxdc1g+NWlRmlDWKZmsn6ia60HV2QgyCsuuvYMgltcrd0rncVujoP9
GLa/6beF09mxevb/uaVjxJWpkQAjpeaxKydgfe52WvB7ff2IxolbP1Sv7KFn46T2pp9r4BSMdhp5
+59A+N09q+u4RZ4A91LsQ7EKMVMDfFwiRTaBKXzaoO61WG9YGkuxnkP9R0R26Sgofbjk9D+fE5vb
i0CjCf4PZokFGuT9kLnG7Q/1Lr6175Sbyo9f5UPjp62r+83pmUC1s3Krq2+rIXPfwF0EKhsVyBD8
wbEFyh5G/xL1lVcXpyQ6Kc7ors/cYnj98kGbrYHZlUCK1DCxKmCR8megUn+q0hc51sAOIW9ax/Gr
KtsaZva+jiocZjbVM9gwKHIF2yOOnVvlpGwDvOxt1c3wO/OgLmcepl1xCq7qTf4ib+/Jr+b4so7P
VtbFQX5mNRc82lYx04ndmcnwQy+fJW3aQxF2myrgkWuhTJEniaiFm/3LNUgumBRhHww2O+S0JbiF
Q9cJNuBQdiVR55ZokXBBxTLzWhmZaSo92KOfDa+SLtiSRRBcSGnrSZex58M/na01PuTpL2Frw6X0
zfka4HdhqlklxFJhRnyC0ttOeYhclMnd4RBaTz4BS28OQuBXdRs8xK/mq+wOe/Wm8xz/WdtlYP0W
nAkEFvMbdZXbEu3In8l7Srs7p3nQI8FmswyBjhH2zIm7A+cfbaoNlcxWBAURdBjvk+AZHb7rbr94
CmBs4f/B4HyjM0Fhr9jAiFL6HGWtG436NhkDtyyL91wX1aUsrjIUpDB1GRTr8wTbVW2gSVnDocNC
G1NlFi7EcPs68qvyGMYHWfSGv5whwsO3jvJsNH3xbUaZmTfZmFFkeh+aF1Row0WiExr7DDe7028a
0aPc4oqewXFbRR2g/5RaMC+S33V6tKtDWHiZfVifM0UEw+0G4IfL7aGAVdLevqcb+To6aoWfvpY/
alc5xLv4mNwZnkibcNEdZ8Zx+4KRpKgyyYHaaifUM8rjaygJLGNh4iIiomsQPBOYrQs6vaFOVTMj
eNRI0Z4s75Vk03RQzR39hux0KPhNyev6UC7aNAPkon7dqVKiSbAptal6MnEk9oLOQDGOTHvBSruY
NDTHsP4elLyi9Qw6Juf7W1FA/9J2ygZ0ZTe9YxyVRneD8cXq9usmLePgqA0yVND18XRsE4ixI8pw
IuLZ8s4iyaFor5xGSMtzETr+GPQFxPmDbvRjpHUVtCrtDznsdiZtJ7cIrGcS5nuN3dttiCJDdpG2
uJe9Nmp/1xnOa4mTrZInNzGV/cgRFYZcBBjuo9iEz04RRV0Hoxzio2TDVa2TDsaMxt5l1kukZLsE
Ul/rg33hPxwcN6mSJHVSrWKwO7qZptYfe79Amdo6yPKMYjYZNRySe9w+MMhjXo8xxDJRVhBa5RYn
JRecmnmiCI66y4P3BcR+nw9ebAY95GghBp9/6sZ0Z0X3nb01QAxGP7RgECx2kVksGMzQ6iFsIgXk
C16jaR5qE2UHtWlKfePIgsPJRVT5M0n/msX3RBaZhf01qxsvjN4bK/RT2c/w6tIar1XoW3ZyNQ67
9Rm7JJEGJDpbQT0Crn2IdHJTlgQaKTqJUTlk434E9a0Cvfc8Kt1UL24SDY2nZrm1jc+u+23k/6gQ
eu0zgh4lxze7TPAxSz46/xZuVidDrZI8KzDOQ5y7NUj7/KHSQl+PwmS/bvfSlM6huCmFkkVqx+gn
8hJQ4qW94pKoO8QTBFFG9bvnr/MR5it8IBIzqqMKKEORrouq3VJN3ZuiAsrLfDEHwyU74TVpYQWA
CaR0h9fCV6lIPNVoNxIBi12reokyucZg7karRsNGvLGiyW/QLhIN9mZ9cJdWJ6I66lDQ2KZeiJPY
YASUKgNu3JDBS4vaNVsLLaPGaWh/RcoIKfRJxKjH3PRsP/5jPcrXUbcFihS+hn1IiqYOkYv1NKo9
OzVIrJoiBgGiA9JoMKZQnxBFsFiXvfULkjtCBWUQkyAFJK7dFh5+oa9eR8Pohr2orO/ycMisA0mB
inWK8kV+p8yUQYosDQOateZ1RD7R+nJUkXCRw2QTJ78tFHFIuuNaancoZFETAtsdL4YWSjkmWlNA
k8mzSdpKDFbdCuAljbdRbDwk/SRIBS8O5QyCW/iQtozlYkKA7cxkawXKXk5TvwhLgV9ePuSwcZzh
cKteyzFLKQvkcXrSwucBpYOjed+oflIdTfT7pfKbhMTI+mpYDDUgd8IIQrDngiU9r0Be0TTYFM0u
8sws2OZxt7MKJE1tUTGhCIpzSZwHKSU6oELb3DC50JgOUKp0blERfbdu1eIah64J5D9Z9T7/FJGk
o9MTA0MpoWA/fmnzbd43Ls5UdfbLEGodLBv2hcZ+n+/AJGn0lB0sAuXatCE4Hh+cMHITQ3CuWAwj
M6u43RAtK7KVUlhFSbYbw8GNyt+O3BzH8LVHjnt9CEVGcV5fhEWlpgWMktpNlDrXCahBguG2Ebn9
0qnCmRnFeb2aQ2hAjSCS19MISTGChFWQtfetNbwRdbjp6IB2aqpPV6kZ66KL5iI4qHUtsJqhuY1X
GO9VKAkpGcCNCG1fpT+OH1JzYFqPRfOYlr9JvF0f1eUTzRciHywnQ+mzHOKmXvJT35hHdaPbG+Oh
RAdL/lCVLqofwp18JVJdvLzqstgyg+UuGWRgvKolg30pIKDpS/sA8uDDi/5Ptsv3IBimnVf/jhvX
EKzExeDJyPCQNFBY5ul8beB2GhVBAGBbvXaU1g0qn1oixs/LriBm3gyFCy2S2kaa0gAlBjl9c2sQ
6mWWN0yNL9d+SYoNobsKFwpEUad/Wp/SxYUyw+ayCHkGxbZSAjZp9SuaAkSuTqUU7erI3K9DLQaA
GRQ3i1may3FJAJVLw07Kph1abd0qs73CTF34+PM6nGju2O+zuAalpLJLc8Apznup3Bc0cYX8RqLR
Y7/PMIwUjLshZaNXR4hn91m7J9bRngTb3KIpYHEH3zTEOkyeraZptTa0ExmhM79KJb8uP1BXuj5a
y/s3FMvBPWtACZfPM1Z4qs1sFUcRo31FLvCIx+PaH6b3SWquUV626afyLVeekrx4XEde3O1mwFyo
jhrIPRVst4u0beNUXjEhkLSBO6BaHtxAm9gUscIuOuIMkQvamWFH1LTZ/iqXhjuq1ja230Fqeq9U
kpfpIr3axUPeF5zJNRaGuRyGPdtg41aC7hT52bNU7vogijC4QJXXILHM2KVdx6zhOAv6bmSvBCCL
3j4zhItTNG0NvWsAgnS0D4ooZBdVe4OuTJwZCtEOfqlQxKKiDW+30UyhXWjtVg3YwlWKYavifTHt
ouIuDt6D5qSTp1ZD1oy+qsahi+/K8NCE7+vDuXwrmIFzC3sY2iKPOoDr6SYxrnT1mpivRrynows9
+bA6oRjf7gW7zeJ+jtJnKHjJrNmRi1hTVVpNEQE0l7LXMVR2NphLBlXdlIbuNo3pliiNh2Lf9m+M
neFyxo5NaI/IeiJPEZ0miscn0yRuYNPNWLxY0ExX6Esedl5hvxiJKC2zPNIzcO5Y2DWpZk3sCN8m
vSvp10V+YxkfUA7wI+sIxusq8Em9D0R3+kVfnsFyUUciE3HCHrCSikZF+74CfaIRVFvFelkf3cXY
PQPigg1Y1oa6DQEUggKW4gZkS/lWT/4mPeh8wfwJ77OdKG6NeIQIDWBGJ3CrAXl5bXKloHIVNKut
mySasz+/z8DCRCdlUgEsVn8rJci2vIAcAoLdHA/TdNjK3XZs3B5rRAC8PGtQPpZRdYxWdy7MFVlG
WovgxNuigon0gZdAE1uPpR2aC12tLvYqyIrRrnDQ5XijY6DRcP2Yogo4dV6o9k+ZdQfBFzHEixu8
8/VFXEws60yaaN3jAlDeo6tk6G+ZPlQVHg007lnaTkKC32w3DhEcpv502K8Bcwe3Ji11kN1gKKbq
vSbaDg177jiat+CT9pDs3JQScZX4Hj1wx94ePTmWD0aYHTT5UUvDo2MET5X5a7Df80ZFv48KNwmP
PSgG3UENd22h/NOk9YYQ0A0Viuz2YAdywc3pDZX1sD6Ei7vxbAS5YyEK1xODGjAk7e/69kDij0pV
wMLrk5EKZms5wH5NFhdga8g/O2gkx5aiXrXqYxOMO7m8V9pbHXcKycJbwdO6bcuL/wuQi6ykllNT
H+AdpR64WPT7RlY86Lpt1mH+y4L8wuGDaK4XWt+zdZHd2tamskGskrlE9ob6kCSQYu78fnIHRZji
Zl527oWGzJqKDRtEikhIciNaOg3SnzIOwGV0aoJoF+hHEx6P60sX/0qQixljr89PY+bXHVSEB0Fw
XbiQAh8kMhANBce/xb+KQPVSazR2MyRV6zoQG6LbRL7SI9UPKtvPwCpuFXe17NVp7k3NgwF2zjS8
lamopPjSic+/g9tOVKmtu7DCd4BRutwiIzC4MaRifD2vb4MiBpeSatHt+qxfOhcw0ZKFBBMrKda5
CDBMKijaDQ3HMecm1fekekpE9Njssy+ml0lSQx4OU2xzftVPDd7uqInckIkChJ7sZKPYdLaOeulQ
9Z3g1IRUVIywZBajBgJrrI2cM09nI6ngNxl0mDXSG7PO3YxuyfjP+tBdHpexg8wwuHU5mg5RCdFx
oQo9W4LboHdpHUFkBTdyIL1Ng5FNTob6UCSW6U2Vvq1DsI/kJ2duBOdzHTIDjgSudHS63ErQKU2D
jUlOrYgbTATDHWAGzIfClhl0Iq+18bMYXoPs3tYE7fXLM4KXcWRZUAbPdytl1BwITTEjnTpAd22b
tIIpXzbjXwC+VymIqE3lBAAlfaxr9hgcBo9qHwjm/XKLgWeBOAR8HtBqgKA7Jm12NCJWZOoOGy1Q
rWuQBrV1BN6pDIxPEFDlr1DRSD4nvWyfpiAO0TmUJoHgFqEuDuUfGUwIWFhg8T3/hCmGICOdSOvV
2+Km2gUH8sMgLtrCs8MmfUFfg2feXE2f2qPlD2+2i0y2V59AL7nunQuPZhgJyIyDcYTtD3xVplZp
k0lKMMvrYMg8jn70w3zvtuU+cLMTOovyjfMklQLQZdO/MNVz022p18PKgRoctiOzf1K//954bhM3
u3UrxUoc4P+H2qku96bz7MT++rgtBo7ZsDETZw6URc4g6TYgTPtGMg4ElW16I3gTWlwL4K+2wO3M
Ej7cku7taJLNGBhZVXsk/4nr5VjEbmNv121ZwgE1GcQqIXXIFsW5LXLSjfDypPW63kx39pT0j2kA
+k/Qc3fqrzEJi293EGPJIVUL2joZXcu4IZwj4kafaG0tNWAfLnCk/U1M2Y0LeD0kVA19fF23b8nd
oLYNvTD0RoPeixtHvIdVg9YhpuhjsctsE7eeb+scMoNAjY1nIJBGg1zl3CBrQtFtZmIHVlAAlYOl
zkClo+Jm2ofePq5b82fa+Q0FZN9IPKADxr6crqaM07Rp4d0HZ9++gQDEHwt3fBtuEi8IXfXDPgzb
6cZ0n/Nr85be0dt3PHfvnb3lam4Lce7171ka3fnncIu5GiZ5Ckt8DpvEETrLMn1ZR/hDxLFmMbee
oyLT1KAFhLY1boLrYiffobtob91kx+5d8vtjeW266Q7iFfvslG9aEXXf0gKZm8i5a6s2Fd5wgK9D
5yRNT3Z0ExQSiDosb93SJSBFM+GsWBbQauPcKI/1QS50eKoK6dauOmTQOoUORvbt1gW4K96xofjs
QC9T52m6RgvKIs1kIYsc/rD73rUDqAyY9+vGsA2Mn7U5COcYZmhJVctAdASV6G4aHtMeWiap23XN
32woM3s4BylIoKSTDig7OJlOusm7TDAzbOTXjOFcIFBHs5R6IAz6Wxbtx+gWZ0WlfG7MvR6/FYMg
9C+d6BGQmVoxjllgTTqPJ+3Y1EWMvnDUjjxBxtqVVM2tw8+w/NCtH1F+WJ+ppSU8R+ONC5x0QE4I
7/N0X6W/JBH/++LgQdQJwRGPIxb/aJFoCRlIj3Bv9K8t+s3lm6REvsV5t/S3mHrV8LFuz/LmzBTG
//9oxX6fbc55L9PMZkeruNc3FRLfCJmbTBPdJkUwbDXPYGorc7KhBExqHHSHuAjXrpC3b2lu5psz
t4qmSiMSyeIW1GavfXmUnef1sVoKOfP/z3nalChl1qv4/0qzL/vfA0QVHLrrM9HTx1I0YAyHwDJR
FcW/SVNFiWVThg+A41AZQtdQ9718sIcGF6L9uklL8zKH4txZCvNUDyrMS6khvTklvha+Vnbk/28o
nJNJvdmSuAWKLR8zpfec5NWURAelZVPAGGuiIw/yZPwloQOvTOswU9TPoPIgSem1oUiIadEFzC8Q
7oYKtQlIPIYAiaC+OGmRb4InJEkUN+ye1sdsEcmyNCSj8ERqOpw5aolsN4QgWhiCJqzgNh73gbzp
RZyDC6+kuNLhXqfhfsdEhzmnHhMaqRHeK7ze0r3KsF5iSEfq2lS7DkgiobHt0czY4elyazbS27qN
Swt2js15n01brRgCvAKr+eR1Rn03OYrgFr4UT8F3aeP2iBy7xZ82STiFOfyF1egQhJwu7329Iaof
dw7K4ArDOrR1kPiqXb/m+vBtGhZ2X0YpHBySHXr5ldxbamBNEXYLK8bJgRTeUNonKOgJLshLvqIh
wwCJErSDQPngPLp2qQRFzRFHajPYqGmK94LCb4lXOtV2fcKW1tgMiO9+rGgxhCU7u2tyowyuUgft
Y55BywpJjgwrYh1t2Te/7OIv3EjRFxB0wknCjEY3iWQ3jeW9PWKTT63KjaOccTn41njblZPonLR0
rEAiEkSMSERCT4dbF1quBMoY2Uh7IA+rOw9lGW61DkRbierrymcbiPoTl6L+/KLHAVpON+ptzqK+
MYD0rg0JtICjfK9W6Mrs8XpaCVbfQo4dlFMmjrYQ7USimZetNaLeJGNi5V6RB9iRh12kPFaOO+Y/
DHobJbf/R9qVNcnJK8tfRIQECNArS+8z07N67BfCK2IHsfPrb+KI+7mb4TZh34hznnzOVEuUSqWq
rMxCfzCM7QgQ8u3v+tGLJruAfkAZBg/bOZMetcxGDzoDX0/5quhg1+2/QiB4JS1cqNZQcKOBKhiw
YlPT53mhIf1UZWkI2hxV2BKSh/m5jx4hhd2yrTB2pDqp6mYMdacLNxr9nK72gacPdp0HUwqaYhx7
PvnRHMyWR2qTpGmZO9mw6fWHjtktb+xybJ0Wuh3NHWeoGvyypLSRBrqU/TWXlQX7KDgDqQ8iXnVO
zuEroCzs6haTWuqhC7/r5aMIftz+kgtAr0sbuKyuI89gMp8ZEjYqrj+qamOnDRiTyPeIxSceqTst
BG1MMHyOGsVWG7ovcKHd/gkfz+n1L5hVZNBDqY3Ewi/IoSXDMeFXVfeFqI9G3busi+whjLzbFhdw
HNDQRYEE/HsT4fpvEqmLZLZMtLgZqZ47ShGMxlbBeX1vxsCf2Pa7+kkwdE5LAuXijcogEGL7zAyC
E4VQ5Q6znq22aRKdHCJudWt8LB8vVFzgGsIWdMB0IExmMcTo27zPNciVs4htgTHfFOGaaOqiCXAC
anjGq+YHGszWSOPBHBA0ujHYl6rlqG3l3t7gj9cZVmGiZI56Htx3zspPmqHEQCyD6HqaIvwFIMw/
yVC1uVib/VuyBNWoaYhymt38sF9A/cdqgEgURh3msQM35weWPwZr6oiLdlDAg+rdJEA3T+asxNIr
xCp8l5QcKflOynJX9dAQi5iy5p3TK2cednBh6dAjx6Dchw6XqmiFLsx4GtC897vXno02ETuaoGma
Q9jy1WiODTuk7aswVhB3S0fx0vL07xfnos1UGQqZ5CCNujPLO5rtVao4TLs3xSsdd7edZOn2mqRm
wZ+PvtpHAtNIF0E6kDxHmqOf9Fx9GtoX3hbo8OebIqrtWuvuCIlPlmIdKup/vm1+aa0Q2QMLnUkg
bfY7MF6sFUgq1oCkebpdAMRgqCXmGnSGLJAZk3c467EO1obRl1eMGxOFZ4x1AEJ2vb9KP2jCD7Di
PmYvvUogq01diBnGTow2mYGEbIghblJoDvN/pLqx5llLR3+SfQCUCxf3B10ozRfUbGuclrw6WYVd
V9Ob1Ckt9Fu6ncU9i2+5v0k0N42cnm1We7cL+SDiLnDhmDybSOzntTjJQ79qILTldNEeMHG7ZhA3
Vn4JxAZD2SXDXvfvwJn+91+aY7Mx3gpCbghwXe/6GMqgFNMFg5p2dIprCJv3rC7uMKjxPDbhvRn5
X9uY1yvDBUshgwO8illXPFxwzVybpZrMklCtc0cvNchfZ7ZpICnrO5vQYIWO72PmOZUa8NbEQwja
7b8hCRe+7Be6JGZO8kkmHfyKW0xxuHVe2byWexNUW7f3c+krqnBfbZpuwYDSb2z8hbkGsvBNzNPc
Qerz/FuCSAVXJIk9apXbrjq3nDht428C+vevdyz0wvLsUyo5CEM7BZYr/9z5kVNn0laSYIMX1coV
tpQYwRQuL0A+UcWZT7woAyYLeIr4UI/aQQ8jGzf/SSgQny+kF6cAlOA9kVtPoyGOI+bsKrLGIbPg
QJg/URGeQN6LQzuLFtkYlqrAgCSYWr/U7K4CKKCon6porYKwEAlhB4UqyGOi1TJnQWqs1K9wJpHm
0uYgrdZDgcYxSvpdyeqdkvZ7wAa2Ky606LHT7B6qY0jy50ULvTBNEFXAZhzuWb4LMXYebGWy04mX
WTsxuqn5iSmnjG/U6BV8u5O2CjMfmr/mfUBeTawJ04vbW4dKwPUhbTTeC2XA74iEm8ZbXXsx2Z0l
geITR56sUQsuftE/1uYDv20/lGFUIv5noDeryaeyEpiQ0e1iLeQtba8KIS1srI4sYk5n4Sfq0DXN
mENuEOU0JYRESfOU0eIotPip53Kl+7F4WBB8gNPHwxD46Fmsq0hPQl2nOQYbAHakBcj9NnFDbL24
y8CTU3h++ORnb6EVOiR8ue1LC5capmD+2J4VjaGVRYlMVdiGODYgDCcq6hV3XXjvgroS7IjGJFL6
QSMHbMmFsHwQuCaK5VlR4zAyIAsM97dXsvTiResWMGuUnNBXnbfEWAPuAr0eEN4kz7dhIHR71NPg
MbUC7kJXNtmKJr+LTAPGtcCtBj2yRTAgMQzYK/iR6n2bp8NKJFzwJWwuwX9Vgo87P6pJUenpYOKx
lMdVYzh4BPknS8Rj5nI1QW5vSi0+MsWPihXD09mb5cHoYiNFgxoyyuVzeIwRxgZEiaF0JwNPlfed
UULW1HBM8C4n1te0cuu12dclP74yOfPjsMl41/aTuB74iMoCo8UENfwUuN34jBEGOxe1sJHZAHKv
km3CudP56krdY6EDTHGO8B9QchL0dSZvvLhe0wFJWtTgMEn0J9qE2h20pUr2o9Xqo05Sx49x4elf
eQj0PZNbvZEOyKB2YXqWlrGLGWbCwtyOjPDoW8ZWqIrdF2sYgGVXxXTwVLE0UCKZXU4QVI6CgePU
ZS108qJDE79HPtDFrl8Fr5Fe7PXwnVaarRrdi5ommyiSYPP/e/ALgE0QmsNHQ6WGza8uHAAaxiMS
n1BTUNLXab+TLM0crZIrT6OlEICbamKAYXiW/07tLz4KNasyaaaSQaSrO4uKXdUmnpGYK5Fm6YbA
yDejECPheJnM7qOeaErEJERPLKEiiO7C+EeY5xt9DdG45OmY4sUrU4d2GaSeZk6WDSEDD96kB1L6
PlS/wc66YUTWSNyU9rW1BvMTbSjdpcIsTpVZ0ZNlSHrUs6J1SsqDlRtkYd1T/VJFqQ0Z84ccHW+x
VkajzJwErJJhEnpckXe1gqYZZkxWouxU0prFFWQ6qKyhoQA8wBzNCS0bVWMTl2El7TY8+fmPRvml
1h4atEzdltk2WQuhv0kfbpmcln/hPWHU5ACyw+TgUFd+QkHk6Ru4NfC2hQ6esDP7fBA/lXPjmG66
Ek4WdvZqtVN4vzA9CBDV80nLKco+l8RJ1AS11IdOW5t7X7gmruzMagd+6pO8amBHUZONgqm1mINN
pK/2UEMCjadYuRyWktbLjzg7KJ0mwj7ssKNJ/T5KMDAVz134RABUASon55sVn/mdmn34gtO4LXhu
QA82vwXHKI3MTEPqhsqa2Tip7Hu5rcrKqjxEBuMga7XUvICbfDNAUOiNFFIFnRcftENtpi0o4Qra
bwAFA+tkg/pbsNHHYXhUh5yYjjZqWnJGkC23RZfp5i704/5rTPvccNgQaJ4YA0T7wAriY1VC5tdV
pYCwTmm0ufB6pshDQnLFC6fTqWWqj5nBhtAfvCbVTq26eHBJypXQbUWUgZuj9617ppQRsyGXU5y1
QCcvmHBI3hlJLQKpCwvdGF6RgDh6SH3VFnkd7Zu00/AcGnjsUlNI/AaruW9NH0iAhCjBVyrDwkUx
XT5rJajU3KEpO6+JavJFZ5P8sU5CA22tNBDGholSPQQdlF3suuhqkApUHRPbKlXSfYHwMto6TXQ3
rkay46XaEbtOGnW0edFzFN16jLNgcGFoD10seOOUQWT9yMGUiLFrk/+Kg4LuU42HWxSfBpcnvjCA
JqC5CxGKFvuWY5PtoIqGyAWNfeOQuAYdPxMqAmCXqkZ8F/qNaGyQhbJfKffrrzSsB8uJg0p+byqa
PecgM/ZtVg6WW1sK/5UwbOqTmZvBPUgNSYQR+yTX7E4fT3o9ll4rY/DIUeSQWcetbZsBZeMASrZP
6yY6jBBu3qNqqu5J3Vtfy77oQlvNBLTXZAW/UmSvZQfGoIp7l7Hc8lSlDQNXJk12hIyMf0fUQpG7
IaNm4MYqUe7SBh5rD7mav6ty8DPbh2iL7shhLEu3AxN4/lj0kTgactDQNi7GcrSzviwn5uy8Yh6Q
kMEmEl0FxCfEfnXZh6NdllDLslUtV+m5YG1WeE1Hm+AOowbaqe/UytPwovrW8qHccsPImF3AH9bg
SYt3FyrkXMPTDa4zJzGSsobPpJDXA8oC855bUd6p3ec4vEdfMYt2Wv4LxIuDdjJWp56XTE9oREyA
clyedF5Lytual1WMtKcO2alq23sW/IhBfsjiYqvC3NC1m1ztjiUYD8DQY9d6vhKKFgIfaFmogdr9
RKc/b0plChlTgcTYaRTIlTlbdmo6HWeRgEVqDfSzENM1DbRwSKwmBOa8XkmVhFW0hk4MNMkM475I
DSesdoP/4mvh3xfpJlY4gn4M6PUQYq+vqWLoECzLoHD8SkdttNTzAyV9k9jhWLIUs1fgkxgDGmf2
2Bhdt5ITLFySV+nH7PJKlFbVFEx2QLav3FklcxVscN3HTqCtdPoXPh8giIAignEal8E8udf6gUtr
6DLAtTLPT1nhqkr+rPSdF5mpZyUKiFzyldx14YV8ZXNa/UUKYAaRgWlv2EwwA5RJDWn68+37cSE7
hsYv8nA8BtBSmo9K+AUP9Wqo0PBhGCrLEjuGepFvfbltZXHv/liZPwgzETXt2DUYm2o4rlLlLYz5
fZgZjmImGzPQt23w18T4U7WeYFYAh03XUAO43rpaG6pw7OCWOkiXKtIgvYA4ebgm17Hgfxgu4pRN
0G2Q7MzNoO9gFaJAkkZrT7JdJHTkUS/mWl1o6W2J+Q48lnDEkK7No8dg9IVWBCFEFXGI3kuAB1B5
H8aMOXWbYPahw3wEyPyieBhto9N9w8bYRvjFbxtoWSaYvTxlATWPomr5TgSG8Hy/CI4i7BSP6gko
gYrKiH03rjs06xMD0kiqbEW8EiyWKgMX7jYvN+V1QQ0g9zE1Ij4Zydnyf6n9Pqy8MTmL9Nlof972
u4Wvc+nd5qzCFNWhSsLJnPDvLOh+594o3/Q14t7FU3rh3bMXdchQ2NYm75YmimhdhNpOLLSV18DC
ux235gRosgy03D4wpw2q2nPWYQSGAI5aeF18SIpdHr4hRanEa8B2tfY8lHukbzp51NbeXh8vlGvr
s52MNaHrZT9NeQS6I8gPCYEkJBq2n5O3vGi9299tzdpsR0eeiCSusNaGn6n2U28jx8pam6TH/h+a
tlgZVGx/Rz/9Ax+KFhVqa01jOGwo71mpnEgq7K4OzmUknDj1P+cZerg1fepi/8HSQ9uK32+vdooR
1y+U618wu8PyFGkojbHaCCACz7I6itlSSR2T4j67bWpxYy8WO3t8GRqkXEiGxTYhO6Insil0dtB4
a8dq4oj0x21rywtDEZsAEqGR+VApCUaRZMi/HVbu9d4dcy/3t7dNLC/oj4npbF7ckAlo632lhwka
b7retIt4dMbsFLfbKH67bWr5BEK18H+XMy33wtak8Kf2FCDk4ZDikryjm+rO+lFt1TPuTXbQd8lj
tLK8hfm7yTeQ4IPbGtnHB9Io2se0DWGzfmm8yEVeuiuog3H80Bl3pjcRkUOadQOWm4Nxj384wXeP
2nmVh/r3+NFHJ/3zQ2YBoIzhlh2o3Rz2kDhv8TERNpJKtXatE5oGmGn5GrtFaSsv2au2Fysd2Y/5
w/UuzOIB6SgNJcNXHpKd7ByiHWvf0VU8m58KYw28tTAHfm1t5lN5L2Pe5dOebwoX75Hte9U77S5y
+RN9qj1hm8N27Q5Zdq5JUFRF7Rj55ayAjd0tO4iX1tC4Neyq7bwcU9J43WEKvb1DNm+zvLpXjcAz
wMKcUNXO1dht2HcI9u1v+/nikbr4JbMvLQSo/ccWaLGm/2J0dzrPHAtAaAMMTmJz29SyV13Ymn3Y
0CrigoILyNEP2eluKuudo3O9M17kERNFhq054ab5obiP0WENU7G2zNlXJmrHa0PAtGJi2h+NU6A5
XCkbO2p/ik63V1b6sXYJp7pY6Sx4FFEWWqyAuUEBoJRByXkvzV0KXiqqv3DjHIJxLiy921Y/5j+T
UWAnAMQEEHFeMFVGFe9NCaN+E9vDUD1ZBphF8jMF3/NtS4uh/sLS9EsuYiNjZaVLHZYCQJTDYiNa
xSbmShhYNjLNguFJC5bV2e0FSHAdo9CFSk8t3d4qNhGmTAX5exDctGv/mfnNlnKxlrjqlTE2YaZH
90NxM/8cV27HVxK65W/zx8r8wLNeF32SYcfiHRt+1fwcZW7A1+je1szMTrNVmNlAKT4M0px6T6rw
u9Jm5acsjn7SVhP/5HB/FjU7z2lSWzwGaSVaXb+MwePhi1EdAPO47WzT0fxwF0109Gi3qBBZm/zk
4gMxs7K4GBCgk0Bonl4Y4O0ZwrUAsbhzF1amf7+wEvbgdCoSxEFM+7tpY23VzElRoGVpvLKexeuN
412HQwqU13zyLE9ScDZOEdcw8V5VHaVx/PTrNKzKHxQRurd3b83aLN0c9UZgog8e0cv6qPl4+pVF
FdpFS+sNgB8Dno9QcU85X4MfLW/on2XOji906vCSDrBMOTwXKbXDhtvZuE1Uzbm9wukPzf2DAlrP
LaSdQIBPof/iy+lm29RZiKOVWb4NTmsvz0N7UBUvpoNNQIWZWuj/asnuttmljaVkqjboaLdr85GT
MtSDmEo4f93f8xRwxOeA7oP0mygGW0ZrU7gLYC4NeoZ/zM0usDyr1Za0MAfRbvDK3ZtgVcrJztfO
rHsNw03aOFn8D75zaXN28toCQIskgc0A8DhT32cyASTvHmkJMR8tuZL9/u7NfvyQpoWBBYDVEFau
PyQQNpOkR147PHxlxNHqbaXs4yywI+1EAV3j4BqwXEC8V26zxbxkAsT8r+H52e9K31AKGG797ETk
l8j6mhevJUZElGR0rRLnQ1P2Q42WkFGgYi5diHFgHlHbVgISNNCg8YvIJZm2MRR9xbunRd/alJl3
12UVYLwA3j2Ct0z1nzLjPepXbCwlR0DaY0IEA3fsA2paSmn4coANRdTSHji0lyrRtTaoFxpvaLJ7
YNTX9M3p4vm5MDoLTG0KgoI+gNbiYOavESQUTNG4RQZy5zAHnp85LUo3Ufm5IOER3R0tHu90+ooO
lq2ZrZuxwcXw3En62T+54cUPmwUuYgRN3xLshobiaKV8Uptd26LZ/F0HCjbrvKC4M9NDu8YHt/ih
0alA+xAtkw+t9SxCwSWCyqYz9BkwdPVOtYJdlRVry1tKTdEuhOwcqC6QKs4ubQD+U6D9cKhbOYBq
JnFG1nq1aTqs5shO1Rdd5C664I/DKFZsL93kl6ZnMUzvICPFpxjWGO0hLMs9xvlWXHl5F/+sbhZD
sk5F+z7Gx+N1D410HSEkRneL/lPIuNjFWcjAUBVRI3SQnVLatRvvqm3zK9yhn3uSu2yXWc5ZfbZs
3tmJ0+yGp9tXz9oip/N8ceMVWR10iY9FhjGkjXjkJUbldcMaJGHxYr1Y4+yEmsCAm9V0sVoAf44b
K3/iuHriU9S4kuyaeAVbsraq+bmrOWgYpy1NqFt1d4ZxMvoftzduxQHnfLpR5He8mNJjJX/ptYfV
JHLx76M1AHAgJC8QS68/jFaB78EapyVkD7XEjN/u9u9fjJk6Q12YcM2C6sT13zfSNjeTCjGixrxF
F+PFTKNnVrwYerGTRnJs++rbbYvTX/xw/VxYnPlAmRqk5CosGsPeyPGcPZfKjuU//HrlgbT49S8M
zb5+x0kQQ5IMDDLWQwPGKb2BlNzarOniapiK9ySofoDcmu1f3I1KpGslAlCH6y1N+j1B+x/E5e9k
KIEgJyvfaykHxgTFNEYBZCTwYtffS2/QhspTgBWEtav0TxZ1Db5ZhUMuegWQ0Uh9MStC56PXSu6n
AZ7602s8cWUN/sAEekAT8U+wywSQ92u97cVt/GNwrqQo6rwIwTKB4JdvLfVeSq/OfxLrhRr7f/C+
C0OzV3OgWGXQl9PKoEVt1O4gwQHwTaUOH1e0En/Pus0dHfRx6NijZT9RI15/qhRQn2CYyHaVzBYO
ORgHwwEQaLDDHdCddrxnd93mPjp8Pvsud5r35+rYuMmRbctNZmPLHWgErhyJj5KmFhKrP79Jn67y
yzgP/l+pGRWIWh/eFS84aLv6mD8mn7S74jjeR5/C/eg9xsRm5/IYuEOA5HzlOl0sVGoGuB7A+YKx
93lFOpYFBH456EFBd6gftG3vCrcrbMDiPfS9zgCObsUKk8ACCg/LvrCpXi97SPxWGhM/7bdgdOip
/0TOw5m8l+5nAH5dQPNs6YqDfsSu79iKxy0IRlwbn6VHHdciziGagrJ/vtO3uecPTrxVnG7TndkW
z9hTcm9t1hSuF58gl2uepUYBnrd+EcOsshvd0mN2fohjmzvV91P5oj9YtuIad6ZLXCAfV4LUYtfh
0vYsStVD2ZFBw35rD3Qz2m/mQ7/59mTYzcZw6YGcyQN3tK3uDnb86bnZIEOP1txsKYRd/oRZOtVm
YGU2fPwEMIdRuFjtPY12v1Gc30cv26TvxdY8aB53bweY5X2fQAPA8ptot88+d9/qQxW02HfTjuBa
Fer9jd2+axuQeW1CpzhGA2CfUemkGx/CWStp5FK+oF1Yn3/1KuGlacG6r+q23noqOsq3F7hkQcfI
LdARJjSW5sP5hZKEcOcepE1J5IxFAt7tzW0Li1uoA34BclWAvD4MKtMs6aKQwAQK+tQtdwjS9Td4
zvF79lbYP4N98DLYYt84yZu1toFLF+yl7Znf6BXVRurDNo9bKC+DkdAVKB0oa8Cj/2OR8BBAnyA8
OR+VNlop43KEIa2xx+/cBm/UQ/o1sGOHPaIdKJ3QaZ38MwokGA7drkalpewIpFv/mZ85SleGYQry
Z+zxYLPv/Xt8B5y+BrFptMlt4B2/QkzOSR9+rHzapbciOBGwYh0cEhjBvY7EUd1GPngKsb30zUzQ
C/9pmKc2fonVt4i5Ij60a52TxTvv0uQUKS7uPDPUOoCgYBKyKPFju6O2+ZC52bHYxzswOxiaTe9B
ZNg6kR0+92+RF+C+fkXH6vbSp+t+lg6AelQD+gs12mmQ4Ppn+LJKRV8CDdsbr0AT8xQkHVvUFC0L
AaJ8sNYy04UPjMq2AYw/GCzA1zizp6qDlRkUnJqkTNstwLPA0vlRi4dQsibFtBASLLCRoLONehf7
oByXhEXY6qSSDmYZN1YxfIX29ko2tbiaCxOzj5iFLVJtBhO0Ku06H926e2iH7e1PtHD2LSRIBFxK
OJQgHrr+REbZRFpYwMiooRQaxF6D5cQbYDhu21kqvcLQxGqENwMGfmb3Y0BTrVKaWjodPfRIDwGG
afWt5tuBAkHovZXcFeL5ts2lb4T+Go4dBj2hFTVbWwCcShS3mBiqrHST+cU+MeVa3J7+xszFsaw/
NmZp1siEkSUxbMSFdFLi4fkNghqMm2sbWbsjBgRHV9QbEfx9Xw+C2mDpnmaB8GCZXbkFz4oQlBwS
opD3vv8z7J/z5tft7Vt0DbCGUHwzoKfmtXnS50M2tK106uKl5JAR1b6bSYQb9u22nSU/B7T5Pzuz
sCyykKVpDTt54cTavd7c0zXalQUos4ZZJjARQKpwQvnOvE8xw6T3yeR9af44Rj5okOP8TY7aNN6o
B7shGMetJEV2yqnYS6595t2QuNkYpE+3V/u7gfzBYzBVDNpfDnjKfFupnmk+BWTUaZM+SOyKm9Vb
l4vgbCZ98X3QM6i0Rl1hpuiws9gFrZR1L2Jh4NJU4tJBQMt2+OP5NovNPrFL5CWn3qo6E6qyRpAD
QzyeAx6gNa4UPWR7auiJgQPulYEjWNpJB/4rm4Cr6Zz1OvsBfmP+qR4wTUn6AQLNvKOFK/SwecRY
BoUDSwg0QURA1Gr0kDdTycovBstWyzbc5PGQ/+owUxzYUOAlXgBeozPNSrycS9qoB7VprHDlTllA
dU7Y0YkUHxcq6AZmb8xOqcfBkoMEqlNxrPwVW+xhtGIz8nFXWRRK19oBudS3gP0iZf0MSXFbqNEn
XBjQI0hsAahaJr+ASAW8zt2uyCm6ae0KR8GCS0MLBjwIKA/D3+bd1gS66qRk+MaQljt2QEbkeX/o
zU+3XWnher2yMh3gi1s+HK2sYQRWeFV09zqGZIQNnTINzD5GOO5JVsVPMeHbwPRTp+i7823zC4vE
mYJyCGom5GM2pxI9D4iFcwsI5imhckuU7OQHwT9cg/jUFqaEMS4HvrjrVbI+SI0C43KOaMyHgrTu
AKgjyKTFSqFg6YbCkBU6ZgD7WZj1nIXUsaRdi+klxDs+GB5vEnSnBszhlmZbPssASeMY5KqjJqAu
gXxZ5qlNFrzc3tOFmIviE1Il3MSYeZjzaJRQ/i7rYopTyJfa5pcEL7GOARX/1//Pzuzakjl48DRT
IrfAABs3yhNh/luUWIeOj8K5bWv6QLOAh8XgzscYCXQc5wBm4fcFmPDgpjJHuVB7jorYjvimBdtP
sKbJsbR/l7Zm69J9gbfoAFsKP3CoOYr6jgSnxFT2t9e0aAf9JST0E63OfE1RC/TQCKEjJxSq9Tio
SJ2ZUtFf3GiEPRose71tbyGVASckmouIowjU84mRrI/DMZ0uDZ4GaMN3T2m3VihbOM5XJqYlX0ST
ttZLPkBPERJDGDbS6IbTAVPn1T+ExomXBv+BpihC+bWZILRoPkzHWZffJKaXe/85Un7e3q0FzjP8
4QsjMzfA1B3DvBu2C+rVU98FdCV9/J6RPaWvWrJlVg/sBiBR9w1IgNZ8Y6EMA+N48xCQ1IB0bLbC
UShJFidY4WhUtqnvOki4dcF9jGKocKtWrFyIS7cARV4NhiGVTPPN1xuatqVSD3Jy+aLb+5G+pX3/
BZiKYx60Jx3samTU90xbk/5Z8kgVjBvgNAedCsLltdnCD5TYqLDKqK+2tZrfg1P07yM/7rc/JmaJ
YdJGqWZMrsJI+NiS9AkjephFG93b3rLk+PhaFNEJ+RhGUq5XgtpVPJpNhlgoOQDX40YtRqj4Ditm
zCW/wAsI2QDTARKY71hpoiKr6rl0GkHLHJJo+GC29FmHedVYsk0rmLGx2rJ/tpqivS+SJHYTtfTx
P1LwI+2QYCzTNomoVAyF1qVp173MXcKkMjgSYyxnpiTanYICqJeMarEtKgzz2D4h/clvzfGgRz50
DUc1AsMC98tPtc8xhSVoCvoxow5PXSXHR653xUsV8fHQAuvmtnUxWjbqJqaw87HG/1Uriihy8FxI
mQ2e5Pa7xpKg9TB8me+UjHLohgn/bHVgAnXAe9xtEr0HlVyht1ut7Hlkq5WF9q4QZ9lq4YbQ0t8r
mb+Pc0XdmwrzaDFqm6yAXtPYFRwwNT48cJWMW50p+omVeG3ZImny1NOyGHMbvQFKm7TXtd0wVuPb
IA2a2p0ZYdYXrEKY5MEMhm8PUZZ4FhPtS5/0dNuUafxZCUKKIdrQAOZI8QF8uu1YixnFNIA0Ff3Z
RKZ37VkqV6osMfEwnAhNT6FfFvdNJ+s9BnD0N0Db/MiWWdO7hdJb9xB9jTK7B3Z55Rgt3VWgnUMd
BqkFCCBnwRAsrhHJFPyKOiJ2PrSO3j1rljdUK/ng0j1/aWcWEbCB2tBPiiYWOEzMcZNjdnpEHb57
bltrZWvX1jQLDRlQhm0dI38hmD1tOHSvMRyfeuXfK7UADEcxFWrgsQXg2OwLNgGvNYhE4JldCzfP
XMnuCt2yTbr7a1ehuLLwMFUBagSWfbYg3oYZI40snALdslqM8PAMp/iL0DJofX3pUuSdbqrTlaD0
MfZdm53+/eLSj6ssVWUEsw3rvCJ90YZhmzQrRqbffp0AgrF/CuMW6MEBhZsZqROtGloC+o2WCVQR
xEMcNCu+t2ZilrzQXGKsN4CJNEVDf/DFI15eK5OlC3uFmUgKmk88RyZOweu9kiUxW8izgK6EFE9Z
pXwN/ASFsuLxtit8vM+xWxdmZse1CRNp1BbMoM9QJA95DVhkeAf58YR7WvspNba37X08tpM9LIkD
LwjQ/uzrpCX67ikDz1A9wMXz+iEaTa/u9YNa+64J9bd/MAdxG1RPMaSD8vD1LkajURoNBXWGD/48
OiYeKw1XLdDu0MRd8fe5GBZ3YW3mF2Xb9woiauFI5WGEJIGq/qjiu5ptBDg3s7WJ06VPRyEQPqH/
uAn85fXa9DhUR9GNsGb81E2Pm9u++5VEL7zz3bL50etrczdL3w7PVQNsXSixfwhPutaDCTFAVSgM
e4/lfgEKfL23mzhCq9kcABFrvt3+fEuHACByDqZiUNACeH29RNTzc56bBVg1c4xhQO8URPVbFcQU
KwF+aWVTw2TClxgY5prZsYbBDHHWMierIH1+rHww/PeekGBoWIOhLZv6j3prPs+NahxlY4J5eFO+
5wRXZPg6GMIu/N2wxsC3ZOpylncKYxfhNgcpHu04xl71urbVfkebH1J/ZOF3g3m3v9PHCxIoSICd
QSYGcjV0Kq4tNVFTmzTHGG8LxrSI1K4W7gxqc//ttp2PSe21ndmKooo3pkaxIm0aS2/i71YB1VMa
beKEf2aQIy3ieCXWr5mcuYaZdSwaR5icOPyl7wrxVA2BA87TmH0X7d9D8KcVosoFwJhqAeF8vZND
UFkJ0liQGKBTkSAvB013Gz6yeI3fa9E58IqDXp9Gp9rwtaHRbweVpDBUJZ9YeqckGwm98Yx7JfhR
/uGrXZia3TEZiGXMXoOpAbO7sWqraeMlySEA1wegiWyNdHPpdgarxn8rmzmjFmqCcDltISk3sfCP
QdetJVCLXnFhY+aI0O1LQ72Zdm/4khlPA3Vy0dvWcKijgxw3cQe5CRvj33W0UyBLa4SvHX8y6vNg
xMAnv9ze34V+A5zm4tfMfBRk+nlOdPwa2TqNPILq0IZkgt0C/FAYR45oppINslWRec3qhODkKPN8
C6UHzEXirTmp8lw7kmKUcWBVQ4YrVv0ca2BOKbt7BYUpi8bbATMqY4ZZMPkl4wlmWPx07VMs2kc3
kYEvDy2XeW+qBWFkFypj5jTAsmlai/drYmfNKzFaW0+1naKj9/c/pH1Zb+M80+wvEiBR+60Wy3bs
7PuNMJPMaN93/vpTygHe2Axh4pnvOkDapJrNZnd1VRH+0oz2VZMF0YEDtlqLLyjkguR0raAyq6/U
VezQwurH6WUqDS8krbdYhYv08Dm08cSsIM4NSXJrmf1Iz17BRuSHRn9oC+GEHy8In/4U5phBbUCd
8x4bUdpOHcW+bP9BkiM3IjFyztDH+ZqZA9ZbhVwnEww1mIbKs2cVk1dy7XTVozEOnlQGDUaW1gdx
LGrxc964q2mAM1HTAPSHRYPacp+NKByWYI+B3GoNPt1PVb4rFD+ddT9Lb+LluvgHgvozm2ssOLlG
qYaTNTSw2YCYqvFJsqi5Z6TFBFbdZH4b7Xq6v3ygebH5e5UowJ5bHGkLFQQFFpd5cKuwwc1tHsvk
obBR2qCiUhE3fKwFRFBpqxqay0xNL4fibzXIMv53bDkxdWX5TtdypzYfLeM3yP/zCpBK7bUKb4ZS
cHr5Pvs/0yxtLwY59QxKvZA7aebNRDASNXiFiuH5TBQjZU6Ysgi8B5Iu0I9jma3MFjOjLYGlooIW
8AaDFCQ6QnvaUdR9nnomWAlGweL4B+XEJuM5JoVElFLBpoGMNTM3uQzuGVC8phtJvzKagELDWfIS
5ddl9+EUpLHOE7vMB01GSxpyBXbLYnRbe9f217qBQOj20wHU8LLUe3hMxtVmIE5o/PeBVlgH3Apw
FRV5rsrcRgpq4aAwRyk4r9qnYUrvkmlyp/g5l0R3z/qf2Kvn1NLqXScns5/HXJ4nWKrC3Kvj2FPR
Jq6l0r+8nzwnRbUEO6qu2qxszbtSxhkMwAoWJEFHxUxRlrQixJxS094zRaSLxbUGIvZ1XgDKmqyj
Wk1bKBKam2ApWvsVKqjmY7eQmrtQG9zLC+Ptn31iivFPtSZ5BF1AsO9IRetBSxd0g1ZqeLWhB5ct
cSgbwMx1YopxSVMv43EsYKoqrzryTuxbA+VJSEbVHxn1VPouK89KuCXjS5XdKxjPFBF18GLqyQ/4
QjCf+AoI+IwOdIJIE6rPotjL1kHRQFpDbotEhDxct411y1NTbPhuQq2zIbXhQhv1bxY/Z2XiVMaI
wiscB9T2I5RML28vz+L3hYH3+flBiGkC9cX1wtC1z1S6ympHAldnPEOL7JjmogPOc5tva4in59ZC
pVlSdC3whC2rfVJB8LEDP7H95/KaeFaANMKJQ4dcB2Ls3IqUGlLWYbrTjUt9B+mFp6GOvWb8B5kb
yBB8m2GyJtWKwTmmwQyyyKu+0jYUJpJZ34L4XICS53wlSN5pmFcAOQIgOeyKEsx8fbmgaU9omoSa
7U1ygU51ZN6mYOT19HYGd8nYtYJ8gvMiQscOTWLAYlAZZcsbZT0YcVHElatXiXSvDoXpFsAwC5xw
dTLG7UGyhso1ICiYT2fHMWijYnBGxcO4aJ6NwZOTA5jOuvDdAkIaI8lQxBO0GjgoeLQiVQNFMMxX
YRZ4daGTM91UI5gFm5WjGpIr6hg5+TA6AzXRZdFde9K3NqF+Apx2pks7dQAu1Yx8vU+CnqIXEk1g
uJu80Jh8apiPcqUAV5SDejzbpGgm1KXtZqBwuezVHB+AVooGprhVUwR39PlPphnqCbkEBnLJRJoM
QJXlQ5iwGd4itQHjucAaL182UN4FEgKdUxA8MYEBfIhRR1ZzZnHTRr8ntXEm8mzodybdKpM/DVDo
ElwqnECL9BxzTSjaoSzJwvNBoQruAgo671zvvSQCdQvG+0Hdah0aLRGsj3NXwgEAb9LWJifqT+e7
ucxTDkJXLK/sOq8Oka+m0EH8LPq7//zVME+DaQdMW6N5xj47zLGUwFKHNc19oJPZCeNdND2SDC/M
fmsi0v/fzK1OdOLXldJS2Vy3cI6eKkBXFfs6HW/i8KlcR+D+5VGF1QFVBfAYZEpYzcGibjC2J2NU
MJq83AKwr3dSoPE6AlUJp9N3tDpWom4l78uZ+Gw4AzgKP9obERn0Oc4nwI5ar1dzt8z/lMvjJIsk
2TjeiJL1tx0mvEeFDXEDBUFJt7ajvQd1E9q6jkLdvBYSv6/vXjYA4p5C9wnz4Hijst4YzW2rJbBl
KrezdivNLkE5giTu0I+Obm9MxavqTWthRl4NLBGVIu+swzlhGs2Vtb+ybsWJ16BpnhrFMn85aS9/
ZM27qW/IuK1tyGYWDh2CfBacizVa/VjxiUnGUdHpnsvOwFc0Vkw3tR9AuiC4u7gf8MQEE8FiQ10m
fYQJqYkPjd5upKjZjG1y1LP8ZYwXAdKZ92Y73UV2UJIYGNa1euyi2UyfbXxj5pBWjaMbVBT3tTo8
SJG1sVH27bVXzA07lw8+7yl+Zp1JEezK7pca3GZu3O2yxm/SGezm99LwGUbPVnyo6gfF8lv1sdYE
7Ubem/HMMnNQEomQcrFguW1ST2oNh/bxQTfSm9aonro63yzTPTTWAikavSx9WNRnZcwF4Vy4+esJ
O3HhTDWgoltj87PmMw/vwHLu9bZbpDdj4+bjrqR4rb90Imo3biwy0ApHKELLmE1cliWS51KD1Vjx
yv7B7G7DaZOWAkfm3Py6+W2FnQzN0nCoJB1WdA0Z0oBcZUOVLdHfSee00+NlR+LkYigbyVCiBM4I
rEXMqUnMpcSIGUKRbUHjKQuM+nmxpYdWLjFabBxSnTi5LsK0CoyyxRxMiiv/X1QVEsvV+KSHVylK
DqBSI/LBjBLHKAX+wnkirGTd4JgCThF5NXNaDKCsItBzI+NU7uqegBB3twgRbxzvODPCHAy9MIqw
V2GEzrc96ji57TYLMlpR3iRaDOP7iQSoolmvdqzfMTgUuyV0hDNLnGiK9BPAPVQxvoT7zg9Y2QDO
nKFV5+q5q+XP4Nu1qL/oKcq1oo/D3beTTJdZj00A6a9kmKrDGzr+aaYHM3rQe8GbiudzJs4tCOOR
RGDW53xBFth8SGghVaqAtK+yna08xdWrNc+O3n9Q1W8RMy4fLd66kLpbAG0baJx9jR2exKilMfIo
nWARQ3iOBJpLSYOALQ09QLX/b6bYmgV6DhkAaKspaXKzOdtK5EWFZimtLFEfg78qPKFsbcUfsQxn
kH0P6znSQRfRt/lnCSnN31atSK8T6eqHDlrtur9UeXQFKYn8kFNqHowFsuYB0GjxLhvMqnKsOdH6
27EslMFPaNyMnqwWoyDj4ERR0KATwCfBmY92ExPYah0TlRD5AEc/2rEoGBvdrQ6gdw4dJ7UCtWr7
dvlr8w4MIJSrTCCyVM1mTn9kABxZd7AX9xCVqXzVfpuRQBryrZX8g/AKwAdQQQG0FmN+7CtD0tpq
UNe10aZVXmYSLz4x62Mb1dQDzuM6y6tki8W/X14i7xltQlR4lS3G4+bHiy3OVWjnpVHt6iCVerZK
ebkH5bvyQJOZKK465v3bZKjZlmiF/rfRB/sXpP1GvxsHTPHN6PnstLLTX/FgicBN1xfWvZVmOibw
K22aPKMZ49hvRyN70WNp9gpD7bwU9Ml/I6qi3qEomNYTHBxeLmxiGAZUrZg0BHiEScXDGgObU7bC
mqo3oh2JnXu6cVeTO0JAhzDvO81HS/LyPnJc88zmesROAoNm0nbULECbJPCTULCQFcuvta6q5zkk
VoCzQzv/skVe9/HMJJPyz8sUzaa2mmx9udpUWlDQYO3BKiZYiHsnqXd2BIJYrwflRX1X28+XfwB/
yau2JaZukD4ypxGXLZCROaSCZPlYV17X31s9+nLURy+6hDNctsbLUbHc/5ljE4wsabI6VPBVUzl2
VbKt7Otl3A2NKxXgbILgTWg81/IWlcnC+ASTlMg+p4d0Zp+5bCrIXUIvEMuN6C7NIODzUkONRnaX
5ClWt7P+WkepwCYnKzgzSc6dakqQr5J1hwm5i8c/MsXE4t/L28q5Qs9MMBd1PY45nWXsagxRxAr4
DFnZ6Giv2sW2oKCNwpf1L1vkBFULmENEVSi+YfKI2UdpUuyJqkCuUXsP6k4ZgF27/Z2EgSn8ZjxT
eP+D6wDSZ6A6YDzUbgstXKIJQ+HSOxC1OgVKI/NV6MoAmu5eXhbnDoWKHQbxIIgM4fQfgLxexzxN
NwPbWKCLWR6Qm/pp+jGK2D940Q2DQHhLILYh7WE5pZRRNsACp4CKdNBN1E5MDWouWq6B56XD6Laz
dDKJndmWy4MhWdC0KtJhyj0Q8xSCEizPPSE7jboyykaYzWAC0BjFoVUuKXynKa+rqDrkpQp1EhGV
JucrQvMegFEALBBrvgLDSWiFlKPVKzSr0Uh1cohDyeQBjVM7+61OgvyCdxgUFMJAvfE1NcschrEs
40pLVpXAxoGsar2kjtzt2xkduDkoqniHi++y1/AevaiVYg4Pos+YsGYRgZbUtnWjYBxZl//KWYCU
1lGGxMkLd5yzTWa/VdVzpD6npWA26quTyFRvTg2zoi9zPWRyr8KwJkF5ECJAneSl9q0e/iL56DTT
Jgn3dhPodJuA1Ua7bc3XJHqj1XUn0iPlXmQne8BGhLlfinEw8FMkCQM4cN5JAZCo8HT5V2qCwaPd
kuKA4XbIFUcg+AWet5z/IdLipYwRaZSS0SNhgpKphhBrUwHqDiHXnuo3cWw4cvUm+Ni8KwS4PmMV
90QOwhJ/EbMnRWis6HR0IzCtQn6FRWCtjtxu0mXfpiM4hgfB0jjH5yxerNf4yfHp8l6TR1WuMT84
33X0o0pee6Adlgz9Xir6ltwoCDZMHFho+gJ/em4MDB1RC41VIINoVzmhKWmeoZSvlW2+ShhP+e8x
F6cVo1TQtoJmOqujJSdQ+bYqkP3MVvFi1f24JYnVQtWvBhNJuLS7y9+PE+9s5OfQ0kIY0glbY42j
MbEaGxBoOcWg0tBkQHMpBPN+vSYaZOXsI3Zx1ZPRQfthsy+yBGNOdiy3jauodRC3pV+O425OzG0/
iKYkOWVcwDQgCLxiT0Epu676xD/ArIemYwdTVtpvC3MOYlNE2c7bOKCr0fjE9QimYMYrwliSG0Mt
Gzft8Uweo+7TjKUBqsPmn8tfiHc5Qt7VWKlSICmNMeDzxTQoE9V1OzXA8wD5LA9XAIn49hjuatkM
QMpwnZFmr2T1Rgmtz8u2f14eeJhCYg0DmaAM+NGGb2wVzA4VEgB5UK+l3PKV6s2e703yTEDh6ugD
cpxGROzPuz8wEo8RVxAdwV/Ytw6aG0Mam7RxSbj4fUj9qs93SjFujKY9TkaMJ0DnFJLqFYUelEuc
CqpwnOiyeg46OcCgqiqbYrVD2auNKjduPRlQbwaxg6tO4zW6IbGvpVIBmYFB8S/vNM+dTmyyLwEI
6eIkjEqDnNUDJvxdRmJQ5mBZuGyGdwZNrOhLzxfTAUzgLDCCI5khWSce7ECe5o9G0bc6bbegf9lc
NsX9jJCfWOeW1tFaFveTtHauUR1d4GoibgkMpzZqXgRIKfR5vEwGnnZovGJ8zvDgGMco+D+aZ5Zq
zYDdRQ3Md8Ns+kWBjp+WgEGv1gDSSTDziRvkZo6kxWnS6Lepp4fQan8LfgTndsRckAqWB0AyUMBm
ogSGkSiwEXrjQpDu1tDTCQWdeYPp0V/KQvZpqAYDEONDbEcOYpbg/c772JheWHWLAYbEdNx54ChB
82G1tgnSE804Tt18X0f0XorAYkjtt8sL5bnviamvGHYScJeltgAKsmCqryF8t5TFTToasWu0mggC
wIvtFrqB6JNjX0G9dL4qsvSWiqEC3FjowyO9eZs0/ePyar4UyZlEEi1HvOWAkzUInnTnNopeT+iS
kRrdhl2jeXJzRZfPIdvmueqU3WvcG1dG9LTUu3B+aJTP1IZwTn6U6k0BiaQy0BagWv06CvR6M6m7
yz/u51clkODGuwz64vrKgnP+27pZj7RqhCyfAo17hToDKA0W8pHa9/9gBwyYoNJA0wXpwbmd2R7V
Ea0zqH7nEK9F7T6d0ONR9xpEFP/BEpaEoA+NcYXFV8YYrg2nJIekEy2dnt5DXHsJb+bi12UzPx0H
inlfZfW1Pw/d7vMF2bOuTVaIN1c/5YaLsX8IwoahSG+Q93lwElDBVwCx/PGA7AYJnGMxig9jPedX
eLFKx6olmNEDYDRapk7QLvh58NbSMTpRGPJaS7rMV1LAyjRTTEa7rRkiaRsCfTBdoxJpzfP2Dqxw
SEcBT8ITndm7uO7VLC9Rl5tXBaFPkr9e/jZrMD4/cFgGBkOxllUEgcXYmFkMrpgCg4aF7qkYui9A
PRdfgQfNSbWdNvy5bI2/mm9r699PopWihImaZ7CWTLpPwXBi5KZ32cR6Cn8s6H+Z0w9IoZpbjaH3
KNNM0rYbNrEeLKCEnIsgMQCfwGu4Fk0JcTyBqEAogToAjwdokZwvygJzvz3OKirEXePYdCNR2cs0
0a3KsQJ4EsZDQEWztosYfwvnqVqiAWlvrheeUc2uaUmoHqYuWdKXJTUex+oZPApeFt5hwuVjkesr
DIuAEcxroCZ/eY854AKs+OTHkPMldxOKNeGag9v2nUQRcXs/ihIvw23k9NZLOVRXI0AHNpX8fDrO
8yKIKJzNwIMQZQ7cQ5gUZCd1QOylxWk1g5g1sh7xbotcMoBINetyUTL1MyUlGtBugNiZtkWQUpyv
tKqVJEFbDiRviwaWT6mHA1H5tjGjD90YbrImMwV8ThwSTLwLNU0H8lFDD4098ordltZkgkupPJB3
6lhe4n+8pR5q8H7mxpvWJw6mr7ZPk6M7d6L5VY4yB8iqIDsLegW0x+Bv5wvWLCnWybSSDy5O1zrR
dXlLYdbT/egI3fpnFSowQXxdPG4zRxJlrqvfMIcX7PkY+1wLgODeZHY7QtovqRUQQORYH1TH2lu7
zH2pXqtdthHBdXlODBAtOCRxHvDE+8pFToLRrIaDlvTYZ+kBJNtboEMCFOfAqg1o+TYVXBdCa0zo
i3MzooaNpTW+sY/2khPf5F4CKMPNm3ZVil5SnLcrDsbJ4tYTdLI4084bRRmxuOWu9WrU4JzZMXPP
DFJHBHrhNFPOba0384ktQ0lxVL8oMveD/3u+yoLhtXlFzQsOMt+I0jDOAMC5OcZDFW1AA2ldWv8K
gZpf5hW0avYVXuhO7UQPfdA+3Yk4pjis5Oc2mTdNCRjupFSwad0VW7AhgYR8ceOD7WzUwmnAWK1t
5uANk3KbMngWBNu1UPzjUABOhAIY3jI/GIsmEO50Swvbyof9mf3ahEfi9uDnRnWA7qud8HNyQh4o
Q77tMZ6qJ4Oc1evn1I54ct9gastNsdeNGwU0csgNkFRufrRckfYO5+Y+s8u4bD8tNoZTYHdw642V
Or/v9QBj7f+4PrT8IRSDSXM2wkFQs44VGxxo3Z4Ew5/iqIJzXHIgMeW2/vgr2f2K98PVIuwkr/v2
8zt+22V8yC5VFXrRoD5tX7NfqDJAUfkALjFfcWcfqrJPd6KhHK5BoBsUDAABCcD2OvRe1UuyOs4k
0QNQu1d9KVKdVLkR+8QG4ywjBXF0meC6WFzNtQ+df6PsFvfm/jX0ws3sRY55TXbH5OkP2E3eJg88
Kpsgvko87dp+fBIR6XPSAlBYYLAK88MomrEFuynREyslBCeleqyX+7wMFpH3cF4ZKPsh24NYEfjD
2Ecg1a2sCTO9dcFX4c3guIE0mRYeo1F0FXINAXaAmu3K7sVWUqUqVaqs1EDOG0ONINlSh7xpjn4H
hodqcjoP1IeO6dHbQRY8CrlXB1JMvHTBPYtGJ3MOY60Zmm4BfnrejNa2vo2QdvjGjRQksmCR3DWe
WFr/fnJxJCBBUooZlhp/1NzKtRxMSlyOnlwTAKqt6HAVozJrcD01MeQj5JLwvZrxKZZzJ1S3TbKz
RJkL1wwITfASxJCEyeYSbYmCNWgQWmiVHIzynjRbmriLaMaVew2hooTTDJatlZP9fDWZVWhdaBq4
+j5mb4JsQRaYfuQYO+sQ5w71+33sXE9OtQ2P5k40dMQ7XXh3gAJbRnXGZiVZ7SWu58aER5rWAPoB
azv09iaZRJp3/EV+22E1WQuqANQ6w86yR99uVN0a6DhXCRAj76fA9qnuxJKPVfoxCOVcG9gmbxSh
Jb6aS2y0Bv+ZsdYSyEoZc77VQ5nESlbBcYxj98u6j/DoOiS+5S0f5qbdxr9U6qjvrR89ylvwHX0k
gHL/i+vixbGi8MHiYTK/IIu0AsAt/IKC7qb5zgyhgqP7FgAH/3BETuwwIXwpGmupYtgJC3UTDx06
bcbTkBYlSNcEjWLeFY++xv+WxISWJNPV1BpgapHao6GEm0m3vaqpXKKMz63xkbf1plYEDypufnpq
lTk1Ul+qdGxhlQJO3EJYhfxZFKdp8F6sQHS5q2IfbYW+Jxji3JHOv7y9nFsY+E7Ib2B6ZG1MM2+a
Fjl/mZYhHAmsKAAAY5Dtv39A8GVAHwJMqyh+sZw5BdpPeDeh3V0qsbMAb2++pfmDkG+St4+oREHn
Y70Y1vHD8yNRkwiQiiHp3CJ3lE19o+3CjX6UP3t/9IHbADbOu7x1vKvozCLz5UyyDHZXwiKGHD14
ye10a3fOgD3ctqpgF3nf6XR1zLNiXLUDq9VW0vQYsXcn1PUuL4cTQM9WwySAZOxoX0SwUNs7vcsd
qcOQgGjLVndi4taZEaYaVdSzMbR23LlyYNzF3uBjBiP3J+9hCczPy+vhfx4VNFPAe65+wUQoWnS5
3FYptMY+8FUkhxYOLqLZaQPjSN8ExghvYUjtcJXjxQ7qt3PvmxNgHSI9h0pQYN/IPr0KN7YL/rX0
FzDngXDci+sOJ+YY12vUWp30ooR2zqh6HcAUiiX6VJzaK/LU7xUxHpeFWkmBH4P8UONNd1oAOdkU
3EmOElge9JJ7X71bnyS1Ux2Sv/qjYD9FC2S8cY6mxqAlrIMYZC0tXf8eN7ILBlRPfqg+QVv+57JB
zrPybLWMY0rzIM9NjQ2d7Nsk9yGlQVRMB4ZOqQrArDxLIAgAvELH8BxqaOeeos4zor1cQcWruGp7
NLJRAv2sEq8Pt5eX9IURZw/bqSXGJ4lEGioRWDKOqeRMeyPQ/ZvbG7l26u3sREHu7AGCHJzQH0QN
ZU6XF8RUJ6tkHJS2rUl6G7aru9EBQ5ob3mTB6P8dTEcEE+Q56qkpxlFBy0TyKa47V3svD/FNv5WO
0l0n2EzRV2P8sR+KOGkrrMfGLTYpTgGe3AZAYADWRQAtXnKHvTNXVoz1ucgiYnpgpxIla9YF0U3n
9hFqVZjt9uddu32LN9WrfSSP8f1ylaJIkP3OFkFqx6thnf0AZrHAOHatPeEHWKBJjtrXpro2JGep
PqBsXBZolH1o2gftrtHEVXUIEZPnwRLcRoT/Vb83gTmQbUEHADvXTTimu+XOCJQrK5ivjJ38WexA
fuWDX8KZ/XCj7Fsn2ZgBCBSC+cZ2ns2d4V8+SbxgdPJBjLWdf/JMa4p2kJcFv4ViZHg07rRKAC/9
qur8OKorGBMyS+tkK+PDWZs0NJHbzh1RlkAKExTOcB0jh4liVEW1beINW3orCwX2eIVf0Bh+G2Y+
dSkputnNMEyhtryT8daVXYrj2qwxPqkdkc7yeu4vLZT5rJJclVlbwF6vEGdC56INHaK0eFoLvtn6
jy4YYkGflrR0Q2bhm8kL5pTdLrzSkv3aq0afWtc2avxx2Uc40E5EvO+dZFuugHql6VhhZe/Rvmuc
P7hBcGqpi6TXk6HcZ4nihGiFa0py4pVVJSljZGCFQ7ota6/V0PfZFLqrSE5d/DVF5tbb4tKGMumU
Bbp/Xe9XTxmcXgbT3e+ovxXs4U9czPkeMnejDlmzQVdgIz3I7vAnfMyvpPfUMa7Vf2iLnn0t5m7s
erXTegWb10OraH4ulOtcCHgW+LrJ3IG5ofXR/9+xDfDULtmXXhEA0tPDI7Jdt2mdaUtetPvLm/hV
zfn5odZRcgB4oOnDfCi9ybPeMLE0+8HYm1fqi43qcefcjqjFaI68qd0XRE43R2lX3sqe8vYP5Sbs
7fcPYL7i1KRZUib4ispKkngYIj+GOmsqOODcoIwWoAwGFszIfamlnrg/BgBMiaIW6M4gYMfTxbGF
czDrTv3YyZUGA6sB5ysLP4jtOZcHCwsxAvTF3PQzBmT9OrmVvNzPg2kXeZc/HT9rOjHI7NyQWmkY
2zCoI8Fwlsl5eSNO97Bsq62IvInvJie22BPQoJTXQkzQrXwZ/Gz+4GeO7M6OtuvRsXcMB4Omt+Ht
R30f+T2aV9lBdWVRnsj5iKCsBv8r+gAYRviqtp18xCxrw7whELg20Lx20Hb1Rh1Skpe3lZNKYHgE
5HtgPUYlgi2WaWYGiQVbQ4uoaT3JCNrsFZBcOhZOPdzEonlg3pIAjkJDHrJoP0dFmlwzaBsDiGbk
Mn0w+uZpwScVNWw5D+lVIwoMRGC1xzAlc49OfdxQPGhWUiUvnL28K7zIcDr5mfSvPSQZ5gPm4Kj9
9/JOcu6AU6vspVrQbCTdoKLRWH3Wuf5CWuJDs+n1P1sBVOp7B5mcBCwiZVXlAChOCWRbNbLvDQ1v
MWN72QzHLdaJSWWFaq8YamYLmzRU0nKMsYWoZG6a0cRwSGbXTllWN01rW/eh1jSPSd7oAsOcixvA
OSR5QG0AusGKNvZjHA4WJibdRN5Flj/Yty3S2/TYZO9dD6rgu8vr5Dxdzswx15AWYfmmtvJvQYBr
kP1Mqv0U4gtZ5ylw08vGON5vQ6ccuDN4JhBHTFSBVl09FGv7kja7scig7SuC93Bu1TMLzHLMPNfr
uIcyT1tj/rPM3C6914pj1c3e5aXw9u10KUxOHk+4E7IUhgz5rpsqp4xqnzZXSlVgxPUfytxnq2J8
vjZaMNpAVN0dqNTcFHE2+4PURHc1te/ksieCtfEOMvrLqO9AmW29Qc9zx6UYtHrRYW6078pi1yaf
wgYBb/tQWUYIBGczcGfM9o1NNhcLgc5QV90mujMN2ynDqPDDKCIc4eiiAxB0YonZuzmMFYz3wNIS
hEHxl276q98UTRnT1++1h+i2DrQIVb/L3sGLHqdGmR0MSYgZ8wxGrXRbIDzJt+boaYO3xPexSGuG
d6i+baHAeP61rGFMMa4HW/38kEx7S9Qn5z34EdfXFGdlIcT04bmBqDQp1DMR1+lNZbmyXxynYEai
quO1hIsfWkqO7eEB0wiaHzw3PLXLPGGWKJ5REIbdJGoxPvGSgt9Ulv7JyP+uSvZhNlW5XRcTrko8
N4MM/B9FXu1VS6RCwHMIMA+u8HCAwzGYc76HoV2Ch1zDWkz5b5Vvp+KeQmZwbB2Khrj8+7L3cX3+
1BoTBUmsKX2WwBqGOoz3Zcj0q8zMpR5I2ZCCskNV/Rneedsrke7qZVcdTAwf7jAr1PkylNfdOR+7
XZwWhje1veX3Wf15+SfyOqUAy2Nyd1WoAXEh41RJpZZLYUD6jmbEH/uXAY/vISZeCpnCqfkgpu00
4+DONUa/5PHYq4vmTA0qXsMbtW7zuN1JirZH1+hGl0Ovtlvn8g/k7uHpD2S8DzJf69gofqBxnDfp
7RREW6gBBVrvhlvtodiVewyKpwEmmi4b5h3nU7vMA22KTeiPpegJVNlLrx2LfyiInm38av8kqa60
VMs0DeGC4FSpwAz2o2fG+zS9DUdMuwu6prwzfLoaxu/LepRSglkhsAW9L+1aN3/WRfwLvDv/1Abj
7cZg0ampsWOQb0izRxX1m8wjy/3l78LrGGHYAIylGC+zMeTBfJionoq5+NIYJM9TZIIibNeCXaJC
RVEPjG6vAU7QiIoevLWdGmW+VmerjRXqq0Lk+JRnj3qO1/JRSCHFDfEI7aseMfRfMLV37hQasCzJ
QhWkTR4OHvVuuiAxfXwtvz6GYEdy7MnR7kVtS55zmMh0V+0lvN7YiyUxh7EgFpxjqjM/adCB68Zn
WhqCngov9p6aYU6yVVihnDXwj7gPaOXhTDsjpeDtXxxZhtarKqrXcgpV9qlBxlPAG9dN8pdDLr07
Zxhiw6AYHhOHQk29qZJNN4ciVwWCFLsR8c+K9pRxGBJjgFuVsaehfJcMb9kQtLOAHZCXu50uj3EW
iZgVlTM4SzLn96NFnMUqg85sH1vQAgBJJPh8vNrp2XYy5xsAgd4KIXbsqg+etofkzatqe+FDt6Hu
skN/cdMt3uWzvm4SU9oBaStE3jGHiFlS9rZGY0xPuhAWjVz6s6TT7zLXBCZ+PvPg9epaclBAEovS
/vmJo4qdDc2EXncmHbR+8dQlewUq+imV8nclVNwkBya4TwUPME4Qg1kEMIh0EDSPvrqCJ9Ffzwa5
qQ20vet2C1b1TAlGe6MRFzQgBnpVDebxUVu6vJs/XRI2MVitypjMVZH9nC9VGxapJGtb31bvdeK1
BfiRRMhqrg1g5fC1gHgCcdS5DWggUruqsa7ciK4aEpCx3tb1n8sL4VTgsJITK8zhSnurzfsJVhJQ
4CsL4IzgaW/C+abTLFcJITxTtK2njRPSJv0RwxCiNPLn0Tv/AczRC2vFwAsTMIw+W14NoKhnmnxI
ar2Vh8ZpwTp0ecE/b59zc4yT6oUyTmOI9ZZx0I/PyfzSJ8/jsL1shTO3sZpRMW4KeeKV/eP844VF
XCjVkK3Ng+yTytZnQRZfNzNH7aLDqH2MDZp40FBwBjXZawCRWUWWOGXTTY5txKlTz5+1pRwTjCRo
fSmI5j9vj7MfZzHPq9KETGsUYssn6jTJFbWCAYSSOroQcupBwezyXvD9GF0+RARwebN4KGL3XRit
W1FaC8a9FK+VKhCLiVhPuNHH+DbDOPKsKROyAJhJx5e+vhlo6i3axsotd8H8CIW8gwhKJloY47lL
r4RNPMKiXFC3t6IcYkDQi+pnkT6fyBDjs1Fs1JrSrTtoPmX6NbAiTp2KMhfu/mHEaJV3hbQwW2DF
275OlA4AlBByTl32MqXX0ZJ6XfiLJoEOEFZn/HdGEfgh8LPQqDGg8cTK4eT1MBjhitdI9I3VWMHU
BZp9XAbR1Bh3/1AQX4HxoPJi6eSzHmWZKoMdvVtcyFjHVEGxKfMv+zk3kJ1YYb5SYWkQWgMIy230
+lB2S76JeunN7JFqEjLcVVEqatNz0ohVAloHhwhIsDAAyJicezubjAqjdpb00Q9OYx5izXasEMRp
CpipVac1H4zWk1OfxO9RA+7MyhRkTquJ87zi/CcwN+GsxnmexvgJZlN4cqxvMu1+0ebbdvjPVd3V
Wb4/ImOoUkMyzitgyRjCTTW8NTrQIHKyK4doT9Jsd/ljckPkibX17ydJhUW01BgAC3HHBq/yp7Td
61N8R9sJ2qapo1pJcNmeyHmY+6Is6JgmLezl3bwpTPW2huq7ZuV+0qfXcyWcGeV9tpPdZK8Aqye5
aULiA3RFeP3Pj233tzE/ZxHJNz+9+N5Hi6mJIMtNwEALO71N3rssjZ02LaUrJZoOpCiAlEI9zC8t
sCfLNSBGPRn/Sn0tEmcQrZZ5LnUJArOyrraVNsTyapO4A54qsymCyHI/I8DyCDIoLIJ0/9xtUJoq
CFTMOjeuUebYzNmdUmeO0b7EIrAb10FPLDHX3SSZdklB0u7a5LmXsY+bcvh/zH3Zktw4suWvtNU7
63Jfxm612XCJPTIzclXqhZaSUgC4gAvA9evnUNVdiqTiBqdrXuahrUsWCnkAcAAO9+PnTIp8UG11
fdItUTRenMGpbQkCyFPCb3bXmUqXSTDgYx2h58WZBho8pEtH/Whn3UL6csnU9PnZ1kvqtFRLtJ0G
paM9uHr3mkBokXf2tra8hWDw4sVwNqrZmSIShXNdYhJN4p0gc4S2zOYLqD4XRnR5F5zZmZ0miUl4
/AOxx0lkgOwMLJo6LUMO36iyR+lCg/RudAPoalw/VZamcnaqpA7tm6LGVFaG6Usdmo1Z3fhpV4Qd
t5bqVBcyLjihcZnbUyPf9J8fF67KixL0N7BmJf17VgJtoZNbtydbmbNPMc/RrSia7wmUd1MPwEVX
9WkCxtgqBnVs9gIZx4XAc7I3v5rOfs8cxdYqDi+7BjhJTtAZhmSJa4JQmNqQOF4pdggh7FJ0f2PG
wW+DbjSkuNCrPvMo6IhZRs8BMuAq+sJU7kRmMYRjWYe4UpZq4r8mZXD3nhmbuVXWKoXb9kCE5NXe
aPeqDebSQ5eHhfPEbPCZv1C2FLJdwNh+tDlbZDxKpQPKL2wZbcfZbS4xkWUok4fU8CEOZBZHom7S
JBK1H8vj4EKNZkflvcOi2t4zUv6NHXw2BXPyfUWBdIGR4ecIi3zuUvHN1tN12ccLUc50ms5dCQRc
aFyzkdsH585H19ZKUhisgJnEada9zV81d/wb8c25idmx5xHDjht9mthE+MLcQy84GpU7LX2O1bfr
x8KlW+rc1MxJbU+6jtSwMWqh+TQ/CaValc7egoiaKBZm7tIRe25r5qNS0DgHCQhAe0UdqGhBVZBc
M//jlPzklC4eLRCpQll5NqC091wmFOy6VAA3nFAQUcT70uALS3Tpzj03MxtLzTJodo4Cj3p+7OtH
WxGfBNhRM7my1d5H6L0IyJrCo1/97ufAZrttNEyuJhIWG94HtNh47xiccTOU/o4pwQhp9pav/oZz
6BCWApnHjzaSj64uEYfKZgLIqkQeEgDlFaeLMnnjaY9yqTXg8gPmzNgsiikzwgnykngBlqjfQaCa
5kpQlUj1lquWAO7QRqb2XHinqkY+6BlKX4uUIhcvZ5Bb/TXg2d4mfMx6r8aAbRvC5p97856muJAj
U8ENVkZxV/uueSuc1+vzvGh3tuFLx6FOJ2C3HkF+m4GH7VTUfqWvygpcHgBclHbpgypOQ2Rw3fTF
PXk24tl2gXiokvABlkvodavtbrT7dbv0orl4ZIIwayL/QaJ0Hvkr3agWCmnQIAQCHiEhRWHI5tP1
gVzogcPGPzMyC+w7r5aO10sgL73buESI8+J561o55OZNyyDs++LpayFv3OIr5Gau2754GJyZnoX6
CvQblBa5rcDIZNBYgGSyR4UapV+rge1tSsWxFu66S/EM8iQWxOVAC+nMMSxWyROVjLColI8D6see
77BVXHZgI6vQhbdxl+i8L6bWzyzOb1cUQjIIgMNi66ylHtnF3ZCOfoy+TQ4JaAOvDVH6Kvgwr0/t
Rf8EyBU0qRpYd+apqKQGiZ7Vo0O0UA6iP6XxkZPtdRMXvfOniTmwb6JuKpqp9bUC8zB1yhCCcwvL
tTCKOQwDfaCdkk2jsIDXrdMiJMOeLrVxXV4iCByhJdrTwbY2c0OVaBkUZmAlS+kr/nut1e6mdoB4
i8cjt4x1Z584hKAR+BYLVayLO+DM9OzwHus8H1mLsD3TnksIPnggl+5Ys23iV6P7LKpxc33NLvr/
mb1pws8ehhXVQBzZThPqjWtj7Nd6p0ZlofvA392Syl5PFQOWaeF1s0vDnJ3Ted/2hjqZ1T3lWYm/
tFlFfYA3VoXxWWvzqNPLpffiRdcxoe8Eljmk9eYA3oaauSdHzCzThxWULZ60sTwyrVy77niTaE9M
GzY9wc9wBrSsxBIdU57yoqIs64p4XdjdQkxwcbcATAyCdmOi2phW5mzmzZ4NTWK5E8ixX2d6c9/T
pWrXxZj0LxO/EMW1JR6kI4UJo/E76waPlwSU6cA9LJV6p+X6JaQ6MzSFXGdjUcCsn3u9gxDDjgMW
9zg5qV+m44bTpYzw5WX897ShjPfRlO5C10WdlrGVG3RRud2L1JYuhf/hAPhpZHYAcFuO6iAxHgcE
mK1m+J0gfprtWCyDhEfSifTp+Yve+uvbYtHwbPvzWIFwrwbDrSqjOCY+VJlKc9OCs7vu0fi+Maqb
ylkIwZemdHYGuG2RuokCo1wPwUDux2TtiHZhaBeNQMESnfX4H4CCH9fN4Fneu9O68dTd9AxwSgCJ
obSzEEFcdPkzM7ODpdLtAaLcMOOptt+UX2rA58gER0xWcdwvGLvo9mfGZjGf5kmnAB56Qi1xf8hu
SlC8DORNFOPCcblkaDpOz/aXTbQabyQYYvwu6dagzfEd1ODYQg1zaY1mR5JV4gJIEziCChmBnOQP
VB1WeSUernv5ZTNgMIOQNEqXcwq8qixoLkYcS5rB/M4YkMd+gHjS33K4n1ZmBwVPy5ogiQ6OH2lt
ILz1OFRsnXBv4Zl88SYDd9G/BzM7KhrmZKRxPZyxePePdA117MhiGyhT+hUJx6XX69LczQ4IF2y2
ZlPAHCluqA7emNZPWLowdUtjmu1VJGuoZ/eYuhyZybAGKCPx2Zi/sQwCeFJNkUyp8s6IjGxsHq/7
xsX9i04p9LWDDhY0QB89va6gv2B7oBLJrT2i416rQ0OGBg1UwGyum7oY+pyZmo1SZCht8xKmNKM5
GGQIEvO+zyE/rzbkS1tnW4NAm6mM9YXZvbiEZ3ZnR5Sppn2bpOAy0eEdDTqyQfdM+m4hkXlxDc+s
zM4mI/W62JhG55qhzO5LUHtqQxFIa1XWXkTo6vpkXjyhzszNTqixaRtPyzGojEQtEsFtuTbEZ9Ne
UudYsjM7orSsa91KxbB0VM/7KWqsGJLP6UNTJEsR48VE0V9j+gUxz9FeEzMXtjz6xLotuCuMFA3i
TTB2MUT0HtAZ1auPBVStr8/lhUZuvMDPDM/CqV6xM3vMYZgJUFUk30XskZXbq77EUValyjovH9p2
8L3WDTsEq2UbQ7uYAYdJfb117nuzuhtydamyc92lQBr1cW9y6ZgCHP/oIEieZLu33JMsgAjOnm37
cwoR3OuzcHl7ArALwmFoRMyhWoY2QJkiwyFUQ1QYlORt0fvMED7Xtj1/GwCo8P5zFRHMuwM6ctCf
g6LVm50IfRrrOqQFJmJY7js0EvJVGO+VvZC+vZxhObMzOwGUZkgSAUUA1Pe3Jd/mLBAKiKE2EIAc
tLWmb/vyW908VdlpWKS4v5wiw1sAHRqT9Pwc2mc2CpVdB+cCb4hV78cmmlRnjeKmLHaeDBMHSi0g
xQWz8vX1nE7uX94IP+3OuzQ5GauhTTHoUYOeLlBacb+0YS/Wbs5MzPbNgPbPLNNgwuUsVDCK0tnY
iGT1ZBIEDYZmZQ8rCJL+P45sti8czks1a+E2luJg6Zrnsc7W1yfv8p3x16L96MM9CwAtmzVCFdNR
VBzrnANY+Ojg+r9u5PKO+2lkdvcC6QrCgwHjQI3PN5WtQJhZ64YvsGB2fy/T3agsHHVLTjHbcVmn
5rzRYZLHMUps2S4u+Ofro7p8Y/wc1Wyz2UYMUIaLoLaqM5/XRx4X68Y+MvCk/x1DP0OXWSSY2LSL
TQPHo+l0d1qegLGbu1ELBs3CNV+u27p4FJ+dILPb3XQrXdqTyxnVJrOZH6fP6C4MG3fVkFBtugXP
uDiHZ+amn3PmfnYptESTMEfy94rdmJCkcG+5FV4f1EVnOLMyu9uFl9hZacBKm45by2q+aY2+EK1f
HwjKjh8HkqmQ0+AMJhi6uCmiEwV4LuUuq1bXh3Jxv7pIo4NuDRTn+syvXa/VZZITJOr74qiY6MXI
1We7du6vm7l8mJ/ZmTm3pGXaxAbOBaN7QSlLM6KErQwNTXckUtGn3mzs2KeNuuDql2+wM7sz/9MH
RYhmnC4RQKrqttrFo+Hj8RhOUnMgZ4mo9yY4/Vom6PqvHJ9DhstxgIS+Pv6Ly3n2M2Z+acQjNzo5
RSRZsyvNci8A6sr73teVJSXraUS/XF9npmbOmXtW2eH1hd7a/Bto8QG5wuOuXInuBSz3C6fiwrDm
9KCpSGMOBTdst3pFKAtgy4OmkLlwMl48RFyEPJMsxvQW/7gZTLO3E6eDk1bD2hTvQOqURR4yNbTk
U60uiZpdvF3OrM3WCsJTqXR6rJXafdbrJ7vd695zF1MAcPe8XA2yWdiDSwZnK5aKWDGLYhoeT3xi
B1BL0Wrdr4ub3IgsOzKW0kEXz6+fI/Rmh4tFKWDAOhoYUFLwB2QaxkQ+Xnf4y1CRMxuzECcWgPvw
HoNSM/Xksc7zRQZJ7yLX21DL+puqS25VKb7WRgd4tjk+iXjcKhN6tWa3rNZoUNdZEhWZEQe8BbC1
G9CKnnixsnBlaPqFDeOAgHwC7oEfYa7xkMWKVHMHgPjMQFlfkLWKmp6VFeVGT1Sga9IdbeXaLNOg
nBg1km4L6O1SEuiC0sQPWUUXIjYeOlp+HGRnNxcpc09ppjUZgipwHN8MnE/4PwDFnBtLgIDwVf0i
A/VeOfC1fDKTIDsph2F9fdUu3QZoW/vrR0yOc/YjJLgl9VLBVEC51O87DdrTAZRWFg7DS1bsM9eY
FuTMSowueotWcI1EHXcK6kZZad6QKv1bNbgzO7M4BxwpSZk42MjI4m6MuIgqR4BhYykJf/l0cqaq
Aqqz4Hf/OBwQHxWAtWE4oOpt7dEHOQlIPVCdibT+pNp/QxkQJ+GkcQMGGVRj5vUh0jl9nJrwlAyE
E+j5Kxr04QG8SB97euz4xgNGWUHrDLcWdsrFY+PM8Mw7CPOggQ7ARjA41Vrpu3W31A508T45szCL
RjKaWwilMJW9ixB4XJV2HKbOpjCXXPDiJemZAHRhAic9p49r5qAruy86uAan91YVMQAuVESlZsTa
pav/orefmZrNWtzrrcr5ZKo6oU3Ft4Xq5yRZuEOWrMxmLidokfemXJ3CDh6AAQxoT77U+HbxogK4
GUyNoCr8BQdMO2DF0MI0UV2hWMEOQxIUIEkyxK2XRUma+ZWxcPNf6FrHsQjBTxDWgFgDWjgfFwpC
9GmeOjApuZ8erfvhzn4UN/pdvFJD9VPtDwjqtuQ7grrrJ+GlTX1mdx7Z6HXKE+3HG2ncuqDWAHA2
udPJvtHCITldt/WjL3gesp0bm92VjNtpi0AYd+Xa80nkEOhRmMHo23f5Ll+Xe2/0X1Q/e6pWJEyl
b8aBsvDcuLQfzn/B/EiW0mC2CfcZ+1WT7Ad0EjePbh3a2tv1sV4sHJ5bmu08K/e43hFY0pM9juRm
aEJD3VsWkCXGprZXVQ5ZuqWk78WOvHOrs03oui3RWwUzLPziOCLMf1ATH5wfKH7QF/kU3++l4WcB
C9/iiCxVt40lZ5ptTn1MmdomU8OoT1fxo32XvIjQiViEKtyaYEFPSeiGZlBvrfsqVD5LqAisxacS
3l0GYoOwCXwkQbLdGK/1Sj0pe7b0Trp0tIMVahLQgzaJac4i7MwexjTJ0Rjp9Dcx64Nh8dq6dECd
R1mzda95LjN1wOXBJyFFYNzydbzYqHDxuXduZbbOdWYxyK3CCpp+VVC4ONmxhCgI/WY0wFJkysrT
okp9GtV1562sQY1+ePd/fe3/F3kv7v7cs+Kf/40/fy3KoWaEytkf/3lbvvN/3GVvX9/Ff09f/Osv
fvzaP9fvxc1b/utf+vAd/OP/Mh6+ybcPf4i4ZHI4Ne/1cP8umkz++PfxM6e/+X/74T/ef/wrj0P5
/sdvXwuI+k7/GmEF/+1fH22//fHb5ND/df7P/+uz6ff/8ZvfQAz4G5t/4f1NSHxV/d2deH0RHCGP
C9waVqR7nz7Rvd+R63JBPQGdGBDI2DhzeFFL+sdviv47Kmr4Bg5+aJsiz43PRAEsBj4zfwcmzICG
gA4WMzQaoP363z/twwL9XLB/8Ca/Kxigan/8BhUV3CA/D1+wyvygAAKyCJ6PLvIfKNWzaDSpG6ao
Rvk8WCaYryorQiDe+anC1F0v3A0dMnNHbZmAB7nwq+7VcNd5IQNDx0kp08i2HlrjoTcGP3HTUA6Z
F+gMjYYevtDq6M27l+NDOfQrtc53Rb6vZHwoUIRCopJoLwbZGfq9pryhmLjRZRwZtS3DpmmV50L7
VrZaKEe0f2+4Y6B/8QtSxftmzNMtr00IiKHYHhSJKld1mvtUk5HjJhOyJUTc8x6DnYQj3nAbwYLU
NYokbOJECWoPpShym2SGF5mi2WZmApoUK7DRaubW99Z4zwwGUlWbPFBgR0jb7apW2Zku9RXFC6y2
0n2ocUCkScqwaoThqxrqgzVwbpS167iuNgokOGvohTgiW1NL3VciBW7wMzjn6pB0YgwUT0FSi3wr
che0+8mxM4+Fqge83hoxmsSIisS7l5FgNJqdaPH7BbjzKcheOQlpNzXAOgFVlFXHwM4ugJ5Ff3Un
vysFDd38e0ONyByLdVE/ud43akCFwQaqthu9+9bUbkCEqvoCzrYWE0ombY6pZT+NvQ3QCrKhfq+6
ZOUBsupxy7dM5hsNfacChCGaHeagEYMiQfKcdNWqYqjy8GTjDm7powyEU013qqPKUOpiCYTl8oNu
vqW99cm2UwGtC+V1zL8g9AwV59h5xbbtUhSnS5mB+U//EjcjX2cqa/YouYmbZkQdj1vAPbd+bFuB
Z2ORLYCErTygxFIfq84OHRI/azyDnLSlR9R6sdm4LkR3kzetjSDCEbvBGu+AJ6Nr5u55oTFM/jYj
SmhlxNr3Zq8xtCEZR6M1o6HtVmB9CXutjyjI3wqt8UnSvFdxBo8u6h2aHyK1KLcGnLSi9XctgYKH
CxIhLw/ihq20qoAmo4kKuGIhuUVAnmvELtrEkl2XQmO6jEMHb5csSGtlrThNkJsQ4vBUstbaIVAG
qLdxd+OAtg+rHCSg7kMdFeS7wNc3Sti5SGWlp8bLbZ96g9+PeeC6w1op3Ug32W3sJJGTtqu81U7o
zglU9wFi175adzoSVF6oiCMglFsVDVi1a210UlW+o+wYwDCJEWYKW3HxVRSPwomo+hxTZOfMfjvE
WVSYsXenQf5iawEIlBog6hiUPXr0/SbxAt587kuoB/JTY5VbnUr4qRoNnV3eGnmd+5wCsKd2901v
rbWxuDXRHWWpICsywfio8Cb2XfW+K15ipuwmqFaSWaFJ29BjuVip/U0iAUIHcz3EgPYi6SOn+66M
L0z9pHeAxJdxderyNARYRSJq61Y6UgT9Vlr3qSBohsjNZiWbk5Y0YIfJV7rc9Wb30FTJdhQnsCf5
rK1laCf8kPT5htEBmjO3eksiBogcHmNBNWqJP6RfJEQ4aGe36BhFMxcrI9CjrOPE3holClipclek
rzbVv8eEQZGL+k372Mfo/bKwG9yRw6u+cAdCSQD6o8MvrCVwYv0XifuZx2mUU+w0pGcQ/EH1Rn/K
OwlNcicoVc0fqg7EEO+x8p2nhd9mVlBa962tr2VySpIYR8RNazFvPxraJ4tlcG0OMBz5og0p1JrF
U2FbRVg5amQp6SG3pD8mO5rrQV/R3K8HunPN7q6u0yCGu+QS7IcK5Q4Kq8mmNc1VNnRt6Bpqv6Ix
DsAx9hsUHWWLqUlPcnzx3DfkbqBdjhmmfFVoagS/A3ZBbddVVcT48RCLCQAaj4HTa7879bgbXeUw
9g8qqJIloKumezKN8lFIFlJSv5ams6ZE2aQaOKyKnNvbrKhwxhPijQdXq81QN+lNbTF5I62x8mnF
si/ConeKbqEg7FV3gDl+brFrcSueoFWDR5qtokas39c87T/XHUsChXvagaQiqqA77xkFtKtMvfJR
Kr/Nc+uko1DOwRUwYGBsXyfpTR3nw2cPOTG10rZxLo7daIelhaC9RHvoTVGUaOktumSX6s0KrWLq
pjK1JsLNnPojEfdVTrUA6omYO9XJtlWnGl6QiNY6GCXtX+yaiTXxsvrJ4FqAjiuku9Bl8952nv6i
qSLd1D2S+K0tzMAq9PRTzVH9NvNyF1tTbxGPoSqRmVErAIMVXQ7yc09bQSZ8Y1bu17zUyF4RNdmi
yasMks5jUPNuml3WOs1TbLkydOsRCCUXJ1HBrDaEHikcvnVfqMF9RjvHJx5D9Qotjhouf8/pTlbm
YUfSY9VrT7ESR56lomhbEIf7rvbs4RnV1ea9YDZZp/V4B4W+bpuNIIVTzRdO1Zij46MvV73cE1J+
N9Xe9Z1C5V+0qnR2RMQqJGftZuJz90BiAcca/RQvbuwnqj3pVrxLW6gjmnTTe+OLBFVLPPZfmUzd
ECMwV/oUyVv21nPKrSZdFgqOBXaaPKw4Hh+4lALDAoueLTOG/H0Tyoq+qLz7VFj6S6mXEQFVv1/w
dkvz6i4v65VSiJfa6da0rmlo630N9XXVXRFebQpy28s8zHD3C2ecrhe/VCFSaVugBQpMRdnkLEPT
Jx7ykPGVG0hOg7aq2cvedr/nKCLsMzT4h2oh+XMZK+5qGED1W1nCiLRGEU3gZR6ea0wyA9lYW8iT
BFFMCBU28xbt7PG4Shm1WKjKuHnkJoSkzISRz7ZZATWg8LrWgpKaQwEqC8u3C0QNEFGCgi6YQctt
yZwutMoBsuFNqd/x2ERAxBJx5F3qrGtzME9unTK05fS0eY5L26RbW5rlKbaMAuK8RoLLf2gNtkkF
A6ttx9fpWKW1r2fEyXCEutCE4yxOuB8rhbdzFHAhYSU6L/Mbkea7tMI+Agm1gk48JsVt6rnOqzko
ULEWuTyYudY3OMKE9ZmrtHBCANzYF6S26pVdKc2nAs4QtY0EVT2tYo2sGq9s0XiA+3XntjI7mI3p
IFZM5RZnohWZLRlW6UihmCp1B7doOqxzJR3xDCbkhAc6DaQ28KMiR+an5tfae0ydbo/y/vjc8HTY
SrNDKSTViF9Q2zgYfdw9KIL2r5DxFTc2xYXUJbEReonngDRZ2KdiHNyjJ/rihJ8Sb1nS3ztZ3IZ5
YuGUSurndNC8beJlrm+BsBUpb20YvzadztaZ5mzL2MpCD9Rnd7iM1ZWgBrqHoRuMeFDdp6Wh3DRa
wb9wpvJn6hTFweqkja2X6H4zuLDHx4GEhQBhb2DQyDAT+iQc1h1YWa09rURHsAGy4CxfJYaj+CCV
q3bI2yHhb6VPJKtfBk2J114M3mnXVkiQ1JGwEu2zU47FjmQ6Wly5NTwqY1q8gQbAemaQB4zAp9Rt
hIpIOdOoCONmAABqcO0nh3t0pXSFvvFssGNVVacAw4Am6u0A1eeVl5KTlwAvPrpNfDTrqtkXRgvq
38z+yop4V3P50rVsxdzTWIlXSh6rYuxAbd6mx5SW2y5hkOQbNWcTW902JjGUYmIvjcyufQRSjPhV
LRrsUY8ezN58VKTsglGtjkoMMfg8doHBs6AG1DL2jkKNEnA2qACVOQe96h9qKJ6DBfNHbLhxUkxu
qdXiwAgC9ox9JawF0iuxP2mN85y0qgVEuFy1iXUXm53Y2a15SNLvGdYyBDjqHnRM8k5NcBPHCeNh
zcDNkpDxxVL0FzQCIbRNSLIHA3hAdCh+k9a7z1wyJR73gzdy9D91J9tSX3gr76BzIHZSNHgdVJlP
NA59qko8Da35WkzvFhR0fOKkO02fGJgGBV1/XXpsASENucfxYPLMvg+pA0exvZ0rnOwBhymC4lob
V4UCoq+8b6xVrejPhPX1MWemvpWSesmd44kyHOG37wmKGwCCxvG2VhQn6jTFPfbxwNlKsYpqi0vW
Yn4de90Km14c06xpblLGQL3Z5knh5xU4uJws90LWVzwktdOIsMhyx88qgjZ6m7ag7vZaLcolG/GO
cnP9MIyy0DEnov7Wdr0CneCyUENUtSbmroJ+EbLCbBt0V04F8YNsgUobuUkaCJjWaFer42ZVpqrF
9rYAKf64sYxy/KSoYxpVSru2B+09Uct13VROmNICtXLNfsWjGJWGsX8jRdZC2JZ42/88nXJkX8FR
UHyXV5MpU9LlQdbv7/L4Vs7/5v+HGZUpofE/Z1T+dyNk/ZYx5Fb/zM9MSZjpK3/mVEAw8DuYmkC1
YCBfB1g/Pvkzp4Ia5u9TGgMKpy7EddA+9zOngu+YOr4KqqA/Uy7I8f2VUzF+B2klkjQWmOg1DSX2
/yin8iGjgnyKOvEMIiA2DdOFWMUsCUfywpEe7fSDc8uRg6A+whDEFKC8WOqxmRUkfrE0S6yOJDZT
x2r1Q4qnGFMjwnY2tFcRKd3U1V5ZLPXN6lO/2Js+P8sV9dpI1MyAPenc+pW7bTPIESyh9C4ZsUwD
jMDQdXWseXW+NM3EUqpBOyBuD5Pss55/rbUEinRLNY5ZSvbHaECRoVsgpQZ9lDUbTe7UrB+QGAdf
lbutgFx1XRqkS6QRF6ygWISUMkjyQZOvzlPLrWpYRV6YB9K33aMc4jJAjgPHSCaMzdku+Vdy7zyZ
NznWz1TeD8eb6lKeZuDAhyvPTDk96IVwVZuHqtNdFNGzMexNGi8A1i+sD5jSdMuFwiZS5vbMvdtC
LzXNMswD7yoWGq312JCORmPplsehBQfB9UH9gGDNRzUxa0IyBOzy0Nj46HStS5TKBVLjYJtqowdK
7uRPRVfgUd6zfnprQ24k85lVA1jtdq26S1NSvzV1DpSTKDxhRaSzIG2mgCQ5QzNv6bw1SVeSlWZJ
haIVJEkei16OATMA4aYVHoch43r7SpijN3ft0HkbhLepFaU9PlwY3hwZNnmhM5F4wBMhro1T7ePw
GtGpJhJF5sFgKo2QnLsxU4Y0n+KaG3V0gj5WbpHD+FzGctxlQkFLR+0aC/WveVlq+hWeDdZ0gHKh
goDV/fgrbGRRbNliknVD0UIdEHbTk8fEHUCHNyQrkJ5EVinxolS3tB6XtvylSUCHCiZC9zxwmf7S
Y1k4aiyN0TqYaVkEBimHE9fuwQ8wRqZE+M4SM1RdtQo9O9mizGvcWk6/CPee6owfPW3iN4FsNoCA
aL+eF1ulqyeIKRrroEOQ75Pd8HgDQNZriy6QDdP1LhoyNT02w9islUoiORczbSP6TPnz3v9QRbm6
j3Gn4QpD4h9O7zgW7rfzYxbQSmF0bqHs7XSw14Pn9A+j1cXh9Y3165rDDBRycDSB10MzfgHug1bR
EHqj7KEqg/fjrnfKb6ihQ0zaVgOa0BIpfzeBu7Ejebhu+5eTajKNlzGgB5Dv/qWbvy+0tKvJqOxd
CPppmd/ZC4XzXw6pjwbmzfvDSGo11Ttlr+unfNi1gAN6W9VaOAqno+eDw1iAThhgxEHeFMRP3qxw
DdkaDaLAnreXraEFyEE/oIa8YrWegPc+TjfEzWh0feYuDOyDyZlvCLeuc5E63t65zapXTX9y0ydh
PF038sudNRvXrFjZpZS0LZ4Ae6J+7vibpW277HTdxIVxTMVWUPtaGiZvzkEA5l+RKiajB0UZg4S4
oHKDOgA5tUa7um7pgq99sDRbpE4kXNNHSg8NRL4LC3yv4L29buKCH0yRKMiQEfeBr3ga7FlcVLmt
DsbihB66sqHrFmo4bkpExIm9T+NyOAr6n1asgbWCGhTqWJDTcnAtzgkWkNtsZFVKmITORTV0r7Xt
3F0f1aWJOzcxc7W2JkNVVDBRDzX1DadGRstaQo/9EsJO48DPxxkEJk/LnRnRxripy7ihB2zUmLQ7
V1kPuM4l3IB7e7d6kK6xcPBdcj0HrKGAxmmOjgrsx9WCumelZyhqHYh+VAnS4OSkdCeGzvG/MX8/
7cxdXCu9xGnBnHmw03ptdihj0SFfEmqcYSv+9APElR6IEqCEPqc2V7O4RrIWRrRbFKcKNCoO2W2b
DGs395VqKRi7uFpn1maOnqepM7JiAPM9ydd6k++0GgqtqJkUnhHGiebXogyszlk49H7cvLODdoqf
/xrlLAbUBijGpTHs1vRereRaeE1Iql2Z+FTXP7UVJBaJ5WvaxCuNqlq6p9k7oZtcgOVA+dxNmYqv
XQuBTiKPpANTRxEldrrKvXQtDGvdFzLkLvE1ZUPq4W+cdOe/fVrBs8MBuf7KzTOVHsqOrjTEFJjC
sEc/g5W/XXe4S8fQuaWZY3eWtBtrgC/Q5lSr5U010m+kfiGM6r4CMqLr1uaQ3T9dD2g4pFlB7+A6
s0VpvUbpnNGgBxSfkKjbIIvhic/aCBGcoXk1WveR4EHaV5+UBHVjP85OYEP1aT2ExeiEDd8l7clO
hsBAYc11VhBUX9iAF64x6JL9/IGzmY+Thqq1ixxfA1Wglfp/SDuz3biRZYt+EQHOw2vNKpVky7bk
4YWQbZnzPPPr76IObrsqRRTR6ocDNI4BRWUyMjIyYsfeJJj3TS9TjB+HpWt5LlaiOQirLE8v3pTC
wQjk3lTyRvFPcRaXm8bQITXQ9eTm+pbPRa5zK8KOD63pu7XRcwyC56op7zqwUoN+TKBQv25odjkq
ukYknzwIxHw8jCsj4nHsnyL5i59nm1ZdGtOY+zb2PxZ4f1yeikAOx65sWUotxVBi0uEtH96Tx1h8
C1XWoJ+TVU34Kk1WD2MZjP7JVR68QTtkMuTQsOtf36zZpUALq0IQC822iJXMgjwFw+ASgnF9qX3K
xx9dfnyHDRP+GV4npqqIE6+qmcn0Y0z/FKZ3jPDA9bcPjWLhYnz7DOMyts+sCPulaSMrLPzg1Ksp
KN1aVzeV6fk3o4saHq2EO1PLv+VBt64847tR1QlgwfJfKvG9hpXzHyE4eW94mqurLHXsKwlshu5s
hj7QqFf3xsqWmJfKuqUizVzkpH7CC5zKhSO/bsxZjHYp7xcMaPmnm2RoV9MEsz3qa139sKQ6NHuC
zwwJ6Y7Rm03ZWlNIAgIlac8GdSEuqXH4l1ys/9vFM0NCCh9Or5a2t/1T5nyuaUj0NtLH2tHO84W7
edb7LV2TX9+qPA0vDzJ3mzONdvmnVHr0QmtbDo8SWkPX3X922xhRYTbE4gO9DuKffR+oQbWulMLg
FKp/LI8ucHjv2PFGr5cmy0VSxv/tG5yTvIypAlBLvlxO36QQ7FRBcGrBTRUDXfFkX3R36c8IeEma
HnoYalajs5HTXeUEq6UJgJndhKZfN2ARJiumFnJpPuriMLD6aaHOY609+ry/lkLJ3Lv/wobgGmop
12lvYAPE854s2DqaQ7DNd4D3DkNR7aX4t2SrC19w5kaxFYNYDD2DTdVBCC2NpXYkqoDmbbd7CAtj
o8jmvxw1mL4d1QQ8WzUdHV0XwRVdq6mlKk2Ck0uTiqexpEXbkomq6744u5IzK8J7sjGlsO61NDj5
Ls1riw41Vbp/b4IqFMM0Jv/j7rr0gqxo/V526uA02ndNymxhay5YmDlQPFSprpvUiemVCD7gtH7s
wf0dnEr5KVDvuj775Kt3mhwvFBbn/JnQoGpMmSgKJ/hyJYHmVj6auviz+aInn6Tukcn/hWRl5lFC
s+WvDeHMZBXdjzCG/Vn3x+boRVoB366e7ynpH5McnUmnih5kG5hYGC09v5bWJ+wj9GPAD1psV/ZH
p30Kje/1kgyzCOp+devz9QneMNoBQgGVGZyk20ox98bBHFYjmEigNtpLMoBoUfZ6g+5kDrxqaXPn
HOXc+LQBZ5G3VrWu8TstOEVNzKzktjC+BgkCodGv6y4/a4f0GYFrjZvYEnJ1PW/sCAUNkih0kJ47
qG+LL7L86R1GaPSAUiTDsC1hJ7NeN0N9uhQ166BHe7r81m285BKzKzkzIuyYmSowoY4WF+LgdFuj
Cj6ZpQpGpow0FNYQlnrPmqCapVQjq4qo72LBxJoUKoHVAmJTefnGrI8xjfNgUTZjJkmiQwDVpqG+
Fp2E8NrretGg8kLMUPwVGbUadoCEoD3vy1XSLHGEzIXZc2tC5FAG1y2aEGsjGoZfYSxalfGDwnih
vvKr2wYJoLx/7DLCrwVOi1GWQV/Y2dm4QhdN1nhAqJpYmkr7PHIVixiJ5lC2ReLJXDdDZ8NxCzFx
qThwCxUIGpRD1O0zN68WnHU2tJyZF0KLU6hKrUzbLYH1hb4M5NTjYhn2NZ8RKivTiOjUrrZUoBfC
Rx0T35bkppwCdA3A/UPRBnjpXZh8C7jenPKr9ahkN2RFG/ppC4+a6Uy/sa0w3sDEK50fkWqwkU2K
Yn4TnJ6GrAI9z8xe66OTemv12k6z3vFOs5F4+sfcdHDPQlkWhl6CBERwkvt4ZVgPcfkyhk/XT+Pc
Rzu3ITxePF3qLbXHRt4es+w5aB4GY2HX5o7huQkhUgKP8gukdDGx0dW7VAWhAgL/pVIW3H82T9Sh
WGIgdeLX1YX9cl2l1ewB/6+g0iIlBtj5ycvlTdhIvxs/P8npOM2m39RRtECuO2+aoUe8YsqCRNN5
F2tKNl3pSc44GhxbkEh1Tb+BBtbeW5D4rDy3KPfU95STVlbd3kwSb2GfZ+9d3jV0AtE1Vi1b2GiU
G4NCVmTWrz5k5pDtUHjcjK32OwnKO40PoEnjzVQ21HJ5G0v7tgNlJy+0mGYd6uxHCDU9GVSrF8BB
eyqUO4jaV3L1sNgsmz2HUE0jUDe9fMRCtW1UURvXGQlUqUSg0R3zxjC9dNvEo3ET5Q3TLcNwKxu5
/uv6aZl1ZZ2skNlWm4xduI/NTk+yFp7YU53H8lFp9X2oKCOsUCYaxp5hb4KiHxZqaPOfFflzHiFE
dfm1rHkWBpp8aMO4KQjrhnTXFI9Re0AXN6vrnSKB10RWwH5iSGMbKPGWqtK2/X590XMXmw4vvE3T
i/QerNFFGOqQhWrMdnqlhO6dVesb2lMLR3fWac5MCE5jh4Fplh1PFDl7GvMCaOOdBmvI9XXMes1f
I2LZq/R9WbV8jEhJ/o3sNIw+91azSqrgoQ1+xfGCr8ylVTinbdgQQ09cc5fbNrquXg5OzpqS4wiy
PI6PVJv9ZOHWnXVJhuI0GVAGMhBC0GsRHChcE5fsEWwExrW2jB+xkTJgtHzuZpcE34QJK+lUN1Qv
l6TEYTnEPbbC3l4Hgbqusz/5JJXZLYWyWYeweBKrfDBCunDQnC7O67wilGdxterd3z7ToM3ONm7H
2F3fOHa+ptkWAE3XzbVLhmWm7a4bfl93mKUfMf372cGDlpDLROHgheGzXwbrOjgC4r5uY9YpqRJN
RQAAeK8yTWc2Ejv3ZSAckACQnhkQGIcKWNiP0Gha+c4dF6zNr+ivNcFZPDcajaLknW4wU8j4QQK1
bO4/XF/SbLw4W5KYUqR6HAUx365Wi7Xp/vDyd53kMwtCRLIm9H5WsWlpswY07iXu1vfHXdz2a+ep
HL2F6PT6Ed7kfWf2hPDU9FZY9m5LjS10Id76EEF9ElYfsuBmagU1wTHvYbQz5E+hkewNrdlMiFsP
j4yWID8LeysGlchUQIonrNyPQ+SNHlx3iU1x1kWQtwJmA8CKutSl04+j5PhWPBAlg+YPyOzxZjSN
b2kPj+N1N5kNJmeGhNNVdAVgcZNN7aNnJYEaJSWlZgzcbavVf7MkeD26yDoYOSylIyynanakdQPM
YZNmz9cNzX6dsyUJnm+naZNrdUfAGFF9DcyXKCiXfH/p+wi+P+hJl5UNNkbrMWFwNq1+KlGyvb6Q
JSOCw4MRtjRfxs1sPkrk/gFxsJjEzX9/w6F6TF7xhsZJDvUq0XscLVHifZeOMAz8GeT+VAcLjja/
mL+GhM+veanv6B47ZhXmbaK9MP27lUp7wclm72Gb3BvoLBzTr1ncWSDP687KBpXku/cMCxSXZjE/
zAQ6QyHbMg6UW9tTltTU51f216ZwVrO4AD5qYLNpn2VlYAL0JUeT+7ovzN5QoByBOCNurogBIZc9
n5f9yKsi+xPF6MYxnxe8tDIMfbs+lW+uW5tbEhQBr9B303REci+Gy5nQ7R1q/X4q74tM0je5CzN9
FWXxgimRDfm1TkkDUTcAk1JcFtFwVROVjQ4mEkjSeKigCLO5tKJ4W/nMoud7p95Nj0h06rZRO2ys
8cGwms91ox8ZEFpHksyUZL3E6DV3KgwdNDmoLKDkhnC8VbtFRz7iNwVBvyGVU9I/aS2hdLm9vs9z
ocoA422AWp/wjMKh6MIhryFtCk+x92nw/tAEu/7357zm/O8LoTD0XSpPUhKeshRkj7nSYCCKvK/5
0KxLLsh0STR29gUOtht4pqLIdAoEg35k6IywTgtymPQvEXzajZGprcI+sw5erkbw2TlMAJuRs8q9
Pvk2OGB0ry96znknfBvQMMqOcFVd3p0aRISZYbJoxXtSPXlNK0wyn67bmPtwpm0oyHQZ2sT9cmkj
SscGJdcsPKF78Vjx2l8BD1sSapwLZoRk1KSoI8hgiy+NFEExDNmQhqeiSvV1I/st4mqdv2nz/FeV
t1zW0Pi/I87QkoVojuYsZUTBI6kLl4OcDeFpkO+86rE1YB3Ivituwkj83YAa6vV9nL6FmNNZE3Jb
5TUDW5XwPAtihx6F34QnO7Secm2lNt9D9dCnh6B3Pyr5R96fC94xa5FpMagMgJDyVLvc1EyTg1iK
zfDUVltynsxOebcM9TrTPUqmTCsX/bfCsHfX1ylSKRHloDhn8oGJA3qZNLUuzVZGnjCt7dGo+GXt
YCEpklslXjc/3RcqNL2ydvrTRNPZrZlEaGFiNtFDBt7iLZbj33ouP4Q3nQN6m/0Wy1MdYMI4Rwfp
5AynRt4o6YIDzZSGMcB4DAPhKs9uUV1r8OVCs1RwklHHk4PR/PHAoNxHcyhAUj92/cuQ5usODhZN
cu+HZolX/m3IwzydSSSgaB8i/Xa50UVumYM/Vv6Ju2bFJDYKJOaqhVuj3tb6d/qKCx789pAyAkYe
QfxWKEeLnHixlTMB2ST+iTHjddD+qPJ+3Xa/YnPnJ+H+uhfN2TIYObKmbjhTacJpiXMp8TMPGIjW
5ls1+Tx+kawRKPQqWdLJfRtDkZGD1ZO8hW0EoXy5i07jW36UkQBI+h8kY9ApOypRsOAqb48i7HpE
TwATk/q3GN8SpZaQHaEUVAe0R5LHoofV5Hkwn6X0Rf3qdAsv4hnPwByMSRPWeuorX66pTNTeqGCn
OmVdTFdE2mjuV53B4ujGzhwSqt/XP9bcQbiwp17ak0CkBCncFCfFjHc548ptbtzEvrW3lfYJQkBI
+P+M9Q/pJg7q1VJFY6ZeOW3u39UKl0fp231no4lzknzpYEHqlY3uzrXyYxUcQ+QBHebZq9w+uF29
U2FxzFtjzRtg4XTMJAT8jKlBxKySrPOVLzeBAR0b8kveMKbT36i1utblH0P4xAjzvooRgtS+D+il
ttrS3TnjwBx/B7Q29VLySsGum8iK52QxYc6EnMKBLbVs6HMvufBMUQIYPWDHaSDhFUZyuT7KtYEx
xKDdx+G3vPflTe4Pa3hG1zBLroZk9WjcmPuxPaTSKlvSSJ8JB4RZiu8WGG4cWsxS2fFi8AKqVtYv
pa9WcfilLF+Yqg7DXwu+PEWWy3uab3hmSsipbAuuFanDVNE9h8NLZtwHSbYyvU/WCKvE0bV3WfZ1
weZ0Pq7YFKss+mgpOc0UzissUNW9bxyC7DZ097DflJ98Q4dlinEzKmj7BcNzi6WFRNWFoiePbGFf
Pbdku3uOjg8DRPsiF8/RSyVray9q1nb9RYfoKpGWHvtTRBVXazL6y6dkQpLHwKUjuZlSNgNyvqe+
3E6FXdd2GMgdERlYCIMzWDVwkGeWhNzVjqpR9aY6WjI2a6YYpeprWqpbnlyaw8zsOpPi9SDf+rn/
UVWTve98cof+XwN8+A0TTolJFM7pa9g4e6f30FaH8rTaVkIyuJQ6JBktACKmFmYLt8zsEeVNQgYG
vAIvFnZ2cKvRT5QhYJQ2W+tafYjzD15CKxeiHT1a6faTguJBbMGypSfbqUuoxtHJD8dtqbqP131r
5spj3X9/i7D3ptqGWpPRl4O8aZWnzsp1niOrXJmmtRobmLqhg1+sbs/FwnOj07+fbbbDWNb0nCcG
K9GjkyMqlFo7u3t5x9LgLGQuCxgdr5ZLK1VuGgyROBzXUTmU9l5rnE2N1L2tly+hDZu+tg4b+XDd
6Ew2y9OI9g6TX6SaYscXkp3GlH2F2kvMmESb69I60bR/qUo1Je8XVoTLREWU2S46ii+qFO9rXz00
xYPWUXhYwgHMBQFeXwoDTVAs00y63MOkN9rGbSAjTimkbYHz5fvMsP7oHMCdUnn2Qpd4dvdIlvXp
LWBS77k0V4+G3RWZzhTVAEJmfBiyZnP9+8wuaJo8JD2GdVssJEVNBZJSIoYnhQNr0p0iZ1vJOy5W
F+fyDHXqhv2/IWHnmkFKx34ypPjGyUr8bYF+Tti3N3QJNkrVmijcwSbphL8oO3z/b4sU3KPXDK+s
p3vYHA/huCvijzlk4oo3LCRTs5+LdxUlqYkc1BDs2DmzgjAn+SfyKXTKHrRk3F5fyUyKzPQGk4jT
48nkUXPpEFpcdjGjIkw+qOmGJqlLpmwq3+I62OW0m61+4aqdi0xMiyCRC4Yec0Jk0uIi4v9mciCs
twNS8uMBmrPrS1oyITjGIEEAxBgntNv1p7DtN5UXr9RhaRR91s/PFiJ8Gs1IZVXKmATo/mQswbIe
GOcY8+fra5n+ipgjnG+XkJjkJLswDrCWXoVOMy62RX8b9fd92KzzcMEVllYkuAKE0zSEgZWfmhwC
yHA4Zv5LX3xVw/LT9UXNGoJHhSormCH59Rl1djs1kdQqNeSfp0IeNnrxpAzaXSVvem9JEHLWE84M
CRcUMK7S8KbnZqXk5ObK9AJ0jB9uWhgLt9Lsd2I+FRiUM02KTgf5bEklrHlOGvGd4AVYD9oxokv4
BcGgZAXB2p/r2zd7ZM9sCUdIATjajyG4ENT7xg9d6sr7ZLA/1JbyUsLUtU+T4acpw+t63ezsV4P1
BtELElZGDi6XqFRqovsNIARLrjO415kVyVL3c6rDAFv4Yb9wimdDn0M5AkHZCfMjrLJCr1kvDMzF
FrVWI4u47BnhW/D5OQ+hcm3zVoUeiP+4XNRYurmV5/H/oH6c4Vp7WI7iS0aEgxVEdtLaE8omUo41
xLSZc2dmS/wgc/s1DU5Q6aOEQ2J0uRI3L8DmO9Q6KksrPistnK2GFGZLaNs5Rz83I3yW0Gv0ekh7
bl3HyQ5pWGhg7eIfcRkmuzh2QlDFygAZFyqEvdOYW1eN5E3rSv4mNU1z246wc3axqR0UP3BIfkfv
CHXM4ujKlMeIcfP8ZwrO2nuq+T8QUAnbl9mBGqi3PXyQnWYcbP3YuLeaE6157dWLNa75rw1oS9Mt
mxExYYcUSIAdJ6CjVW0ZtLaHXfp4/SDOf4K/BoS1aQZENsFIlYmE5xaIob0t9XRrGW1Cecf/oI/B
wsmfTbWm/NRGtfO10nvpW91Ay84byIaNPHe2eSNlm6STYX+F9XEboQGxKhovXac2j7q8zvLvpZEt
VZlnt5VIQMYHZx5R4fI3xGFnNr6rcjspP5iddMJy5Uc/r+/sXGSlWs94JiBjyzaEM5R6MIGobkQT
0NrI6hENj43Eyz/9AWLBqxba46/Vxzc+emZNdBQnM+VUI/YEqryz3LU8DGTKwwNNoG1b5zup/JFo
A0lZs7XV6ub6UmfDBXrMGtVYuA1sYamOEuR+qhOT0nZf2mtIqP/b3xcW57YDZ0Pi7/duslHUbDUG
S8nxFDbf7N/ZEgSPkPpRGqyOG0IvoAhUg52q3FZDcwiR8NWeDEQNlpLX2ZN3ZnH697NbvjageNRG
FhXqv+JeshGshU86gj5q8F9CZXd9C2c9/syacDclsqTaHZIYpxDw8liUH6ZLo/HKdxRmuNMRC1Co
ynC0LhflKnYrh6/TC9FzEf4Mw+N7JkIm3YCpCAUGjoaY2MaInagpB0LW6G9owX1J7U1RfemXWCdm
jxQvJQDhUxmYxOFyLQ0witiXKXTFIYS5WbYOky+jCWC3Nlexpa9srYNOwadEETT7IYG+899/Mgp5
dG81Ar8uC59MMQs9QC6JQKn+iUE60URpMH3dyEyU4q/zqcha6KuJ/S5NS+BuzTBStrTUtGqVN/sY
YnaKFpsMTesuXYgVMwcNg7zVQKNwA4hJErCRwXIVutJA4NahG37QZW5UFRrBwXkyjODYyMfaWmrb
TsdXON4gXZnKB1CvQlUnRKhSMmFzNYvwVDrU7kxT+lIF0V0tFe4mhRb73385giGQdgCh8IcYQmEk
06M+1vvoFZcR06LMlbvOfrj+4WbCx4UN9dI7jTBlCMANw1NNgxIh6GNkDSu/v+uapxKBhuvGZr1k
6lPAlkYzROxSwk+raprXhid9fO3jJ9DEG7q/U1053mVy9ywVXsb73ny5bncmaoGn/WtX+Gy1bsdw
tufhCb5s3buT7edqiVBkzgTLMgklFC7evEQy3liyg+D0yensO8+tb6mYt/0CFHr6naL7QRA6iWlN
pUZZWEdlto3seBixVFA6L5m1NEE+598MFzDwihg6hOdCrOqVymBA0gpPU5YIRUOwM0Fgpu6n699j
zunOzQi3ZKWlLg830A9BDH1NvFPtG/UQlMlGD79dtzTnceeWhNuRsluhlQMLsoad1EISHMvyt94o
aPYpK4STY+3fjzTq0MP93cLpF53dx6lOF0GW9fCkOc+GdWcG27bwVwza/LeFTfHxzIxjDXVFthie
POUG2Y8V+e9pKvZETxH0yHFeLsTbWf/+uyyxVRK2moGGhIZ/j3RpLRc1ronjsUn+XF/X3HXJ/tFI
ZHCJcpwIxBsjw4lSyQUZk4LQspLvyFoi+1Heh1n9q2h3rfxSvhg+JcExg1L/uvVZdwHZAAYVOjRA
B5e7Wrpt6VaaBFLNBuRX5enGVFLG8EOo5i2G1UY4nH79N5NCPQiiLXfsEkx2ivIhbshFUsgZQ5g8
qupGj/Ot72XviPkTfuP/VymEEfg607xVo+gUmSG8+qa3KxMtg01akValHx+Sro0WTM66D9kcKRfo
IxDDlxubjxDGlhOIWI23DW32kPJkZS40EmaNMIM9DUdBLCdyo/VSlTOoQhtGb57BbPrN42LbctZB
eHZO808QJpnC6Y5zP4xbmRdfgC5NNDBcJv90c16dwBrVg+ouZADzp+HMnnDMI1SR0rTAXh6ED17R
rcb8aI93SrBr1QrKeHWVaDdR/D1fel/P7uVfw+JYnSMVMkQOGgVr5SbVmVE07S3N/4/XnX/eCtDC
6crkvAnbadeJWwW9CfaGeriVHUvElBp9f93I3K0JVaM8TSpxdYqD89D3WUGdYASl11NUxret7j5f
NzG3jglQR7EV2hMYtC/d21T9jqoLJiIw8kP6rDuPsPK9wwYESswU8IvfNKtTI8kaA6p5uhRHiUm/
ZChRGyq2163MZQDgjf+xolyuxPZauGpMjzhfPqTauO1rmOWSoyEZCxfK66igmMycWxJirdnHLmzj
NRclqjk3Umwkqx4g2aFu/H5bBjlyY1ptPcgSjIqFniC8qMYPVdd9tzoLOTNv7PeZ4k2SVXa28Yeg
WMljMyKlK0OrXNpfbdNjzD5jsr7SYLcvwoD5viD291ZfN6ca6D7UnTyEWq9aYlmZdQfy2wkmT79f
xIy4uQYVDfVntLnDtRXXWzL3wFq6rF7RQ292kPFa3q+MOIP9u/xWCNPzHvOAORvxDrjz0dGGta2j
O55W5nZQw0c1/qzqE+oZlFf54JvhkxIW69b8qKU/m9DfjF12g94YvMiJ/QCofierj56kro10W8f3
qOjRPzSD3XUPm4HaA2kniYWkmFY5OcXlz05CGCZkn2zczG/DLnkIWtC9Y3Zj+OFGHkaUaf27OgEj
nha+s2p9aJSzZl9UyH9awUa1tOMQqFu3GOSFaDv72c5+mHCKI80M88oAsm02/boP0as5Vrp7uL78
JSPTv58nbn3oaDGCfqcqRs7tqehfUnuhejIb8JhMBq090RWJA5NFMRT4S0lu2H8KnXAtywvhbjZI
nBkQ1uBXRTVIAQa6eAP1Ke6lqp8j7+n6Ts29EtQzK9OvONupLGyztAp5bPf2Tdoeu/4Ip0OMotqC
Q87d6ed2hDdCqdgOzkQgUo17S9r0k1aUtiklh77Bbzzw+qrmCtfggSEGAHbEARC/TjPayB4UeBmp
kKaO685ifrZPADx9qpDFKZVbHvno3S7YnYLBm2BxZlb4ZpkrKajMUDAp/a0NjaVOQrvKx36t+Naq
QszL7FHEQwRwwe7sVzyzK3zFAJnHOJqKGJr7QQb5xMIUBuIMZ1uSUV/f21lbTFhPQzwT/aNweQ0V
kyaDwZdsrWNcR+4qUpjKj9tD5QYUfJfof6cte7OlZ+aEGyy0DOQHSxzU8Z7pK0E08JglC7f+bAbI
IATUhmA70XoQgryDDJSR9cwmqG5vrpXcR35urYzPLhPXCSwuXr3PE+kJ0ty0DB/fs5//2BbvsXQs
krbvsN3FH92hOtR6tQYJtMrtFyd4T7XrbKGvQttnx91vpTLLLWY+JF5BPEvibN8Am31IozF5By4X
jQ64lKaJJzqtwhWkK35WZh2FqNvcKNZqDuMwWo3v2LwzG8JtMjawCyadQqBHbamu7fWQPJtluEEJ
c0W777qxWVc8Mzb9+9nmcRyGDCLt8JRY+VdFCrauYf2WHXNz3cx88GL6GU4VWAZQAL60YzaFV/sl
I2m5hn67EX9A2us2T45tlt0gQXafp8fcWSc/F8xOB/fNSbMnwreJQhQ4w6XZvpFTKxkxW7joKaEs
meSPcGzVqFTm8UprEVulBbgfiyXM3exVSpeAAjPvSsbJLg1LJDDhiMoGqgqJtbaCvr/pXLnaX1/f
khVheS5KkVWpTlbgq11LVj5s3Ijwdd3KrI+ABJloUtEuEDuJoD6buC+5eCw4a5utM5FNjwu9+On7
v/lQZzYEP9QLphuSnkeKFvrqVJs3kBWTueQGHyFNVfmPSxLcsabOZpoVS9Lco909K5soWhp5nV8R
RFp0mqnumkJ2ECH86msDJmTkTLQ/BkRl9ZcwTd7hAlMhHjwdPW3LFhxtMHX0vjrukrgegSrcDL6+
/fef/9yC4GSqF2qRqla8FqxfWQXiwf1QFIvZzZwrgxgFRQVGBu5l4bqSgl6KpY7rvqyOTCL33sYO
ow2t3Y3Oa2xY9/Gdkhwkudyl3qckvU/dcsEn5pIARtxoDkFDClHO9AvPQuEQjS0qL3wwHQeHwR7+
sUbfNqaxSQNzM6II+I59PbMnunzs1E6dYE9K7Btm19dak99J2bDwbpgbpWF0T9OZUoZziJ7X5boK
Lw7ipOfh0LT5prTunG5Y5egcgsJUrBYiRd9eJbzftHQj9dCTf2mWtAemlYiH+/wXCD4aoCLXpgO/
wE6fmtLYjYmztsMlTt5ZDzpbp+CnWRREvVVjxTR2gYV48sK9vLQK4e5HG68EZjDtY3nP9D93ZCel
Cz44vwYwadBmGBQ5BB9s1RblyZonru1qP33PtNd+royb9zjeXyOC44WwMqRIE74WhIJCPdrGr9pN
F9xufrf+GhEibGRUqdaNU44b5AfXszd5rxwWEeezVl5RYtAzwocwPdHOzqzdFmFmy+R+mVnA+tFA
oVe1kFuOkpTsru/abHhgqH4S7gC+bgvHKFeyfPBCTPmKubW+SUO06rOD0Xlb/V17B+AKZ57k+URK
39jPDMpa49Sjltep92OCnVfJQtF77n6aUF3/b0Q4lJpeG1xeZH6OGpgrZexQm+sGa6fpSQo3mLaE
yJ3dP0SSIfZVgT6JDGCBZZfIgcm4tikpFCDrcM0EDXqoSlQixKnTMgm6ZKEyMze4rDEp/Y9V4VrR
/SQf65L201iVR7Ua16Yi7wcFaqss3Y6tc2MN7UZ91ltn1wfOb6ZD7i3DO5nhxzEKj5r0MKGVJkaZ
684067fMwNJvAH+qiPVroACFOjo2aTfVt1exYW9t0zH9b1aExRtxVQ1G4XCjybz16JQ6j+awVCWf
9SNwBq/alIzBCkY6L5UTMt3olKkoUGfPrgz1mjOsx3bBYef37P8NIVp2edbdjCGhQZLC11p51OpH
2arRSc/eEx3/WQ+wlEszPCJl5MlZT+70G9VzDqYebeJFiuG54tEEz/jftjFsfmlGr0JpAr7AjuCq
OxqyHxmbd8Jg3dR308AgMx/vuL6glYTvAbYCRlmF6ytxo1CWIs67L9/3nxREu9/j1OcWhMsr7zq/
GGXClt999seXob1rgqXa9ZwTMD0yCeYxjkO793Lb1CyPbMiuSUbT8OBn+oE5a7R3F3xg7uOAzWT+
mMR9Ine4tIKCb+U1URidgmpYwUO9jUAA0M1QpHQtFeMqDBc+zlxwNCYVy2kW1zL0adln95jGtK82
unXE/E8TrFIUo397Y4BGd9Ha69xBWkB1lfdEZHBd6JFM4zhwlV8adfvYsdsuiU66/i1Pd1yme+nJ
8NdBme+vB6LZ/TyzJHiG0aVln3pldHLbbjfNoPrurrRb6CuIeU7ReQcZUfL32OT5xSQaA/oiCU5b
dGqmjV10agow0zRms31ea/HN6ERoUkW9vOXxvg2i0Fyoos/WOqCt+ceyEBGHzO3zFHrR01AOjPgi
l140w13TKEgLrkGH+SsVJacy/Amye+G+mzseJCdTDRNiKIaeLz9pGjMaq2ZGhMpB9LVPh+FGH6Jv
wWB6C8F4dpHM3TkQrSBJDBby0tJQ+HYWB2SqWpdvM5eU21+3UbYzflaaedvmT0nnbCr79/WPOndO
zqyKFBLq4NptopO6ZsqdX9+muQTS+HPvHQFqLmzl3L12bkq4B5JOhQxz6iIkQEYqIG1FeVcFHk3B
x+trehU7FZ9H55aEq0BiTXI0obPKbJUG8bYIABj1yQsAt8ilQmW1u0iOV/pAH9LtvjXJPuyPWfc8
Zu19t3RUp6P45seAo4H2AH4VYA+X37WxvMTyM0q3Zom0OVySSb67vt45H0Vp5B8LwsYGtMYgk8EC
nKObJrK2bOziw2DeP5kDpE1IrvlmiEl2LXLKoCeH9o19zER6JjNMRM7pupsOIYFM69VV3TS3Urw0
sj3rpGemhUNol0qQuSMvhTLeKcRvr185SQl5fL3uzEVqnumDvP1gfxcq3FW2lRik8uTVvvMIfnVt
esGuriK0C1V5X+n7rofQ0pE/1KG0EGFnXYVhSzqnGiokbwDCbmipnjFBu7xn2/3jeQsHY/YEnv19
IcTkAao0UQkiDv2bvCw/WOne8LMt7NALC5k3NElZgvak8y5chOEQOX08UHHX1WzbxyOCdcp+THcS
ePzrvj/rGmRgMEZNbHEi3sPQQzLLCX1XJ/J6auSivr0NKntbaMamXBoBmT1pZ9YER/S1KqJByQZK
zp1rg/yAS9/8cX1Fb/gJILGGF4Vdoyli81wV/M+xA81T7MK+l4qDWQcHqdia7qd4+MQQceDs0SVJ
wz+uti5h+HjRm/UQLQTqNwUu8RdMm36WPBUkaLE2lPa9H//IrF1VNTdtoKwkY2cZq7Z7GI37ZnzJ
42iVZDf9EjPkq8rd+QHEPIOfPBRgbZqm+IVdtpu4lbK2tu/VQF1ppbprkvEzk5JAIT6H2gfVvVO9
rRf+qpM/hvYl7G6GX6NXrYx4U4Xf5YDSZr5StGpV0mcsOlJ/9Xf9PYFWervwpUQ3f/2hlAApLDk0
QwzhPDW0UFuvqOx71/lGMw7G200LdtZOyztjSECARCsnvE3qtf9Rc9J17h4GhB7qDhrohXRXjByv
v4TXL7PaDCq+IVtoPSUJcnSW77txXFnpMV5kX5kukTcfhbjPRBCZ7RtpQt/TstysDPu+RvrW2jgH
qX5QjLuwWkfFQ27qq6K6DcqFJoZ43v63rL9GBUfsmqAq3FS37530i+H87EwXSdfdwlecgtGblZHg
afQgeaDo096eeTte0uZ2Jtn3nhwWGzNxxpWe6MXOLLPHtHatNbwL4a4nKWaOuw8PdlWWd3LY2A+m
JVHoyZ0l1JIY1F6Xjf9PeraWroiVnUotUsiw+Jq1dKcUe/ejZNzG8CUssZSLr4jJDvVyCPsp0pBf
C9tb1UWoQ8lo30dJtQIItFGj26Y6QEPijd7K775c3+m5r3luTnhqDkoG90qp2fd2cFerz3lwZwRL
4/1LSxKOpCMhNDAOLOn/OLuuHclxJftFBOTNK6X0lcry7kXo7qoW5R1lv36PCrv3ZjK1KcwAMxhg
CsgQXTAYceIc9MBzUBJZxVquwCNYrsy7qHVvD2ju/IOcB1UA4A3RjSzsHEvhSdxoue2lLQHC4Vmd
WkPIO3TmljzyFLGKe/TckuASta5Aj3OW2V6tFG+J/hgOCc0qbVP7a7OrD+ArM8tfdUOhiApe0tuj
vAqnf7aJPrVaAwQOOLgQX8q5CqHcsLQ9ZaONmzi+T8zHzG8cVTnFMng7y53ePHJ7X6jPJIBk+Ysa
x7TZ3v6KubmeHBxe88BSoep9eUq1QVPDWq9tr+1ihzeBM+oZ1D7xfLAWKvhzp89Ai5Y+hS94hwmW
slwJeQTCbW8ivUDqckiBGoh2oO63utfbg5o7Ef81dZWXziIe9XYb+F4q7YGMoUBCmrW1tH7XZwJ+
TUHeG71SBjTzhGOe+2E0kAibJ0yeIJmXJY7evMs1Ws1DyBjvEovK4a5LP00C1qVyZftbv9nkmGUQ
xS2Ea9erCCUWJGkl/AcXiQi5SjpgMFsDJyYppI9cnkR9wc5DzG6dqLW0NHAxkseNDBeKBB1CakDe
RdI3qZRDDsVsrKSsOxwgq2ozmlvdxMYJC2cAypJqS0Wz6yWFTTwepJ9+OEWUXuxitK31PPI9zksa
8HWjMKc73d42V2+xn4GdGRHi65orgxRazPfq5G8UPdrrLKPDZjR21fiHqJKb4T122+TMHoLExJT6
AWbhmj8PbC2D5EMMzWPqY6T4H3loeFWgbVr2lWR3NVlweHOzOK0ahCbQf4yqzeVpb7WCAY8Y2Z6U
7KG+uwdXaBktBBezs3huRHCqtWqOVqUy29P0ZiWrULXY1qZNwUq4yaKH3n4z/K+BFAtn/gpHNi2e
gvvCmMiIkZ4UFg/tiVYNlK3tdZmXK9Het0tXbUNa7Zomp5W57hi6roMQ+KSFC3jmaXFpWphWGyhv
2yKV7VVxTvv45QFPdnnbu6yhfrTJXOvL5gm12rUJWiZ9yfp1CDlZR3+vDsAxonvBD5laiNCeTfMt
Zw3Nuu+oWddHVdlmI26z0ZElR8Wbt4Zm7u3NqypX16eNOApEIRpa93FTT38/C/EMveAVuDdtj4f0
8Zk5Ms2dP6aDTl+XOChu0nZLVgH9BN290zuhs6ke3eFgux3NnGHrxEs5hrnTdP49whaIylRtg+l7
jBe9AyQicBSwX3QpniofWr5wcyqzo0dSGipB6IhDnHs5+iCsm9ywOA6T1a38EA+iUN+U0nvn2+uq
Yo5VrX0Nzkq2nMoHSH2gvXo0+xHPO712htCVmi/ARMyEAKIPxMrGDO9vL9C07y7DG6wPjiIeUpNM
uMhzhpJqHBhstD3QgNwzwgIKvarH2zaur3XYQD4CTRtoZ7/iNMjlhNfdgMvATiRalwQDfazzlpZ4
2y5lja+qpNMZR/cT8AbI+Fkg6L2ccqgC5VYQ6DhoNVS20bhT4ablSJrntFYyGjUFVclJgngk6SlR
escyQG4/PrA+XtWWCRLC5wDqRLdnYObyRW4ZbHyoiqAHXSTH05KKAdvk4zpU14Z+8FvfkZVdWPOF
47ZkRzjnjVLVYykhgCKNhgxvtrWZstfwdFsq8iwZmo7Z2bEOK6bLEeDh3tCvdJtykFMyJ124Jmb3
5tmsCeFgKOdpYQPP7Blt/MticUh7Xr/cXpnZq+hsacQ0vIYnSzwWGAm08PzOsbVNgH3z8seM3KC5
B4jgtj1lcjBXB86aMLfYEVOT3uXM6WYkJfKQ+l5MyZPk2JQ9ozbr1PR511NONWpuwIlA78y913pP
X7etz51ENEPgNBpAT4Hs+dI4Oum1oNRh3ITgUYbYDxU6NXuTaoWyf1rjng7iuS3B0/IavF5tmiEc
6zam9lmmD6W+ULmZc+YI9ybSKzgwFG8uhxPWfuIDd+Z7rH8yFWi/Ab3fH3x1J6t7Y2nlpt0mLpwO
tC8am5EkAzrg0phRZjIrxhpM6al0h+AETU2mC0rnbyNEe6yl3Cndn2pJ+GvBqIjU4SEPC2MofK8Z
ULUt2dawD5WEl5+dUT6i7D2YtsMUthR0ztqFRhvg9qhOg+XwcrDQxSryuKp8DxqVe17ggNNxcHzZ
rff60vtyLuIErOU/toRLcurETSMJExtkf4v42dK+SrLgSWZP+bmNyZ+d+Su0WAZEizAe3ahpuld2
1UpTaT98RvER9LJ5sNQXccU5/rP9z0YluGIVfXt2rsCi4fenlh81cLdLaIGHNmuQPxbIKUsHyFfd
9V26Bu55IfKYSSTj9AGwDXwShNgh5nI54Dw1inFIYd6KoqmDbTWkvwv5lxo82MUT0Kc2V6mk0iTe
x4PqZv/ixj+z/rMcZ9M9jlEydAX3vQ74qBKQL703t2bnpke8kxfuvLlbAlQD+EcF7ABNdZcjjUCy
FcsBnn0JcyPTZZvbLnP2JEDnR58kRqCnIhQRBzgCvdHhxkJEc47Ja7cPddPJW3/Ttqv+naOfR5cX
jM4kfrB800//CEMgarocVN2V0PRLZeyeEIIY6QZZ3phs+9FNAI7XyndurQugG4JPENYbazA1l+Vb
A2mF22O/Iqj+2cRnnyFsYknKzRgav7isGhX4JNoYT2OxClbDWt/0bpk7qOnKCkEG2u3Jwh6ac+7o
YDKQrNCsKZITpsAKwRIdwrkPEbhIP0AMRlVw6qA7Gkq5OTplF8Y6dzGDqBAUZlMsDGKbS3sRM7Oo
A5rU0yXD6Y30pdV2oMrVfMPJszsO/kjQu6HXPV4VqMVI2i5r/sV1hjc+QkT07U9URZdfkBUDYE0j
nL2hS44cre1iUxgHv3QV5c5aouKb87rnxoS700InRKfLk7HxpevQG3vkAVuaUwVfLN6Z50amv5/5
AVDODEFK4NoRbvjQV4yVz0RtvEp+C6FjIwMsk7JCok03rsEzkfXJ0jmaW1RsHswn2n8AeBXcoN+o
dcJS0/ci5C4TzRmD0tXxvMrBiOenB96um+S3VRyz0N6Cqcwkr7d31Zz3OLMv3t8R8hCymRi+R6pV
UuOx2SePJTjd14XePkl4/IdLsOvZM2tpFo4OWJ5tPDsv53yQooi0io1z0xmbNPZ05c9YvVX+QcqT
jQ9dm7w13ThxZP67DKIVxJ+Phr2YuZ6siCuPGBehA0QRkAEQHJjCJV5IfUrgNvuVPTyxZmcBbTZY
UH7mhZP3LTVrNLWrkZfn8tPtWf9pCBSsoyYAMCroQ1UQagt3AvjZyho+nXig1/k1rvs12CmQbsEC
lI7txRtrF66gG6B068wpt0vvlrloA3xtYA9CvxTABFdtfE1XV7GikWnbG0nssnCdao/tKj7ZMW3B
vbnwiP9/DGq4AZFmgfiN4Ct7MPYncaIQrzYlh5dkJbcUOK0WxSXL35jFX8nuHHXxdM0sMsb5X7PC
K1BOQdeP1SNenjz18r3SxOsYnbykojJUd0jvIG6t3YqFS35l8oRX6wsSCPDeAHB8lcwGRyn654sG
d74SIqdC046CgZtbFEh2fmg0hRpL8Otpw16bBM8l6PiAEBCfTiGOWm9VMDmQktpg0EcTlBrohyZn
u9u7d+biA0EMmp0mfit0vQpOk+dNZ0QEl26bWzsLWQorPKSptYXAiSOrb2a3WKaY8VKwiC5QGZBN
JO2FdSyivga2QoGbJiiDoLA0dCvm097YhVbqjP6DIrfOQJKVjDb3xqwcE5T7GjI4iKrdSHnPgicl
eFGXIoC5GHqiNkUWGsxvEyv1pStjgR4qahYRr03YB3a1nuHfu0iF48KbT84oaCU3Qb1R0m5V5kvK
otOhEVf83LqwDrocBE3dMOKZ/piCiSijne4ZBS1bHWR+S1jt2VVHdyWScWjxNH6gGWdXZZhUSmeV
Baz164hF2NZpsx3UEGEGqHlBukORlV96Fs3EzmDjnfrtwOWDhJnw9Mp4QxqsJwHeYwhBYAAhwhNk
HnP/lPmgkW5sSEAibwaS4Do/KOUpSw95v3BFzg4c/IUIq9CJYoplGzXuEugsZMTrjY1V8rVZhq6J
kjFOc6V+KSgZ3T5eM4EPuhgtAGknmA+6Ui43VW2MJOmR8fGK2JBcu0ABJyToomjNfJH3cs5PQbjG
ABYL5xhppktbvJf8IA5q2EKuwsFe3hIm9TsAp4BVSfJjYIMKIE5yfd/lUCtCO87SRTw7uxM8C28I
HHExHUoGlgwNk4jnY+faCbIGDCWrQ2MP4J/6YMnb7cmdvYlgDYzdCgh6UPa8HPGIjjwwy2I16/Tg
o+ux/gtFcp3rpwzdeXpM8fyWlqqNcwf13KawojFojxpVhk0gE40RVMerpqV98nuJiWpuLkF7BT+E
ABwrKoytq9qWE90mXmX4H1mZr4tEi9xqpMlnHTkaDxZKtnP2UAxH5R1vz0nb6nIu81hWmjTG2jWm
E/FwQ071Rm4URyqf+3R7e+HmPMG5LcHVxmEo+fm0T7p+pGFTItm0cO7mLtBzC4I7LSEfn/FiIN4r
48rKcOqQrEi0hEKZu8oAlsBtgQQnMnXCiTMq8JynNkIvozSOvbUN+mfL3xVlTGW5xAWyWlJ3nx0W
UGiaDL2oqeZwuUi6loPDHKAFLxttNyK2w/3WS1RpI7H17SWac1woqKNrD2kO9BcL269s5ELJUgR5
hf7aGXeZ+c78v7dNzN645zaEo1Qm2I0VEreeDw1qf1W/AjZtxg6mMKOmG6rf9re1VJJbGJdIs9Zb
PPHHFjZtkPM2fy37VLQfC+Oac8Rn4xLdoKESJFIMbG8VPkhKDjKYqFRP8rfIF1ffwdtY/VPWBKRO
ACFFS8GEp4QYpRCSoxOEh40lBScz6SR3VPWBjtBDdxYGNjd5SNKCygAJAyDEp7+fhQ1p6CtBBfZ3
r3VLyhxUGGlIzVWx+ngpnHgtbZcszu33c4PT388MlrUPAUUVkJYyszcppJHs320lO1y2H/7F0CYZ
T8lE1h2YIGEGrYJxywoNlGrRYhIb8Tocf5X73PSyLkRAtI+rI7PXIy4ZNEGCoBKdjh/p+LjwFXOX
y/lXCKdOz5k9EmYCgpV+N8HR3/P3yn7B88OJ8p6C219aE8Ptc68PHV+5w5eQ5m5EK8Dt75ibdiD/
was7CUmCL/ty2hNJNwy0cfgeiJJpEQMGGh3LEdRgMV/w03Op46nJ4P9MideOEYxWmlgjIC5DsLI0
GgKXsM+MaBuV+qmz0WOqPMaZRHtLPuraY9UsYGzmriJjqo5h7Q3jCqxQTwRkWYb3Ty0dB8LAxLzg
DWaWFAdzQplNGDNcsJdz2RpmblpjFpxqEIMpYQCHgDsv/mQlnnT1YhA4s3RogQcRGchiAAQQH+dJ
Ab2wRk3YKf2r7UeXnJKdtU9X8bF/zEPqPwU7y41ooaxv75hpR1w8XwzEPRMiCuplNsJ7YccEA7jH
y9ZkpwR1U9WdUAdaTTVOdTDXmOuyW4hWFuz9RIbnjmEYs46Djvkkh9mxsj8ZBJPJcLLrVzQPu1W2
r6L72yO8WkeMEIKb2kT/B/EbTTiajcyDvPO14NTW6DTKtG3VbZL4obS1F5+4t21dLeJkC7ghoKKA
9AZ33+WeScvif20BhQWozKbMAU00yWYRM7JkSHDoVp82QYTG0FPj35dgxffxAOOpQsv4+V+MCM8t
bMgJhywKwlnIUFV4MQSnvlVd6NACNH8fjfYuV37fNnTtUKa5wxFADx/qGXhvXs5dEkkByzrGTkbq
VV00Mfu6SHK4WprvezU8JAmwbQptDeJgj0j55+JY5/bm+RcIkyohR5c3fcxOwF/0frwj7b42wh2I
It24jp02gRZG8H172HMLCVYtaFED9oSighC9m2pRJ6qdspOExyXP3rWudAx/t1jbnLdjTqK+eGJe
KRW2tQ9O1H4SmEm2UvDNkfPL42dohd4eztxhw/P8P2YEpxmVQcsMDjNtMKwK8IjqsU67GBzYpbSC
wdvWrt+R2DN4tk4JbND+o6x3uWeKstBTvMJgjg+ODB/2EYUd9ZkXWO1KfxnIexzJ7oLRq3zmZFTX
AX1E/g3AVeXSKHpMS54M8NT5StuQLdqx79iO1Z66MZZKa5NvEr0zKKiQoselMGXIL02VBW97Jnfs
RDQ0qdwFOAhHP3whyoYtbcSfdvgrW9PeAGHZBMkVli4gutUOvGWnw/sneA5Xp5NMTzb9Wq9Pu/U6
paf1iT6uHncBpY+Pkbv+fg6A0kM46T5/r+6fP++9t29OW3rnDXTvOR/e6n50PLb6+vvwau8eDoOz
NWlD93ey87F9evjamrsH5+nBWe0XFmh2D54NRHD4SV7gcTQNJPC0e06rrQZ2lIXwZ5r4W5MlXJux
OobgUuthI4gQ+xiNgUAvWAoKfoKoazO4mhG3AyAukoHXED2u4qDBbQmZNiP/1WohOrmBvhv+EGk/
aqGjpP0G4vLIy5Xdlo8VuiEHR4qfK+MxawqnIzkawlQXmK/N7WMwOcNbnyZsTbTAAG9FKjiuvexm
vxZyjrPzC04gPJe1H6boy41vkD4JI3lkpzg7GHFCWbHgqOYMoCURLb9TgIcb+9JA08Va2+U2Tlai
w7WXcFVsqP6pCgqiADTuTAUICAIjRhW8u5HHgLf7FoK6R3qvO8rCLpzbHxe/L+Zj/BD5PD79vhk5
UE2mViavTH5CwYCa2+/CfLZksMy8kjTxwCPfa24x0LjYSfJfliSIGv4FVFQYsuAdW97opTVgYlv0
rZ+sQpd3qt8t9WBevdQnK8iDSxifNhXDL5ePtVkbosiFqxp9vwqYkNQtg2ij+qDGFDq/Dli/b2/3
a4iyYFHI4HSgUEtkHxbHP4Aj02fLff59uo+d2Kmdd0IDimce5fu3u49V76y+LGdPf23VJQ2r695L
4TOEY9dZI4+Z6rOTGt9JVo+HiUJHJDKnelOZGMCGH7UhchOzoWZjHWSVbXoOhOuBWF9czh19+F0o
Hyx47no0am7ayG305EfGGl4CHmgh+J65wC7WSThmUdp1bWAQbNDyYBWSGwFK2EgVcsxveVJCTTtf
3V6nGed/YXCKg87eF3Ea1FKqYX5Q4rtntu/W0sH2mUvyhS04EyzCkAY6EbQDA38i3ABqVysha+Lw
NEgfZQtIZuaq8oAj5aaq4Zj6hz6+3x7adc1+Wnvsd/DvQuwXqjaXY9OMKosqcFCc1OpdtuDZZd6i
wqhsIGXrEN/eEeDHbdLvjPBFIwTMOvejAmBQ121vf8mM80SbF5TnpKkoZImF8zqspDoPMPbelJkL
oKpP9bRYInOaXcozK8Le4Zk0ZLwOwlMbfYKcWN807JVnq7p6uj2auZWEKCEmF30sEEMX4oWwwZuE
N0N04iO6vLw82PttBtGN9neWMhAZ2KODd89tm3Pn4tymsHt8ww9JSmDTRvyIpteVtgqaY850JzEW
Wo/nTAFhi9482QLmXWyyMkoQ/negUT+BjaEd1uDYB1Kz1O59fiSLaaFZNwlmOtQJUdYBxkAYWNu2
su03HNZSaUU0Rttoqg12z6TY+AHI/aF6Vra0Mh4IW5fAWIBnaLDD5z7ClHedV7bfHVH/pL+1OyhP
Vf0vxaJl+Nag0Ngj+InATWZsTfku5LtI+Yy0JSHWuU0HkCDma6JcQrXx8oyFBpQRCEhQTtDo3KAQ
BiCbkd6lcunwpQr+3CmCaioY1mz00QN5dGnK52GcEDuJTkr4hQRztJSmn9vXBkq2QAj+pMmE36/L
cIBCEJbCRmBK2nEXjccyge6oRYFJ7HiHTqolYonpTApRIRpEoJeDLMiUlBPuZSgRNn4+ttEpM9Ay
pLYgjtojMbpwemZn7syKcBdreBGhJtRh5ozIpim3vpCpjxduktnpOzMi3LSYtAyy600ELva/fXrU
bVfOXiVry4yYWvlHtNR9PfNChw4B1H+RzgTsX6Qrkzt1QDiHqZMDF2RsCSQlTK2FSusSo9jcFj83
JAyM93ot6QoMKeaTpNcr2cT9fwrNep1p7m03N2sKZaiJjR0pVBGriC7hPiRjjdPEK1dpH+0GhV7i
2NVrRL5vm7pu20PGDYU1TJwMvA/S35fHSYptMzdivJVA0XKfDtnWqiSKJNKDHw+r2B9dVaf66Fjk
JQyXcNwzawfbUHNEuz6Om5gl0xKtS4gC2636WBTbTKcaXLqxuT3Emdm8sCL4JiPoiY1MPjs1lpzT
AshTCMOpfUL70XiMtd1ta9fNiBNZBYajoZaN5jRRMnxQQi1BZj08NVCLPPjQr3elxBycvMiaVSAl
yUrvunHTy2VBKwidHSBDGh2ZYfprtFZlKHPm+evQ4eXJzSZc2FkzpxOC30j+w0dP7yvB0dRGIPsI
hRF+2cGmBtEF0upfXIMyTopWcNV35Zp/arX86/akzPg3MIFOrQ5I2iHfJC4BicxCA7XwqeuL5zhO
nzJToqq6FMXOJbZAuz/p0U/QLpA0X25mXakDHplxcgKB9ACtU7ukzRhVVA88AhCBwgMEfCDPgtIR
Is+CLPi+mWGCPhlnCJgU7ADxFmxVRU2haJCcqiijce8YHyM4wW5P5XUVGVyD50am7X4eqo+mSbjd
JCfQM5cDTalGaOalJY1+5W79pqzZwqhmzg8MoscVvZaahqLApcFIykLfRz/MqaqseIXNIh1rkHYB
Mpexd1Ouy/tAS82FYYpGkZ4E+hAdtWCfQogp1uOZIflpCNqLU6e0wPFuzMDTAUIrDXMTqQtZk6sc
+mQMLTIG/C1EGwAtvRyhSpgxchXGAumjaPo1wK1UAe//AHYb62Sbbit/NJXbpRL1TdmJjYWinLhv
Jvu6YeNFMGFMkby5tN8bvt1nlZ+cVB/k79l7D5hIrP8bIxP7CpZRR2VHWMYUxQ87BmL8VOk1NfS3
vuKUhNHCus0O5cyKcEsGoOw2pThMTwPqNx3mL5+4O4YlNdSrR900ZfgX0PPp8YHlE6ZM6+qo43Jy
imN5XVs9oSx7QYMT5JTkvSlvJD3byam11ginzK49C0/NJcWbq3bYn4+A9AxwhRDCAnn65UfIckXa
xsKUAsFoudx3+5XqcAfod0r2T19ff9NTB2THbQcwdzJsHAiEpxPlhFhBRlk1SK0EmyXn7FEa90h0
Yn/6azlZ5dIS4mf2aIBsFBynIBpHw69wNMxYYZJaTUMcT3VTuC3CKyT9piJ5gqREHfe70O5piTfJ
WCbbgv1Nx6Wi+eyIIVCPEwrlduSnLqdZTzK/rHyWniTcIY7V4VoNEB6tIITOqV/UEKnJ+3B7e5qv
uoSwuBO9Pw4LrhTkkYWdDCaI0e8sWNXBxkL8z3zcKn3+kSiO3YHbw9gnnVvJj6r9W9JTl0LfCU2L
uNT0hYzJ1einMjrAT6hzIaRAleFy9FKT+wkDVvXBUokERUbJMZqgd8ZhDJCg0lu0CaX/VC8E4JpJ
Fv1HBHhifhV8BdEZ6WPVDh9yPjC3ZooMXL0yLlws15trMiODwADrCtoPEcajVRMhlwYzIG7h3Tcv
IO09yOuMQxa4AE1B91byAwtbz468sPR4whd84lUm+GegZ18gel4g2vSOW+GDkYCpJnHJcGjjO10r
PlANa1qZoryYQDurVv70aGpAX+++KUB2ZlCuHIm/RXuNuvRN0+SePwYnRTVwsk7TDsZEdLVfLngx
ktZMGyx4l8r5LsyjbhMnsrxXfTRol0Gl0jGqZYBaZU7jTjeOcZFzl9ehspaqKL3XmDX16nLe7Ucu
j9SO/cQhRY3qLy5vt0j5K9O136QpUlraYbRiDMmw26dHjOwnghp8/0SSOLV8iSs7aYomg5HwYyP7
zSrTJMNtcQOBkDQKXCgzL0bdswYBCIMbRisS9s3lpOkjY4Twkh8ZyldZ+mjxRwXRUVs9tlVPzfaz
6uQdybqN/1bvOnZo9N9wXyMzndsD/8kLna/eNHLwgICMA2TyaJoUPiSw28zq8pofFUPaBfKed29q
5lRuUzInCMKVVoLSzz/YrUlLqIWP7X3AVv590vwO9HZdBMdMM7Z59YHeQ4b/EaCPp61PwyvI8Dfd
sHCXXDXM/3wttN/xMXipgEvoctr6EDk7nvT8iJTOvs+p3Wi7RDHpkDQO+JeDuHHk+ttA0wnSw3s1
G1c1111NcVNj1xX7tKocPfVYrTvZ6KG940kfenThLoF1f1684qyiV+EHoIXAXhRtlqqKS4qZNMfE
BFE/rTq9eMjkupYcZWQNMFSBFGpuUhmJTZvAZAdlSEKflr3VUClEpdtCyyxoC7VKCZ/LAjBqajSa
tY9Kv89WTVrJXhQ36PEs/SgDKopY6Z8xCgBfL4Im+lOW0G+gslUVxx4Pik8WVxKSt5BA7F0t49a4
ztRYBUJgTJfI2CYPdDVy5Ltw26MnBz2UlyukaSFop3RkHWtNowVk5vT2byZ/csjOVNUdlElv71/x
tpk2BJQz0XckQ8lY/3HZZ68LeRwaIzBhDnAtv8ROddcUa33byNWYJsJgpGctiBrgsSYSzBlyP3KJ
5eQYhP4xTXzsvmpv6uMhJkct5ng7+fLbbZNX/gEmUVGUEX2CFgKP0ctpZGOgVqjokqMR7VHr3XX8
2OOJGGovt+1MUcHFcsEOFmQaGejZ0eB/aUdugraNsXO82KH/lGl6uiwBaZgkyuBU8YK//O2mt0vT
GPASIiMU2K1qW5V7PbVWbbGkBSRG8aIlIbBNCxCx14kReKM1OgoZJUo6/kW4dX97tq52mzAiwf0k
ddkGqBTBjtZAb0B1iyw46EGKVuDoT1ItlQ+mm/NycSbOAHTCQPtdAeHe9Dlnm3sotNgMCkxgcYdg
5tj7LrhV9Be8DVp5fXtk11v80pQQWLRqrjYMJNngmvX33aNarvzmGKefiPAQPSxs7iVjQsQA4U2c
aTxEvDEL99aIKB08lwWk0TCjeVOPFCSmt4c3s3DnMylmKI2gGUHGBota+hTGqJBYvjuC/gDNtyz4
e9vW9dG9mErxldUaDdHiwg48CcCMsHO09i7DS2NY0h6c2fQXYxI2Yx/WZqslsDPmH0AHOHGurOUl
UvOr9A2O1oUVwREhlu7BqQArHXkLDeut9dPXzFcOynPyUGouCcJHJUMPnD42bmcscEBee6dL49Pf
zw7AmBe2Wsk+dqX5YnffQ/oP3yo/g5uAv2jtQ+T682A++30j9/0uHUngQbMsd3pZD58aQ+mcQK6K
dVsWuVc2/VIWeW7dQCoAVAPglmATFdxim5Jx6ELOvC6ROhoB2b5PzSHDlSwtmZpzIEifTMEdMigI
0y/nzzCqEI+CmnlcKyOyAjcFollo3QH3i8fUfVKnQQV+yTLvNyW0Ile+FLRLHIIzx2F6LZmANSH3
gdb7y29Ioe2sBkMYe0HXhe9qaAOv3/jdSu45cYaiqhcKoVdJVSwqBG9twPfQ9YPagzDo3Ezssbd5
7PVt5iiKD+5HpDar3gmqbhWP8SbyfacxQk8B6drtoz9vG6A6dHkgUgDq6HKwZT1o+qjLsQd+4+Q1
skHOP6hldsB3xpD6K2RwRchkVdrknctd55ZlHmxvf8OMc0UYj2wksuYmoO3C8LlZRArp1djL7bZM
1/046k91WwEHZNksL9fM0KTEUbMyC10/jNlSB8+cfVyTEADCZ6CzUlhvbvoZMbIx8qRBBUt/VCYb
vanbF0kJ0ISC9/lBYoRvTCNVltpsZrYaml9Q050ibhBqCScLIj2DHDdN6vFaDk45GNw2Nq98N8ut
dVuV/1QhChttSjbgcIHbQEIu9nKxh6hRarMqMy8YM7CR4Tmbp41TwhWjv0he2Fri2ABCweNUndr/
8FID0/6lsVGxs7rtTXD5R09cclX1Mwr3S/rGor+4NIKiwKWRqSOXFQTyXVA+INVRBfcdGBGj/hsK
1VuiRjQBp/vt7XqVGf2xCWI3dERoqD+JDRiRn7GqU33ID/bPnX5P1Mq1q4oCkLJWx4iC4rWnrDKL
lZ6rpsO4k2blqrCyel+k/7Sx5udbEHHbUw4L51c4vj6J5JjX+JYQIR0fw2P+o6wBZBXeZbfHLV5t
oqlpvc+unmLomriJoWEWSWxTAytVy0vEQWLQ82MCKmwS6pUyWMrE/WkXrDN6FJnV+qgwC5zqSKAY
owPMJfKBr7fHM2sMpw5pOBX5hJ9lPhuPbTUtASI8hs4pe+2NPdeqNQmaDYl3VtEs4TfEO/RnaKjO
gUEScTFKWJezh/pwy2Mb1kj64KMnER0lyaguHLnZJcLdibIoGBHA0X5ppOqKOtbNML5LOfnUI3O4
l0xA+G/P29y5RvsRPAkYdkHxLewDxsJSj9UCMD84kSg9oncA4X3AUPVb6qWamzQTAdWEUsX9Iya5
anv0iyiCWpW2l30n+1wSJ5jbAue/P90MZ1ugAziMRF0Z35myK43qJgMJl5UM+wKcX10SrW9P3Pxo
oNFhoUCLUQmrY5dJq2cNfFUvGRDAQAtnZDtttkgFNfm880fYtNUQGf7HjrDVAE8LSCxDbCRJ7uK8
pkzijlm/lQFYGfx0jSQL7YvvOl5yjLMbAwShKP2ifIqA5nI22yRJC87gizL0p3S1w8o3ln4lY+Te
nse5XW7+144YjlYtybkewBFlKLWFp3qpHDu7TqilI0MMcDSqT5fjsGKkZ4AYiO9K+VjE1cpO9sxe
6sia3XpnRqa/n229lkElVylxVOMMSuFfzE6e5Bj0Ag3Zd1xaoOb6URu72hJn1oSNDkqDrmuGydcN
6wxauQwVyjhw5I+i3hi5cjeM1imRnoxkdILugXHNqetyV9irkSkueNrS6iFtdiDHsWWI5TxKOcCy
Jqd9qT/eXtu5+3yqB6H1HdGgZAnTEqJx0qg1zD3I5m3yqRigTEFepDMpIbtafQnih9sGZxf7zKAw
M1ZXa+iSiOHNEHZxu3Aj4NGzYeFZOLvaZ1aEowFhZ7MPJVjhzXcWoMk23kr2sw48dNH9m9MxtQ6g
YQaiK2IeTmUDqIEHuOfW9P/Y8bat+z//Zsr+a2E6n2dbN/J7PN5LqOp1Rb4qIEfvqn4Bigc9XN02
NOtQDKQxAfiYijXT2p0ZYmlthbUCLUY7+vShyBl3+w7yEdHC6ZBnV+fMjnDgpTzsAp3gmoEGbN92
TtYe+vAAFq5NUbWrIXH85DdTXpoGpN79we6KoxkFD7yA4gmS8X1eL0zw0vcIh6AqdUXmBia4d00W
bTvdfMpJjRIw6II4Gn5vz/LsCUALCB73AE1fvT7jtvIN0uY4cnZCIUdetSNF5eG2EfGN9XMnTSA0
wFsmEm3hAGRqYXcjmMEhXd+9l0x7gCjH+n9Iu9Iex3Vj+4sIaF++SrIsW253u/eZL8IsPdr3lfr1
76iT3GvTgomeFyQXCIJ0mWSpWKyqc04JbbsSfRtQQOogirxt8aoOtJgEjRpoXFCSxkA482XPKUrj
2gCToSEDb+QN+T6AboQOSfna18rSUaCBZbTIWmxN/3bb+JrnIg1bVLg+GRGZ5ZajSXOSFbBNHsg8
7Myyg5xZbxdCz6kT3rZ09QDSFNKSRsDpiXO9jwriGs1pNNUHvFw4fsKzxKQvkGDswHcJS2bW+bJJ
77MQk9p4PwqQe+cc3ppP/rt/qA1cfvkmJtjiiGSQfQXD/0i+N8bDVPz4izPCgB7QrQuT9ZUNEeqK
eY6vDAzPihL5YXuXlrWdzS0nIn8WENjbd2Fs+p8l+XI1akNIKEhoe0/UsCGFaFqlDrUUh0DzS2y1
3+FI77Kp2Zp5/kATyc714qRn5UMEbl9xFrwWCj3ZS5qgWRkCyiHq23T8Fo2zR4XWtECLvUN9Ykb3
DDqKs8BL69Y/JNQnVB1UFtcdl7EIs7yP8fOLcX5JVNnq4y2AfqIBBQDVbgm0n1TliD6JH4WdBTQD
Jz6vOh46ZuibISHDnNzl9vVlX41o3OFjgnTyVkwMbTeUufwqz2J9bEj1VSWWz8CBOXHMxqGQDHD+
pT1R06YEIFs4H2S7HUXoNbcrUIEcq1rybvvgVfnt0xYoNhfkzMI5xTj6oFHou6P6fiiDhwFQhFk3
SrvMqieo8ewFg74YYQMVv8GV8/bhtu21NBrN/H9MM17ZRd1U0VrERLdolgAGDbo9DRJPxXT1S8ao
KOrGn4N3zOGheZwg14MOrlrVy5fcd3cCV2F4zUNQMcCANUZdFu6NyxObAwH5SBkgvS263awXO7SP
PdTVwB8p6hyiiLVtg5qVCN5G0JJpMpP9lKnc1npB8JCX0icdcqZS2X51xm/xinMbjAdKHSm0aFzW
E7Y2KLe7GfSyvJx0ddOW1AroGwHoIsaIUedSrmYmolI3uVn4vYKEbxT3bgKq7697Gtin/7HEHA81
cRRqYMCS/MdAx18Y/tw2sOZk5wYYJ6tqBXDLEPsVC1uU46w0FmxuCsPbLyaf6CM9CXQdq+jInZyh
SNTc0cGVhML9i8Wgha6BI2vJXxg76lh2nVBhMWZzKqF239AXrijvqhOf2WDykyA0UhAFwIkL8jK0
MTBEvJHC1d3SNRXHgnawzsquDW2XNUaeAtaTlpum7badfKrTbhNqvFfCFR4AXwveOgAroQoKwnH2
vQ4mnhBsTj1CTAuSBSlCQkdICrFMdTAxpiWFqQ+pNMGOsoY4StC9A9By12dJ46tDGjulAC5dXR2t
xiDa1x3z4qcxjqmTaUpoi1e+MDT2OO07IGFHg/OEXd8AjFaDqxEyiYh/l+EPYqJ5P/UkOQjoloWl
4iXhywhacxlECMErpM+1aU/0AfO5lR1rqC/4yShYkcQD8Kx8hoA94xmBTAPzs6zeX6yLg6CXqDKA
k9PtyMZMJVsuX778eVwYYW5MWoTGp3bvgaK0Fct0ExuA1OoC52Ze8V8F3Qtwt6tAwCG9uNzTLJpi
qF/mCPNg5e8LTD9PDoEryzlv19YsmdAqWwC0yG/YWZ0AWkmNRmAJv2NTkwiiWtCe1H0VJN+3t275
zUweirYdsBtorWIGko0sIYbWO9LhPY2KeOxInbLXi6EECUX7DcWw0h7iKtzcNrnmEucmmUBjVlre
qSKqERQixFVAHxfOyZDLfbK6hxommDFpKi+Ap8vTShsxLGaR4rRGaQSKMOq9evCi/l5VQZv+F0uC
Ag4wzwBsoDpxaSugILqFYAOK0vSl8zL1mdfTWgnOi/IMgIqYc8Q7jTEgFkPWq12YHbJIK6wChC/2
ZDa89/HKyVxYYRxcyKoa1D5xhpzJnfrJShE2u6nkPE9XreBU0FVdhgvZZoFaN7Uozkl2CESUFedH
KMwbXc3JZJcbkfFrFe3jf4wwS5GyKM4BEsBdU+rjZh7TJ2FsVCdaSHhjpcw2HelBUjYnnBfk+uJQ
6wYVDhBpCpNBJ1Hfz4OJKrsgThA7q9tN2aFFrvOUFVa8G+v71w4T3wHGDWNtwCYWVeKZxWukj5ZZ
TrY+cILeSoCAIXD6IPRhCI4FSY/oOM9x02QHKLp6Qd4hSChHKZO8gYgi2Ml5SOPVDZSXSWzwFCya
5Zefkmz2TaQ3RQYRdsnFw9gh/Z8243E9rNX3gF4Fh7EGZBcydiajAvv0LGUtljVOIYK4GFodQIJ6
KtxFYmpRsKKPxs8x0d/DLrC7eR9pg5smmZU+m+KGtNWLUfBWvnqkZz+JWblqRmqA+kl2mJoN5HWE
tPCWe2zo/0Ln/nzt7EijWA4GpWCYOwzByxQontiOKHeVdjG5ec9TDFwrFYC7FrOtELJZEn4mdEVS
22Frq+xQUtK99nmW7OpRjOwBAB+b5HlxMiqjfyzkcNiA+jJxDFH6oYxKcqqHwnz/cqDGULUEsTBI
16FfxHw2Wi5mZTLDuyRVeibQAbUqHRKnaejctnMFZEECisegLgAqBHQZRh0u3dgAmcVsEuxxMGfj
AkvsEXjUooFI7KnBOI+QtJCu6LeDItuBsFXSPzmawOlTmp2miBML1z6ps9/Czg3K85BmE/SlD0mL
Vx3GEqKp3JQ5J+VcCxTnVsTLFYNoQSppgXMW0jfwfWBwelC2svqN1zVfm7U431p22L+c8gi1ebAD
QBgag1/N9qOCsqRkycAOPumV1QfOn4AT1te+zfPFMWFdkdu8lQ2EC6GSNzm6ADnE6mso6mAiieM5
S17C3lyfZEHL+BWGzZh97BLNDImA0xrqk9466JkiIM3qXkx2UutE5Inom1S0k+GJY3ilR/wflqL/
GmYSpkoecZ/GI/Z1ClzwCY79ZoZG0uRq3WdDEJh5a6gzzpey6pwLN9J/rTI7W/VNFkbQcj2UiQbm
h9YKApBr8N5Dq1YgdQFiKw1ThOw4a9jmtB2AlTtkc+mEkMU2xxcy/s0XgEY3ZpygSY0BnMsvYGgb
0mgpvvle/B7JzTbFS6cFKwcBdTuP1O2KQmAJMFDuAKIcE1UiunqXxgDhyskA0M3BUPpNJ4k7TMl4
4ex22pMp7IJx2IRgB6+/J91fHJgG/mKQXy5QI5Z7L0b+Hupxmx+C6jiGaL1BvSPjGVkLJouFZeJ+
GShh0je1EXOt1c380Oja734UnttqcKdceq4wvzXFvJT0KltEoF5kOUGkIoI684o+YEKlmSTh5OvQ
M4eQjiC6EfLfVvRDjP+F7cTZwzV7WBouGfBAoNSmXB6ekXdZMo3T6Eu9Wf4q9BiIHlEAlwZ6e+5Q
qD/QvjI88LDPNucjX6LHRXTBSjHYiQcRMFugBmBuY6GGeF8jjKPf9VrykKtR+jil2luszKZXpOm9
INe/e8B+DlApGQ4RuJt3plzwyOCujhe/ArENHN/L54I39eX6xwIyJx2JJh+QO9RjvxdgocjMemtW
voBG/+01X8XuRQjEgFYz2Ndw5bPKj82gplWY6jjc6SgPySZV1DsMxHhxoXFeNte3/jIEhVkFjKnh
0XlVp8uKMEqpDlPdu7If74it2/FL+JLegYj2SPbNS/mz/Ukfv7w+GF34kqCOCJjFEtfPWuIymae8
0Y3Jp5j3o2Npm2AMkAgUlyPehMrKViLoLPSvnzhD9p1L59boy7yj/pQOllnvsy6yKvGuSF9vL2nx
f8ZL1YXjaiGXQQ3LZJak56UmYjKV+lLyFtbvCa/OfR09cVAYkUTJAzVV4Sp6mmit5XJqUL9sYpfo
r4lY2JhfAzFmcTCywonATUgq3Z6l91Eztl9f3aIkhgQUFR486pkDE/o5KwHg9vHYl+wuzDEOmtWT
ddvKyllpGP9EhwyMyNf8zt0kxg0mlSe/FdSN1gmnJhbuyrZJrAalq9u2VuIZ+OxRF4NriDLqu5cr
Akq5mOs2xHZq1eB0g1Y7QzU2mFmW8p+xHguHEsfhIYkSNrctX13s4G9CURwPC4zPAc68/LIz549m
PaY0Vye/ygYrAjgX7gidjL8woqOLBAQdbne28CfIBIrfUkR9IQ0g963aMCJJX00xl5Ussr8LNRBO
jlkJFTtBTvuY+n32kYLsTMTjBBpnBmfDVkIvimILV+nnFAJbSSqlUGn6WqB+pv3SiauiK5Zle+DB
bWPgjZEsjsx8xvi0lmcWOMYxRrIc3tnhqDLpAuj9zj4aC9u8Cp+HOd9T+U8iSLYk2WLz0msTJwlb
cwhZxRgqWouYiWHRMNNYkBo/BSFYS6xAORVG5qBWwnH4tV1EuAVZGZpk6hV1nImZo6iMdepXGJBJ
yaZq5Y+MVse+0v0xKzhnthIOl7YimJxBYIiwxYTDUlCaJm3m2S/ivvmAlgFINDGXZ3z9IlmYqYFE
XVDwuMIuj6udMq1MFJX6cdSCfRU0IKcG8Ij7IUW0B/Bd4gCX1qIGQOMm/oMOAVoEl/bkThnNQJdn
XyxyT6h8OSK/hsZq9NRt69lt1ZiT/az4I3KBpSoHVmyskglTbdKbeqpEgj+r3SYS502RYoRKftXa
bS5twDiL7hTH5EoUhkkdM+Ug9EeIYkx2fdKSPIHJqI7czsw3UL8r6g+55uzlikMCRAxWlIV8G5ca
86nRWUcRS+vBfdWKoEKhifK9hHSBW2mRsSWZAnamOag5F9nKAS5tEIwtY6xqUWS4PECqqXFb6NLs
x9PJaHs3yHyQY1hmoOLZGFl54d2Ow2ubeW6PcZgKb3BFLeAwKgQSN3Ow6bYJ7ypb28hzGxKzJgqM
b1Aqsz+oOz07gXpwY0pbLburOp7a5Eqo+tRQ04UFuIzS2KWpAiwORUlz6mOOaktaTBXnw6YZAw6W
bGXX8IRCNFzG3pbx5Usz3VR3BVUq6tNJTKw4aE6TsEn6we8qXm9zzdSib4h6H4IV5oIuTeVp2sRF
XuAOW1BS6QsBb5WltpJjqDx2grXNOzfFfFilTiW5F2EqUx/FVLRwswQzJyCu+ALm9dCGU8GehgFF
xgZ4agShSybqaz0IbJV75Vc/YB5CBz8B50G4EuER2tEwQKAA643CeF2OFUSQH6B+UMkWwYSpNH/c
/naux4rwZERypqHmjRFE5DKXZ0O6SBInRcRiwupUxg9B6IFsohJ2zRhvhjqyYn2fCs+3ra6dEkBR
iH3wOwRcJtWFT855Hkm4UlRCwXw1e7KcxhZ0KE9/YQhEd5hGM6Bmx35LiZzI4ahjdXCHEALTSYOX
vJlsbltZ30QVJpbH6yK6eLmJhjY2VCM4p6pMHEr+pMGP0Y3vC7vfDeRIeVMyKwEWLRfkt/CM5VZm
zHUhCnI6yWYfEw5OKGBYNbdICjY2ad9Quo9kHpneygcMg3g1GGBTAAaRMRgI5RxlbTX7Cpg33bIs
X+IIAxMBZizcapZ+cbZzeeczCeICqjVAToq8AzYvt9OUwkjvp3b261oZ9/Iiwjqha2jrKXigK0Cm
LKoktRU3keGn8SR7shAX9xr0pxsrpmbnp/lccG7slU8RrXckQRh7hsozi8qSxJlQqeuQbEFlEjkq
FJUAov4q+SySOFiBB0HRemkcM18jysdFGNb97I974UR/B9btnV3JdEykcArYRBYJP7ZI1wkGKB7K
EalVoG+bALiiRyP7lenpbgwyATiPLt3JU8n52lfiJfCyyEB0VO6g98t87aRHKNF0iq3TJrCLQ4GU
PuYFroJ2dvr55+0lrr3hz62xbayx6SUlLwb46l5/r1+n2Cpcw6HvRm+XO67kz+qOoqaDfyPIIJJe
umow1fDhFjva6J1fSYIHBKFXB9oz7X9l2b0avADVdCe3jj47deVDQkYakwOwy50Z2rn6mAuR4MWg
/L+9C2sfLEqXUNTEQwtlrsWbz55Y0azNQNTCj2T5UZHukjGxlPmY5F/fbCgpA3CB+wmAcFmVLu2E
RiNjABaRSBtfFPNJR8++zu7K5o8qdq9JrNgQOQy0PQm+/oaEYbTrwEkJpUgAJRnD+dynulrjlNuf
tQmtdaS3xmBr6kfzPVKtqOVh5a4PGkMcizgfShngvWMRJlTQpiytGySZQnFEjEQDtscJVoceklX1
uEsqcXQylSfacH1TLmaXCZIlEUBX+nKdozmPhd4hFGrZG5G3nfk0x5xwe32bLOMpiLUCKPZQx2C2
sukz4MsimCiLDaWxQ0fZUsxXk84Yvyzd4MtzvjrsIeEAuBFFLjBTXC6p17OWqArCgZBJklcq6Pzi
BRN9F6uYU6C5bud/moIwHIrJizolk6l1dFYmXCWzX/0CJ8A2J73TK+2h6SarqyNnHPCkDAsArCJ/
ao9jV5/y+aApmV2COwjtfhCcZDyw+5ojwWENfC8YwsO/LpefopgkRiDO8sX8GzAnFnV79EQlrw0P
HQqNnCr3mv8g3EORDIUP1OAY/5nD2tASTZj9oATLyR8AFHteE+36ZsTT+cwEsyC0X5ogVURs8vg2
zD/lr7+HAAYCKgfNQCD9JJaRtcs1raiXtzIm0F1VlvHpRf0r0eOvAo/gLOh0ImiiZAmIPBPLOnCQ
KWkY402O6WZt22POZFc1x2kbaqfb0fn6Qry0tOQ/Z9F5NnTE0hqWpEiyErF3TTN2gD3yaRg5gcnJ
XNa+7/N1MXeBguqhSAdYS8j+A2IaoWyrUDYj29uLWvM0DJgBrYy6Buj2mG+toWqudsbiBkXiBFnl
VGj/TZTHG3U9OLIcEwAyqJssHRWF8eipUhvkMKguEIQMLbZGuQf5OwVLRVQ7Y/S7MJsncaruxzTc
ysRqY5Nzt15RZUI35OIXMA6Pb7cIkM7gKugSl0TtYYmaZmjuaeriFZMJ3WsWV24cOFK2ASHTJPBG
Tlf3GurP2GeMXl3xmgd9q4xDhz0QqqOBWYNSPRAeH+eqDYijII1AFQ5t0EsnVcmQQbsNFQ9t/FHM
j8A8cQvoa5ED54hpBvgLui7MdzAKRdfhnkCW4gxe83LbH69TIJzS2R9n3D5XQEA+G/jjHdmn5WMV
3c0a8Jqb21ZWP2WMpKHEhhwIBYHLXZJCtCurOEBu23gBtImIP5ZW0tj96N42tHZt4P2KM1/wuhjJ
vTQkUD0QuwqG0Ne5I9F8nwXpB7D9r7LkBcHwLOF1b+k8iaA1J0CZA581IsjSL7q0mpBsSEchFfwK
AohJc0ek+wLz8X+xtDMjzB6qQoI5GjUR/GkwX8HxuCmnwQU1gV0Zkm2k0qbRdTcvU07AWouLeMct
nUvMnGJ1l2uLaYti/Vgj3jfPmv6g1b0lK/fY2STBe6F5u73ItZ0EbAvtFbT20HZmgoaUVRTOCmtm
N723JPTJ1B5ykuxum1nz+nMzzKIKM+rqOqoEPy424CPOEz8pUM9+vW1lzRkxKPCJosBdycbg0Exl
dJwbcD97mXiUakuj7rCBFm2xDSNOuF3duOW5is4o5t7ZiRZaK1o9Sri+VAm14yiEquqbievl9opW
983UFjq4hYiInSwx+6JuAY0QfCP2KFBag3yvo9M2pJyq69pqQFcDEh6Ui0AbztxeTSCHSdMOSGYQ
JJSosERsmJj8/Ppqzq0wztYU0D7oo1Hwx1Pffoj6O6Fb6cu4HVyDyKzxrkcl1Lgi5Y4xvjlkpSD4
VNpTuu0EO+i3cc/ZsLUACwdDXwaYPTRBlw09y5UITr+iVBaAHD0WWIPSt/YU2uZAN/zO5BJpLgtP
oORfaMbxz4ULlSk8FZOEAtdEBn+ekTJ3U5pYSdFMT7dP55pjAz0ZCXgnXBvwBIUdPcFvBzk0DQa/
zv1afx8LNyj9ojoY0jcivkLCMUj29EN5GJNtXvgxqD4yejCeYrKPvBLApNQKbOWn3DttxrllViqZ
lz+N2W6Btq0JDYTBh1LnLnMe5y11vwkH9dvtLVjLoS62YPkez441Sc0CopKw04GpYL4bw8SSS0c3
N4UMIVrL/DamJwWKiC/cePKZuFwf8r+7z9ykKY5eHgeYbsDoLUDacasWKD1bkrhXWy9P3qBJKr6T
CMzLgRvkdvxckofKBVVNQzLLfJw1VFvDQ+rNykYyPzpp22iHZr4L8X8uLWh+vCSPVWgVXe21ZF8Y
AG/PVlBwAtZnweHWMhhfNfRxaOTBHHywUo8xRMdfjEC0pPGlEzUrRadFhygS6k195M6jHdGP8q7N
Szckj3GyTTFBnpQ7Y3pXq2ingOf1XawfisJRlcLqKgWIOCebU1vtrcJ4ScifFpzLMVglEs7d/9mB
vLWM5ao5cwQtmnSznsLRV4oHNAenypllzdJCbyGfgUylXb5Ev3Kr2elgNUW87MFIfK+WtoZTqP0M
MzKRF+tHYqfhGzWcwdxBN9dJk9dSsGvN7+7j07QL99JGAcOb2W+waRaOpdmL+VPplg8EApT0XjkZ
5ilPXlJynIRtZY1P02stWnF6PxwhllVK1gTYn3QQgnsTtO3mxuTSKy4x+WojMNkEQqZPBQvmPCtq
kHZCycEHYxZG/mjebrSmnnc5aBRtYyokPymz3Apl7T6j+fict31iTxPlAc0/aV8uf8in2gtq0KAZ
ROGE+T7EbKj7AeSu/gx3wQymLarD84B6Nyqr9tx0vvFR6wr07xKrrMVNZmobWdiZ9HuqmlYyyptJ
tShqLJA0yWI7G9MNOMa8pdibRalVC1bdE7vb9lrjGUtlHzhZI/e7VvMEjdP+5q6F2VSpL6W6MiPM
NZI9jWz9XfUIPovyXvbDdDOFBmZwN9Pkmb0T56DailAtRmuy3KXifXIv6xD08eJNPGzL1A4kZyh/
l260R4FRl0/QLcJ1YalfzuCw/Zg+Q7KzqD6wHJNRVYIbW8tH/7uye5Afvhx3L/86syGxHOFRmeGv
Q0UIZ9G4ubTtDMytQwcb3QwiHs1h3nQ0/9bLhxYU+LMW8Wq3n8D3Kw8Duga0qXjQIP++/OaNpEmE
vE9GTJTQeyKQB/CBWeUYPZSpui/i2aqkBsPLCGMlGgZUcoTaDoJsW0rmY2/MT9FAf6F+dxc1RmFl
Q3s31IGHrs1jEOY4VDsWZScEdpG45iR6xTxuOtmVDV/vH8cC49C6ZodfpYIFVd9CaC4DNglJ66sh
kkqQhzwzitGH7ANmIBOnzAc0OzYBeh63z/DzYXK1fWemmA+0akSlbsJmRO6gPTZhAdAuZlZK7QRW
kBdZjZ2sIJj71h1BpnfDmL0PaeUUj130kbWdBbYZbzAWsYwfY7OXc8WW1Gkr5R7nV17nUtiQZcIA
SQ4aoypzyEE4GGUbzaMfZrHuUjK4BVQCnDzUNKcgXXIoSXDEzDhifqpseqLWTqdAzJe01IQOcCHa
c0sUfHh979YYKHEV0FAcorAA+cRUFJu4NqB3neeos8wanoyd5raS0j3eXsaVrtDnuSKXxjQ9qCnA
GXHpqwA+gBbDbEe/BOmjLoH0sQdPKCnVnTIP21bdGcZ2oj8USAJGd7WZuIZpFeLoGiLdVchkxvSH
VM+cy38xyngApmvQxEMTBJhCVncTCDkQH88Y1x6N4LEwt115EkPF7dvcw1hqPfjR3HEyw5XjhEng
QJfWJFJW6XIfphp4YzMVYDJt7DnZgz7ybxYF3UPoxeFWwcD9pYWq00cC/YvRL5AARNG2k466lNnt
sM3Qc+73JeXMZV8/LaA0dmaQ8VBAJEHuXcLgCK2o2DIAIVC3VN0MvC92pSe5WIIIHT4EdOXYWewG
isZjNmHzRN1LysRDjnWnHkPh2P5qXocMaoMiJ0gscfzKQ84sMi/AIDOCfA5hMU681i5/Yd58B5GV
2x/HqhGkLBiw/exbMz7Rh0pqaKU4Qhc7sHL63QyIG+ePcjTs+vz7wGsErHr9mTnGQQoln6sywpqy
3XgnaJCDa3ckgQwQj1H/uhiA4zozxDgGlRRapxSGhuRFKnNko791cgBJF+ebWnltXRpiXls9dB1y
3UCMlN/zbf8RfMtt+Y8CfKfVcpob6y54tibmwZVJcwcMOUwlD82DDBGJTe/mjuY2e1wgOudT5m0g
c0PNqLtW+gRj1M4fAeMf78Eicdv3Vl6Ql3vHZDKJjN6C3ix7dx89DJ3V/RzeeifaC26/w0Bb/8ax
d52fX9pjLoI0Upu2RC7hdy7AAfVLvpW3wiGyyE7FRDGP6uG6TnRhje3bFfVklopOR/QYvKE/thN8
kTcksHa3nfs5O7wQD31nxgK+X6j21LGde5DbKWZn9iWoJO3x8o58sjVcwXL0YRN954Tf1SXC59DL
wSA4QMCX8Z5McVGQAOEXaIR91iLST6JV8ICE635yZobxRTPJ85gQfMyhP0OC46MrnQmVhsEdRteM
QpvWiPzRBvxWNicF4i2Q8VCdSGKSLFemkm6MZBupW2OmvM9g9VNDRRndMBBNAQR9uYtV3odJN0h4
LhQ7SMwfZL/MLM1O7psOskpWucs2AiSYT0rDebmvR5QFMwahdCTXLGasA7sKBItluCiqIYM0e/27
qZYbvfCNdATrK1BH1TdwptmjEnDiy+fMOXu9LQQ2QDgu6BL2jZrNXVt1gYrrrY5OSrZttTc9G7ZK
cZiFe1UG6Wz4s1EsJQEblnQnxrGjhH7fbsfmmS4/zvwmmG6oeF8niYWkJzgK0HgBfgjzQEyUCOJy
AEVsBuBJ/FiNf8j8nY6vnEi05lf/2rgaEkukOOowdwO99YOqeeDWczM/OmrW5IFu6qQ9WeNO3t62
uWpySTbB/oUxEZY3SCAFxHpELItOP1rpOJVbRT/dNrGWTGAI/x8Ty084KwTp8iDVPRBYfvCi2LPX
WeZx2ke8VGwthzi3wgQdFaRSeHykE0Lek26mlpaQ7Zxh4EXbNsKu7TwuGdinLCfrq+hb4OmAmv8i
SH25MKka8wKsEpMPsoxN6YUbtBf0Y32n7k278Yb9tNcf4p+zq23De3l3e1PXosO5bSY66HlhqPNc
AFO2HdA9ATpvr73cNnENvF9cHl3/ZYIIgixsHy1HAUhUWthoHMxbe8Yu3nZeutXtaqs8Ejd3DU5L
YEm/rjb0zCCTB+ZCqkxdBYOjPVk85qPVHTv740zu18r5qCddjh3LR0Dc63tx+hmR4YgT5HxTn9NH
t9bBePzUBDSAjsvkkye3fqye2034AxxLu8EydrMX72sn3Wu7ejdtM096T476t+BI/faBkxquftsY
qwGtCuhNgdZj/DMJlE5KsWIV7N7HjKiWWBW8a2o5k6u1ytDYgOYApp/Y9rWBecRKXs7MdOOX7knZ
GxsQTnvxoTm2u35wOT65XOq3zDFXr5xoaVkWFVCOf1rPfOrw5cluvBH9yhsfxvfomP14Qv2Xc+Gv
+s7ZIpngnxZzFmvm4pig6x83GJe08/o57TlFPI6Zz1fFWaTMhanoSw1mBsMjzdMw38/KkfIq82tl
Joxl/HNk7KAaiN6B79FLmKm9PHeMbbXTassqHKhtOOK+fVIsaN+lD+oGUrGnYS/ujf/ffrK5DQ0h
JWz0NfZTexembRSJVgoF0UzhpBOrX8AnhSsAEBg4WTb8bEOBFhVMyIROfj1vMUSKPjblAVJXY9aZ
CSYLhQiW0AYo8PuTmWA69ShiKzk+v8Tya59fiGj/swrG58u4GhJqYBX5aayt4psqWVlxVwyPmJr7
0ASgRjExzzF6JdqL8hic5F+jjMtreqiJWYd1oXoeWvLP+UB/GNvGAwueq98Jv5Dwar8Sby9/w3OC
VBaPomFlHOz8B2DK/PLslK6fUrNt8APoPbTU962t/VYqqx1RzLGAfP/R8wjKb3sLKmKXFmnbDEJc
YZ9BCWGQbRxDh5Vzw62HL7iiCKlRcBIxR5mHRFMaFeHLAKJDe83Dp/oBXMMWt4e/msTjK/7HEnN+
QlCPbdDiE0tfxz3YcF1pV3mBV9ngKfmroIzkC3JpGN1Dle9y44J2jgSt7xFQJOdeHqy5tOT38Ti/
maGlHfT9+Fvr7eBX6eClW4S858rqDXRmnfnIwyAqFKLDU5PchohL+QdibcYu/EglC1VG46n+3Rbc
Zs7qQwVkPf+smfnu46aS6gEjP5hTR2fTDA+QgZTbXXI/yYJtZI1l0FNh7sLsLdJ+mlEEhWg3GHdx
9ysNi7eweEmm4dhR2aM8ENFyslfh4uyXMT5Wg3yrVKrlNJo3RSLgSdrMuiX9KuJTmNnp371Uz7eC
cbUyBif3LA5wtWAj146IW7m2d2jD47pEp8cqvEOVO/GzufubwPjvStlaihgoyTwHWGlS77KHhoaA
0r1pjRsOz434u86+DyJSLuPUcWcN1nPjM9NMrOiJCaBUguMXTsGddmptsLnb1WZ0DKt2pn1jSZzI
sXrPnBlcLomzq6wzVSEORmHyQ6MUnZpMQCUGROaUblYzkDMrTAYeS2JGpWTEshKvkSwRbwsz3Svc
l+6yPTd8lG0UqrRM07BfQi2YI3bS8C0X7ntRsZLAkittacuX5F6mA+dWW1z/llkmUCHnUQSaYXng
TUpt8xi4hkc7q3677ZhrFwkw2ZBHQVNFA7Dk8qzyoImSrJsnv6SxrU3boULWyKOBWTUCuArAe2C4
gqVLIxMEaYuklfFyl/ZmJULC7ySpPHAMzwgT5aISdCpqIOGJK7+GvWEJ2q4rHm/v1ppnQ73+n4Uw
8SqplCFsJdgwgqcg+Ukg9HbbwFpAPDfAHMfYjMBJiDCA+SqD2j20d6qNVu8AFJlKgNU4F9LqelC7
AsARTXCAFi8PJqlasRdLmKt2xOZRQ6weyNkfZw5kitQkLaEN6qceWoLvhPMC+URss1/IAhb6349n
DmOpRk5Tjb8v3eXWabqfIE9k1afkh3gKnzv7D/6Le/t0VkPpuUn2eAzDGDtdxAsyfgEPEAbzgn2n
13afq47RgiGq/QDdWUGfqrrBiKAAdtWmt2j4jfM7lq1jlg4YyrJwFPlMYL0vz60JQqVLdAUfVBbn
uj2ocvXDMOJon0DnPtwomapRKx4FDJWJmZA/BVGlgL0iEcVplza66Q3AKWcOUWohBS1bbuxVtZgO
nWr2IcbEKt4c/9rvXTClOC3EmisMlJEYGenGxa1bwISLPie/yhrCpVJoUrsI1MjXZ5kHBlk1ukQb
qEoB5MQ2PCdpEmIwvuNFNbxI4w+z3dWVgnfP70p5un0eK56+4MjxBAFlGsYulv/97MIboM2SjRks
pZOsOEodaV4iNaWNh4HJ8fqVRYG7C6zpILzF25c9+VCuSK8ImKqF9otQp8BzzgeIcgXkjmr58+1l
rVxBGHbFMAlKJQuMgfF2ajZK0CoBBu8H4Q2VV4xamccFkieXRyGZHRBpnG5bXLnTAbGCFODCOiGb
LDH2gE4R4O2iACSDGbr5nJqOAXG7XQ8KuBb6Jtu/MLds5P9xdmU7ciLb9ouQmAlegSQza3CZcpWn
F+SRKYCIAILh6+/C55zblZEokVv94JZKyk3Me1h7LSSU0TarxvZ5Q5p2bIAe9kGZaaFIovX2sdLJ
r8wTe8/TxsKhL2ntZbHQwn7FulqQGppqIzXu7TYFebAI82kJK3Syu/byIvq9ktPW2hkg0gNgBK1C
6NO/3JKc5Z7bA9AOLqUlLuZT3wk/KqBRTTLvrvOaz9w1fv39bK4EL5hJ4MpBEHppUnqZrqc10e+r
31Zt/a57DrmJH4bp/P4XdrBkAJ0Y6IVXc719ITwo2g7GfQ15gmr+hkb13gi6ju88jhunGlcHIl8Q
AxtofVUcTMPkTlP1EkSLbf7Z81k8Lk4E+tOdTbhVgEf3MNprwdlgISpVlqrtqs4FIMm4NzW2JI5T
91GNKCw2JmM6EF96h3nqu1/ELzXQ5MrsLB2yx/q4sTtXieCVDAv6UlfkCoNZTVmBWuE9ATy1r2RM
CYtJlj32vnnIq5+3V3Ar4r8wp9wshp23NuQrjHuv1EOGoiTzeGRP33GF+rQ6uniAXDsLp8aNcwiR
/r2TBevg+QfEEdhGWwmIptlIeQM+1vvWaAMvxZO3pMfRJ4BLPzJ2pLr9k2pspwl240DivQbXzdp3
A0EexSixra7D7GPXNvkLFHWbT420zpr+0jo0tly2gzrdWlAHuEYQWMAgiKUvDyMxmjz1JQC7IHaK
mhLg8pQ9FLyK6y6DoKqT7iTwt4YHxxUtuKvIkK6y2JrVYuotJMfvszxcdFRCAQfM+KPMwBwtHkoA
WG5voc3xQUYFbWEgYkcV9nJ8/TwPboua8327DMFKfOw/OLQ41UBl1+YeOdc6WYq7hY6c/zemJrvd
ZZwI9zrzfpDo/ZEGR0MTgtq6KPL3vdzTU1Sc8rU2AS1RG/44OsLwFCr3qAE9vKKTNEvmtu9OSyd+
V0tm/12MvhrBs46rDT3GEA1TG+AJL7VR80mePB1Ot1dm4/Mvftm8XBld8w1UlfDLWmCEOzG/ymJ6
9dnKnez14PiEa5Qnc/EJ3Xxnx37SPoPCvAFPvE+X2LLPTvXC8ndNNoemeMxMdPS5oSB+fHuUypb4
8yHwiMC5iK5LdJ+t+/ONy6cbddeVeVcmvV2e8oJWByF6FjLLQ29AsaeUvWHN9qBg7aAtBErFfyDm
b6xpqQF5RttceeeXAH1QgZHLSM8PCz389bDgXjouGmHR5Amu78thzRxSrINIy4QQDQ1I48mvl+8l
qUIvM3eeV5UYYZ1Cxwc154pGBGeRSozg1NQm0GIsk6LM30/sS70cdflhoEc5fXcA0oXsdGk8mYDD
L5BVXJb+qGtFINpTU/5yNbrjWKsYnf98DsFari2FiIaVoTf1YMydLqtkhk91LLqysQIf6qkBG/M7
v/Sb52ny0GjoZ05YGi1BiwEUJkYJAAimMg8zp6uPt1dj65tQt0bzM3LVuOQ8JbCA05HPYMaqknSk
eCj8p4oMhxlYGvOlFRY4vI+NG4gRESDR8yDNl4C6e8u0jvvN5bfOC1oSET7p6AlBILXe/G/23jw5
NIc6Fk1a9x5+37uygjLWMbfPrXfuTGxDYLldfQ8Xpjhfq1WwcsEh8QHuWTv6L61WVGSESayGO9pB
AQ1wj/0e8j3txI27Cg4keB7BdbAS7ipjw22uC4cXNCkMMoUceqcBFCj2qIm3djoEIXGfWyC3xsCU
y4IhVE8dMtIkNevQzGPhIHeY9+fGATtAE7B2DqnMQ4ZOAwMqJoLcS/oTFexIDBq6Px6RtN4552rJ
6s/8QngIKb8VIA9pj8v5dXOHOWlv0oTm9IOfEmhUih/OGDuN/4MzGc5pGmjzabZ+iSbqq3nn+tya
+LWTFqh88Fld0TNq2ti4ss3rpIHI6MGY5jl2MmPPg9+4Nj0UBtcwwVyDZuVIl6XdjEbd10ktaQiy
i/O8vCx1+UGr/9V44G/5NloqEZoo75LUilrmtovpbNq40859tuehbx0I0OqjGA6cM8aiHIjCWEbL
LIo6EW2mh93o/kinoUS/M5r7dm6djRMPtxEFMkweXgI1Cq/owtuBsyaZj3qRh6MbV/NpcpO0eB7M
99r8wveAtBuDI0BdAdKP7AnE2JTpQ4sOuPg4FqqSphMUg9QCX7POuvl6e2irV6jcZXhu0D8A1x/S
b+qGYH6bzS0AeWjrfOnPVhcCVBb6r/3wUIpngR7y2+YUJ3U9ZBfmFJ8/FaW30LlpEt1pq9ibLRkN
rP9VzFOFliEfnS/kb3uA/mtzpYMGoyLWULHpys5IjQU2S+PXMtDYsVnoLAmk6ncehvWGUOfSxMkC
Fg/JGrgMlzcIS9Nas2nXJBkEGUs/NubD9ApauqavAx2CJ7en0t7aIgiesDkQnyKsURz+tCGlnY91
m5R0yR6swi4OKQLV9yZQX5G+EOAqM32K+sw0Dih42jEX4HH2NHeOmqyaYlvq6ON0TBYJzepiZ9Gt
wOW2H04lA8BpAvEoqATzyBxdB1wuZXuv151x8tMROOSMIWvp9kMscF/F4EcHdw2bq7MoWfnQ8cIB
HVBhvlJj8cIUkxJAxwCXeJY3zxU36FHUUwayLvfjqPE+yjQzv6sEZXfQAtOfugU5Yu4Nw473sLVA
IDzH4oAcDfmt9Q5+83BDyses8cc2me0aQPHUaGL4/FPoeCWaNmtqxFJ44tWnw96+V+P7P5sQQSA8
cfSirRfJpel88cGmAYacZPBZYBuhNEzgjs8j+mCdYyXKiOvrc8diSEGeb2+UjTsfL8rKvge7iH8V
00wjC+F92SYjIR9a/yNUAhNvvZN3tv/WVfLWjvKAms5gtk6at0nKY6t6bZ50W0My4TOpwQIkv/d7
Qr7rd6vH7a09Zf+DUcPODAp7ovhK5PMI3nD/rqJtwLB7bk/h1lEDRwioVtBPCNJSZeO0HhioeuI3
CTcL+yxJYYIYirybR9r/um1pcxKRX0aXLwSsgd683CeprFva1BiULR/ayYG+PRpdyvyxH36A8+FT
S586fyeEVIkP/uxNKJYg7wOfDxIOysJpSKgZltRwQeaRwc5ZkQdEfCvsl9EcAoeWh6w+EaeKV2Xr
FPxscLjLwDkhmAab+h1UZeBlm0XU+w+zTu9cNGoNSDro5OX21Kjlrf9+J6A3SBshXaVmVPqc+Hnp
48JjUAUK9BCtqK0I4WhnB4CEP3fAMQ1BLgJ0UX64bXprVdBp+P+WFVcDXHWkSJ2qTZqehGxBTyOr
oqWrjhoZY5byg87zj8jO7pyorR0O8iIwTsNng4qPssMJr43cKlmbkKaKOlmHefO78H+49KX0n2+P
cOtqfGNKZUAZWNsIYWJuHWEJPA1FaBt0fCTuxEJrQeOv51B556NHeedo7YxRTbtMfmc1WtfiTp6a
Dwt6I2bjgXEWTcVnupdl3VxGMPMjgoJuOKoql4erspphcaVokzwtAsaf2iVZoKJDSjBGFO9G+qiL
nbOlwsz/7Fl3pfqELweyPFVtHJGWydyhYslieKCvB/tE49R1YFjcDqFRO9/70skCUi3aEeWP6dTn
eRtzv5nBoLZA2NMtfi4j+uA7bvcnYkh6alImTyae+BSEhTuO7tZTgW5aoOEBT8c7aV1OkPT11CQT
Xql08kFTROv6TOgCNuNWy8DkJvbKx1v36hpuISMLElqACBR7ZGF00WqWTPF5CncSsFsRHa6zf35d
ObULpZNVpPh1i3SxMX6o6i/UOafpk1M+leZxAJkKySJGjmSva+IPwZj6NiF1jWaYtXSAgP1yYANr
/BmHiCX9wg5pdY+8xYfe8kO7IAduDh+G6iezIsg6T+KZ0yHw3y/0fnaAeAM/SAG6iRxC6NWpp+Md
VOvClN2BiqXWvJ0L5urUg6jOAnO0g7sFyj2est76UrptXmosARHwvYF60ZQ+EvnQgRqPt+ULgOm7
kPN10q9mxluLYasaB5JdlzOT21MHhuUJMyMzeczFhKCfGpDIM5sFXGYmvcvx7oFZeuKn3nHmd2Y5
18fCGnyoOKfm3h5Zd9jV5+AyAGuth+BEBeLYAzeGSmMssSGdzI1Tx4M0OzfeXaOFy7PlzRH64asf
ty9bFZ/751YAHSNKyXjG1jT65SQgQzb3C2lYohcG1PuCtjPusp80B1tuBq5cNtUhn8jXqomrZgo0
kj2O4xiObMHrr33Olvxg8+zEQAADjmICHb7b37d1T4LsEm0xiHbRyq58HnM0kKJNA0tGNgKGZ/qh
1qVzYEMK7YzGGT+AGhM9pVKzD9rQdjuZELUB8s/sYCWAcQeTOtSu11vjjZveE8h1k4azxADeEXwy
U42cY0my4Qs4Q+qHEbJoWWiJpQFcoyAnKTkIP3wJAGdfliYLZnRF3et2l31izQAddWwo+QASKTaG
Dnj7DxrUpL7cnrFN/x7FY5wl+FEQV1xv1jff7JZ6BiyFjn1kznetMwGUnwIMA7d3zA71B8u9z1PQ
tNjhuOyREavl0v/MF9gH8c6sbNcqz71Bs66tJhPz9bm6pwHBf1ZYwg36V2P8x47yfKI/q/JKH3bc
+reXPubEBSj/mbIviyDh3OUH3w0M0r3z9zz962cCpwR6LA7ip1WIWrlNOe14g6YplhQEzDVp4OU/
610G0z0jyltEJsBVnAqvhZlkwEDLly59zCCXKAWLyvJU01fri+c8VPA3KRoYWzih2o63sIYRl5cR
okMUvFFcX3Ed6kJyh6PpZx7xHNqogNbg99HpeWcRr1NZiARBu4wcIJAXONyXG3WVMZXQU+OJAead
yuYBbe0AhfhzUYPGg4WaN4dc/9imO2O79vMu7a5/f3NA9LwamQECvMR17xdxNxlH2z+WXgiJyNsj
3FpHZAWhCmBYIOPQlcurbi2iNVnDk87xETvlQxpqjsXDus/2lOQ3Th4GhWce1yFSPoByXg5KTNqQ
muCDSppMPBS9Dd2ZLvCAC9IyPFecnVip3Ztpe0ax5P3tYW5UQmAbLxc8HMSkV9Q2PF1mPhUzT/zM
BaUvg6Ph6bkbjDWkyCY7nPjcRp1bglip6+ihmYCwIfPYnSErx86sb/dyHFfOBN6yVfMK8kIIXZEH
u5yMFLedM486TyBB+UFzy2dXggQn9360znxu7ObkTTvuy4aHB2IuZPRWZCPiZdW7dkyZ0n5seSK7
8uDldei77DyPCdLoJp+jEa41CjFhZfZRMwP9+LeEALh68QFkJQvEP+hPVBID1tDXBapP2GzuAM8S
8JucuvAcZgRrO+t97ZtfmlJeRXQ/tktljBhru3ydphKuwu9spL/RAXy3eCIU1viAPrdQt2dw99T3
nbRDKHbAf9FBn3Ka2B7X3dZBQ6EIaMJVHxRTcbneQ8V9XnmUJ2LJAh1CFajEyt0exa1hQ9Rnzd5C
ERgxyaWVyqbVNCDXk4D+8NgxM+h0/xez2cng3WFnijfuxhWogQIMFhT0x8oDZ3PdKqbBFwlJtQPX
WahLktAe6BAIQoSL1F7aVuvChlePbh7fNr5x90NaFmQ0qDCAhl8NwFF1aL3Fb0Tipy+t+2P2djyU
jXlEjgcs4ABrg+BUhb8wU28mfRlEogPlaoIxcXk06WO219q8sSkuzCiXQG4PA3MMmBGfrch+P7zc
nqXNnzcAyfqTikO5/HI3iG62hmVYREKtMdTpYa7+NAb+CyNwPSF1hwozIMWXRjrdKyjjk0gW0DPw
vAhLlODHPUa/jQVHEfcfK8pm40MGMqoBVkRkBztv4OZi//PbalVHL2TvYiVEUtYy9qgW6tZvbn4j
+b/ZVG/sqD5TphecjrCz9GcCNRENSCq/PLJqj3hl67X7AxYFpcUKCFRT91oDYrqyNXE0KdAPOTLM
EMCUdVBosY3wGV2Ga1/lEd5n/irlngjs9nyuROL/sa5sO1o01cgprM/LFFoWUoxAkxOpRRmkIm5v
vnXZFR/Q+fOug5kKKSM1+Gkmu0jbjnbYfK4eW1yjR82U08kG3ISOBgtEYepRhdzgo2tk0+G29a3z
BaJloGMh5wuYwToRb7w05nlAAJpNl8ziOZ1FTGUZLHO7Y2Xr3UaIBEjXiiYFqEHx0TSj6QbTZV3C
C5ACMS7j1oKwg+6h2x26C5mGnrPTnPOz7w5RuVix42in2yPdAE4B4gDZcg+QYPgrnnLKTQ+MEwYR
XdI42RdGHp3UQ/FTP8wQCXXJPQhcAtZokTOagemhCZEb/EFbQH4rslg6L0a+l4zZnHsEOHBZXYiU
EuUw5alL2ikbuqQAtgeiiZKC6mfZSXiso7raXm+MKDOfQcLQ0gzZJZoGEmG0O5P5nSW+kezZ0M/G
Hnhqb0iKi0Dy0tQoMHuJ1rPAGgfoqrhJbbZ7h2brfK6x4f+mTnXDqK6V8MW7pE8Du3nxyRL05udm
9xpaX6/r2SPAAiBXBMkh5XWTOrPzAT3jCaKkoB/MQ5afeUqDzrAPoKi7vUO3B/WPMWWDFnUL7Y4M
xhr3t+9/ycgrqtYWkse3zWxdOGux2rbgZa0I8ssjP3Eo1nrT3Ccc8ZHe/JDOZwmo4Dgd9erFzO6r
9vNtg9enfwVYrokSsD1D5l0N5wtLLqaTaS28dh4WYxN1Dg+4n6/EBb5+qh7KgR8daHY4QNoMO3Ho
1ZZcjbs+lJVAooA+IWW4ZM6yAk1YLKH+Kxy6EoRMnTT/dk6RVzUxlb4Bd9K6ErrO+tnRF9dFwmJ4
Bs/xeXBjLz0a2r1FZZTvIVc3hnRhTfEkaKUN4MVzGHB6iZEO4WgXATeXvQBk0wyCHX/trwLeRpk5
r/HTMvUJS7iGPIw3ujykHr+bMl0LEIOBGN0q7UOOQPNUo43kaGommivoYMViBj2x1HiAFM8Y5Wu1
/faW2vw0oMnWqH/tlFGOis9JV+UyZUke2tVPsby4e7T6Vyd/XdE3FpQ5nik6xawSFroC8SRrYgv3
JXWCsdMfrd2u+HUqL+6ZS2uq/zZwJxNDB2uU5Sgf6Ge7hAoV8cOqJY96KwOB7GJf5gFuB+4Zp9uz
eeWZKtaVhUZf2oIGWI8ljpa2Qe4uaVh4bA8usK6JOkZAt1a9MeQuDWdd0zeuBmhoKZEpxkjq48JO
pXOS2giSrBqlv72u+uv0LIaEZx4iiy7cDiQTL41ZbIac9FTxxJndO5Hzn574wEfjwKqwzCLhGYdu
Hvu15nbgpZncns/rNNFqfdWLh1I3QjwVgdHM6H6oBSY0t/PAbH/bgx21dv+SO20yldqj9Oy7fMye
AavfORhXb8gfy6gyrMrd12x+S9vWhlNlPOm5fuybLta+ic4/SrM43x7j1gkEqMaAKAT0J9AadznB
ZS5muggkQnQqhijjxApzIgCTQDVxZ0zX2xNny8fji/IJWh3U6oQcZmmjjZ4ndKFLOHkcwqNub+8M
aM+KdTmgttEc2RcuTyYTvYQB59HtCdvYkkhPouZGwO4E0NEftMOb/a9R6uJ983iSv4AzHhrcJBjp
sfCf5twK3TSeeExqED99vG33jwzt5bmDXWzElckSMlWecpNNve2VRlcglhEmsDI53F5ngsNU6BAf
q6hhohrtliGtqjEawXKMZn4yn9AYAe9A0lcAdzXwgAj2bNn5dBCN/rI0pTjNbGjDUR/ruNZ4zFMd
XpGtP7d2lj9Ws2cdPESKhzG1ZVwIYgSap+1xH65ffj0yHHAUXN1r7MyycEksmiOFYolDKfKDaVhx
20eAxPXR0IPV3hz2lKaub7F1Nv9n84qW30pHHxs/E4n2qX6tvvofh6BGzLDjT2xtRhTkQXftY3AI
WS43o4Mmh4rUDGmPxQe0XYcGRL/ofCc2+JOxUydw1dpBVzJo4Il6S2qNaCmwGAJcBOhaop+muQuB
xjaAtkHy6NizMnI1qAl4Y6RnbZhly7t8KYN+1EJS/AA9PvaKEdRtyJDtregTG8/oKjhqjH++vYmv
rzVUreGBwH0ELOYKtVpZNUNpvxZJXX0AU0P2mlrvqfF028j1kw8j8EhQJiGQFFdFPgFXmBafICNn
pu95vzyUhQyH3L5Dxjny8x1RzOv7E8bAEA4E+ko+oSIhmtRvlqkSSM9BUdms+EkvU7hWe1LDm2ZQ
JkRT6lr8UYsjeY8Dana6SPqCdNHSkgIFH0s/oUl+T8hrc/oQx6K2DqwlEnaXe1ZYqUAZwhBJZ94V
vh5NzSkfaUCzT1m/M3lbBx8VH7RBE28txCiuRFFwnpWzJ5Kh0H7WgIatJLljoAtAOwxkynX2SYdK
yu3tsWkUxR80IQE5jY6xy/G1S5uhxQE5IW84pilobGQRFC9GG1rwYWrvWA0/bxu8xhIhV4KX9b8W
IUZxaVFfILCoNS425NE4Uy36ZIV2PMdVBEmDqA2nUAT9QRytDyRMD7dtby3mW9OKS5iObs/qRcNi
aqn2wfH5t9zoIybAXeDVY3OoM4vsFLg2TfpIgq33HXLiymiFx7OmXPMzvDrbB4orvDfQk3HM6j0R
8Q3/DL7hyg2LE4iQUN0/duEbKBsiKTJPX6E9ZIelHZsV6PScc06cmOvPvnB2vBiVOQNXCoyiVAbf
D/cLXJrL1WRZhyJakXeJA9qrr/y1fZ1fy6cUtCPeYQrnz6YWefJ8exm33hGAJxH9wvH2kKi/tEly
s7eMlncJUBcA2/SRMXy5bWHrVLi4MsEfgNQ58BCXFmqRtY1tTB1c3eey+Tp1J4reCD8/GI11gEwE
1NX2kkxbTzD6xIFiglV4NutGeuNIEa0q7VlYyJtlDsTFy3Y4Gs/UF5GXWR8RMu4s3J455S3uMjp4
aWp3id7NQQpVZsnNWK+ab8J6NMx76NrsPP6bBlFaXTWI1v5sxSDNWk8bmNGhKuUscUYqAq+NVMeq
aeqTP079oe1RF0srKHbdXsyt1wIe4pqoQW0VwbUys6Az7kCUhJnthtUhzbs488o6arNddoatnbk2
XUERGQ6IqyLRZM6nWaRFn9C55Qcwo4D+PsOrcXtAW37DWyvrV7zZKpaxGJUO5q/EpWlQlM7Bzp+z
7BXCLTtrtmkIj+yK7VpZp9e/vzHk9tLx+3ToE6Hz0NTyyJKvhfGp9/cMbcwbSIrAj4mGUWx/1Zsv
mC+q3stlYtblctCroXnnpVn110kzyOcAxQgZRiCyyJ9WlDfDgRbGmGeS9gnu+VdggJIlL2LdyXee
1I39hqTc2gRngsoF+dzLWaspVIIt5vWJLJoAZfUAs2aBBe72Jth4WIABRqct9GOwGdQWUqnb6ewX
9ZDkbm6G2tCUIRu73xLwyrhGEyLYY9w9WqnNkSFxBu9tTU/5yh1VlbVpQKoFNovvff5k1e+04uPt
YW1sOTwiqO0SdHKtQP7LyZuZ200EgLek01EIo6NjRhoDfnSoPCfqAEnbmcaNnWcB5IFwH9VYB8rP
l/YAH/JnM3eGpOl8Hs+9u5x11pqH26PaWiycIQe4r7UPWZWfcdLFS91qHJAlWkIjFQ/t4oTWs8FB
xkH3yMy2YvKVHslFWAt0JrrFLsfUgdYnzwpnhGaTMb3Le5BY+ZowE3RjQqIM8WyYc38E/ZhmxlQv
zDtpujIWVWvuXFRbw0ZNCh3OcH5wJJSTwO0SdW6vHBOjd5ujrQEXL4wpcvvmxXSrpxnbe+dZ28jK
A2KHXBxavdFTZqrda37Hus63NZm4S4G3EwjVSICiP/ZZ1aPWydp3Q9/oEXwL7R3eG3ZfZyAIGXU0
jeieVu18zoYfcfE1ytOjIZk0ydGVydTrLLLatD9I14cEfO030VRZxd0A5mooIXbDnSGzPWTRxpsL
VBGcCeCt0aylvrk+74u2rusxafDQeoJ89bpHSN6HS/974cspT0EYenujbw74jcX172+uWDRi+hkB
0hXtx92xlV/4a5WK09pJZQWT9zDnn27b27gukHZF9zWygqj0qg9ui46DJnXbKVn8b0aTjP4fTTeU
A3fGtXHzgZAO2Ue07Gz03FmedBxR+lNSLjwewFyDqtxdY3y+PZoNKyjlgk0RkHLkBtW4lgB3J6g5
zolwvAdLQ69xZtOD1nf+zn20cevhtbWRIgGDjIfI73KZ9LHPlkYOS1JKF+KFrdeBcMzkO47XtZUV
auBj9+HVxb/KPcTdceb+4MhEK1oANEVg78HJricMFoCnRfCK1hTkMi7HwfNMy7IU262b+cHn6Izw
vDLU+J6K+MaVuhqCDwRYAXw7XTFUwS2VxtSPiT4/alb+wNv2nbuUz2uhzwzY8qXJf6Xjj2Hck8G6
3uCoUq1xCKSwkThT40e7oKad0m5Kph+Ff5BAPQ2RYe08glvTuHYTrQISWDBHObVWJnMDbbVTImYe
1aRHE3Mb9uT37d29sR0AxEeRBDIAYDlUdT46qZlelnVLomdPjEFFafl+28D1dYetgE4V/DrY2BBm
XO4GQ8pSuE2mJ8JrxwMrdRs5FHd6D3Rf1NS6jBi4ZQ/T6NTPf2+YIKuJ6A2oOzw8l4a9zjFotRQ6
oP4kEHMMNm130cATGRYS2ATa7xzfjfVC/RcrhX5YZDrVDrCCpNVoy3xJ+DQE+nhyKxlM8/H2oK4f
bySjAAdFoy9ibdywl4OqkKLCnVAvSTuf6u57btlhpT+tKX2n3TG1sclXCi24fZaHTa7q18/Qbhgt
Xyzo1CDxROXzMrrR2DtHT1vOt0e1sQltiMoh/YwJdG1bcUmQDxak0KWeQFHTD71BzyMhONt59zcW
CPU5tEnjzCKov+p/9agBUNSkJ1k9hg1NloyHXrkza+t2vsxzrwh4Ez4OKiAeatnKAhVC60G/rCe8
PszLk1aRsAC7dm4fLUuGfZ0eTP3b7dnbWCiQnLk4vCvuCZmdS5PAgqdV5Wh6MkxOHpddXYVaOS5B
BSrbvvL1ncXa2IIoqeoICIFAwPWrnKvU4LbNXW4k9TvhNCH3vDgFlR3wTFOzx/SxZQtkPFBoX8MB
UwXFgNDWZ13qGgky8UUxRd1UhEWVPzHzfvxwexaveWNA+AGyAwPwch/F3D8q4m+8JGs2hlLQzkwY
REjT6THXsgMdReAKemT697mDZHgGghgjtpv2kcr0oOfNYRnZeciNdyyTsZ76n25/1Mbl+fabbGU3
DQ6aZ9uJmUnFisNSRFMaa+4deDNr8jrY/c4B2UhWruk1ZNeQNMTqqj2aU04WlHUrPdHcE83qILVe
CkGjmcde/a7SXlHkRadmfHuMG4cfzwPYVXGprSjs9di+mfeiFTZofhsj6es5D0ZPTmiZTff0rDZ2
0oWV9RC9seLVtvSWrjSSdVytg84tow8asYSZOQdWuUP4tmUNCXXMo4nIB8Qkl9ZqpLzyiksj6Qwo
mbPQTB/RFjyBa7Lb2SEbh3+NqyBqisQrvCBl9kynYjoIio0ERJ0Hp5RVkPNSBoMNCGtD99LZG/sR
qRMTtw3oYldm7stxcWdsRmdOjcQfuyh1s3fg6yidF0N+NbTsURuT21tjI3CE/4ieImgKo3MJHtel
vVF4FW0oUBMmEmpcviztb6vpwwZSu45zmFotJun3oa0e/Mp/kOl03LG/cZvDf0UiF48tPGb1ySi9
nrok4zh/9c+5zD7NJol5rZ+13r1jnhXMgCFVwjrCc4pLQ/8GPfcwc+WZt4nnaa9FnD+wZ3Sc3/6s
6x5PXLuYk5VNC+ppWP/LaRmorDn3kDxoexFZFDbt94IkECGm5EsJbUOk/gkKVdWvwQ8ytE4IwLTp
q2RL0Om/itEGRySLUn/vw7YuEHwYQL6AFkIFWl0vyFA7GSBjmC8EL7PIgjKbo7JggecNh5UnfrZB
8ELnYzfYO2u1cY1Apg7wG/h8cMtVrKHBR2r3ZDSTYYAqvdQkKJstba/KsXXc0JAFUiiQvaxNpJcz
P46O0QC+ZCY2/ziNZeRA5F4ACgAa78PtRd64QtbfBzAc2LDru7grodxOrNpMGohYVnUWAe0Cqp8s
KEC+w8i/sgYvmUDy2kewezmuOpss8J1g4eqSeDF3ENZkaIWNp0kjwYSUxW9tzJu/9yQ8F6EHuA8B
IEKq+dJo4bpV7nmzCVDFR6fxIsCjIQv+OPbD0W32sj7XFB84NFiy1X1e4x2VisQW+dBnqWsmhrYc
WhBrD+CQcTPrsOhzBCKFMHXZyS3eZcU3n5V3w/iTGafRAgXJPO4c4K1dhMQIqAkQf6P5VJntyR0N
vpiLmZD57HefRvlSeh/m5nR7B21asZGy8NCEjxdHmV5Dzr439ZqZ6CV9b8jp0RJ1e3RI/z313T2w
yjXmHdO7djaBcg91iauWrdkt67bCjZXUHTLf4ghZGyDCY6er7ia9+5AVz438wfxDP0BFzNcPJu0j
Wnv4fy/y+F6n5sbYcULtNZrQkRqwlIdjacYJPLzUTtr66E+QhkI/hzO9gMfq9hxfN48AJ/bWkDLJ
WepYDYWefdLa99oIhEpWRfOgQcxyerCa6sNMnsFrIqBTYPoHgB8/1p22Q3a8PvFKyAESFzgaeJcR
3aiBZ+nJhYFOwU6WJs0ORd/KU1oKPYR+fRbfHu7GJfvWlAoeNURV6Lyc7KRu9Qdtoi8VWBRvm9ha
ubU3BXg/wDcRdyqXgg1W1Lqw7URveue5M1HircdWO0/TPMb2fhVgyx6WEJkkRIXoL1XsNTX0D0ec
nkTOzUE4feR6r8yxo6zfKXRtzd1bQ+uHvPFAjUGvStwHmDsOhpimCEay4y5tbQQcdWAlccOhiWD9
gjcWyCConMzOSVAM4vl73wNsege4tHXMUQD4x4YyXfPcMU+vhQMD02FmYd6dfa26N9IunvUzM4El
Xtg7n0bD9N535N0gntjwOuqxQNPL3++Ut5+iTKg+E1nUQE/ghaSH1uzCdVILnx38vVd/c2LxSMGR
t5HBUlP2s9PNiBkxsZSCC6wBEdSrWe7kZbd8XSSyV4p01EjATaFcWb7LOQgAPCdJ657SoDI6+JnM
QWrTEzJqUyt7MA35LO3ao0C7F2crRUtKO3jsgdj5XpvB1rFAtQ+HEPW3Vej1ci85fmO1jUydZBqO
zXAvuwfndXfD7hlR3kEw16UzB91h0pp24C33af6epmX479bvzWCUlEUxAGOnS99JRMWCuvxqgzFR
ajvezOYmeWNESWIhk1YXlcCM/R9p57UbuZJs7SciQG9uWVZiyXZLbW6ItvTe8+nPR+3/n1GxeIrQ
PnMxGKAHisrMYGRkxIq19OQg98fAf26jlWflUgh5fyizDzxrvNTzS9bBXlXqr85co9BZOhBOHPp1
uKKZVp7dZq4FxEa0Sv3Jt36V0ggc9NuoNLxa/37406WR8hbeIc6kNHzuXS5kWW2gptjxoa6q0hQV
ccstd1kUFGirFGvrWiruTNVSelGMeoLkm3mAkVd1GaJQ89SJ3+QqslXj3uictErvYxThdchwo0F/
DPRDqNuJZhzN+qZ9QRYqaHbpGsnzwiZbUHC/ZScovcxLhI2ajWEK59uTy+styZ6F0kW5CK2XtVmP
BXc5MzT7vJqyMXOybtxFR3UhQJMo+3jqgaNQtAFDRKV93kKPaOCLozudo4wwc0hZHcyZ+/wvnOWd
kZnXaxOe1PcK/alErtg4GYkDdUr34elyyITB1FCxpSsOImVmBYbk2nTzRp8+X9r0Nt8v3OUrV9ZS
ywoQAK8QkY4LkO7p1ffuim7z2tcGah1PRRwOp05zXwT4y7ZtAdjLiFMRDn0LmkFeS/mN1JrmIRoj
yMbBZK2Jcy6EK96ViEiAhgGUbcw+QQW07pC1sfEkWS+GhsyQvi9WG2WLRiiGA4EUJwKj6d/fLXcI
ur4rjNqg5H4D35MiO271+HHvYODgPybm62i8PJIyTFgKFTZf+tHkX5uY2RdpBcK+9Nm+NzQ7Ol/y
e4ZpCuNJKb9Fvrkd2xeveWqbtTbwmp15HiC4THU0DXaqm7HTPiXecJ8HwZ9WXElI1w5nFuy11Izb
0s0MPJ7R1t6ufNP2/b/Xj2fFyDyPCLoudqUsN55CkVYz48dtcJu42+tGpi05fwFR+6QBzAOIFg7u
fO5mRlO7ejxYlCUNTdwR9+SNHg3KrsxGaxMwteEHnn/0zXqtHjqLsNwnlEsmVg2Rlj0cG7Nrxddj
OcInZCfNjQjUmpvtPb8eV5a3bMUQeZ8QmiiUnC9PjCq3MaJSdqqu7g9yoP/V02BV/mB2Uv+sBda8
yQLj8PLMv/soHJtabRB5KYHk2GUdjo+pWA6PKvCdHYqP6NQm2s7L0QfI3So6CVnc2WEPNtDvkfQi
RCu3ObOpNsJUa6CZ+bvj//06KHFMCjgWQLfzPTCDfiwLuZMdH0bY0pBt2bcOkW7ddFK6TWLH1ZIf
TdA4FWMO5iEtDOqer2VyMFEMzYyVXH1Wm3v7MUAOcDSE6OjEzr4cQRDDBB47NI28TVP9sKBFKrOD
OyB9Ha2YWjp7KCkAcnPD0pWZrdv3Rq0Cmi85laA1R0i1oGqI+nzlWfc2fvPuC3pbEXWxaeaNIiCs
U+fbG6dlnrSNh4slsXzMRlk9dq7fHrWe7Q3MVHweEUHcZqb3JXM5Z83vxAPFsRvVjT5DOdDcNGbX
M43LuKNUF8W+l0dvU3YtcwT8ZTss3cqGgkbYmnUs74fOhUDKpfFvmpmwtZRRP7ZartlpWkhbhn5e
NSVKbvxWctlW8WvV9Oo+ahJ/96HA8bZswEOwvpAZ0l6cfb+FkUVtN6qyU7ihf2xM0XXUPI9+qX71
rUta86hLpbnt41JZCYuziPWPYYMJFnrR0wtr5kF+ZClZ7VmyMwr6vnTz+9RP93lVPhjicFQ8eP5i
aaXBueRJ5BLUAxE+IwOZvU+EoCl7X40Vx6fibHvBbV9B03Z9P+f5zdu6QKJSJKICITF2dO5HBQT4
hGru+SY9DNW+OPiv1TeLCUDXRuz756qm6rz+dmFwtqq6FqVGdjEYKr3tJTvppwCJ3g/9EzP+yg/v
0VO2Da/k/co6pz87/14setLQs00J47yCq+aRIZWtQRvafWz9bfwAbdOpVfdomkj32oFZvUdGIFaM
Lp0g5AYkqmTDErHwfHOrVIU4n4aBUzXNBkR+GGyB1GjiF1iG+1vmPGHPzF5DZubj8C8Tcyvmp2vm
Ys3cPrxcgHeR0J2b7zMX4bHOlR0B2vdDEqrlFzcujHGjmqR3SZZ3+1bUx91oStWv0ptGNT0ju808
1dwy1vMpFSQ406Q62nVBWp6qsv90/Rcu3WDMB6MPpQDwII6d/8DAEhhLFULFkXJzfM6SqtnJCoCV
TGH69bqppe/3v6YuBviiYUgtJfYUZ1R2OrIdunpjya7dxNkNScFJztbOfvpwLjb/P2tjKux8bR3P
01KOWFuj5rdD0d4NibhH4OCeKcN9iPwpkAhJiYEHDBu/KzZl+uNfrHhqoUOOTn12/tSjEQnaUgkU
VGXNzK6L6msuilvZGL/nOijecPQOabBGvrJ07Ru8kZGuIumFuX52L+mi2wteiMxloNxGvXlwNW+j
DvK9Nf6uv3hPRa1slf7OM3KHnsR25IcURncYIHBa//wW3IvvnUt44meBR2mWILme5ab+iKiokST7
QPvsVoJTBPom2MXt/dCItpyLt2L+4OnHMnnWU/fRM7/TnF+5OhaSD7JOyKI4A0bv5zMGvuFVsaJ2
kuNm95w04ccFaYSAkPcnsoI1v1v46LHGICyAH+KONf37uxccGLCiy91JqxL+LU3q90k6HMw8+tKh
3CF3FCHzbVDHDNE1CB06huGB6vOe+rJ6DNJ6J6xKtS9dMUgp/QOukqde0/kvagfdTzIBQUnmX15H
+cVXXduNk09Wm+y0IbbL3vRsy+tvauWLnEorUXBp92G5mwSIJ2TcXK6hiXQdtgfysVYQ9slwK1XR
LmX2dOhepTXi/CkJmH3z1Kv+vy2wcecrVcqMJ0uJLam6HV7r1O5U2/qin/T6libw9c97PjM4XaSI
AJNZGxP/AYO158ZCjt6M80h2VKW16R1uLNmz/d9PYfk5ExK70707vR42Q+1vynZXuE+DGm+u/4aF
+43BQfIDCZLaiXj0/CdAyBVGamPxgXlmvWUc1d1YRrzWw5qPor+tVJs4OyhBTmnK7B6T1T4QTS/g
0dZCnOP9pKn2WUFBXC+pQir+bdaXTutu2zq6EalEMn9bNOM+z/O/6MMdLCJQ3AFD835TIN/0Y3Ij
5f6hLcSb0FNXPr/La2ZKohAGYTgPLP0cbxOrOS2JqEJYtGw6Xl27wnsJ6l2FWpO7DTzjz/UDWDBH
Lkr9FxjYJBE18wFFDwWp7HlkgWazNt1gFXapHUsUN4KWqZC6HLjAuzW9xYUcjmhKj8EiunLq88xU
svyUUMeAY+xZlFt/Jm6+SaytpYV3TXOrG6/h+CsufqveTkqUxI7qNbmv/+UXTNBa5o0u+dFM5FtR
6xlkB9XocFONsOrm7qkR3b+D+TOR/vpC+MnrtBtDqP64gcw9n27avl35Bi+/92kfpmkG0LDQ3U7f
x7tY2/tx6jGIIDv6CzXoHawY8pDsm1DeNJZ2LKKnYe39sxBMz03OQgysDF7SJjyANKFptkGkAPUb
R+VZrsNuZw5GslXRdftdqU2yL2MlBsEamDYzo+LxuutdXq7nP2R2z2ShqQcEddmxhFAAbuwXj4M1
xnu1bMWn66YWAgC2DF45U6ZI53e2aF1A2DkDKOKUvroPVRUqZzV4Da0tLMPQ0T8E1pOmwJrS73I3
2+gZTCn2+FrrUKc8JP3e7H8Zk5bIhnFgHvx2Zq4KBl7euue/cLYbnudHdVnLCPxm7m8VUU6v3itW
iza1DR/AbR5/Ajm0D8QvaAkmyYn0z5PuA95ZjbS7vllzSBfR8vynzK7bsQQvNLKZTmNsjE/tsJfE
DVrKXcv09SZB4CtcKUvOuQj+sWhNwKC3wVBldjx+Hls1UEDZEZUK1qbuQe/ssTuVuWmHmnQjm7+L
EI7e7ADmHRXpfSl9HoLiUPsGael+8Jwm2pjeyq+ac9u8/SoyLgCdUxWGrsn5x1nIeZEx9Kjw+Grj
z/IQVLvUa1FDG8a70lWEh1ELA7uGHOM5bCuLAJaKO6+WoE2jXwsJyDfKlLB7QMW4KTI/3gaW2R59
q/rB/8mxeDY/ApH9KtVGdFvTCnjKIjlhLi5utj1QtI06JsNN21TSvwg6oJDQsWXSF8rl2W04Xfl6
yxTIVALpWpv64PCUSRaE3mombDJTf1QsD53dTJQsm4mrNQHEpTsHNlJs87ClhDrzr0n4QVZG7Out
ui3Kja/otpkHtp8iiYneqpV4KyncXARiOkqGaqaJcI6TYsQsz9ANwXALP1WcRG8aO23F8lPfmtm2
CWL/F0C04aSoLTpUQRWlRy2D5TsflZMXSeVRjoOB2QTP+tHltbTx4Kj9Y0HoZKdx4Z+EwlVWvr+F
SMDVT9UG1Qp8Z84piFJ8HBZSqziiNx4KVW7B9zYy6Iqo2ciB23243MgMAd4NPTHsgmTZ516e9q0U
NnULlqn+KsP1lxUfdzcCBoLbkDhMmJvZcbeBV6pe3KmOm1Z2mBXbwkRSgq5b4G6gPzjGkb0GkZ7+
5HkaPUmNTCN1ky4fKJ/zNWVJ1hp5HarOCEXHMVHE8C5uSgVRWFPaiE0Y7mj75fuPx02ucpkBT4Pi
LT2Cc6s6QaxW40BzyjH7qnvqTaH4n93AOo5N81C0juf1h2oMblV3DWi08EXxThWpGcOSwSc9c+/e
Sq1Ca03VsUrZuqlVJF1CZrSBxfT6PogEmFmRUP1TwrS1crhTDJzt9HStMhwyYd55Kp+v2TX0xnR5
sTrobdoRMvR+8VoOK9f35SsBIiNeKXCMTdXMN32kd1mSmUsUouhjOFEpoB83wOhnCcXa9N3SJipo
l8L+j9NAFXO+lD4RsjAcNM0R69bpVGVj+D9698b3/F0+uJRqx08rDjNtznzzeFNSV+NtCQpolv21
gqQ3dW5qTu9tveepyULcEW0I8OvBLpJN+f1vssYdsPBpkAExYj9N/01vjPNVcitUTJgkumMFL2kC
1cghGNvD4CWbNOpXegxLtihdgp+apMhptJ/bQnTJa2gi6Y7RoPitCzupkDaWKRyUNIHF5evKdk73
1mw73/I7xskoRjOJem6ukapCqOHcdmrhTh1vtXqXBocsU2BJjOjamifa7iBWN9fNXroNbUh2FJV1
gDpUiM+tloUZ0OB3DSdxu52XSu2m1XgvWDq83n231ZUEeFPZr8FQL78JzE7EDKRNEO/NeQsryx8z
3qumI5eoR+dSeCyj0Lu5vrY5gpp789zKLLAMgiqLmZpCYF34XxUvskcpeOYj3Lpmtlcqd1sIxWP3
RWFuyvKdCjK/1v/dhsEuXxvMuPQlfgkxnYoUpBfUxM+32RCKUBBhuXfyQtwlwR0l73xobLATtCFX
jnQK1OeOdG5r1qpxrapode4KJ/XDx9EE5+LqOwUGunhcCzoLyfZka4K/TvcGdbfzdcV9pxZaiSS5
NG2p0AY/gqjq0aFEE7LxymiTZqV86yU6En1QWtzpRdR9uX7KS66kkIZR3UKSFEzP+U/oo2xw264y
HcFvTVus685WcnVtWmNxpRP2BCYGbmRKT+dmqs5TxTFtTMcLP/V5bvuJZsfKQ1KkTOgmh9AtiHwm
syO/ri9v6TQp+lBMo95wqSQjM17W5B47nBVJAb6i758gwr4z/B6yXb1bG5ZcMsdcIXMVzKlTMpxF
oUiorLSNRvPtRhSEh678Hvg8XqS1IsrSsb03NLt6rV7JhqIY0EFOcmB7T6G5psGzZmF2YloQDA2Y
IRP5M0e2Xoc1hp6l0ElbCaoheqKAECb77+71vulKVahF0+mF0XZ/t0/NgzJCDLkHjH3dBy7rLBMR
1ITbxxG49maHkiaRlvSNYDpW9s1NbTLpxtvGw26DIF6nrcCGlrYNFycTI3rSaJ6Fj8As2TSmyJwk
cuuNmrnlJpeKNYqVy8xrYihUyXMhtJsYm843D00O5D7KynBS4SVjxH1AUDceVpayZmS2b3lkuTDT
1IYTyj7M5qKdS3f/ZyNzR1aadMLhsZLY28j5PSC6bbAG4FhYCakWL0C8jRf9HO5gSTzd5cEXnSHw
jiCUnKCINoVarjjagku/cbQz4cOT5yJVLWXmxQIhER09CLZgax9y7xSp2zJWv4wxiuhVv4LHXAg3
MP8xfQfN1QTTn2WtQzomIxFbdHLjoGufjU2mTKopK7WQpd2bZiJ1imewTs+fNqno9c2QjKJD7twe
zSDeRkJq7MHH2dc/1CVDwF4gXmH+kord7Do0PEEUa5n9C7XsewkpfOpbj23ZHf6FmYloE1236eEy
izw0PHU5czGjRHCSG3d++KnRXq7bWHIF7h2IzmDb40E/s+HnEQIPViU6SVHbqJ+kbbtr8z9t+mVi
9lhZ0EJ6RGBDfGTigCRFmrlByqPIpA8qOt597d7VRbYtdJ1i3e2a4sFCcIO8j+7gFHaop0z++C5m
h7I3igzJio6g/1Tdv1324XIEbMHv/v600Hd/v5LkSPU7/v443JvZj3/398mzpoIQafu8+KX0Uhjr
BcjKxiwqgmYY2ZFVHq8f/ZIXU9+auMsZ9kNO73wRhZb4Zc50MHIXf2LUAnvQG1K6ktcsHvk7I7PY
7GqSAJxHZiVtsLPc9gE/9jT/hyJ+z7q1CtpSmHm/olmMlivPi9paFJ26rQ6K/COF8STSo60mrDjy
0ldDiGasXZvEPMyZfymDrkKGhCGg+JntVq/9+KxiUt8na7WLRVcmynArUNwV5/QPbu3xcK0sYnVF
R3C0deRvr/vB0q5psPRB3MhLjfrauR+oWichQo4zp0nyQ67VZ3EobtGojL01bPeiJSI0tU3AScSA
c0u+oI2GT+PT0ZV9otpawXPUzla1fJdOZ4rOtOOh4aIxdW7GBDvnJ2Q+jsaYeXNfSzuBGrHUInYE
Zr1bo81f+o7ohoP95G0N9eUsquUQf2QKJQTHcIWHkE41/x8mRr5dP6X5HNb0yp0Avdw2pIbgC2aR
OgmBEWlGMHX4i7vUg3gk0gb0ds19rd3qVmPXgWdLZfNcZ96pR/JuVflxaV+R6bPgkQFZRNH3fF9d
2bOCUookZ6hrW21eM/PRijA1HEp9m8VP1xe8Zm3mLKOe6xDIJCBME98u1XxXeSLjDwYikPtRGHZF
razJLCwFK0oy0IRPlRmgbOcLFNMoLqVaI01xD2qA3GTXHmTrD/Qrm1btf358fTBX8qB+o0udk2kz
rxq1agSEqMs5xt5yGmow5sRLUNhgMG0NUPp1i4vLmyhAJzg6gKlZyq+HniL1GY4KcaotJxFMHIWt
JEeqziSZa6iJpc8CyC4RkouSbHZ2fqYejrQKK8nJg+dcv4VqRFujM1loE5NOvLMx+9KTMcgsLaJP
1ZP5g/fi81PhIvvcSdJ2UGWEsY70w9rgV938i72ccj/yGQ2Zk/kNzY3ayFVXSlMZD20++IF/daig
QqxFurm/fm5LOwnxPwMEVAemh+G5W0p+qzSDhy0EtpHG0V4RCt/U1Qf58d4CDFAHioMyxEYXSdM0
fzdEUkPTL3tSGhu+JtQ51siulq4AnIFOJahmCoKTj77LnKhDFgKJqOR0sFx10cETBrs0H8d+5U24
cG0iFjhxd1GMh9Jg5uspSnuCOr0FesjW7J523VHOqjWq1oXVTGFiKhZRMWLE43w1oyoNfYZOhGM2
Sb/zFLXaKaNkQ8659cxcWImIC37A24biIsqoE8vyzNuzLtMUvyOXUsNPoXE3Vs/5ePiwq2FiInsk
CNJmmH20Lg+mxm24oWPgZBMh3l06VC0UsNXK+Syv5b+GZmvpUa/KCxbr6PnfJnBy/2nQVpL0RRN0
YqaioUp6O7swa3recjCtZRhTSD5vub/sdG3DFv0MxjuIV2gfgNE594BECITA73zJUSS3vkuYobuh
a/rl+qksuhnPdDoGhAHmic6NdMy3aJGUS04MJdU2dzWY1FTNPdajX/0OLKC11+0txdUp2zQZ63l7
RM0MjpXVaVmTSo44Fs1Nh3DiVtWKcEOpR6RWJPg7I0i0gxQVOHobMlYhyfkWMas1BNTSyqd6s0hl
DHqbucvXVkDOI4SkHFloe/JdZbmvbYokS/O8suQpeZmV03k6IKMDehJcqTZLbuQOfdN0KCRn3Jen
sbqtkb2M7UP0mZRxTbxjCgsXtqaX6dTUBk8y88ye1kFrdNgC+WVr+dEdSDAiyTbyfK+qL9dXtpBH
TYgC0IsMTss0YM+dJ/e6AaITzjJLnCR1BBNIrv59bPKtqbw2a1wPy9ZobhHdZbCB07+/i+8SLevC
L1layQ2c7Ho6khv1d1FuJd2+vq4l1+CS+o+l2ZdX1yHBP8FSOykr/cyT753WbfT0X0SRd2bmSW/c
WUEodCRNlfml1cuN6P9IrJXAPv3UuT+8tzGLul7fdVHVTv5gm4csPzTG7r4eN83vLl5ZzZLnkXKi
dct4Ox/V7HgQ9ylauFFIJZRc3prVmO5UIyhvSFGbTZrk3sNY+2u35MXywEiSbYKdBUtDP3Dm7lUQ
ikYIBsKRx9GWXe+m89qvdbPvLeumVXM7GH93kf963T0uoj9lpiksk2MAmQOkf+6IYhmobdnKgiMk
2YNQ3IRi8mxp1QrzwWW/aDIDFnZCjkwPzvmTIc4TwUIfzImTYitZn/XfKsKezEkxeuftm6C46dOV
YurCyrgKaOQysMRYzfy9Dpk0Qw2q6J9g37LD6lC3o211Ky65ZmR2AwwE/7aIZP+EOIwf7GAPUsyv
Hz6hs3XMts51W1lJNEz4emXrVOn4gvOVNOPiep4eyu/2auZ6QmHxqOsG/6Tfpvvyw3cGfx1QyaQc
TT5GE+Xcx9og5s8bnESX3lPTt7UvlvEt7vdef1tnf71k2Jjtx92aRwAAJXpRlBrmgyeFDtVQnYz+
aehAP1ulzYTvpm9XwsRFbJ0WRl1pmivhh4uz2Np5Pq2gWvdP5NgbQYzAfFS2lNwO7d/rPnARj84N
zZ9RYmrqQiXDkd2GLo/fL0lwcvUDg4cbcQ3hdenRVIIm+nIKT6zp4tKF/TbTSy05BXw2BR28GM66
D98W/OH3RqYf8e76ayuVAsmIEcF3b0ULC0K1T5IPf5xYYRp2Smsho5o3BtwBQs02VJPTaP5Q+wrS
4Nt0bUD+ElUxLeWdkdlS6taPKBcqycmAmdRPul2bGNsyj77Cb3RnhYlkd25pyw36twMoRKVkxDAv
TuAUN32ZM4y0Vr5YOkB9ev+qylRynVdCfb/O+jYNgpMFe6Vm0KY6FGsj7Ss25sS26jioIYwKwam3
vpeitZm+4aJZq1OvWZnd92rkW1lVspJSf9EqqH+kT428JpOzZmQWwbu0GvJgMmJ5z4GYbyTULbTA
Wwmwc85PsIsUwYFKgPHh46I2eO7xlRzAlJuIyalqIYcy/ePgenak2gAmzCa6E5t8lzWZDTPAScq+
BPofJS73bZWA10ZVOP6D8xzFSr2RYeMcyw8yGk6/DgYOQCMAkHjYzs/TEv0uB8eVnXK1AjqMaMe+
kfRkE9RJtRuUJjhcj2eX9825vdnJGlHuSZHhZ6cC+JE6Qka7psG3ZmF2rFHc+CO6ntmpjyAI0v8E
a++Fy2ztfAmza7kV3cHXNJZAP7NtIOcJsSP8keC5yfQtZdGd3q9cpGtrmt3SVRTxpMzj7KRkGgp0
iAOLK+ey8DGc+cH07+/istVlZda4YXZqpAMSl86o3aK2voIkXDRi8HycuGYRWpodzaAFvhf3eXYa
6KlsaNx+bXNiiJuWfz7uZdP9zxOdD46u+vlqIDvMGHAtslPij1rKzHyg3jMdtgaGuswCeCmQ2tAi
hM4XQ+dmUMx1O4HR4VPyrCCZa37tKmYtu5UIsmSFJAOag4m+GWbqcytVHVtNQFZzioRdkotPRSb+
VasbMOtrYJQFN+NkGJszyNlMsLrnltKOQeRWT7OTNaaZ4yKFtbeC6vX62Sw4wdTuhGqYDgLgmtnZ
iEyI5GqiZqdQ9KqbXiq9nwKMvHZN+W4txC9t3Xtbs63rzEimNIytYHwRi/JG07713MlqKq0VhC6q
IzwaqdhOZRiyQtp351tXtwOVk1bnCzWEfUxGsBmj5pCX5UZR4m0rJpus8B5iX7+p6sfrG7oQj85M
zzaUolIyMUPwVdEVt/F9eRuTivrZro5/WyGkVEJ8agKIc6/bXdxcFLgYVCdZhOT7fMlS5FZSVGbZ
qbJ78ykW4SA6rqpTLnrLf43MX6kQRMAl0vIli525dfOXJoTsKDVQVLm+mCXXp1RCWZ/RYOr7s00E
JwrzWzPglTVyvgrk/dshLtY4Ui+z+amEBnnINBoyqa+fb5lsllqkul5O9kRfUEic3mjuVcP4FTDW
aluqvPL6Xtw9hkHwR5SrYAg6t6dkjZoiEpKdzCBLd9EwZjsByY59Jq7yTi5tIJpkUxNGh4ZmHgur
qNH0Uonyk1W4h0quGHt1tQaMzPVzWloRsCKCBxBUZiTmTtdICb8gy0+V+Qjf4NbnJVQla6TIC4uh
eDBBv8BJEd9n51QHsTkqRZ2fVPEA5ycW/kXeRWGElBCNDChd5lehX4cCquRtcYqC/NHMYifzxz+q
7P/R0jUFhcstg1mDIRpeBpCe0L09d4ImTqJUQtzwFIY/hOwLrwLVeProqZybmF2EddJ0TZuFyYlm
X4/mMUMWUvpy3cZlmMMG8w4UagGa4gLny0Bd0m1LyKpPcVvcuLpT+C9Fd2d6z0p8EOGnEVc87fJb
Pbc32zbdRc9NlLFnUa8Q74ZNlEKkeiNa2+vrWjoesiEke6ipU4qZ/v1d5iVH/IcKfnLKK8tOPd2J
gzsVcoaPWiEdQpKEehhMMBg6t2KGmacLaZ+c+l7d9QNstOl2tZh0eUQYQaDHgmqDMdB5KbgoCJ6F
zuO+K8ZN1hu22jFr0P4N/H7DsGV2qLJ4ZV2Xl9C5yVncrge5NhqodU+hJmyk7tUApYdDrDLeXp4S
dqDMpFRKuYchuPP9A1gU6L0oY6dTdwkTUhZMA6sY2oXVgDyY7LzRVFzwFedcQpFuJCc5jzeGK/Eq
SygaiJ9Wj2o677OK+hSl31maxdFhTMS81rBkNV+C/s7q1liHLg2AyEI3jOSAfhxQzPMNk01BoqA0
uE6RHNMIkulgDZ53uVnTONIE/iT3Avw5u9yi1FekvMosR2jKXSS8esnIcHd6m8r5Sii4ZLOZsFiA
l+BuYSCJ59/5YoZRyktFKVxgFL/TemuJrzQ89siQ2ojQCKN8bIVbhp0Fc/iZU0nI65NX3ih1sNPW
Bmgu/XAiV6e4CYoXaPp8Ui8PrWZU2hG6s8HsTrnRxigZ0SYoLTE5Xg8Zl4AqXk44Ivg9mlU6IgHn
q/bLEOxrVLv0QupDbv6p/XCn1NmxF+TbPokf9VSkkl/ZbfwzyMeXTA4//F6cEGNTjwJ6dWDEsxDc
QbVW8coRnFxpt7JyCryXFCmn68u8jPMskwFx0iPufLqA56vsM0tRunpSIVTdvYXYHNHRG6z94H9v
lB/XbS2cHo5KI2TCD1zqD5paWSh56wUnOBt/xsZ3xJOiVHu9bmThyyOAcFVyRzLKOSc5LKqkjgot
8k5BXzTbEbIzOE/UNZzKwrahtsV9TBcT15jHejluinGgOA3a7g5Wlnulug/VJylpb9Xh5/UFTdnD
eazi1UuHG4J1ianHuSaEnPiQ17gChTqz3SYQ11OcdpVqD7PoJs7/FvpKcf/ylLDHUP10ShOv+yyb
aXxS5tG3ghOi0EfVH09aLjgWRBrXlzXfwak6TXmCqe2JnIv/ee54gdqPRhA1FDmDpHWKSihoISXp
XswEcmd4Qzchu/HBT4rROwovTBiA++G/lVnxKgm9WOUVGp6q9FaQXqaWUv33+rrm/ocJZmGZ0YIo
GYzM/Kqs3MBI5SiITr7BeE7We588LVkb077cPITUJ64hHB0S4XmbJ+jM0IqGOjq5QNhMsBWuIe+G
tvuVwVgYdmvePneJaU0AiqAPAyyF9s0sSAStkooaPG4no6JEG9oULwPj2/V9m2dPbzZM6gfUlHD1
eU/JaMwgLK0+OqVpvkHF0QY4j94mXAZ233xOSrstv3/cIpO93CWknTzeZs4wJnKQ5GYUn/JS+lU2
wfgYZmr3YBLYt0VVhje+qw+HvuiqQ1RUa4xc8896Wi+3CoxOlC9gDJn5v9hDUlsicXNSLfgrwto8
5o32FSmobdP1B2W8XU16lnYYjKA+7TEgrrlmal/WaiBDNXYyR7naMvGrbNyu3qtiYdixEIUbLVay
XVKKLmIDbbXyvV9kESyYdzjYZMIYtbw5elZohMbstTg9jY1JshoU5QGp03aj+lR1jarLD2KdF7tI
zpujlFshvJh9aN2kfd8odqqnww5N9PY5q93YCZIye44TMVgpJi18vMznQ5BOijthwmaxr/U0N0yQ
lDr1sRHtYkEtv8eaUK7UJS54m962AnAbpwCNjzyfRIJGLDWlwoxP7kuW/w0fwDtmB/0zRIzuXSRv
8n6T/1GE43V3X4gZE6x+ElbiUc9Ix3nAtRTXlEeJ48+lv2X7x7+XhdvkU/hy3cqCW59ZmaWlamNk
Cf2e+BSljkdyFOW2ZHyGD6vQYltco/nRZ3fjPxv53zXNPmFNqQ0vD5X4hC59v+nk0oO7Bi5tN1bG
nVfV3vb66hYCIVgR6D8mWXieq7OPtvWiaOL/iU9DBlsj9/1toq5cv0vHxLJgepp4U/hr58ekxVFT
8QXFp6zJ/Y0mhtYdjyIfgfDYeMzkeLTzci3TXDo0QCoEQ9Jqqt8zm1SQgjpK8MfGfRx2lj3a0vjL
L/6Gf65v30IEkokBU8JEmZHxq/O1DaZfiEbJMxz9ZoZKPU991nW9usvdtNgNnaDdUG7174dM+Alq
dq01tmgdLk6GE/gM9Dl/jhAxnQ4tTnIq+mjvx91g58U3owCfXe5aofw0Vv73NFrxmCUPJbmm/mhR
KiOhP19yp3YFOFadyoMb2VPvs/ef3PLTmhDekmNyQ9OLIZmHZnP693dllDTQaqMrMRPXtxVkNIp3
l6+1/Jc8k9HJt0YuE4dzWEGnaE03iJONwDaOgBd6aWOUdpetBKq3UZX3Ge/0VaMMBhRsepeAnj5f
TNB6amcleXoa8scgCCgLiRsouMPqSRFtMYVvL9snDZiC76Vb20L+kFlbV7B2pe7ZXRjavqsAsq4N
BqODh6r7KvlHt/Vv83HtZby06+9/6LRj73a9yfn5bVilJwUSXRrW9qjsxyjZXf9qLl2Ixwy8T8Y0
GQW2YfbViE0xdEMETkxuX6JnhTf3KMVHqMnXrqXL5VCcn0gswbjCdjIPA3XRgGbMxfTUJxlSTa0t
SD+LJrTFMUO7tN1oyAqntf8iRZ9MUeCdH4FORaaz0fa+8Pv6ohfSBdMCXcQokUKF+EKsHsHW0Rh0
FzxOuW/SnXsfW4d6/B0ktyQIe7/ujskow5mtOGb/O9eCp0IpN4P+twv213/JBYSBz/bsl8z2f9SL
XJAFfolubNVhB+Lpodm1+3Yf3/iP5m17ozxnrR21dhXv8+x+jOxVDfALHOH8N8yu1VwBDwI3NSXm
7ddu52+ind18re/XPr03kMz5p3e+1tmFGpS1ICS1RYzcNTtp357qG3Unfbb22S133W30FNyOTuvU
R2P3CHvsXjjAGnzg2zp4D3+PyafS/h/SvmxHbpxp9okEaF9uJdXaq8rutt03hO2xRW3ULkp6+hPs
mfO5iiWU0P5vPAMYcBapZDKZGRmBsaj9sCtDtgHb8NZZCafXNxV+H947OAvi/WZLca4em7QGESq7
r7Os2WbGjPPvOk2g5X2/U63U2LTUJhvGurU30MIphGVRI9HxZoCSzeVZN+Y8tfU0ZffZrPhdtat7
KML6bXe47W1LZsDehMlkMfeFguelmUJBWqCONbtXLaipjT1UI8zyoclpkKyVY5b20hZiVoD6Ygzm
ndDwLHp5iOUudMpx3BuQ9VkAi/bDvUHuwKQGPE79zVrTAVvIezEThexJcOViVkGehpjdfAKEirL7
vD5Yar1V+C8HC0vfCIbYiYaB8hwssfG9BQXTleH/q5kFcYLObMsVGwxDkg6oWHbfzD89ums1FLDj
b3ndhZC4hvBxP/4sh23cr7woVu1K0YPMVZqlJexCN3LrcA+qZM8lPWhHD35UGsHcg/9xeiuhDXLb
k5aiuYuZCFHmNrF0KfNI9XJmw9TgqChNGtCMpWjEo2akteVaj23Jk9CeFTQoSK2upDypOXEMTJrs
PrFA8+tRqux6sOT4DuHztvS6dJPaTg86QlavHJf3lFEOWGemZaEeXtRzDhw7u49tKzAy88Wz3zq+
1bx0O5jdQetsHxDEGTybnzzo5dYbPh4T/cvY5A/EbnZT94xC/V5/tmu8Mm9/gKsKsnC5898mfXrH
TAwHvCP49N5Rd8JW28cUYyqCy2sbT8/eZsSbBdeXF9w2/N40u94UMdkGGgoIukiGud3VXs2wKcUJ
hZTDEzjQyatdBr8aXwtQWfG7IN/ofuV/+Qa1kyALMWYSVEGyjbfi/7MQ+dSGbG7/quv0G7uB2hGq
6QIUbUmRrWs6G5KbHAGU7fqkDMrpaS62Zc521K9Tz2/mNZq46xOASUHxEYBURclP7pZDy2XUe7C3
3af5bPlOE98RT419hdb720u7DtrnhlCyvwzaaWO0upl1gPUN7h3JnC8x6Lwa0w0adWUTTfxLl19W
WBIwZUFwiwG4S0uQKOKoogCo4fX0B6pLfTDkBV25ZBcc99KK5D9tb/e0swcguyAlp2hdoFe/vLoO
8KILpnL2qdVstB7iBsoGsgqtX1nmSm1u8dMJUTtwu2Oy6/0Xnt1NlslnZRQ76ngvKNQ22oOqv9z+
aNdBC4vE7DHilYEKgnzTJrXbMqLy8p5HTnesg8ryZxqQrxldiQPX76ZLQ+Kbnq3F1WuWOsDj33ce
xuJDpdoN9tb6rDYrx37Rzvt5FxVurOjSzpQZZp32Kvass3CavmjpJ6/tg6Q5uiDCvb15ix5/Zkt8
v7M1UdLVbhXDVgd2IGMzaTSI681qMeQ6ZmDrzsyIn3FmJu0bxSTuCHCXE8Q25LC3wD/FGw6Z482o
b2+vaW3/pNecG7tNUUxaeW8nv12aojB5ylH/U+xVopu1ZUlX89RnBatyHbCuvsQ0F3tInbHxdYhR
6kA7D2xLJu1pgnLu/22B4med7WbLoZeV21hgM5sPOTH3TjqEFt+jRuE7xgpuc3mNCLoOxL0xZCV9
ulYbY+CnLRgbf5PkH0vvfKvw4YxakQTO86jxFZdc/nx/DEqfj82AfUw1NlWzfqTEb906aA/EfLJP
t3dxOTqCXvX/r0z6evaA1IqCuO4+Te77V0txP0/dhqdvUzPsZr73kLd7WX/AOx0jUis++j6GcnUB
nBmXviH4eXMNb/DqHtB15icVRGEVK0MlvwHs0o/t6aujTWhWAIPpbNLMA5mlUSdfiG2noV2k7Oh2
Cig+FTB5r2yLuHqufpkN5kW8klBFMKUPXsTeoBAOtF3xmNzVgeL4ykv23H/SC39eS6oXbYmZbSEp
BUCCFOoso2i9ZML1QN1dYn41St8gY2B/annQQSkXAsNutfub9eGrY0YWpDF4M12eHi/HLdJaiEUd
JMOtDfG+DvUn3d3ZxknhL/H8a6xXbiixCnlHwfIGcDVKhxgfk67hStNaMhQIsnPFnqnnPXTatLm9
qqVTiv4XsB2i5nzFHcHVHASGzIUvO/sOYYAXd7TnAVefC5L7tHurzY+1YEEtbSMtRX0Pz3j0E+VF
zQao4UE9bkSN2QU0fXIy3efj6+1lSXf7uxH0EDHQLCqJyIMvv5WRjoZDzMaIXP7d8aKZt0DB32fk
0GFOqVRXXF+KPP9ZwxSJGDZGfU6KPGrb1IAZjEaUzYmCCmSy0fu83ZiJE1YWv5u7YaVSJ47SmWP8
a1C86tCCQBVEBpF74wj6WsDVIz5u0j5C3RdE7kfQ76xkFJID/mdH8KmjOoCahxTpjDjW8hJkQ1GT
Gn2AZz04z2NtrS6/vJo/VqSQViUcEgQY9owoFBetdke1zh/j2l/Fl4mk5HrbMIABRDUqivK25W1R
pynwLpGpqEEBFYyktHxir1x8y8v5Y0W/9L14rEGd1mE5GIza8uyxMQbIxzX+R4Ea/32dP4YkJ1co
StOlCUPwPr9nJ7CWu85KHr7kAaJBjpMKKBtsXS5mnmZ0FgwcpHbMzLu0SIanzMw/SD/9vhJRh4Ir
oeqF7uulldLrea7PnRn13ic3frLUcjh5RN1V+vApVozaT/RxPNwOEUuHFvBj4E4FMhgitZc2jbrq
00H1jIg1zcZtfhHlNBcJgI1TiKLK9raxJZ84NyZFCJeMbZ5WCnxCf6iSb2Z1oE1A1hhNlpYkSPtB
owmgM3Aul0tShq6b7TIxI52nr2DOn7000O81m+47XVm5OJZsCRlQTBc5kBKWP5mR10mPGGRG9HMy
vNmAhMbGP0U3bNI1rMuCC8L1gB3AcxDyF1cIYTOeTHdM7Sgmc3PgOYC1aZ41H1+PiHKgo0X/H6FO
OrUgrwY3WpxB8pv1uu8OVjRoTVACduArJP2BycivH3YJFHgdXBdgWAU9jPSxrNkE9WBaOFGF0xcq
emEFTg0JApJlgTWt6RQtOCDIqsERJ9jWRXX50jW6jLdl2cLa1Fm0CIa4TTXUfHH7ByiTuD/sXgUc
5PYKxQqkcAthKpQfcSmKcr0U1/s+MVDuxS0FQjojRqWz8BV2ACPdY0nSpyZuVg7ZQnjXEUWQyIhy
z9X8Vg1+ZK9oLSMiGijry++FwF1j/Pn2qhZ38syK9N2Y0c11DdRkpM97A9wiDOO/HP2f+YO0xSIo
XixH2r5UHTP0M2wj0sy53xYa4FDg20JNtV6Vv104zAi76LQioxbETpJ31AanZQ8ZuIhBqNucI2VK
nut4uGNG7ufdo2dA0av0a8jKQGP7brKeDB4qcYCJp7nIA6uu10qnYm1XriMIM1SBFzLedZ/PXqpM
FyikihjRjKTXg5xZDhTnI7V3M4kqjKP4GY/3H/+ueE2A1gC1NfDuSN91rEs9s4vKinJD9x2VbYfs
UzH9ou1a6WTBTcG0g/knJCEGmvUi3p2trWWTo3ZKY0eT8ugqkZlsBnvlob/goxcmxE84M5HOU5W2
RmdHdJ6TncvsQ6ZmQ0jS3PIRbcqVl/dChEa3HnxF2D4hUiRtXQw+zVR3Ce6dMonvvKkqfIORciVC
L+2beHvhIYRuhu5K58GdtDHphsyK4g5FdNAvDg0aN/DQ236wcBaAoxDYUDHXhyfR5d61NpL4aWBW
RM1NCqbOnFF/Vkp0EV7UcY29dcHPYQz5NfCiAmor7VzBhh6A1MaKiIeeadwFfAi75gebXtqcblXd
N7LX28tbtCiezYIu1MFY1OXyKg/kOmYJi1OsvxiUZse+MF7aBmiJdoRYopMn9DBMihLOpTOFt42L
5UjHGsQhGGECJZ4KAL/kl2zKYpJA1Ceyza1FvhuhEqj9nvfHtFu5C5ZOAPq0AE7gU2JOTlpmjTSJ
qEqH06wYfqG/jT31c9IG2Ro306K7oKPpImoKvIr4IWdHzfb4aJszsSIFarKd+qszvjvNqev5lvOV
T7dkSuAyRECEwoUtBQ6vBS0pQpQdaX72AH0dFDzWprFknIG4dBCU/tiQvlDnOmmuZcyOXEjmpbx+
iUG+4zW/SlYA70GDVoH8U0ye02Qt5C99MaCK0HMGfhCESVJ5pYdkb1x6sx0VNkMl3nBCnZPA6rwn
V0t+3/ZDuYr2vsxzY5J7dHHSzCydoN+lkzLZqQnImjeFlVf3zqB5P7WZ2/vESGwQ2A7HoZirB6Xt
s7dpUNwt1dy59wl8PA7aTPe+3P5ti/uAMTWImODPq+H9lHKNj25uR6Quf07dmx5D6y0u3gqypr4j
t6b/3QWUZtGzRbkOrF+Xvguxkvrfa6KcFN+ZQ0ULCUMdqFMCsFRSsL/2ZfurG4utrn2/vcqlKwPE
dmgGYtpYwNYuTZsJm+wqIXbEs80u5ytXxdIenv/rUjJvYWhGs3P86xiXmaZdFuTzLn+5vQJxEuRY
hssIiGZM/AmOp8sVdO7cTm5MncgtH9Hu80cdbZaPv76xNTjseJ4iWloiIpwFl9zKu5yppROR4q7E
Wvo1psGljRJMqwJlhUKqrFSQTGPsaHXtRA3dWEMwxXtoYyT9Srlqaatw0wihRAvDq7L0N1BcZdZO
IxhC7B1NtvWn1fnExbh1bkJyZQy+Fe44wISqxDvHrQ+5l2wIcOZZutFrNGNH9ZA0PEgr7ePlHmDp
xTMY2AccIilfgAoHChcibpVk00CMVWuB5zCPej/8xeV5Zuh9C86cwcsHJRt6HTGLtlB/DDTrXtFQ
kFOg0QW2Jc/4m68mGCExciTeqNLCeqOZXODw7ahCZ1T1ym0MasisYSvvqUXn+GNG7mhr3WzwdIYZ
2jjuU9FqfD/y8WebZLvbB3Yp5KAjjlI3nlUY3JJCjkJBKYzisxMBM+4XXRrwJt/eNrF0nASyGC9Q
NJWhBnR5XqfZGKdmjhETlCrQeRvMelToIPeA0uaHLcHdcGQxt4KP40mJ41SNVMErwo4cDGMi356b
O+CnZvYX2fCFHckJSDfO4B3HivLm4LgnN6V+D3VlR48mAHpur2nBE/7YAiRNygA83hPOhMOpneHr
415xQXhu7m8bWfhEgAMBFIJnLugu5FcE0GeDp6a4GhAozLA0WOWndAaAsMEoZ6M7H5SfEncs+PGg
SQrcIFIbuYTudZqLuQsUXuruZ6nZwNF+ur2gxV07MyB9oTSeZ5WYMJBo37L8sQW6iK1J6C1uGugH
dJSrkLfL+jxZ0cVtNTEnsoCosn5X831SRW22ln2KnypdqdirP2bEzziLcOZgaErTYyk5ZFU3VlNm
O69AT4CVWhK07fS9L3vrUNul94nm1Uq4W8qGgEkUerXAWIOaVnI/A4gaMjNwuVhpG+jDtGeDb84v
eHH6rtHsKUUn83tvgTtgjSxe7ii/O8m5aSk06RAgnBMHpg3Y1Izu2DTzTqNZ6CBK/WTg3o/JO3/4
nnn5U0vWaF+X165rwGWiSgg6fukH8CxVdTC/ulFXlNt+jI9TTo8ogmy66Z6b5E636V1aVamfuuWp
zL7eduGFyGzikkEWilL89VR3nZvZUOK2ifShTfw817MgUdW1dHfh8YlWIJidkE2JSoWUTM1zmZdF
3bgRMkMwvn9Ly3zLzVOalgEw47z/fXtRS28MNBaAfUCOqKMLKR1MK7UzZSSqG2lxOI6fMjcsyw2w
hpVKMDyhhJ3dhLP7WRnGl6qGYDQNB2+tsSLWJJ8oPOdAfQEcqNjbyxNVtT28tQMh8QOU2Im6H0By
p4T5Wu9/yQzAn9Bsep+dk6F9GYBqTjyhRK9we8O9YR/jOdXHm8q2D7G+kgctBSMMoeBRD4tgbZP2
1elrO2u5aUfgUuNbl6EfmbeGdSj0yt7q7kd5Jd8PJ2oIgNuhho2CkOQ306TESpYYeJhC3gRC45Xh
o6Y/BGWqr6T7iysTVAuoXwschRSB3CEvLW/Ayqah23etw4IGRAt+Hd/TxF65B+Wphv+W9ceYdOSt
Dgo5LTLaaNQSK/U5xP72lVW6wJM0pAxndR6AXzHb0IiTcqONxcbSU+AsOv1zSUoVVPnltOUG1QNO
HO3ZbYGtHfPaOOJVxPbKlKb3RrImC7AUKcTWiKGbdwHOS3+maNiqTWHbYIGbXqB6D35oe+UeWDaB
xErMgCLxlXK4jNZsggySHSW5/avS6rdJndaI2ZbOi0BBYEgcfCqo51wuQ4+zdoT+APYeRIA50XZu
39+NLqTEtWbX6XQF+77kV4JrDo8UNNDw3Ls0N+VZkZRQ24jmgmsPlpGjWTd5fAfCpelHPo5DdDv0
LdrTMJwBlC+uUpn02uun1h48JKfUsH1rmrdJW/ptCXZ+tr1taeljwYUxbo+FIaWTnLhQoIDNS5EG
D06yhbrCAM7L+oNUb+9HRST1hpidtdGWuNy/qrWm0q5EisX4LtPLQzfowVzhFZZ7h79Y0JkpcYmd
pUAu5Eq10UYbUulQCk5I0vluYX9QoPDfBbk6OMLF+LklPyV1AbeIaeJEHql00P13LfQD52HrQilz
5QstpafIe/9nSvpCnOcYmoX+c6SW9o4Xtutj0L7083FViFxER/muA5gX4HIUlYBXEb/kbOtI1Y0Z
dNfw+GLP6fBbcbrQxkDJuE0czKmV2cZLnmPyF5cRCJ8EsZhQUZBfr5PmAbqewqhVYUKqN58bt3w2
qXln2e3pL1wD2QRyCQzRoi12uT5aEz4NOWo1qpk/GhQtQXVt/Gvp4OJ1jOQX5BU2LqFLE6C8tqGE
MzrRUHcH7jXblMSvFVXvTUv9cXs1SyHwzJScbecgp6yhSu1EmdkeLfDUGl/0vt564GlMixVbS8sC
HhpTB2KsGjMql8tCnjCgSOM6ES83MaQGi8AbMNy/u72iNSuSp8+aylOUdJ1Iw2TFfKrGEPXrqlw5
T0tWwJ8In8NbGTVO8fdnXo41apVWIOLpPUYjk6MeG/40Am4JbNaH14OmFCIeHsni1SdZit0ZJFbi
PVRhbifAo+urViUbtysK3/Uw/Xbb2oI/iPEhUFMg+3FAmXW5LuLFxmQ01IvGNtmx2UMGgq8ZTEoZ
jFn/qzBIvpIBLdwdFgit4O0gORRsD5cWGdB8dQ/+o8iy8191AlRyMSprozjiZ0tBycIdCJ9DvopJ
A8kp2gKM8px3XtT0gZ77zQGeQVrMI/nVW1ltbu/hQqwFVh5JBbrXgptdrPjMNwoNWYWb9F6kpRh1
ViFz6rd28rkyrRVXX/pYKKRBmw46rVCglQ4U8Wg9U6PxolT7BSYdr1G2NozlpR44xpe/WJSg5xaP
GPwpuSFS8mrymsmL4v4EkBvTHrK1+vTCmRLvtP+ZEMs927cspQkmlwbsm2cGaJRsY8ogbsXChH9w
FkTcvOIxJN4vqKteKR3rY1LUvMZqBufHkBrH8qXJG3+uviNJXDm/S64HnAr6y5hywRyNdF/koOP2
BnSzIjBSJg40ujaPKdDfPv+EjtLtb7RUPwCt4h9b0umdMreJJxDiR1oeFMf5BxCc3ik5JIO/UbKN
O67YW/pgf8yBYe/yg/F4KksFwrWRA/qo9k6v78cvtvrP7UUt7x94GxBTgQyTi7lgcFZadzK9iPO3
NnnVzJfCC3nb+178hGmvcFwbj106VQCe/M+gFJAGi1turM8eEGGx79r5RtW+ZvNzqd4PdbsS/JZC
hQ0iTBH+cJHIZDzloGoT2mQeOvFRyz8P5TOvu5WQvvSVkJqLQwtdWnQQLr/SbI8TmEVyEg06h3Jw
ZIFVmJi/df377Q+1tBZH8CMAYoaygNxeYknedloLRye0y0KASauT16jFA9PZ7ralxRVZ4PgUHXgx
pX25orhD+2M2CfzOeFVNzS+TE2or9C86LyJAoIeA9zcajNKlUZkgA/fUhkQNCTMrgNJe4Xy+vZL3
4W75YnLQt0RFF+3X67ui6EwtV1USgVQp3WJ324OrdS2mFlkadDXmlbU8/QLFpmaDWtoccIcrR1Y6
mN0sNOjYTtoAAQM67wpqqBtjyIDNMtTpQafN6Hegvlq520S0kn+vAHKgmOUC1S/DJWvTmcbO8UjU
zeoDaeJnptwz8ikfhp2F1tTkfbu9QUuH8dyeFNFISuNyKBUSAWLvtZDV3AD38D1eI6Zdaly+A1T+
W5ecm6oK9kuzCImopf/jEc3xnbQIG1ROAG3xE6i+WSXZphjzacy1usDSwQEATTT3UH29OjjunGcY
GnS9KOHfMfLiK90Pt1qrdSydGbCbwQzeFKiqSEmJw3PXSLqURMXk5GAKhainlhnfutrsfDSw1ihZ
Fr4bCM5AkwhAmgOGbPFzzu5yjese6SiCjmWd9OR33Q/ilNqQYGXpiksuXBB4jQmMBtwR9D7SLeRV
M1DBVa5EmdKHZpnuKNRgtOF+GoQqRmBmJJjLtVt94Zuh5gndAKikAtsv53iEgUMhrxxxDiagw3yq
xP6aUy7ZAC835lkEshvLu9zDulHGVJlMJUq5jlnVwicMUgjZyvZdWxFQQRSNheabgZz/0kqs1dY4
VnAMHecrpqZveIOvrw0SC/e6jBuXVq5iKQH5t5GQyGbQ3DDLkK6xpV87uLCAtq8FMj/M+0seR1QB
S+SMRHm358ZXwmmoQOpzeL4dkJa3648Z4fhnjt1ztSBGUuIcMaW5SzxzPmqE7UvmrXGsXB+hywVJ
iWMytmYC+gYSYWrYakMaWjtvN65Jdy5ZQYEVeEDwPQKsLW1bkbRIQAbdEyNaBXEDVd06QFSlLUQc
jJVsZyE/RQIMXQpQquGqu6I6aYyxK7Sqghd0YI56UieQGZnQSCsCJd/a2XOuf445lCu8cgUdsnDP
CstC/whkwkB4Sp8NL5eqrSxsZtn+0NKXBlSGDijcim1l73TjNNNtWwNhl7hP5Jk1W1XZYHDSG59U
mn3F6PNncOmFtx3pOmzhF2EzwC0HkALaQpeORMlgGQlq/BjqemPD6Cd2MJRHXD7ji95jjHvF3MIB
FCK7GD0Qyg846ZfmUFxswMiHizvOERSbQaFhWlbmSq65cDpEmg6VB2CZVCjtXlrhihrPnLfY5gnh
CtSNbefXa1OFCzuHMRTcLcjtLORl0s6V4KuF1i0C/lyPW68N8uGVAqWLm7Oawmn6WTj/3P5UC9kB
aIBQ3wZYV1PRvJSWpRnc7FjXKJFTtmOzqRVNy30FozKZ787d+MMemhQy5rpWfFbQmOqDGvDdzm/b
zvs4kEE4MDjARetN8Mlc7rDVDrXiMksB6aGF5nxdfx/NYW3gUGYIwvsYVsSFgKcx+qZXL7tpGL2p
NLBgN8dAfHEwHRZicNU3Jjfwum3ONm334BrZE0YWtr2Cea2PgwfxEwSSF7AuMKHJTyMI1NkxGrtK
xPVj2nyBQpfbBh9lMv93oWdWpO2smimziOcokVJ9hZiHMTEUDXe33ec6Z8ZKRCUICQo6VvKh6JWu
gb5QFp9QOkny3c7hL2kZTp/Kj488ojiDsUqwuwDlhw7JpW/MvNf4rBXxKY13AA+HWfXgzWnQZ99u
L2jplJ/bke4Mp7X7trPz+ERTAN+m+liL2b1q5bZYuJkuViOF7GSu29iysW1pOqM5ciyHPbFsn1En
GNY+0aLDQxcWhxskNaotK1PUY131mtvGp7n8lhub3AxTzd0bivZsmQeInoVp82zltT9GrV4fejCD
rUROmWjv3RPPf4H08eyCxpWgSj29JjYYMX3Dt3lYRKB3cXyaBVWC0lHQkOA+KOqV23Fpp3Eri/oA
GEuQC176Ta3nLq6jIT6ZmU+mjRCrVQMcuHFaOQlLjgO+XTx1UBZFDU56uM8KqLQV24hB6PFUVRu3
31G+4psLaSBY6f6YkO45kJfqJZnN+CSKiIrR+Lbx6OR0tzr2u3QLuZrQGXEEZuiKtq1grkOThp66
5yk5tsmvsbnrqhos99/75omoyQoh7eIldGZQfueAWKMxG7WjJ2bb/jD/gnbhhokFEhrM6n2pgc8q
OVV52q6U+Zbil5jPBRU9ilR4QF66h+i7Oj0Ep09ZU20z10Ka9IWjjTyZ6Ok9uGCmvB1elj7huT3J
SyCci3vTaenJ6zW/naI5Iz5RwmltkON92lJ6lKA3juRX3Or4H2lhNdg+x5ZxetKzvTV9qdo7av/k
buk3zj0gZ0iFy/hBb8VQtza/jexTq2zrYtglHxS9fT/75z9EWrGTUBUDLDo9NQNYVd9a/ZWOK+6z
dPTAU4ARJ+BVgTSXwksOIu+ZQsL3VMFPOqIHalb63bDWrVryFfTEoC8hFBkwLnzpK2OvG6lnx8mp
o6FWvo1V/aoV+/TUOd33zP38cUc5NyaddZeaTcY7lyJ9d5FmmneZ9kwbX2+7zf/NkJQl1IUG5FHr
0FOSZGE1/dJyFphgd+mUNRF2ef8wgSZIejBlgIIPSOvkq7XDaTZIyqOabbxU3bZaWNVbMLOGdN54
ZOWKfT+65ydANifdsb1mphizy3hk4sZDn09noUZ/zM7P2D7ptha60z9TsrWSFSSMfOEAMwRSdzwT
3mcVPVlqXgdPrGURQ43mpt6C3j31TZefGmjRBWWbHbpE/X37Ay4ZxGsLNSLRrcVo1aVbFlrTDHZW
aEDOetC8tfe5+uqAN5dYSTAkHxRzAXBTaNhCVU3ofwvi3EtrOi+dmhuVFo1ZwgKrdX4Qpm5J437t
hymCDMrao0C+i8Akj9cABhjxHgDURgYMuEVVthVGIKIZar3OYN0zY35VlfKIunYQ5/0zVIM2oApb
qYUItz/3HsmsDB6YEgdERxnMIrH47SFJ8dT29faHWzMhhegUnBd4ZlLUfzP9WOTdFg3PlcMtR0YB
fwAQHQV2HCNwAUhfq6liWvVOEp+8uICakrfDdbFPmi+3F3L9iS6tSCfNtL1kIDlyc3XMfQwTBczw
AihK53l2oKhJdN4DGpGfbhtdW5qINmfFqjwpiD50MGr0mGmNgQQtN16trZxmsUGXboClCVVYwEAB
bZMriFNmztVowYrJWt9o6sAB/xOmSXPIRtxez5olyRuINzElm1h86pQjqgujuhnLXbbWVl/cNWi6
QDwOlXIgzi53jVusH9sKVqzZCJkHXhcoPK7dx1fpHNxOqI4A3YNji8q/ZKVWKigcjMiF+egAVh8r
futg+Dh/brcso+8zzxmm50JwRkS3d/H6TMEynBhpK6phEJK7XB/LmdmyHnrjJgUpWM9SGo6p6Wxv
W1nYRVQpkDUi1wD7hFy9tpkZtwS32cnT2QEcCn6nxYfMXqGxWvCICyvi7888HARqekYBhDhprruh
7KWyj7Srtkq9Msp/9UAUnwvvdzwQUXpC2Uks98zQaEDfwiyQ2BjkewYVJpe6ocWiavxdN49F+9ar
mj9ZBz5iLGPYAXCyub2d8g32bh8FYaBYsKkYc7u0DzA9gLAxS3BLaiG1kpCNL9MnIPTXsu+l7yYm
AAQ2H5xWlnTG9LhwW4/iJZGSeccG50EdlL1jrlwdS98Ng4gQGhLYH7w9L5czAjvo5nRMTpqVgNnF
CXTy1KrAP1crb9tFQy6EnpHMA5IjS8l0Nmuc3p2Sk+Xu2tw+IGZQiOM5I1l5wC+dKmi4oYoOujP0
wOUVxXWcsUFNTsSgbyQuMigRxGsyFlcJG0r00OoSrojdgxdKXwckBUyBMlN2KvqXYop6pwpnrTvk
5tbNyi3gH8Fcg/q99NeGgq7mKIRlPD/RPVQBmsGJvvxiej9BYM0w0pPiTL4VM392d6qNofSnUZn3
tZPsnCrokzvTabdqV4dN/rVJzfD2KbjeZAAIMZ0Cyg7ETYAjL39EkxBSKQnJTmXETmvENVclGCwR
g++oTqAX/+6Wl/86M3mlpE6cn+ICswwHrzxk5DT2/X0yZHtP3WTA3yWPTlbtXLrz2Pjk0X1Z6REi
zoozXR9CjGKiG4xXNz6yqUkXd2MmINcZpuI05T+N6h/gJGu+EtGWTMCTAPMDyhTyR5K/JhAhGjxg
0E/N17p/0h4+jE7DboL/548B8QPOIialuVXqTVmciGX5Sn0HBaIJCfdDikL9ba9YXAokM4SSHcC/
jvQOnFIitH/r4sT78cDJ3i7ZY24qH04+INol1ORs4E4AbpauzWbumrY3teJEJxvygoWv5z9UUj8X
0z+3l7OQGsASzpioTOARLRdcHIh/xBPR8WnyNkjqXGhMMBCtZMeybwNtSgPbRBJJ1lBxSwfgwrD0
ep9j252UFIbt6kR57Q/lS2Ieq9Hc5UUVZIMSVvhPFrRzaODi6affSF0h5dx5p9tbID+Dhe+AOg3N
b1ATQAZF+qIgpQKIe7aLUz30fpyCUZV/LvnBRugxnYcJvfC/sPee/wOcDEivtHCH5q6DogjOmza9
mFVnNn5esQal1tE+cENLg1lj+RbCdMPKE/z6XhfjnAjoaC8hxZDh5Hk5KCOYdEAbaPZHO8dLwAld
NUxc88uojCvGloI4uMA8XISi5AViq8szWedWUzfxzHBSCiQrgJ08mWmVhH1FwlSBYGHRJd3WKswu
xCScsitdKGCRmjcHrSzoPu6mLHRHlq8M+yx9bjRnca4QMUDFJIUKjsFHNtUVQrrHoHdpvRR2fjBy
cpgq8lizpyYFfPH2F1/0dajEA8okGlzoSF9uhaW1dOwTm50c7XH8SvkO6oqBPdY7NH7reDfU1C+H
Z9s56lrrC5BM9pofqzVGwoULDW08DB8JBj9gqiRHL2vgcmLCylMTY6BtNmp3ow3ptHKdXCdBwFAB
8YpaNSpLV0IEnWYWOt5O5cndoR30mjuhuvIFl0LwuQXpABnW1OizCgsUKUii/0PnyFwx8e6cl+9M
UVnB3A8GPYAWl3WpW97pHOUddppVz0d3xlS+ko3Of5o7d+p8VoUm2etU9TmDBNUxz7+DI43fEdDb
Fr+n8it7BD3DPG54t+N4cVn6tlfRZbntVgv7gC2G0BgA2ZjgNaV96JQ+ZaOG6Vw7naBq0f5TmeAc
pc1anfVqVhkREt1ozLOCnc0VPMiX7jsXVq8xc2B42kOd26ncMEnVAIjwTW8d1R9V8lqhO15ZQUZC
ZRW8sOBQF9alPMxj88wZRV1cBV+V+zjzR0U7Zsn3v9hM8doRxOUokouaylkGkdgQVwXAEWGBKHjo
ZH5XZ2EK7Y7bZt6LqpJjoVQtHuEgjMBgspRUq8wjikIRCuJ531bUV+KnAbX/Fgp8gFvx9KGpdunM
8YItA889sWQLDCJo0AI9A5W6e0xfkuQpHrfdGGhV7+feuGPuvUaao8JXnjML8UKosoIPDdEbExoi
kp5vScfBPaU77JSXoIGyXMxE9lW2Bgpa+rzAggkRGZw4iAReWqm8cR4H22Snmn+PR3WXgLFZ6E24
v2/v/HVRDD1xQfOJKSdwoclz0aqWZ27W5eWpdj55ALwm7W+XZMEEIJr3g+cRJ/bKt164bi8sSlE/
Hbs8pWh9nFzwydUsrFMWVtlvvS7CQUlWjC0eUtA6Ad0N4DWAkJIDa9QojNnk5WmagrTk+FSvpfPs
tW3YNF0QJ/YrCOqbwUTNwozq5P+RdqU9ctvK9g89AdqXr5TUq2Zre8Yz/iKM7bH2laK2X/+OJvfG
3Wy9JpKXxEGAAF0iWSwWi6fOEdRG1i6LyCgWUiScLwDP8zEiB+IOZRjkclVNymEkchLfhXa/aSzp
cain72UVQQqj/1qMlIQznQXHzpqzYlehCg46M6Q4nLPGUwK9P8AkT6UcShvaNeW3iUqyoJSwYmVh
pF1ESnCPgcjMpbM6ZpyneZPVp7Ghlj/Y87gv0lYRpE4rroqqCJIn3OyXJjZuLqlkNo7V6/WJ6a95
dJ+U0jaUlZ2SKBuntlxrABKi/357e6yNDJfdpW8TtzT0fl2OrG0qs2VK1ZyKrLNdKEZobt/rItrR
lS0BA/AOMOWgWMdrVuZzXEaSRJsTCFK+yrmfRP3OigY3MT+ESIOV4/HCFndu1HpqNxWqAydjwvPj
rB9jOh0MZxB4/vViwelllMyAIEKhgAc1GiUkiWlTtidZ3zA2ajtdbfRNO6aHNK3v1aT93nWyurHs
WNS6eZ3JwjJIb5dUC7h+HoKTYyNMEA5qT1NxqKCByZx7VIKkNPM05ySHoo6f6/lczAGBsDTcovbO
e0ivAnlmme2pMD3aH6XqHqAZQRRbmUx8McBrKEjgNYtvu24XhUonL7uTMjRHAOAebPo9S44gkNzg
ie97lfiaML259nwozOLyh8QcF0F0BV56/tAOamPRtMOU1cZmGlLVlRgAmrf318rsoQsfagsLZeRS
qri00pttmSu5yU6t9VMynkqjguL2620ba7OH1hvVAhE4gEW81q4zZE1i1QY7pZriyYmERDWLDz3N
3YOp2r+zOgLYiG5vG12pVgOXDi0l9BOggIA/lyOrhtKkWdZ1J6PQHqrOAVpR2zt9RPD408RGMEPO
NcvSV5bFnhkmXp/epzkVBOaVOsbyFYAbAIuGR1c+/hdznqQhq7oTlBE8c/RxUBKW+3R607V7RZJJ
VfVug54AwehX1vXC7rImZ0mSlNnNMIxNd2K/B9uzdZJJp1rflbNn3Mcvlj/F/ojXKY04pWuJrikr
p+7FqG2uTlREs4FDF9blRH5v+1/DsIXCMhkV6iOKT3QHMi1w4Hg6Dt3bA7+O5Ms7kgI2RIAMoU7G
nYQjypuQEmphufxlGHt12Gc1XjQZmSn1b5v6rEBe5syXttTLOQYZaJbhBgAPWziZtnX40Okv5QAa
A4hggBl6aiRS/3jThoeSRqhoBIXzE4+Q7eCPAjcTjZq7QusT3vVp1HcnNe73hgM2iHGbG++FageT
ngiMrdwVlnGjFI6whPnkL6EQYbBAclh0p9rM1V+2NsgH1IsciAFXcvubzWxo3QQal7OfgdyBETtM
ZWWftW1ZbfR+YP4Mafv6senwRBUVhv6DlmmdkwRK91+qolRrEDNkg+HPppo86WmrUg8U9Zm0VeS8
LrZxZTB5P1IzheCuVMYPiTaUIsZ4Xs3RBg5RRSkGtUAoqaAow7kwZU42qsaExSWyX23HXfqg7axd
eJD9ei9BBoIMbGsev1Q/zIgYe88S1KZX49f5B3CenLTa2Brl3J261zrd6CR6Uv0iO47jz1nepQ0k
Lfdt42WKIGG9vvdg3FD5WVCgQG7YvFPXQ5qxGONmCcvd2gxDwtSy2I1W2H+zijA6CXbRMpFXu+jM
IO+7WVm1DmiGTunYkCJpdipwOJa6z6zK61B1LMaXQp9dSdSetXK+4okDTQf4NyqsPHkT9mlu14ra
nZJC1dwsygZi9HO0uT28tTgMxDwOAHC5L1zXlzFCMrq2k62cnZri2CVvofqhaoJMb6WMhwvGmQ0u
U7DCyJIjaBmdTONV7k9Nfuhbf/CrJhhAWUCPAMLQZ4iPHlV61zbvEQDYtwe5Gu/Pv4A7bUp1mCM2
ZAxZ+iGO2F1LNS9rP+IMPdF+d7S17tgO7GuXibga1hYR9R+469IzD56ky+mtY6o6UtuwkzTb8pcq
RfqCzoDw+fb4Vq2gpIBKPB6JUC+9tAKOmqip1ZadDKOS97naQjMYncQCeOLKVRlVPSSwIIAAIhPP
K5dmwrZPwzrT2Am9exv9HXpebuWq+/pFc7v7UheclOqysfiNd26Om7tY6ztWJyo7DQlabo1kzMAa
O7Lv+mDGHrSCWVC30vyAVkK07GtKedTMEHUgxWYuCHsSf56jzkNNQ75H+3aKF+zC3udj2W/keB42
VEIfrq6GzUuTOfl9Jc+gV48SUQvRdYIFoP+CV8frAZABV1z8E64+Ok3s/lRIdfxLayBPXQ6t8lgN
kRLMtA7Rh63lYDaAVgMIeOq5Oyhgk/1520Outjm+Atesz1ZpMO3xty2mWT2d0nwAfFzbJ+AlaeNo
33UitqQrR1zMwA1Ro9PQjM0/fUvxBKCWygbsdCN/jezOHMHrMqDX4fZwrg6BTzsoL4PveSlOcTFZ
k8osGqZ2ODV4hfZyrfhd9mAE1PMJKlVJ5d22tjp5ILX7r7Vl1Ge5qpraRhkhYTqZThm6jplL/pyD
5b1FoeSfhuPPgeGZaekyRsssd6iWWdOOYUOHE54cSKOGh7zoPSuZBYf3+jr9McMdog1AP6kG3qxT
bBtf0doeHtTeiQVxf3XaQAAAImF1yVa4qJTIbKiTuMe0pe22VEbfbNrDYCv+7dVZ9YU/ZniQFnP0
zO7RVnrq1I+uPwzO5Pbpl0YdBXYEw9G4pbGyuTYkA0tjo1PZwmtGShkxO5EW+RLVLqIe6kjYQyhH
At2D5kMuyNZOpiZZOA4nOW3it8oKwWgat2FPBtnsfR0Ycaiwq5MHaTFRFWFlhKDLwuseqCgAX+Jv
9HkNFQOryMcTk6hr57gImhAvRtf07QVbGyEIVBEpoG4BurPlM862U6wkmDWlGlHM8mv9pNKJJPmo
uG2MoTEbMPFC1Lmz4iMLdT46OQHXQNLMTapaU3AIQuMaqBGtIE3LKmLJ6UcSV+jNGLtpd3uEInPc
yWW3mtan5jCehmHYONZMSQf+AFKHxegZoS04l1c2Mxrc4TCojqBn9wo+1altqcXyeCrzYqfL/RaP
W/8UPgqnPDfBbWWdqQP44tTxZObfdDp4VLrL9PcwFMnjrHrgn6F8HqZnrlG2DKhsVRtPWf4NoiS+
kjXQIZkEgYlPZFCEW8SEUHDHfy1Snpw7aHOjq2kRQp+UvcrLi1CLqp+l1EfViQ9VIbtqQr1F/AdY
PpsCTBK2giOF2wNXX8B5iBM1SZfoUhUwfQNJ7SwzYpKZlGRWcezBtj2LKNe4mf2PQYBVgFaBoiOf
IuoyOotxV6oCPd+xPsR76w61ZPcf+f2nETDnglMQ2S6OS+5YHueyhLRAWgWj8Usbj2EFqJtJIhH4
l0/n/7KzDAQVcaAgeT1yuY/iOVs0bZ0o92z11XFzPPspBlFcR92qP/rqSxcLX4q4Xf1pFfbgMUsm
hfzmMm7Jk77km3oVRC+SdEgDWpD0q2xuirL0tC00l0jzK4RmQ7NtJnfUPco2t6eXb4b6zxdAdgqh
E8Ab/u4rzzqEviQLOuyHh4agSwJ/tI1DXiuyWbjzD/V78tp8u211zVXBnQ8eDVQHgTVdpuVsT2qo
zQ+KBRnlHHzpXf6QMB3Am8otEnTl39XR9M+Oh89BLhRIQNsAx3uV2xUDNXop0urAHrvnqn3Wq+Su
zF9LPPpakrMbafd0e4BrW2NpdlGAJgeSi8cDKDUIKZ0qbgIVkm33gzqxfT5Yh7ydRA9UfGXqr7Gh
H3HhGQNGWOPyLiVDRaO1kiZY1i3adftoF+2g1OgrmwjPe9tyX+/tQ3Ts9tlOd8NdG99FeSB7QEQE
oP24PW7+anL1Ndx2Vdo5A0dK2gRa9VZJqRvar2l4l4bWlprSpm6MQ1p2pBdpNfP1gCu7XD5NdXsO
JwN2x3Hc6HjVLWxXckgIdu+YKJlrN5LnRK9RvlFO/QQ+RSggdi4Tbaclyp9lWstnoGsegFnUkpBr
84wBvZmGJapJTZA5g5dadynomJSREc2IXF3EbvHJunRlDZA5YJkgsnwFBnEiq9PB4dMER5BWkOal
CyAoT9pNtUOzJvn+A7gXEnuRH2/++jtzP3p3didP8UMSuYYre4o7+pOnEkBiBCXTtRNxwc2j8XDB
DoNN63KTZ1NfTHTEXOhsJg6Ki2RO3mZjfKTWvJdT1InnO8lm+yGb/MnId11jCVATK6uhoZCJ2zAu
dEBoc9EVUrnQpRkKGuD2uGz1iLTTPlYe0vIfAgmXdcc+R3yxF0kQm+9wTvRYnoeip8Fg33fS6Gn5
HZU7t5wP7bjr4v3tXbZyasAaMMI4p8C48VnlOAufqTWodd/PNKBgadjOHqQ9C1Gp8Honw4dR7wbo
BEgQPOdwMdqgVZzRoo4DdKaqee9lOxscEDnzctUiSeP1dX0fKs+3R7asyIVHL0aXvHAB7i887Jc+
k0hZ6RjdEAcyJBP9uVfLQJriyrf6NrsrC7VyqaplLtPoA4VSoCAlvfIXlFWW7kswPKHaAB22S+vg
rTLnCv2ywZQXaTBYCmBUehGid8pqD9EQmSSbWCFI27hU20ILFS4tqH8BMLF0eSxHyflijjVaIpBs
B5Uqu02ovI20F7GAXZ23i42FyQQOAyflz9tQp2wExX4cxLFfGr6cEcvZhBs9/x79Q/qGv4ZzZmqZ
47PhaJkN5trajAO4ypdEa4g5PRr9SWr0R6U83faWlfW6GBa3XhVIeBl0JOMAuh1R/UV9jX6F/UKy
edvM2lZYQNl4XFvwumgHuhxTz+QJ5RoFfpF+a5np6vG91WzzI/o88mPRzbux/hCYXH6S2wgXJrnz
LFJ7SSuMxSvq8QThWPSHd24yGp45da4dMTcBYJeF45M8RsS03Fn/KDKRZtPq/J6Nm3PNnnatBS03
fITlVXST7Yo7IIgkQZRefuVqqEuPOlR6HNyguKH2FHS5EyROAhpPJC9mF8zocyZikb8+jpY9cGaG
G8yUdWUJ7Wk4Jt2qVbtdeNAdDQ9syVPi3SnMW9C4MylE6PqrYM3Z5eJopRaD5ISwG6sfsT3786hD
8YQUbSeIXv/HCFEWM2xAG65YmJwZLyIlnviDzNYjP6n1hOAGkbjOXH1RUoj4FFn5ptTTz6pLCler
nNqd4vKrxipTcPavjVlBSRggBJxOaIq+3DAZyi4AdmPMmVofDNBW273vDKBzEdhZi53oNERRCww7
SLu4uWVOk5i0suPAyGq6ZZX6zRp0Ea5gLXieG+EiWlpUSqpNBgbTZh/m4FY/az2DVkTqykntmRCy
d29v/tXZw9MZquv6wnXKZfSMZlqCR314qvyYTW8OGqws0+3UL7fNXF954ZkqsKQAnCxZEq+dZxvo
+0idIQmq3outrdKZbpoeepmR6QsosieAbx5V0BffNrs2nQuwDT0PIHNGN9ulb0QQnyyNdoSXyrsY
rxOVa/0Av41cQcdb1CC/5h/ntjj/GKAplSUFbClV7Q7oZRH2GYoscM4BYSh1GidYcBQ8B6XoH2H/
rBT3eaDiuRZgIkiz4kGOqxHbSPbUnM5JkBBAugWZ5FrsPf9xztXyfkptaJEkgdy07mh+N4zaLakA
z7h6fp5b4c5PwCni0uyXIYBs+xsUt3c/7U3um2R327VEo+FOElltDUmWsBhx9Kwz1EzkBuJhoseB
9SX/syCcA+chUHGTPiXBjO7mhD0V+v9zxTmvDXWzstMK0xWqkVvGTxSsc7cnSjQEzmu1toOy6YQh
oDZKJgdlnkTQtbEWw/DghJQTdBgogHCJPJjy4ky1sRSNYrmNOvllaoPJ93sjYt1fDSdL9QwirVBr
5R+Qe6OnOor72OK2vjfS5MXRHqh2wtmE271y12eiQvzqMYsuvb8tLl90luHOqt4YNVqyg/hRQlUF
LXn1l/w4eYZFFNcs0T0nOA9W3frMIDeXgzxZqYmSVaBYz1FW+E17N5giIzz45zPOoIYA4gMVTfO4
f10OC9zatG2onATqE4imlKOcE/058s0t87Nj8d140jc5Gb6m79YBjXn7Jt2ItJ8+Icd8JohrEN6K
lnoGcCqXn0AbqRhVaCYEObStnuafQA82Ryc8zPWTkYMwVHuhqGI9SD/xIkwszbu9Kday3XPr3ATQ
OMf7r2YhFtJ3rbfdBGxocnNnDx/F9G8OJpTNcddc2gPw4Hw5UieuYrCS6ssWNx1SZUPhgbvBFIxo
bZsj+0KNVUYH65WmIqh2kAHUWhKYerJznPQwTaLK6to+XyCey4KhUMDTmZYdZQuhAEK7LBMdVOCv
5vQyjoJy6uLhvGMsZMiQ0QNF/5Vi1wAOa7WDeH2Q2N5cAmiAphuduZ1B8kEnM/hktTgX7LrVU+vc
KOeNmYZtrgMlGxTTd7zbDKFM2q3xzVQ+zGjamCzeh/3LbRdcGyeoM9BvAFIV0D9zx3EXgvojTJ0k
QNYloZgb+XNgPzbF5l8NbqlPolsN7IdINS8dEOyXdlXROA2sccRVaAtmK2tKwJqHNqj4KR41koIf
aRDVR3n86GeUQdMPuh5RI0Wlhzt5KkohINphk2k4dYDByQgrIFsCDBMqpE10P32TlIcmbA5q+DTp
rvqj2PfNpv1Iza9AUwiOwU9AI+9X5uf7FZgboDLBfY1kOzmF6kwSTP74BTjWJ/vHvGGn6AkAgz1e
0XaYGC8L+qc2caMfeKC4vdzqsp637HNHSWJbswMRNQS8ioR3hmf8HB9HLyHDU1eS5LuynY+OL/nA
1fbhfeROx3Kf78zn21+x6nRnk8AdLyqlNJEb+Lk6PDcmHkg1m7Sz2xY71drEeEPIo0ww8WuHNk5r
9BKiKxmcH5z31VGaJWoKjcJ81oCHd5nF7np0ZcXOJnoU6U+txfVzY1w65SSDE0cZjE2HZJd+YcAq
b0RhcPUuBfo29Cyia32hCbjcT4nCmFSxPA16DdDYwnQNs/sdAWIx6dqhzprHJS3VnOwuCt8SYa/G
+rbCAyJ0dPAKjX9dmq/qqA1pm2GMLuJj9lSlXvklfZ2hN7MdHttokzygS/St+iK9SW+DkCRkuYNc
+TE6b9AfZeGZll9PS2XKHBmomUJTcQ+uvPAly0jzGj6GaLZ7/XXbX1cTMDwdflIyo0mRR4TFtIa0
a0TToO3GnTw8DXf2z4QRtbKJNDx3rWt4z0xQXFndJHBUNPTh3fJKbcBC2bkunT4N2Lu1Y8+ZWz3k
oG86itjfV3fGmR3utgdNgLLu0yENDOPFmfFaZ4OKKtD1d2nft6Mg/qweccsd/L+j4s4bU4XTQlUx
DTrvN8pSX0OPBfM9HiyFJdRlR195CFqjLLxZ4LGbf00o5s4JMwnzVxW5O8abRicGekB2ie2b+/5l
1LZ5RqoXat2peCYNRQXwtTRlEcf9r3lue5bSPABmioFuxh/aFj2YP2775Lp7/Pl9LpBnkEaBHAV+
X73TJ+KAqMIp7yzrK248tWmQRmDu/1i4P/a4mJ2O9qBkgEUEJdU+IIC4Leti39mPYWW6obEPx/sI
Iu656LIlWEX+Sa9XRsisFzCrbbLgIBKZWT8O/6wSL9dWlegbog1msd9MfvjebcDHoezpi/TqePY2
OsQ5yWUy/QzfrO+6QuS7aZMbRP2HtKx/5Shnn8HtCrXvweVF8RlRlhBZ+t73D20jqoms5eZojwLL
C3oOlgz9MmJLaYyQuWy92YsOb9Zuco1j9y1xw2P7lHxp/HR720NXA8uZPS6wyHoFHqdkSoOs2hb6
whiJN9mTNtwZ00OlCvPL1RPhzBw3h4bUgmXIhjlvVknak+JJ38611wRW5hr1YysEkmtrAebM4PL/
z27lNQNtqh5hPge38KcnJBIHGvya3YiMPt2LWL9W9/uZNe5uUGnQq1PlT2t1oLq6O5L+t+H+vr1m
q1HrzAqXJmkMst422leDYmc/Ap55FLWtXsMmcAE890IuN0J7ZFnGGiyw9/GIXPxuPBZ+7acAH2Wb
bsu8cTudspLcHtcnrvXqNDgbGBeO56LEtTiGd+hbpXez7zopPeoBqgZcQnZwfFqT5usE7ZNv0lbe
aW+x22yrHbRDfTA2ezEJ3WnT/Yuq2/lUcCF8HhqzzG0saagXsGNYoFgomAgosLbtkbMAFfGZJ/EP
3KCZAPIpltIgAWg/DmtUGAQbfXVygapCXwWkOFBF4QaCEg/eJxIHV7tNLyH/0w/Dodn2v6DGG4xf
omMZOKjkQGtsR4N62/2uXum2+Kr5nc/2zKvvo5/1VljaWfY7v+LnH8UdWFqoJlE+4qOkh3aj+rVH
3Y4kfvxuuLWrb277F99H9hnBz6zx+O1JTWqQ/oXLQaK7iZsA1fazJIVbknw7Ecm7be6TlurG4HgY
96zi+dIsMDjml96wG19/KZsYDh0/DO/ag+x3P+ZvrV8cjK2yCx9qHFvpHdIdtNPtom33bJNxJ20L
wHYE37XubH97Av+QlOQJ00IZ3+XJd9KDtNddbQ+VkgJKqOjC/5rsssP0ou3Kd1z6DuYR+BjrKfYt
t/6AMBjFNfRr9FNz5Uc5SEl4HwsclWelulolLmRTkNlIVYZVQkcueWmWfyz3bUYV9fAhZFAUOKDG
RWwbUmGNnsKYfHBIQrTt5lUhOkn9d9FdcC1JOnc+LmobRgQYxrL/cv2D5Y9a/bsQlSpX4/a5DS5u
M0lO0aKwODiiZvwgkZ6kJN5Mm8gbXZAOkHT78vu2N63eMc9tckG70lrJcChsRva0qVntJlBMqsJ8
20XTrg7ng8ToLhk60F+zB9uJ7/sh3NT56EnztNWUxo8U+3lmD5LoNUM4G1zEGyeWOnTClzlfMgDg
Jl/bMR9cjqRyJbf3oSHwWh5EMm2rOfj5fHAhjQ1DEw8z1hlEOad5B0jGk+4Vm8brBLniWrJxZoh/
TQd7UWjKDMMbfLTwH3XibFN/IPHT7QVe9VsHHWUgY1vIMLnx0IzKk1REWZAlrdcq28Kq3HQUbPrP
0+cqVv6x8jmrZ3ma3ofUqCR0SSrtPkl/K2O8s+ydg1vTOPWPY1KT2HRcta/dtGRurw27WHGLcHI7
QNzyufg6gKitZN1WC6vNXHd45NN3WSP5Udr6naU9OHJ7Fzb5FwfyET1t/NuTtGws7vOBvFuIDUCg
DPoiLm2vlQGo3qKLA72e3bpria7Frho9l4NgNdbcywbED+UkkJtdPxEU3aiPY2YBCtc1u8rOH2i7
STLfkbdq9sw08H5E0LQW1R9WnACpAwjpwLjmAHDPO8GUt7jh0SSIAH5r+3ijmcieq1kA3BCY4etV
U6RnlIF0MMi7Q9yn3qTEbifngoN5zQogjEunM1pYAJm8vBNgIZmS6ii8UfiPz+QP4VPtijsAIfnH
wvIFZ97cSE7V6RQPqflcHofKOBT2uGnb6WVmoja+JYhxngfpVQWsK3jqBDqRC/lhOzfzpOJVWM3B
MZBAo0GBYNE4eyz1R5Pm2z4WtegsEf3aJBjBFu6xa+rTZOhB2upg/qDCWqojgeyGnzITTGflDngH
QTVqdbWgLftfa9wNVbHoaCkVsAj64HXmexb+CEUZkWhA3K0UWE6bMklNgs6axy16yB2Q5DlQIyzG
D2bEFkl1XVTkX7UJmZml1wHqHjzhrhKjpVPK8dSndK4c322YtW3mTSl6UVw5JPAu9scM54m01ms1
qvB22rTqCeI2GyUKXamTduOs+A3YkxdsjzTKgqvc6gbQUcBALyZkOHl0Sq4WbWhQA2CIdPg5GvPW
UWNvyPLKzdDGcjv2ru4AVLiBVkL0hSb45WYzK6pCJhtDTJR942pAy2puPZNmE9aCU0pkiXNFSTcn
jZZ4l0ELlRI9txFRtSD1p+4o0rRe9Y6zMXEeibaEroIC2aelDOp6ycEu3TB7HsJ/EwvPDHHJtgzM
lW5ni6FU3qbVoZszX8jztVaat8HG/PcScRF3aHpHymYsEWhtt4lqbKr3uN+aYEXUvufFtrTwnGbG
JKKTS1vBoi2/fRWtFmJXKL2gI4K/9KGZUDKNBo8Q2vwxR0+jqMdE9PucU1haSNESjN+Pkt+G/F14
lqz9PtgcZDyOgvBfNRdXOTtLeptaztQVOK3q5h263vNhVJ1esIfW9uu5ES5V7owir4w6/dxDwHtl
6ABK9Ueb/b69VddiOVoCF3AhChBXz2H61A2JCfWkoHXusuyjVSVB3FnbNyggoqMY7+VQKOPGMRk2
LXOGyULtymynrQwhDUQHohQHKRVeMFaX5swalxXFmcVCEO0nQRqDtJgoYdV5UxyhjSaHsFDG1N4v
5Kz7WqX0abbafmk3Gu4ZKw1vUArqDeXwbGdzLlhMwWcZXEC057ay4mHBPiWR5A46aO+yVhbx46+u
JQpWEPQAoAtFpUu/bGkzdb3ZALCpjS5CoXgx184utOf9bYHbWT0rx65jsADM8pcqzzbSGIJtaCAm
2/e6TmpVP3SJIFyseBB6tUCAiBsPaJ34oo3SxcoCDcDJZUpu12dHSutHxmRX6ZZeoTja/eMtcWGP
i/SWXYxN08Ae/IjEaPGworup+Rfn8YUVLszHcY4LigIrtXOnj3c5+50nd8wU3EhXXMJBp87SUrnM
HM9erju6lskNcprSDne5ke7RQGb/c+cGGSDIZ8Cfp0FX7tIpbs/9WkHw4se4yWcAvpmZjnOJpizd
lFGyp1IcPdKu8qc0UUgCRqZNZVW/sz7LgtRsgDvTom9Tq817OjJRq/Z11y2IogF+MUFpsrAk8Zwc
ZmQkepHjNI6c/FiazUGO3uss/AahuY0Tm8SsUYDX0Lo5k7TCeWlPxM43VaZurSw75vrwJqfmj9uT
tLohgAhTccNAa9ln/efs/NEipytyDXMkSV4y+8axAUMsBOhEpTiRHS6YpmFTd/KE5Cquq0Ofqzt5
7gnYCcE1rxzbtBLs85UTD8nA38Pib+xybhbGAKEv9P4SwOz60AM1SUMFlxeRlUtv/R9qWXUxxVjQ
gsjh42tmvYQiGfV1E7qB3jREYlwCL+OwkhpdOLaYNzVFaXY8DCCpedX6p9teILKyrN6ZFzSxFWd9
DivQnx0hQxGAClsYpVYOLqwJ7pTom0TTD0+W0FBdT9kM9Flj24yko2G5UzaK4F0rWfyFFS5HAE7G
LnVVWpKQg2UPrk61bTg/LnpDYG9yu+Rwe+rWHfvPqDjH1sBcinpAgkd5ozumZv2c5d/r/FE2KVDc
rcDhbg5ORfPL5TpB2lBHLRaoplRTiWJl4DvJifzKqodMXeigBG6xGvFBLomXKwc9p3xwWMhoURrC
2CAWgXOSvg3p8+3Z05ctwuXviDzGkgGb6GfnWWp63R6rtsGInC5K/LSwGi8CU687NZlEpr5Mv7JS
NkBcneV+kzbZJrKb11GjA3GkRCdKTUMX2QtEJbvm9zQCZBXFsebOSV+42DuOO4/Du5FTBkL3EtLx
0LSwijQ8AtxqExprUYT2zhDoDUhjvjiQxnB7JYofZpBqeVWFrtO6yW1SNiCaQ1GkcvXRHAMlBmWE
LpeWr0SDREq9NUHVoGmb25OzPv1/5oZz5dhuQBWURmlQx4NXx70nRQLnXd33aBwDuAmdeNCgu/Qn
RB2boSyLarbxpESBNkErsyeGKOtaK2tilf/YWUZ6Fl9MlltpJcOOeSgcPw+JZLihjlz5kPyU9lol
mLjVSHNmbhn2mblqTvESYcGp4kfCBIxXoinjQiUEnDo1VPDbFRCj+kN7mN9ur7rIALfqZt+1ZjVh
rqI09FvtuR0sN1Ifx/Tl/2eHC1xlrmk1NBbw9J0funZrAxFM72RVsMEFo3G4iMUqaOUVGqYrfGb3
9mPyVaStuBoS/6w1lzH+jyX1VQ41tuUZVkkIldEnu4t/DB0UdQUTthrpzyxx6SSwC5o6F7Ck5Bu0
kTLbx70I7ZayqJt6fd//vVscLp1XI23C0zkMWXiXHRPSx3fYPOT28q+OBk8ZYNFXQJPAJ6MgX2JY
/WX525MDgJVkMuxKm1gfpoiyYnU8y3Udf6HOwecwVIrKqhxLAD/kLdJfoo2gzhLhyFbHA4LvBf4A
wB/Pn5+DzUBKjCYN7MHT0PhXUosUVryIDDam4Fxc9TkUP1G1hgoBbiuX8cVpwrCoKhSFaOGniT/2
GyDwqgKNtX4twjitxrIzW8sGO4tlKMcPqcRgy24JkGmx4AQQ/TwXztS5L0J9AISZMVSFaKZbHotE
tKKrDnA2Bi6kSY1WtJaMMZTjfWd8GNUBfH6C1Gh1/UE4oi+draAY446yCE8MuLWiMISKezyj5TBX
SJtD10kOIC5ye++snmdguIOXARgMCStuUaKaSQxy1kB+4rHEn/r53hoaeRvRUvGiiSUumtPudHvS
vYmNNRltpRYEo7UpXZ5s0TAMuA+K8JdukUJoGpfMClM6/0qjr+O/6BGFysCf3+dOB9OO6zJrAbdu
wH1aZiaxyh+N9iyYx7VRoPVsaauEMBe20uUoQGJaouaJF8F6OOZy07ioVgdd9ziynBRqQ0poN1kV
ECxY0Kx4Spm9GYyOjMajBUm62x+z+i0A0kPaeKH449nvWJWa4RjjWxRoMHmoCTVulecPPRVdhVcN
LSQrgOwbGsq+l4OmlROqdj6h32dWP+awdHwtkZiXYN/5t4e0LBKfXJtQCQdpLPTCr4lVqm6Ma4uh
4azKnvsaPLfTQynv41l1KX2t0Mo4F4JtuBYaMYMKakQQ8EIz6OXgjJFlY0tH3CSzaFPsoPFG4tSd
ItUNp4iEIvqDZaNdjfDMHOemcdFBdlJRUF9LrL3iFF/Bmw6QgdKQVk72/2I2/9jiERm9WoERoMfQ
7OoF7fokHlpSOjMZT5r6pMWzJ4v6D9YaTEA+gsvRwtLuIEG/nM2ya5J0TtCeWY4bQ8mOFdiS8pMN
ClTbKUieevHRTB6aZBDshbVTwUK766dm9cISwNmFXgckoVDYiJsk+o16fOdKQ6X8ixh2bmW5G54d
bXLqzDjdMDqjT3e1hitOupkh6Hx72dZc5NwKl7YVuTPJLIcVS52+qxAtV+cDaMncRBfBXNY29sLu
a+ISAFIRvsBB4RyxLuO6HKJcsKNF8QONyrKbxOO/eAMAvxWubejvRGLDU7qPjV304XJHMGe784sZ
yh45bUT6dqte8McKL4KqTpElaToKNpL2oeNODloYgZ+tlkSBPAFxCfAuNnh9Ll2gK9H8qHV4mTIa
3wHav9tUz7J030Sk0o5O9wGN1+kXuuGN6TWNSjef3aLaqyLxkrXcYSH+Ra8pWmaB0v1f0q5rN3Ik
CX5RAfTmla6tXLfMSC/EaKShJ4vefP0FdXc77BKvC7u3uw8LCOhkuayszMiIy6+QJ9I2eknRBJzs
oj7wwmJXRredNnpyyGvPXduOaDv80gwEPoVdOqJDDYxWQHR0frbpavs1SyGi2PG0z9b88MIMu3ah
aGRUF2ZcxVObWFpvGR/Cqx/fJbwmn7U7ZmmIOcRDJ6vQbcVtlvyuXmEqGazTRFzNd3jtBWvHC2Vm
eCWIBM2X9OUqGVE9h0Lw9XfVGQRynF6v1T2w+HXmVq6AMUh9Fb+ezQKwwlFXf0DIw9LV18rfXvdI
awMBeZ+K/DSCVTy/LgeSkQwsa3OHdj5UJ61UIdnWbFXy+Q+soNIw6yqpENZlFmYM8asNCICOWROD
OtVS+rM+8njaV2ssqPkCbSVIM1U7c0NBC0GohxTgmqFySxQt5LJ1VPMx0Qw7y00rHbdmttHCDVhO
rFzeE0H3rg9z7TzN4uD4D+JpUF66nMxEqGKIZ2My9Spu0SRuehTYLCfJ8soKSBD+7fQP0q7oRv/q
4UdXGzOrUwv2f2riKdMMpd01IHos++2cOFEpJ9z4PjBYwsWFLQ/acxCQXQ5sak09KKGUcMQDMALD
DGhmhKhyBzQE+srm+iR+35GXtpgdOdViW9MYtrJnLbUmLKPEsbA+GoTXc/s5OFKZw5sZhOa1iudZ
0gPtGYtyvM2LrLY6LTItQ0+M/9Mec5wnGYei7lrgQgg6XMzfcv4bJ4zLeLI+cUiOg4wKz0FW9aqp
yqDolBGvc0J/Art6n9fpLQlSHn/SCsZGAj8G8C1oBjVRp5vd1yJW8nMjM/IA4xHT3JKC0NYzwYLu
l1MGMcL4xtLMeJvWaC2pf7Z011Ddvb5F1hZw+QHMQScZmLunCQ/C2HwS1ZuE3Mhuz4PqrQS8GCZe
Raj/oqcYepaXwxTyWiE1HtXHNHKbiloogYZ97ARlBs+CFiAIInZqbimlq/79YseFaTbmLQLZ8Ou5
lyxHL166AXhD5CVbVrhOUNaGvO0Xaa8OEs/L4YGtPxPo0GASW+JCTMt4peiDR6UDxCBOOP4aRqdU
Oxu83TJWtE1ANubv40x6ub6WK6j+y+9gToeW0r6sanxH8vxZ29q+ctTju/8aevTZ3Jce2Wv32Vl/
DByO3dk7Xj7XLu0y7/2yhOS6mmMTBc9B7uaKPeM8qCXsqLQXGhc9Zzkvz7mSq4FN5INAejGTwrKy
iYKZFb2f4+QEeYMufMWuBwsYa3fGwmn+vu1KS26PIU8PdaU/4dIu47+1qummTMQcFxYprLtO24SO
cl8+AY2JaK85lYYFQa0wsfqX8Z0zz/M++jbPoJJEPkwDQwvb90KjBDQcBN5WIVD1qn6ZbeiG4bCR
zMFrw+ImbvL7NPIkscPA0zc1hwrF9U+Y/dG3L9AQ1YMaAdhelmqkop1fQnwX+aOxvxUqtH+Z9Tti
rJcSlP91p7xeN7fqOGZJWMAQBbTWshoh7ZSV0G+eQA8gFA6Q7vuI9IE1UuOkPhmxXQsv1QDBuFK3
EoEz22ueEXtLm3kQcA+wbDiVXqKo3UooYd5hL+d3cu6mnDbF1dlcmGD2ko44xvd1Ed4/dAxojOYV
+Kc0i0StXfLAgt9ffdi3C1tMLJBpkxyMuoLkdmv8akzFikRyur5asxf/tjlMaFkBcYL1YnP1Y151
SHZhc0yICuWGuCg+FR141cTPiNwYpIVY5N+OuTEqrJCmqyClw5nAJy3uT1mbRqg1aYimVBx/7Q0c
T6LUcvzb6jItjMx/XxiJq4KCWV/HgzkzCzc2tcDtTMGa6iS2qN6EVlVmIcfm6u5Dpwh8HJiSUGG5
tFnFBu6PTI2Pg/ScC6FlJM/68FYAhHh9zdbGBoJmPLEgDDuzOVzaiUAcB2UwHLABI3GA0uyOo692
jjJ10Ebvkw+wPYgcm6u+ey5Mgwdtjj2+xcB+2I2ZiTu51w7lyzDeayEaEqLAlnPTHtK9UT5kOues
rU0oxFTBrQ+JeEAHmJ2S5HHXyQaOcwg6JmL7MVLQ5F4pePqDqxO6sMNslinRBjXVYKcbqnehONdJ
uDFfQF7pjcQ3Oe5YweqwJw4ku0BbzulgBCCXq1dOtEhIEyVH/UUEvQKPN3zeZNd+ntkcMpWkIe+z
5FhOb33gWxQM+JScW7KXoFw/Dp/X9+L8c9fMMUsExTYC8GuOdrJetYr+wQBVG5fkc81JLaeMWZ/a
bMIyrWZgYGeCp+re71NHHB7UwTENNwkA+So5tbj17b5YJeYs56QZhiqHyaDY5NU2Dp5Bqmt1yDGT
6qWpN6L6I56Uh+uTubrfF0aZkJuC2nLIICuExAf4uMQTOnIsUbybkMu5bmg1IkLiBhLBUFvDU53J
Kre1lEArtUhAG7epNPCONakV9CbER9rwbiTRJlI1d4CUY5XsOsH3xGxyi7MKqrBJKA4Q1ObUKta2
ESghDTxK0WCFWu7loRjEtIEQV5UcR+FGV57wROS2D6xN7ldKEaU0iKuyQ1aIqUDtVU2OyElYYvd7
ZroOas2SRN7srm1XlNKQAIOajQbOvMvBCFJuknLSkmMBCsdwF3TiocmDQzr3fed7eUoeu+rt+oKu
OZWZh3n+B6LaLE6h0+VRqGUF2pfyYMV4k3IBaCvd4jP97RwqAIQGd8w4lqoy/T4qURQ0gjt029sx
uZm7RHunz96mg0jRXSWjNIEXqeDWvddqnCO5OkTEDV/qAHPT3+WsliEZaDY/CpPWyL2QkqfchJDa
9Xlc24d47P5lhDmBShiNAfjx8Cr0c0+uEqvSB5vP/8ox8+V9FtFJUJdmY8h4CKW1tAuGB+Qmt/x9
uGoFIMuZkBwdLWxsR6kJZT4gfo7xhEaNXAQAt8zFn8RsefROa5cOUklolgVJ8txod7k21GxR+DQQ
+VCS2n1qbkITtXYFtMMWvNCmrQMBAgE8McLVEw2mddB4YjuqrNp6EKkoUQlzeFDtRqIfSjR/tFiu
8h8NbxZvAB2lAMYg6XJ4MparyufhAXS/jWV9Cw4tNcbjJpK9rBihR8ALt1aXbmGRyQoIaJsNCxUx
cpmMO7nctCMkW1ROeLW6ajoeGGg2h+gG27ClVqXsNx32R6L9QO9M7an+TuyfS4rLp7q/frBWT+9c
WZKRoTbgFi+nsAnTKkPZBykdvW/ug0wid0VWtu51K6sjMgCdx7MTm5FNCataoQOlhdiqRZZxrn+M
vXXb1uDQuW5ndXkWdpgNIdR6Eo0Gmugl91WwOD5odVujiWSmIcU1xcLoOjVoizI0kNeW0GUpTXYz
KJDJui8yTrghr11U4PqVgRKY2380dpfh1E4SHi1Ho+6N14YkqjP6g2kDOxPu/blZNZ4CpA2C6RiX
sWSDWCO0FKXVDrQjLnLvmiOkmbItB/EpJCJEkHIp9agZpztxlNEr79PJqau4fomaQfXAUyFYRoQM
aTGlpy6rekuH7rejhBK962J8RzC0IgRLaLQd0j6yCw2QO6HQRhfon2TTFVl4CPDLlhwDHAXFI40z
9WsPgVk7Cg9UUOQhLrrcpSB5Lo1CnZLjQJLz2ChnpDK0hzSRU6ekQfgakkrlmFy9V4FwBkwDjytI
FzFXThVoVIvkAXHJaFWOCFIU23wRH/WX5FP4lX2IuhNXNhB013fw+kj/ssoWJaNMTAQ5hlXqFGa9
H/TXoPokcrDr1afrltZOPkjeTbRUoogCQoXLOU1U9HvXBeZUKQE4rITksfJL3iTO8Sr7DEHZ+IsK
AMQQbPyIHFcltmRM0BAlbYfmJTGrewHwJHPYlOY2y3tLSEurjR6vj22l5oZ7bWGXWbwIv0o6qNUe
wwJi8b2QPE1iVN5R1RcO2RDkD0EexGh76UenN1Sy8yXxRx6IsjOMGd0BMsBTO1l9uCy+iOW1M4CC
Kwnaw6ChZNGj/h6InvSr+ylYbeEYNWcXrbkq1N+gu4kaMN7ozPBJXYtNG8JYEKNlr9qlGZp/M7fF
XF+f6HVDQPwgCYBSBFuzikJlTEx43SOkdgRUH8SmsfSf4ed1K6uHAphF0H1A/gpykJdbtR5rsH9W
8EO69Q5COXvPFa1fPQwLC8zFMbZV2+UAZqG6J0OD5qHZgsVkK7sfoTU6xDHAH3R9SOvuZWGR8fGp
qidx13cgUdZ/VS6SfKnSvpK82YrhFtBppC5H40btCkuGPoCeWl3OU/5Zu5RnJOh/Z3Wek0Wwmwat
Og7zrIK8wgGd6i7ZRI8hb4d8pZW/uYCFmfnOXpgZSZn5kG+G74YXtaAZvoH21Saygjek+C2vPqJh
K3JekAd0UQZwyl1w17lPn5PLg/qtjRdJNxSkEdCgbYMZbyd3ICyRfNyq5WTHYM2pwCZOy+dRcbNa
w8vsbyrsAlYAVCEwDFD6kWf4JhNbIU0YKWIWp2hDhiKGKUQfaLC8zRJemmwt6jFVxAnAdqM9nr0d
xwowAgBMYKd+GOheMXagV72+XVdMzLTCmDVtTgewWUa9ntK0LHroY7rqS3oIeYy7KydcRASvQtEW
TfG4jS43CUpeLY2KIZ3zHgpQA9uyg0akLfkcf7U6joUdZklqpdNzzezSY0Z/A2MNOgQuGn3FJQJO
gg58DASdwKxgbhAliUG0MT3SVPfG7mZuW62FTy7CenUomjmDm1Ht1tgm9zAwiZC2WnrsxY1a3/Sx
CyDOP1j1hQnG7wZGagxVDBNArtT5HibAgX/dxFrVfsZ4ARYjzfRRbJMFcrwNSVtgcPyNevC92MN1
bTX2uP144uV/1qKCC1uMl0cavZPDGrbi+Env93IPVnCARE25sITQyTUH1NVV4fbpSU5/8VIY8urG
WIyU8fhR0OaknEdKQsv8ZaTWeAhuu6PwNHlI0drp4V3cNs5waNzIa532HNvptnSKp3YDzePD6Cnb
ykUhIZqJW89gmuN66pVg7WJ6GAeZaxWVs3l6nkVHcAdr2kmwptuaVdm+81LcC6B5eTat0L2+B1Z3
8mJi5r8vbgiI7kwxRXx2THt/U6luL0gbY/KuG1n1MAsjzMkfWuhXaxRGVPqI8DojJ2F4Ee3R5Gzo
LzQVc99dzCITVw+RUSjqPBrRaa3ytt2LnrHTbBnvh8IO7XgnbpNb6k2OftCc0hZv3+p9tQvByLeR
HVCnO4KjeKBws9sztL8kL30QoU0bbkdLw8zLVuJEHp8Tc15b9qvnUuOcesb9yGYRqemPpTQDWaEj
Xm3Hybk++2vFZ0D5cOkizaiCApg5eqEvtHpKIKZA0dAvW1Pm+Qk6j5vnOnWD0qKppWvZXaZz7q21
M7c0y5w5SSN1qkYYlh7rXjOg2SUZpKOotT+1LuQplq4EGBgj1LTn7P3MqH65jzVs40BWMcZE0nZx
vUGWTcwDL92aqlfrm+szuraf8TZFUg8RBsQiGN+sRL6v0rkvta4qOxbyA3Lbbl08RMIAHuu/n5Ga
+xX+MsasXpZCucHvANuWw/FW1euboH3V9M6JqtISxMTrFZ6Y2OrCQSkalBkzNsJgfIIRIOdHczRd
xTWgfSMtQbqsoV8prxTRitEbsr0+nev2kJBVIVYh4ZFxuXZmDCoys0O7UiDu3nZxjHhtoLzX8Lzb
2EOGFAaKKajTIpHE+CAhGgKpnjuSqPgsUOp1SNtI0Vkqf4TKrm93gRRaKVp/9eSzVLZZ9XJ9jGt+
dmmeGeOYR+OU+hQaCr4G2G6B7JU/nYOyOl23M78uvw8TFfA57YxsD3PoKLiPAiBr0folvyqCepDj
ZltlZ8n4WYr3aZy5XcOjmVgf2h+TzNELgBYGAASoKfRL1A4o1j6VBhi/TCs5Y1s7dqi3/DU2Zl8G
ckYmMcMSjnG1aTTToWP30Bg0tGWttAg0Bq7P5ZpfXtpjtswUER9NYfO+BJNRpJxa4+O6Ad7MMZtC
6FtT9GcD9FFtQ5sWZ0XlOGHefpj95uJ+L2O0aHQl9l3eQp4sBR1si1tOuAfxnpyk0FX6LQPjdX1Y
q+skosUER1mAWiizTiOym0SSAUKm9wOimMBO+m0iWw39ed3O6vQhQYh0MF5G31gM/VJI/GmGsMW1
/j76XWL7on8zDDzKztV9IOM9MZO4zT3Jl3Oolqlq5M0MVxuetHZL1PM/GAfoJQTFgOYCZLcvfz8K
2wIpMeCNelBNZSqQK8CVCh2PdmCtwI3OqD925r2y2Au+MCZE61HbICJM+V6WgGkSzfu/kYbb9LoE
2Eyp2GllvKK7qrHy+l5NgOqWhmOGxQzQHXt93Gt+X4IzRlZZmlHXzLhlMpRj0s8VMuQK1R3S+VNi
GTwhoHUriD4hYAYaPlYHiEBTmKgTRg1kcE3fGzwJlf5eSTix5+pmBLXcf80wziILtL4BrRIKR2BM
hMBxMqAfKOXhFhkrKFmKs4IlnuvA8iGrwUyZ2caGXjf6cPIhvS03H2L95E8cN8uzwWwT2oZDnxdk
OA1gRAxLKNtXst35z9cXn3ES/x4JqHCAsNORvGSZVXJCE0jqhOMJmAvhHDYgeFILId6WVMxcUkXS
reaPPccbztOzuB3/YxRYB2gnw2WwKDFUmNE4K6jDKawUrXdMn2QGaJ7KcfSmSKl+qXqkvBTFQL0+
JH7NuU/YPPSXeYQ4sKyBuhZ7/vIAlmSaSEYws31Mb41pS+SjCm6Dott13WT1Unxq1a3Zc0KftZlW
UGlGyRvAbvAoX1rV1CoHEWo8npT2pJDURXWJtG+9tu/Dx+tryhy1f48PFSbAdYDsRXPIpaUoMTUl
NMPhpJtQkjD8ykNnL3qzi0ywZV/hNQCureasvgiNdvRnI/C/NKdnydjnRB5PYyDXJ7PuURlT40rr
QFeGaMvqKgPIjzEYQWzra0XAw1CvTSzKt6Ig4WLAqrLPgHRKxLyTptNEq2Nfgv44M1FoyT5TMrzK
MvLH16f3mz2UFFDVB05nroR+43XoBIjKdkg2nkLwHo9qb/VpBz7sdxL+ynPO3fptKWdbeEwBQQCN
T1VknICIlva0JkZ70qLey6nkhcNgT12wkyTO9vx+KmAK5XZcA19FcJnZNRAa7fRarrqTprWu1t9g
u24UH0hw/yPVqRUgcGnD6LHVeO2d8xguvIGCCv8MSYKgOdCpX+/mxX2oZ0YlJ73Rn1Ia2EP0boT7
KBTsNMvt185XN+3ffFihdop/UFyemcxBKsXWltMSLcUQlBJOlXikeWf7IX2Qhtgr0o4DLVhZPliC
9jDaskGZzg7NCKOqSopYOEnRC5WsctzEgQTMY8DZkitTCAnXWZ8XBK4oQjFHIBCjYQgnUzgllX5L
pcbV5kgB/Cl6ZTWg1aFD/F5knBfx2uCWRqXLcw8CLDVq0ZV+CmrkbMKdEHzg/I/y+/XjtmpmZuUw
MD4BhAiXZuK8CdtyxNjCDwH681L8rAF8MMqcW+GbF4MDw0vMQHUdwR9upksztAlq6KbV4omG4as0
KlZTOJki3iphh2SG3YY8Kho2H4RtCNwTGPURm4tzHMEMDNi7QJAHRTkBkoKO9tGWC3VjpKYNpIKF
0P0wGIMttPSMAPswRL+uTysbhsI8SEkkFEsAzoPKMNsL0VU+AYxnMk7Q6d004W1eJICTmshLuYVw
NqPfdHiNp4d8U8rbGOoCmvZG7o3Cvf4Z36IcBXB0DT3dug4hHHRzXU67OeZy7kOP55QSgFhzLSeH
HjUSzIUo31039d1v62hywXxL81WFMtGlqcgYUxFQ6vCcCYolH01yV9a4lujMqX3dEptln+dWQ815
3rC4gLGbLk31AQkzHQwvZxm5t30QlD/6PhJvkzGXPDUn2YuZSqIzCnJq16kw7UpRu6uTvt4neXOQ
NSJxAq5vszxD0EwMW0GqDAH4/PeFi52FnnUq4ns6467uHsE57CY6j4iO7RdDSQzNRCKGDX8O6Uh2
1ImI8xJ+jTpwst/6Xee8D9v4d2T3rwWECKhtWKkLcExsDfc+r5T7/f76sg63Pnf24BUzp/YXY6QS
3vDy0EXnwUAv5/SoZ+ewRV4ichPpd0ErV5IguSq715eaeZT+e8zg+JkJECTcncz+FaRAh0QeZjYp
A1eFLHGDHr3rJr47inlkCxvzNyxGhlHl3RjOq/cDoZVkx47pRgVU5ahFn3RO6/L6PC6sMXuFRGku
dUITnVu3R1mc2JrTOoEtto6OGvn/OX3MmVRUkhSgVYjOaEOzfPkjCnk9DWw35X9WCEAYpBzR/M2S
vMq+mbVBj31RW3SXHIIH0+32bWx1ruBUN/2WPDaOymt1+OZr5iWb1VkQ8QPeyrbWRdCx1hIJ44px
E9sibZ1QT3EfN8apjpK3TAo4y/btlmQMMquWpiFSJgH2CFIYVmYG+1h6r7QfGu04huYfuojWvgxB
2wMPNPTR68yGr6MqTSR1iM6RqMROp/nEShEx2r0hjPb1jc8zxex7PUwlkCDA1JieR2JYgom8MPra
rltZP154OkAfYL6C2CBNg67RMEk+jpfwGRQieAiahzqTb6Jhn6Z0J//spXJHUnKb6DyQ0veLYp7N
hW0mhkp9uZIa3YzOim5PqQ0Ne+qJrV357yW5KSWkwYHRB5OVhWfN9WGvbBgw7IKfG29RFU0HzDoG
lQoW/g7HQtCLXVKOJ1MZwMSQiw9yCyqI68ZWVnJmWcabCQ815ZuxtACAs4+wkpUMHhO8Fk9ETfNN
Z/DUz1bOHVRToWyIXgOICxjMxZv3RooPwVqKd2p7LhU3ki3QIWS8Yt7qgFCrh0MBRzfm79IlA7oU
ynlEULiQzC0xn5L0NjZETsDyLarH42RGlcGN6AAHsPIwbdBWYVul8VlJLLTURU3lEPEUi5sCN9xA
G0fm8bmxkKzZWV6YnMe9uGoSOZTwTg/jc/EbbL5hYf3IHeP1UwLWEzVwybQ0MBZxNgeLf/iPUcRM
yAui91plDoGYA+mrhVl8nmQ7+13cZm+K228mVIxpssugmMAhcVmf1z/2mK1fx2oJIBHsde3efKHp
QyhYUW6DLkBSN+Tj+tbnGWOcWF6NpIllGp/j0HSpj9dfYNj64OjknJm7fjDwtAg4jnPNpWEZ/4yQ
WcZOBcsJqkzxOfB7q1UeS8EaEofKvZ3Kg5v4n0HvVcjVqD3nduCuJXOhp1oqC8OIPSv+Ktp414nG
ljyVwXiOG7QwBrgwdNvoQtuMAX7vOG+4eS6Zu+li2LN3WOxeJe1KIasw16NC0F5NuwlxUpm711d0
LULCgw3OE2ABWVXZSLPK6Fh0cR6f8yM0SCxJ36TFLpJAFO1WUFWdDjyitdU9tDDIeLUMpZfaBDPm
WbOnLeCsBc4iWBDGF85e/YrQv03gwhBzEkt/lnUAXu8cPY+/6Vk/GJ/Zzzaweje9EzPrV2rJ+9ej
BIXQwc5Poi0+caZ2NnDtA9ijKShDPDbYPsVoBadxsOSb3hO83ikfm42+czjm5nNwzRx7OHt1mroB
5gYnVOw36fNeuaMuZPuGzdG8d+JPXn80byWZg0lDqOwkBFun8m9Q+rbVc49Ug4ikXh+eisc4jrzr
Q1y75kHNPnMvabNeIGOQiCA+JgpWtKe3Q++J+e/0reKVtNan8Y8R5tCXchCPQVHHZ7+UMq+dtPdQ
qkQ7GgceQGstYMLZ06F5iXSlBJOXRzxP4rwu4d7OjRqD234/ev5OPrb1k6rtg/hXCeDOY4VG+ngQ
OE71fxyOP6aZUeq1pOYgw47PxnDnp5+1dpAbdHTZGXjoRuFQS05V/tIe259xayv1cwBkg/8rpaNV
lw+q+aIYXkx5ctnry/vnmxiPl2VQPTMjTEcQE99Ry6T1MkBKHHSUnsnUu9c3E3cKmLAHOeIsghQK
LrM69CoFekdT2kHz7z1Qu/umQQ/8sNdSm9L98DuMxV1vbAfRi5Pt1Hq0AAPAhIv2QZZ3bcpjOFg/
WX9mYv77wvfXSmVU6rw6QnaQ9po9ZLvOMp+Ce4Gno7N6y/zZgmy3roq6H7q55klQK9EaxypyaiXn
UaSu36QLM4zTLxQzNGiPAZnmk6S7QMmD3Va2Msd4ife89oK13A2AW0gIIkutArbLTB8JW9IETYcr
JnMF89YfU3BtPELY1xolrzSf0l1cPfW1faAfRn0YWy8lu1q0xNd/ssP+fAd7t2pmMrSCAleSa9ti
slWvzTfKdJNqaIzW7zLtVoudhtaWpDoQhrKGop7LIa6iH5P6gfjblvzUMks5cT7rW3Z4josXn8Us
RtxNVE41TE/Xha/E8PJ6O4bbtLzDY61OC8A5SnvS6L6i28T8JcWvWQeekhMS/qMcu3mrWKG/pSO0
HR2A8XapdBNkhTNV+kHurdQY3SzilVXWXeXim5nLvE+VNIE0J54PT8Vbek4eyptsM7j9o/ISPiRn
wqsDrt4CC3vM3Z3KIzBDoMQ4l34weWONnl6l9Cu70ftgd309vupe7MUN7y8gVsE9AMj85WlPs6pB
Ng6HI5cDyCBldpQFO6E7yUAjCdsGPE1C+yhPntbYk9FZfvYIXmFxtJQMJD9WpDdWFnC27mpYuPwm
xhdTaBoSaCVgvg2yqadXBaiOKI6cgkye3PxKoBBCuzfUMDzOZMwTe20yGK/co1VSKRucmTA4FPlZ
LmJLju50EGNPd0XkoTrp73vqUP0Y+ZxLce29vRwz4zZAECbrMfjezlQgL1gKEgfoKxCt8Ich8Rix
1/zuwtbX/C88vEYrM27w77kq0IkoAATOOzJrt+nSAnPKoTwk1ig2xedMgsbJKO2yskYnkmQLOpfk
bf6tb4uGlmMdJEpA3bBZpyBCL6kkYDR17uJWdMlP3aYbag833Q1Pdn59ay6MMa5gmnRwEIIh8lwL
LmoOfet0Oj1Q15dwpwBKNf0YtYgTLKzmEqBG9dcIGX9ANBSvaxk+U+oywFdtFRBIya4ezTtj3BdB
BH7HjQFqquJBJ891xjkVa95oaZ0N7Yc61aUa3s9H3+wmQE7IMQcF91aP8J5zANdeLUtb87csdiZI
8Ku8COcorDhoIB8WbkShssLsBgpWZAA1Z2QH1V3hGbxQZD5e1zYR4wbFQR+mZIThUN8O8u8SKQww
HllJ428i/UN/vD7OtUtwOUzGwSXEVCuKl+85ym8rIYfec28H8psPqo0wmBANO9ftrY8OeurIGMLN
a8yu7QYikaAZ4eR3armbeoCFbdpvssYxznLFzcWun8g/5pj9GshJnfVoUj2baFyibnADlhtbRc8B
2mMUB1lo3tts1aHNfLSAXoEd3WTms6ryFhLJBgyGxLTkPpqsSUUS4fosrhVAgDf8Y4a5HqQol0Q1
wr0cp3ehbImTp5d3EFXCAbUUCN+pn4rvySBjzq1inEldbV3jpYVWPeviG5h7YqBmOqkxvqEX3Gwj
H0TREj6L3Kb1S/Uh31NHS25T8dGg+5rkKL3zcoxfxDbfTspfH6AKTHUwCLto7rHC5SygyLoPnrrc
Ug2wXgMttCmppyTbJjkl/dF4KF4SujHJPkpjMIvGdifFm0yHapB0H5WvvXGKs3Hzf62RKjA3D/Rq
WyRf8HkZxG9ir2tvQ6D9m/cp8fLYqgxv8h8IRC+EbieQyYmnzjJKXhPl6vlezBFz3iZ/ULpe0pA+
25ihAyKR7uHM4yhcTU1CFhTCltiRIJxmNn0qSW0pBID8m4ckRsVDGl0l+sj0Y968xVVrtVR0KsNV
u1fOFK856aVh5hhMfYIO1X6Mzn7y3Ia/s8dbolngE7WC8YPEVvv+cN3g2paXIf9iAtX01f56eSnQ
ZgyzMq/hN9R4MzZ3QvZUB6pNY17cveZGloaYgUXp1ICqsUStcegtGvW2ajxfH8raxlhaYE6v35Wq
3tQYSqJSW0pae+qPSXrXx+9l7qkdjy581ZyCRhRNRMYKSN7LmcvECISk80o1YmmXNHd8QOQz0HX7
uhrbRauIjhzzpIy/42HwxJtFUGBYwGOPxcPEItEpEVGKa5zmFzkXg6P6zn0GYS20ICYfsmtLnb2d
OAix1dBsYZZlukkGOglTCbMtcvNWdRe8ySfBm96EF/JPwtulKcbJiBHIJrQexbE4hRxid5B1pwke
NJMTJvyPIaELDDBJEDSzUG8gXxRwrc/p6qQV8AIhgxNJUfFURdVR0kCcXI3JaGVlaR5lsKsBBA6Z
4Os7dt4irLtHy8Nfn8AERmZtyCRr4/isi45SNVYIteh8tHLjQBTruqm14wcE4xfsBUSQbEayFZoh
F0qkg6A5aewzWqnQshGJc93KaoJGRyyNrYmODrQRXh4Kve4KXOR4m+jjuQv2ffmMcydPv8vPHJBN
5UEEE1/0Male/O4LTm9ufer2d8b79c9YG+zyKxhPUIygMqlrvPeCQNA2WkGBShVSHpxxNfcFHCqg
WgBOQiWeCainVuv8OkbwnqLdUyf20EmuSg6kuPeRVVANuzRuhGPXfAzc7B5L1vBVjVzaZrZOAylQ
vTIRBmrDXR5Fe78h+7bIdtnwJAn7DsQ+NIntoX6V6K+oS+1R9BL0ihDUmXdd/T6qDnRqVHFXFx72
vxP4PwmNd4kYb5UIbR4Z2YHbxo06Xgixdr9hZ8gzs8OXIMDlBtG0NK+aEdFyn7lB814IN9Okboml
6L41PYfQLEE+tKKezrkc1h5aMyERwCAAuAJZd2m3mUyzFhAjnetQAcQmNeWDIYflZiSy5v2D3bcw
NU/B4p2lpT3Szf2Ecg06CNywodOWiiLHfc1bmHUdy/Ewz4DO8IHZbAQ8WynalPdhNdpaAB2nwD/7
wU+/N1w94MGgVqOipdH53C1G1pU+gEsZFs8Qg10ABWI1j21dxnO1jZxALpwQ6EhtOg61JcQjx7es
raABlgbglGauOvadlWqAz/c93iHKMLSuVKi5R5KQOEms5f/ALyPqA5kmGrlwuTPjJGD8KszGnFNV
mdWg/h51DgRnXaHTXFASXd8uq+OaRZbgQUA9ybpMZFhLbYzD5Cz7YW0B1jPaUV9HTptPvMcjzxTj
F5V8BKAly5Jz2aTaJsFz2E2SIPKEDD1k10e16qAABvnvsDTmKSOAydmXQElxFmiVym5jVDNDKiiI
Wq+Kuqm8QTden417oiKXZQu9rIBPIur9u7qfRNVNEAZFLtWkSN7KMZSVdtmkB+2hMaVBcqQoxv8H
ci6XdtvrJHvQgyKqfotCWCKPqEnDBoTOMWj48kobD0Yv1aYVaENdbiuB1pXddULdWNO/SPvS3rhx
YNs/dAVoo5avknpxu+3Y6dhZvgh24mgjte+//h1m3p1000QT4zsYzAwQTJeKLBaLtZyzpJUX4hgB
bF+hvyyvBI4z4JIBqZ9zTgtr7S+MZo1pFYiYms3rGjQR2Amy4Cem9oM8VGUdZRcvokI8ydB8jnZt
V/BvzVpQHPienlrvl+G0Bxd3UmzHKToq9JNWvYESJUg1pJ7pehyW8m7KNnbxpZzi7WS9zdopJr/8
rPt13QgkIbKFVIxhoKMZ6EXi6HvpT7Sf64Sd7LQNTE0PSr3cOnTZ+PVWt6ygnr5fFyjzUJD4Z16C
11194VpE4Fh3QN9lp37bYwY9GrUweLNe1qfhxJRIYXxNBR+MxgrE4hh6MTEBI/jgfGBuNfkQhiv1
xHZDE4zP9BCyT/mhUTQDSU7uhSjBI1UpZJkj14viek499y2t0xdiMJXrkxrSuVL8S858PJniGKSR
kLQcpmI/VDtUIuLlyaqqKNb2lXZXbjQ8hskmZkH27OlfybTPxyivnxRbKTMeeEMAXVgGEErFGxsU
MbVbs4ad5vZuNjfFHFJ93vhTtn0yv7Wfm2bDweGivAmYvgQ0+1yaAWghSPX5+odIgnTePvPvdwjX
OadEyButYifGAIe3REZziwIxWksSFa4/38T39vRXkmBPTl060+RDUrnNHitVEV5WjbpQRLAhNwHu
fRljQbMFRKQARdzlxZeco9uUb80r+K7GtxUtCaH+ddmXT979hI1Xxcyy2jyfOMBkIbCdMQonuMWe
2qk1Oj3MK35obxzvvh7COdI74GYH7fd2DI3pZ/+czAdQXnXWphoemjEwdm6Lx2ap7FmXHis09Flg
bwAqvy/sLSvXkZoNvmY4zLQO1/j7qN0yD4Wopd732i16AlLy3XY+zUO/ZWMXUC07kFQx2iyrgYJq
EXy/GEwEIJXYDwr2llkzrJGdng37ZS2rwANBsjtuKAlYHpnjPjZOtva9sF8mS3VRSXfE4QxFyO/+
Gca8PPBzEzet582w788Y+dzc2Dfra7PLduzGfQS+m78DLvWrH+n31b67HRR+TWbyf4W/S3jq6diW
tb2yU+0V6FTobpmubK3nmygeK/4WBZUlepgx53apIKFL52aFDpNbD04dUhtQduN0TJ2QPLdPfhr0
7kaJSvonI3JNqpAeIhhSbFudaxaN0bQpo6wI6Lb/ZIM8NpiDISoetIO1+X7TfyLH+cuu/Dzez/fp
nvyuIlSAP2ev193Yn3zGtQ8SnuYpQL06r8IHkcA8dC/19jUNuzD/dQdQn5sxGjbk5O+nMH5r9o/V
rY9vbG+1zz+7yN0kO//Ji9ArcNPvkzsafEc8twMvbb0G7m74kgcqCK4/4w7XPlZ0E1XTJyY4h05g
H8OcGXvMnJCewNwamV83xmeyGfbxvf51uOnD/fV1en/toJMZwT/vzEbRU8xxm13j5ra9tCeq9YEF
qno/3aJkPMA9IcsWI+l7XR7X5FJTjDzBOtFRzJvFxPJKbRXl2LR1f/KeoOh48xMtmu0zi1T5V0m+
i5OTemhrd5DWRgFJOAaT7TFMyEFQdpOiwWD47JvHaQK2zFxHWnHTDBgTVvSG86MlKgcgBcS/iEwx
+yzcaJ0/Jk1VVf3JzsmtkWNi109/taO1Hc369/V1fO9JXI5XbCGdx6GI/sQ1Z3FLPDM789BadUo6
/Qh2brykMkXy4n0kcClCMEovn8raWZr+5E7zFvx0qPHtmybKPAM9Moo7QaGOOA9ULoUzkAyy5t7+
nNBia8WqLmiVCMEg9NrJK2Pg6iwtSEEIaA++Xt+T92eJo2jwTbHwT1BqXppc2sVVMxKKPamXGDwR
Q9SlXrRmVUQoOIWa6bevt4p5X5VM4UpHv42txzHrTwAz5VA/N4uXBCV7gD8JhhG9NrbCYciWEWAJ
ADKwAOMLzq5LJXMrd0u7xDKSdXE2iwtEqtbRv11fSUmukS/lXynCdTIlrU0bcEScmqB7WoM0Ko5f
4yFYDyHJolmR7pev4V9h/M/PzlLWl9VK/LI/LeGyBNmL/6NfAhI+X9fpffB1qZJwnJjfEt+NIWXe
pl/SZxUuuOy0/l0xYGhcKmFM2IWkh+8hnb3R1hPxRwR4J0xqDHZ4XROZmzsXJdj5VNRoOFu5D+9+
1iYLOrp90noVKplciou+RxMYnO+em4bdpF2WQco6axGrd5lhbVsrf+0HL/iIPn8lcZM/23/fT/O5
Mvv+VJXgvI/N5HNmlLfoO3rWmkoRAUqtAEPmCH7R+o3p30tZpO/nIicLbK1JohKUWLbxuiIou66R
/PwgsgYvJofaFoPACT30tbFCTNreJR2ass12o/nlTQ1IdTfdmG5yn8ZWCObMb6ReN3Myf7/+BVI9
OdYJhq0BYeMJBzhLGEA6Sr0/0eJ75UNNekxSVXuxSohwcJ2hclqWGtDS17bplN5SbXpgWqbwsZKn
JFjfEU8DhwB2iFrP5abFgLQdXDuGgbA34NQFmB4M0bGlY6izzYO+YAFd38ypQu2HYW5gk4/ANK9Q
j6jyT6SoQhNP0Cb7Uq/p/voqSwLHyy8TVgDdKk02tC6uHDwiI62N4s8tGt1/x+uG3bv7yUBXcOQ+
ufdk3Dq/vBN4UgNin1TvmvfOB5+BmjreuCagwMSBhqG3Sy+eRwz3FX6YmoA2M0BfdFhYQBxl0Y1f
aZdRFs9U4zWNpmheTRR01jSNLJ1dD7wbeQUGI7tpi5fK35AfSfOCN26ATk+NvQFNSHF231996HoC
pg4gXxB3+SLzglfPAAlxMcKYuj+Ic9sWr9d3UxKzQgDHJwA8CVijba75mSNqB3utqJ2Pp76bRifw
60I37sYClf4jGzw/2+G//VdD8wYrspm3uoFTNO7e1NCnFV3/lvdHC8PtqPXxNwGmQ8UKuF6sSeHF
6XxCktrIIqBw6Pt8cfQ6Ak2dCm/ivauHMBPolvxRwFFnLvUeNGYkZlPOJ43SG5stXVgb8BlzPuPt
WKpCZ6lqls/ZclB498UnSDyv1eB19XxCm4t+WJzYuZ9t3boBYF+uiCykooBKBOY+5Gd9sYE/zhy9
KO0Rii2ArsJsKt2bpLJurRjDhtc3TLqGQNIgeOzwxwf/lHPb8bKxSWNzPuVV1gWJuQdPPcEgxLwB
nP66uS5Mku7nuFLIUqIVhI93CB4RlfcJ0XS9nPRZ8x/8xOnGoCIJkK04yD2I0tylLh5wjmlYJEm7
dVnvtoescelrPYx487lVTOegdI3xSz8xyp6vf+D7o4rvQ36H8zLoPD8urMYwVGuJkcBTjObhW+ba
JZ/sMhXL8H7NMb9v2zqMF1CRmNe+lOKuias1lracGgx03WIKfzk4mpbe9FWXfdHtqVF07Em0wu4C
Ewc9OJwT4DLGu75C700T3372W8IKIUFkxk5iLyfn0Xotbpyv139eUpq4/H3BlwHSJYm1DL9vpmHx
o7hNT0D/Dzib6hN47fBvhbz3V9ClPGEvCMutobAgz0+PtL+loFz8mjs/5nY3o1fUsz/P2sboOV91
noYo0gXT/NimvxpbNcMvSW9efongzdbaIUk9W5iuTTbWcOu8OPWdiXRc85JvmzLUSxLQnT98elGs
AN/9y3vxUq7gAXzT1lbUbpbT4H+rm6gt9t26ZfEWteqvyU8VNYnM9jG5yNtkQQaF6/DS9q0RuMys
K9dTVpiovlcZ6N5Z/MnPmjgYzapVvDmk9gRWIPTkY7wEKBfC/mZdTxdcj+sJJFSRk70VWdB8iW++
r8Z+GL2QbjJve31BZafNAcYLZyDDhe8LccbiG11mTfqKZ4HTbXM9r7eL26sSVfxXxF07lyKsY0P9
NJ6ncT15LdgzjXhX1bvhDjP/QXwL/jNFKCs7JY4BjGeCpzvud+FU0p6WuVH768n3Enav450Q0N5t
bgyts3adXZ3GPK9uPrCOZzKFnRuNdprgpCFTH3M0CdUAAm8qb/8RKSjBIyGGTtZ3M2qItXu3z1D9
Ne3+jnrrtwm9SgohMqPn4II+ch+I/0SHPxe+5w46SsxmPyd3ieFuzdj6TF2vjJaM2IqFk7loeGj0
W3GuJEwdXh4xpC+1Kq6ZfgLXNgkmb+h/YpnLe1IOjeImk4SeADRDJpHDGQJB0RMMIxnt1e5ibz2h
7dG6meeSopTeVSHoIpewLPTkeexRd3SnurpvWroc3Ml3FNGSdHVRO7cQveBfYrTEB1MMd0LuYkXe
9JAXXh9k1rBEBTInYbp6vz5gMUABx/sUHVquyIG6Fiab3Riwau44d9uVGSCba2tN4bhkXgRzBC66
FDiuqQjkS5hmNmRK9VPlTo8gCAarmD98/u+anMsQfYg/aG5GYfsF04wgG/skHH1VLVNSKkcPGydM
gkdEhlvE13ULt/QsNkMKMvgHTNt2t663+DfxvPSfBx2JucLr/E2buICssVv0lyaLExhxsmwaNHpv
SKb526mbQGLdgMhh0JzsS1LbNEzpkh2ur4js6AADBjUNjCN6aB+8PDoopTelz0wd/Z9xHBW4nk5j
D8CnIafF6SOiQOCOhiYAnYq4uVpulklX+Pqp04YlNGk6PlWdZwdkQSfIdVFSW/JAfIOXL3IMjhCz
zYRkGe0s2JI+JPdrnq8b2+z1j1jTmRTBFfQg3nQzeOwTqB7tbTrU1Y1DB3t3XRfpDvngbkIPD0+H
CTbrmXQeCycxTkC2AALniN7BejXze6SkVCyNkmEbWO5fWeQybv6f2kYTTq55+okho4AKkNeW49GY
l2raJ9aqD8dxyawl0Lp1bCPLb9iytzJf7wLDXTuU7CkZkCKjthPoGemSoG8JRp8rO8egwkdWxQX0
qg7SLEd8mw56NWi9EesYkCvqg9G75NuiT91jPFS+ouTCF1gMPDwdUGj8/YIOaeGIoCXOrXu/MNDd
aD7NK3ltG/NzSk6JgQEQRM+8t6RXhFSyTeekrrhjwHjmiqBCbWqvzdxB5tTWaaCRZghrLU23aJ5I
FKJkkQ7AwH2CEgVgLMWrekE4MBpVbZzSvAyy296J5ngzdtt2UsQEskN5Loj/+dnDO47jwsy9ihty
+cDSLKQJUySeJBcjric0bnC+T8CDCls12fypza0i6ZJDCTb5HOgeAZkYGluerhugLM5GhRYuE0g6
FijVBHWWsQUX8wh1dGCdh2YyRk6f2ttsbud7z261sM+q6di3Nir7xLtzBm/5yjSrVqyqZPID6RJM
IiFWha0YYgK5ppidTubcQJuEEyQVvZttzOabzy0IqjBhEDYHuwfAT2JGU40X/uLcd3QAk+T4iVXV
jVYms+JoSs7LxQd5l/tct8DKn0x+XtLQsbOtSavbGKswgDO4mBbgCIORNbq+GxLbgkwAwrlwB3hj
Ca7Ym2tbT7MOMhMW2fmDXqpmxeVa/ZUgBOcznlx+30KC3abxlqKi58+nYcqe2rFFMiN7rOf42PiT
4h0iSyBdaCaY2Yq0bk3b3jgt5S+n+KrdJz4ySOvyJdftXQVqnaoHhUkWgnZhg4na+6IKMl8BwCqp
kmBxwe8GJl2E2b4Ikl6uJWJqDT4CXVkW+lRqbQoLl4By0UCzZsmQfIwPudNvY2N2gjK3jtaswr3m
ZiO44YtvEMzK7XCj+AvuwXYqhhdd0/HyK8dx+DqPiJRWgH0fp2I0o5WVncJFSt3KmfrCFexMXmlk
XH0X0wia9xPRa2i7rytVJZPlTuWvJPECbtomT9CyDB95Ao1QngfaPZLX+XPzZfpkv6pwUyS3DJYU
qFgoP1kIloRT08ZZlo55a5yc/mhbJ63b2osiEye5XS5ECMdmHE1Kl6mBd3J+QiOgDJrsJZk8XGc3
112AfJP+KiMclJ5NZHIcHBS2hugQ2hOPBZVTfaKzIiCTxfcXOgm3DGLOpU50uIIB+dmmuGnZ1uns
0LLfTNQptXQC2XSo5RaYSNh29nb1iM3LotZeQCfpfLWZ9UYy/dd19aX+6Wwv+fKc3a4G3mYGI1ho
z/ieZpEe14G9HqbsR6d9Ko1PVqoIsWUPYdTpkWJ1gMuMmUNBYDnkWY4cBeKGMWhhqxZQEl6cX8wM
PHQq1Z87VRus3AudSeS2dqYiq1Z9mfm6d2m8qZsmcFd/VxeP2ZLsbO2lAhHuYO7qCqx73fhMeoUr
lt4xZ+IFBzSwZkmdeOAtl367Sz0jD7qkyTfX91EWg2Nd0bMENHzeDyvYsVvNAMwrIcbxQvPpxsbp
XwHRdTQDZGsArhGqnjHSI3omUDDnXgO4t+bh4NjgD1loGwyeudGM76xOo379dl09qcs5EyZYTTL0
dbb62MO6qn90Ay1DLzeMgFFahNclSQ/EmSTBWiZ3cadlhqSV9BtGHgtv01r7zjn6S1jXa4hklEKi
1AOdSRQMxGcTyycXEt2x3Hnxfhm/dQxDc+P2umbCGgLjF8+eM5YgQTN3tgFyWoGMyKLjEmWa8zhk
JUbqh9/X5Qgr+I8cDt2NspWF8QlBDqbl4nUFs9exYrF/my++FyKtQaKmYBkGmad212JU9aYyGyC7
Ykz1unThuP1/6WCbQUrINdAGcnnai4UVcYKmy+N49F8tFW4y34uzaOLPr4PHD6k8QJ9biBkvfz1P
zSK2GHBpcT1t0Bdwk5E+nLpxy+ovZrerHEUIJduzc3nCPejPmK91Nchz8SCxtSKs6ipw6q/X14zv
yDWtBN9R1Z1RaoYB4j5nxg75d2vnf3L6/jD69T4vFGlI2Q4h7MXwne0hnSO+tuC//CXH38fWXvWw
YskcIuxTgRWLF80/WwVibLzBMSuEdM7lVtVVxXqqg9msIdXW1vdaFXEkHg8guw7SyZRGeKVFXa4p
jplwnN/J5X9+dt3UdWphCBRb5rB7f9z1rNv69cNQqxSULuOZfsIxI7QwzKrhzG0g5DmpXt1Swzv7
dcEpaf5U9iNfPbPjvBwveqJvvMJQHFapFD6y7sDIMa4gHKepJnkzEw2H1a93mKoD7IwdTLUiWSk1
7zMp4iHySerq6Lc4EuPZieuwNwvQF+mbannrrKcPHCUfz3tM6qHHROxh0fQObrbVQTYP5qbAIkUc
WEWmR2ab5DsQSKJloC663XWhsmVEtwB3uLwT2xfyb0kZGzCzrAAy71sPMkc6orBQPH5ACLKJSGXx
yow4xRpDXVZ7ZXGcQRAzEv0+6cn9vPifr4uRbRbaaZCaADkfCDyEzRoZGxezaIqju2yL9sW1j2US
YSowKj7CHXouSfB604gXq2aC/w92d5OmQZMrPIF0WwjPjWF0kNv3pSdIJmse6h4CANC88eadvoAH
JFEYt8zdoK3nXyHCEXKopg/6gCC27jZxsamSg1vu1lERxEpV4WMMaHbErJXYeW+NtrUW+oTNbzd6
c5+DpirFbX5962WqoLEfgOjodUMNWvA5xVrFICsgxbFNN/Z858ehbz8WqqYSsafvj4M+F8PjlzMH
raO5rXOtjB71FtC0dFynsF2N78ZSISO9xk4MZkpGo8YBKtUcD8Aq7906rGxtCPQ+PrAKsG6Wu5S7
3J60Td86mAUGw280WusYknm0N8tirV+ur41sA84+Wpx/bo26Bmky1mZCZr3ZWevGUJUHZbENwf6i
cI3gDdQ5l+sCHNQ8GVtQmibO7TA8oXPjk4m2I390g3J4m6x28wGVMMvL0who+9OF7QYgUlUNxpQf
md+DVKMn+q3VlpiQaXOicJCyu5KciRJUa1sbtep8AGn2xt2oZtOlW2PwVi3kdZEQFy78lU6D0fJ1
o2hY7Zgbpngm+JPC/UoPx5kU7jfPrLa1lmSlNqR0JtgJULwgCw394WV1htMH9gVmwF/oEChyj3Wm
gWy4NubHPnsh7uOaPE70I8qgRRCFKcMAn+A7pwVyMwqQuyPJnxY+M7SWgeM/KsNn2VOEnMkRLhPb
7wrNXBGLscHakDoLbQ3gStoSdqAgSBc99A3Anv/XHMc/HgZ9rMgrY/4SlcvLvVqyhHTLhOBpAXRU
Csyo1tiBcgsZx71TZmEa/wSDUuh1g8oUpXbOK/soYyD96wiC68rMZ0DqFUeaoxMk/u1jDPcDxnEm
gR+GMzNE2wsS2R0ed3P8NM0HJG6DaXi+LkPqiFywUaANCX0KYuNAmjnO5OR4wnnlTs9CkO1YxsZH
i9ASzrnCM8jCDXImS1ixbhqLJdMgC0MX27Wagtn+FCc71263JqGKxZNuj495d4e30LwbBkydFTmn
BSGUlwDCR0c9q6qoInMqNtP/MT78NN48vPb7rojtzk479W1eHBPy6HsdZgyDLjsgofiimZu+erZP
uR3q9GvcbnKM4XRWYME056gGsHlhltvreylbX7Rf4TAAjgQjTcJJR7V1XWbKAOQN7MySPZoj5lF9
UC2zx2n2FQGEzBOj+wpoQOjnQewoBFxVbKFwpCN2pDeVDuIp/44h23ZdIZlL4Qcb+Co6h2kSDsBi
+HU8V0txRGXjkOcMIwl0U7d6UKARC2rRyMJgf0U0VX1MZjy8OAmqN6zju1pV7xRAhtORvtGnEgjQ
dTjNxc113aSbdSZCcJfFYDuDFoNHWvdCILGcDHKXWy3wuzFU71qKzVIJE04eA/OloREwcFt0W0z1
sU0Cq822iQ3sWFuVY5O5lPPFE3ZNG2ajywHhgmO+fCJ0RYejHVCARrkx6pqgTTGVYabUGC3CB7kA
YIZ+tktPySq/Tc26K46sQ54jKBdWATZdY4gl9dTUvoL2EcMt1GNlGeiD4TeABu76qFoq89VGO3cT
ZGnD6gBh6PCTtW73wJYiyzccJHBbr3QNq7id3hKfDxK7Xax/SWc3iwNnKOKHgRpejMM9ttmdVlDV
RJ9cN178AYcm8JOEkMfw5qIYau5jKPJDRpD0GIVRZfKkQtD2jXkN/AWe3MsFBJ56oi9I5x21uAjM
FdD8TaDbL9dNXnqqANYAZCb+uvlTRz27z5hGS7w4CjwCgRF4m7nrskEmXYXhJQve4O+xWh7QId6h
9+TeOrSegUdagzT5FMVss5JDbyiOr1QXh0OFYR5CxwVwuWDp3JWd68L9YWrHD4cv11dKuh2ujqVC
GxbUEJIMuecXWefh1wmYv/J7Fxg8faq4+aUanMkQHLhua5VdZngxdxMjN3FVauCA87rouiZicfyf
KxK7jTF5ADViWv5yodZei1ey8jczIPtp8M1DfWRMQNSxb7OAFp/JHrxDoT7syNN1yTKfh+YjD11Q
mGtAhvpS8Lws6eJQBxdUxpZNlwwd6gnleqONa3WrTfoRbCv+5rpM2b6dyxSUNQa9zLvehu2V03bV
6zuG1HWH9sHrYuSqeQDhQ1oclQbRJWRdhz5ktzimthUB3zlqcjsy9fLBH3SM8Sk6dsSK958t/ENC
h15aTBmJvbulPo12nYywdT8wxvvUippDW24cwBY6u/7bXoXvKVtFZJJBtc7xFUBnf7lz7lwmCe2R
NGiqB/DpIiVKNlquGtSSLSIwvjAL6fCWEdEw68wqCRuBedwQtOWifAfeudK/HXV2rJUIPlKVMFlg
mGh25MWSS5WqNcNTcrWKYwzAJeQU+skNBhXhs1SjMyFC/Kc5Toxsi4lwqZrDfGyBrLRdrTmMYy+y
hsfrNijXiCPfgKoeB1uwwWopcwxpwQZHINFX0+OctcE4KxJuKiFc47MbI6/8YtJLCCkGZMZXgM6P
JCK6asxFJUbIjvgW+CMbDce2H4I53RVAylIEYCoJQoAysnXpwIiJlBIAhuuRIHjtgKCvyBzKXLpn
/7snYuJqScicWA2WyyNdOA5d0K4fqJHxAAtJK1QR4H0uNwQQY6SKXX5ocidw/dc8LyJQZinifulq
OT4ucYw0YsxH2A8DkAy+pUEPov8uMfSdDSEecP9HIcKW1BkdYo96xTHrQP1D7tjSqMshsmAE7cf/
q4lI5VQALbtJuaf2jEPzQuNbg24SxW0gleFaOpDsXIz2iGgJeQz0lI7FCH7Tr9bwu7R2U3psbMXO
q6QIHsxYvCzFWDqcsnFXRm1uIJx+GEeFV5FL8TGry4HNMcBxaV/tiBesmef02JFyb6aHove3FibM
qpfr3otvrliFRVvov3IEO06Akuc2dUGPa4UOTB9DdAAIQ+Oj5+aY03ilox4qAy6VbkKMXQ2odGO+
HrnwH7n/NNy7SVDYyskG/uXvNENW2UCKms9zCqFjz2xcl/g/juX6sHomWDtMNIPf0D60erxX9KCz
3+r1S7O2QWPZm+vLKju4mB7AvQ1wAYJ68OX22WuJV7o/ox2h3qEI07R3bvZ8XYS01oycGxr4bJQu
kLe6lOFgjrzzc1T9amBkhqZOd3a23Ltjt2H0s7V8GghAY8CsQDoV5pzkYYvpWD4fiMw9itzCbTRV
ukWHBM5vrb5rVTA1AaGHXg9R3v59XUmJqQARFNOBCE3+MA1f6rimoLmf54Ye84nskfoD+9eWFvtS
lZGTy4EmfDQe0/rCWjYrkKMbo6VHz9aeZrt7GSf3plySQ4Xn6H/3t9Dpryz+LWd3eaJXDSvKnh7d
/kCyDbRKR4WPkgRAFyKEDTKbgiyVC3WAMtCFLOvHwLTyBxCKPxYz3WMYQnGtSy5cTPtxYBJed0Sv
yqVOzLKarrJhi3r6dXWHwFOVNSV+6kKAoBH1MCIz94gbVw0B46Yxl13CbryHpEq3Ttvt7Hp33fLk
GiG1rHNya0TglxrVbU8MavJAJXHeNJM8YOrly3URUqNDv8c/47a4Gy9FzP7qavMCnfohLH/V/W3i
75NacSlK9UCjF58OxTUiYtPMnR43mg4HX85sP3pkm87/PdjCFfVXAv+CM3te9cSPm4zi7KROgNpN
j3bO6wsl8aYXEoTTidy8xZYVEhzzsUH7Dm1/oZj6ASGoCjkesmbIlIt4FSR3jSqhuC+Ye1u/DhiB
21zXQrYT5wIELZypXuyihACrCmIrmP5jEyF/neJdpYM9ERUuwHsLZ1Bv9dFGmRgK6CMaakkSrou/
p6YbuEsW2NOjsegnYqrgamRWfC5WOCiYE6TAlCvpMY3v9O5Ns5H/Ro97oiozye67C/2EO3VGCip3
TOiXUy87xqWJsZV+otFIsgdKPtHF+LRgnKCcgJuisVg1ryO79M71FMLkxBgH26whvo0/rfTLOE3B
GgxLvVlIFXaxItcgX1UUFJCxQdnGFGKkbOxSWluQBkb6FCDqph1p9FASFc2vVI7JJ5AszOjiQXN5
ePFSNlLbx+6hx2IdDqQ6lPTgFwrT56YtxGK8DRTj9pgDxn8JW6e5dt4mK65xiIinR2iiLFWrRAjb
Q1O3cxMeKdg2cC69wv3qIusOAGbFvSBfsH9VETF0CtfXEt3D1VqUvPWFTeHabP0POSMQxHIET0Ce
iPepXqOJsGlHeuy9Jy/xIrijqW4+cGljsB4kAbhasf08gj5z3MaitbHWY8ksTSsj1qAYouWkVuw9
P//v9v7P65VDyiBVdyll6UsTk26Q0hlOhM2P9YfGOLRsjEzV2I3Mw+KiQA0HcBImWE0uRTFtKoFJ
Y9CjX1dt5LtUD5H/XhTLJrM000AzKWgkgBsmtiVpq0nGDLS9xzwD2o0Vf1/NLKK+rqp6yywNrxcc
S9Q6UCgQXEA99l5FqAWLRr/PrpgCzwozV/HOlCqD1PCfagQPsy+XjBpVC1RJEycTYcj43OkRSIev
33syA8CA+f+KcIUwZwGdb9qb2BVmHOo2R6v5nZPsACMd+oUqlymzAIt3eHh4deHRJ6pjZUWzkpEd
uybZ4uHF087XtZFKQJ6UQ2WiL0yEpKAgSkQCALGIpRWBBs7x8gPNdUBC+ytBePqzepyJ9ed53L10
BTuUw2+dPiUu3V/XRHqhngsSzn+auJlpl1AFzY5xcljyyHokT8gzLyOGq6J2+kCEdS5PMOh8sPyp
5WEcXzrex9E+Mlfx8pEdGltHAwJiId6MIhibVwzLUDh4XAHDY6e1TlCAP33tf8RVq9BGKglj7uj2
x/kETsDlyWlY1bqDARdt6c9V8+Ajq5BZqIExFbq57IhiTgugi5hisJGpuRSU+n0MfJT5z3sR4DU3
MIZCea3JzPpciHBw4AWKOu/h1BKgkiAE6HpHsV5SNQBSz+uqePGI6A25PcTjMELCxLqgR02yI286
UbxFVEL4pp1daVZiaA4QQOAzMxb5w29+QP1piq6fHJUUIeSd7DEpugxS6jKpIjp6bjh7TRfGea7q
LuHrLt6e4AuC98RMK0HS5VKhZrHLFDNOeMl/c37TU7kWwR4cil37VVVskrlpG/Ph/zCdgCr5UhLV
Y18r15wd/XZ1orVsp19dUntBmura41KWL6MzmAqbkJ4hPgbpooDngl/lUqaB4UpbpwXDVRqj9DmH
bdEFVonx9Ont+pbJJAE934T9ARMYiblLSZmWAva1pOxokGMHosM6fcRkfqC1CrRwmWmgtYtjWDog
exUb1mdgIAClpWTHYRM34WvrfcD0zn9fWLG6HDWvBbTeUXdvh+qItutkfLi+VDKTOxchnCHMaQGe
kTCISL/O0y1gOKdb9OiGg/WG0kConJSQuR5Af6Ex04eVgynlcmsMlIRKsGoynNklWB0bOPXP1zXi
HlI8RGif+gPyhMSbGLObXdvNSQuNCuCYDQVYV5xv2fe23XpuFbJCxe4qvVjR+MNbcDBTAI93qRFY
nqheswry4u6hY+ljhRJBove3ee5owUxfk/I3OGCMeFVsnczKzwULS9mOsWmwDoK7tN1p6xIs2biN
2SNVNQbLzNwxMS2B1ks8UkVAiT4jpFx8mLk27NzqEA+7j5Q80YXzV4Rg6Uyv17nDPNXxz2Jl4TIc
xuT3dcNQqSGYutNYgKPQYRhG9zjlG5rduaoJbJUIwfE4NI391oMIrBTmJLBSdnX4iBa8OwaZcgsb
cmluFskx4Nv27GhayboFs6URtpb7myxGsrkuSeYa8E5EugA3BUqfQpSQJ2UNBjtI8uZ+wkyGMeIh
R9BR7LezHrrgEL8bYqfZr01v/FhHU1XYly7mX/liO1BNMycnLlyFo//AfsXF08f2ywPDCgfrcd6d
3T7RKK9j4gh5degBva9aQ1s1GiA9p2dChHOqeRPIxlyPHbNk2iUAeZ7Gx8wzH2oVJId0wc4EmZem
QWNfdxZG4InKDZ9AQ+bF7RQhtyxwAHwV+r8BuIFgWJRRAL6vITE7WqketO1dB+KfUteCjeLqk3lx
3BF44KPTmLNaX+qSlavvdpr1RxfNDOwmSE/elzG9U95IMo3OJQlBF+mdrvRGGzegmURp+RQ3v206
bvsuDupxf/1IyZqKTIAm8dYRjJ+h5/BSrQkd3zYcLNT6XdFgxajFrRU9eEMIugn6AzCnCnkykziX
Jyg3suz/kfadzZHbwLa/iFXM4SsYJivsSNqVvrA2SCQI5kz++nco32vPQLyDsp9VtXZ5q9QE0Ohu
dDinp0oCldDm7mj15kgqgFTauUmACeRPGB9AR/G4GZx31jAAsKv7tjN+OOroVswUWK7VjUaGA1gQ
QCVChuB67XLYAwUhifNjJ++HWAu6JnSt/NAa53AQAS+uyMLrY5lXQkoNyXJu3dQYJxuTq/QolY55
X02ySbQoy4g0YCDLarLCW4C6BQbzE0WeCz0ArIf5MoQBCg6YuxxGBvhKLaopaGtB6vhSGEFmktEh
lXo/lZXvaPRBSU6p1BM5fRsHZJSV70rR+W38oeVdcPvsV8wOPmZJ9AKuS1f55itzAOS90Zf0qDpt
AD7xBkyn0oZWhUDH1uUs2SS4CLhwLv7JDSOWc7WjmNdIqgBTNw3RdTr6mMcathhzqwSWYTm6L5sM
74cfBPiYibpWI0kC36aDjT5OwLUjMwtzrxsNVSBl5eIgQ/6PFM5oq5ZOLS2BFKDxDnkdxDTIzXR3
+4hWhQCRcelewtQjX8QZSgvkvvVAAcaVbyz1IQP2TEj/y/lcCFmuysUrucxyPO/tHkUUzIYmT6H2
HpNCE7iFVSVYilJ47SMdw2eXmZSBrcLCSnpV2zPZf58n166ZILn4+Tr4cvYXYjgTQidjUudwpMeI
AZNa2TPzHqT2m9KY3KHVzzbKX2r0qOTPkwysatN1mtELq8bT1Ttw1pHad8ajlfwER4xlbwG6gbt8
lFizKwbwCCr3xg7ds35XSn7YnGxR5LZmkxa4eiQT0SiCPpzrg+jVoSpiRaPHtCC1dKh27LV/BxfF
v9epCyl8yjIrAPjW6pCCEBSxncsY3litiEBmdS3IU9hoSEFBgU/zjoBaZekiJdfcEAWeGYDxD2H7
Xbeebi9nVRCw0xBrYFIbAcz1pgE4TOrAF0OPBtqpH1I7+lO3FFhaYSZtjGhCBruEG7ktc+1awkX9
LZO7MXMsDWnTYXFwGa6Z/RyVPe0EvmLtwmCaHiNUyFuCM4F3Fe04IBFPkyOKP6TNTo31q7A2IghF
fc1YYl4JHgB5OCRKuaUoSVqqUQYxla9v+qO0BdZC7oW78qFwh02ekIhYRCGFC8q6IA6Y//r8vXa1
/XPvG9vooXYblQw7a5O7uD0u2zHvJSe5m2zSXf9+e9dFn8plPvupi0NqxcmR5oiFml+xtrktgIdp
WuwGcPf/2QzuAkpj36RqiM3QTLZBPS4wx5b08hMYNf0x09DHsq+NR733LKsAgpsgW8njIfLiP6fG
LwxxOLAo1zssUH20fliUdDNp3tB+yZ7t+/5n+KP9Od5VMYkfkfK7vfL1rbU/p96xBXz2OtLrXk7S
AhgvVYR59DQvvRgIzoJrw8OP/bVAdOfbcGUYRHE4n2mGeQWHXSdHIJ4YyVsIymbLTLZlRxjRGwos
VougIJhPXjum3/RhixqkyfoAE54Ls9AkLHqsGQ9kFf7+IO6SOdkYNlGEiWYrzkmNuYdRcUfVcnUg
Bc6jwJmvL3+BrsBNU9B/w5kqI44zOe5yqFcDIKeQAesyJiz8EduEdSftlP8a1YJofaD2STCelG/y
FETKQ4GMTS9q0Vpd+cW3cPe+SiYpAsYcIGJMz5p/DxJYdoptYZKSiarXa7MumHo00BSErO4SBl6b
6BQYpI4xYMo+lB/zxMbMTkuYcpKqfThZQRiBhLL1LOeppP5Ybic9JurQCzKxq6H35UfwuldSVAMU
jJTjBT8celgtd25OEaEFiZ7aD2f0lLeETBh4eGqeRLN/aw7jUjinZzH6X4Cdh+F/AEZ7o/mGkpXb
1ALztVgnPvZZ8N01DPVgk/lg0QE3STXOWGG9SxH4quBEzfdD9kvWjn3/E60d/8FDYQ7lE7gU2RE+
6wf6MXCpGThWdC5WFJVJdH3SAnkfUWfCWgYVYH1Ahl+StngWcFFdlJShhBa85Jiz3s3jb5ViuUs1
L6Sl6/QY4oCVxiPx222juPYW19A7hSAGZRAkNjm9zTSWWFmMcdexdIJqTt05DcL6DzA7lSNLnJMz
Pyv5vE8EoTLPLvKXmUQkg8ZnRIOohlzfF0WOSy0d1OToqL8TdUQhsfCBC06G4pDHkQeIZfRyTaSN
TJCSzcSkzRZvLEEmYi3+gBb9/RGcsRrDnCaNAQAB2fqOjjt3AEwBRj53iSVQozW1RSyFNjV0iio4
4+vVamNm2J0aMazWs9tg/tmmJOpd+tvGXRS8D9b8HEoKGAVBXxzYEDirB4jXTJpnE08darwXZT24
sZRYAje3fDB/Dy34UAzZLWxyn/TUF268YcOcwadAbQxfHR/jytd+FvERnIadqBi8ZsUvRXF2BQ1w
qNOWEDW4xYtyTM8lukbJf7gGl0K426cX8czYACGW6r11Aykz0rvJTNTExVRs/Hhb3OrugWoOpFMG
6Lg+L8fF7llJYSd2BGmhJe8mfSk/k/ExGhUgdPQkbARqvmaZF+DtZVprIYrg7rhl02TpEYLRHDTq
5lV4ctL0I6xDkfNfOyrQUDgY3Ft8Px/7TGYUOUwG3kir1VtD6b0sO8ztpqtcJT6k0zGqgGFu3qnO
y0K3OgSpbG6bHpwYT5Ei6llauwa2A4wC/INIjC/ujsUg10C/AuaZVrKdbbWJT6NGEVy2tYuNS4YO
Whu2W+e71sC4qk3lqCfHuQ83cSr5OUW7ftx4zkhJm++bqn9MrFLg6NcOFMM+YEgDGhjeNJy2AgoH
wx8oghxjUAYB7cEqmSd0tWsbeClk+fsLJVWUQlcG9NAf5/qxnF/0eBZcOnVNXS4lcD4gnJGwMUA/
cIyd+8LsvBCD+kZW7GWASuTWTLJoeVZnnbSPs/uEnSRErAyExxXblFk7YMRNJ3jl+0NK0cZp3SWD
H6VzoIMCSCG5Um9bNbCoaF5e9NWc02BTLWF4ejlydpwKPxptEqZvNHVbJjJ96+dsgbVpcR24VddH
AJAI0G46cJJAAkC/EiUSUoqpEty2RqsHjWZ5TLQjCsBAw7WUGfgJPQshJa5BQFVTV2IPtyWsruNC
AnfQUqPMIxixEZcqaFQdTNeOj0Uuak9alwI6dmRiUPs2uHV0kZ5mXYNbYY2W16P0s+Swxmlzey1r
ttsBHfX/SuHWktGwigE+AKyj+aSGhucM7yj69XWKYNTL5UhAb7EWooDyDLyL6IhBFp/TtgIguXrm
ACuE5nfI52UjO3VA2USnXiS4jqvbh7YqpK8BJP+FSIPWIcubcPwLinJCxOAMz6oiQnZdXc+FFG49
WOpcWAuyKwhZ/LSbHu1+qaLuZ7D73j6oNdO8pBhBV4Q5ZfT8Xqu1ZbK6tUIcVGpSmJPCrQzXSH9g
VKPUma/0PjKktyWuWoYLiYvqXFhMmluRFFNcpKbovVBVg8mpImL30bZo4+91KCq1rKqigc6yhUYW
00+cKtKCZRWbsUKW1w6ml2tjO5rNLs9ZSao0At0p9GmTjonosbKqKheCuUOMgYQ50hx+3lxGzLuT
qr9j0EpwfqtCQEQEdlNtwSlUud1E01w4h0DLDR1tg45QhixKYwoisdUjA3IYariwfiY/AhOFcYNZ
MdgMFEBJpyW78bsDnO1WLzYO6wRBMw8evjx6dJAeKWBBwyMPHeLXS9LzsG9aCXbQLimJlXkLvEoH
L60eFfGUxIUbn+R9RkD/kW4s07eqb7cVdOXyoVMULdwLO5lu8cm3ONIkxUhThtwU0u9aVP6o4sot
i8Fyw6gQBCmrwpBsxQQWktayzTkvq6vHlEmAfBnkKffGOu3dos00zwZwmo+AVATctCrPRnvyAvqB
ajl/G5htgGOgBQTCqGHAtVf2CwOvPOe+SuPftzdyRTfRaQ0SR0VDUG3zGeWsstVSxuVDuRzTA1E6
Iq2E4XhPL8NEoDQiUZxRacAAFEuAzjkqITIAtCPKmJBaEc2rrCVmoZmwJQukLpBnuTs9RLScUF7A
bK35jRIgiHvsie1kEt4Xx9LtA2MvuSCk2d3eyJX7dyWVM9IICxIpk5dIyo1di7xbG+bdlrDcKe6l
qi+wQwgKMOvqfAahF0ZZSqc+6yzMadZDD/gZ2Q4wlf96W8aKq4FLw3Twwo0MW8zl3eIhyq3SwOSk
XoFiAiggBzli/lz4WqP4Bc1eAR3VSh+3ha4pBjpDwFyoY2IededrYzINaVIUmo04FHNZrH5LkceX
ROez4mJQ3MKEHbI0GJjgm3Ezs7aSFg+oYxs1LnPUQI6+GfvYcmXpWYh+u6YM6PiFsQDykYbWhesV
ZVNnSvIMYUX+kjlGQN+0JCRDkrlo6PsPm4cpIHTMLzisPCNRW5a1DHgRrCspNAKKX3mDJqzMLetJ
RH60uqoLUdxjTZpTvHFKXGBw3gHZ9m0Yvk32fY08SVWKHPOasmPwBMYWWS0UL7iXfteXXZoNWJYT
fetNdHoWusArr+Up4boWtE8b6R8MxF8fUsKG2Bo0+BBMEZPIqRDzgjSqnlyWSoQ284Zmfwwkvx35
P8zELliLeMrrNoZ7eYXXJJMNUYLh4VIjzWtfuXjS39aKNReiARTIhsGAaf+SlLSGOEFGDbhYU/qU
diMpimJPE8enojL42uW9lMRZ2z6mU5eYgJ2J2rp0FWqWJAlH1bWNVBYYQJEozsRqs52MRQEckir+
KLOPvn6zdUFT0/q+wZDj6iI5b3IXtzYzJy0srEbWE7eQFj63fV5EAe0E7mJ9LWgaW17EmPjl9bsq
07kusZZh9PtimyJ4ESSm15fyjwRuKbZWRo0OTTuCL/YXeoZCsK4LrpBoEVxgG85d1UULfFKovsYl
qfufs8jpiURwNgdQKnkMLENgB5Q7PTAc39nevilrRg0AdQtIuQX3yhsas5xiZ6JA+wCrRN2VJKxO
LNwN9uOf23LWDNqlHO44ao11CcshpweRAPBVpSTb/HsJAMVGgsVBdhRm7dqe2aHhFNYI5Kxa8dAP
M2kvt3//Z5MmH4BcCuACOKccJDVkC6xCShqt8VW/KFwU6KKtNZ8H+jHnuwTl92z2h750y+8tMJpn
t0rfpswhyT6JdqUHfGFJBACypiMAnsbYKOI9tHlxC58mCYR5Nr7LsoFIK72P0aOwGXft+FDNQgEN
ICPwtZyZGypttHrLge/LQUuHsQPdENzXtYIzIq9/RHDLCCM1cwopwtxwlmwj9TQlg2uOHjr178ME
3edaKBMFTY9j9dTWNqnOrPCMydoUCvO0+JtBD3Up6mtZi5qWnhaoFboA8Ni61qlJK3vWd/imyCpO
qnmOpz9KUh3UXLurNX0HwhZRm/qyyi9KhvaW5d2zzJpxG53Ks9oD0BF4EcWDolRBaf3plox0djCz
59sKvdZ/pi/N8LgtoHZV+YddGc5FUapAzwJt5j4/ylv7pHltYBz6reqBycnNfPNMT+39/AswhZ5O
SnfyJLT1tK7uZYG1kYkpmlFfq79ffhRffx+lTDEjho8KVVwiPdki7AZ7tL6lsr1hU+O1AKHUu9M4
6a5N6WPejA92a39Hp29we3+En8LZLFRG2rDR4UKk+2wrbdldtg8D5Xu4Be7kMdl0O3q+LXE5XP7w
ceoYyMRUO9CSOYF6yEp1XHxWh2nWeCDq+L0vARsuyB6safWlGM5vZdB0VYqxxWN/ViuXFj6cMNvC
PrUCSWtVaTBZgmIXryoMJvBAT0qt91pioYbZVfrZMeo/TtQe9NRoyUyfbN1jzM/R1hDWlqfUpsC3
rRlGPO3xEMGLToFXuL69TSdlagWM3yPTNuFsuVUbB2Mh6kpfu7FozUYrAxohkaLkdjPSJs2oEvT0
wVQQM6kkdGPmGKbFiETZ67/jRhKUqlYFol4L4G5oCibPrpeFzFTbjib2NN7ZO4MGmVuDyN2/rYqr
e3chhNs7RR0iADXr6BpEraYHDGHlvKm24IateRWMGv69kuUjLp70c9yjAds06DEggqP/hGbgr9Ll
r+bsaFc2FiuXXz35qZcRdtA2SYkONd1rj/J785g/zAflhxYkO93Fa/EBaAigmH5u6d4WtZ5oy4Hc
+hbOszlyjceOg29xYi86xH9i1/hhBOiaQiU89cO9dlQCOLY8GI5xexg36CliD/ohex394j78nd23
dyxgZHx20Gzg3T7n1ajmcqMWY3FxBn08y2EcQZtg3nygwsIe+BFQ7XyQ3WZIeu/LV6clNhTanXZ0
N0p3w5/Wp60rby3Bo0Ck2NyL1FInlc6LYmdIUaUv1Et2saBtcc3C/rNa+Nnr1Upy2cZgoYJae93J
DOqTYDtvazRqcNe/nxppIRsSjlr2/ci9fVS3twfzAte/O9fDoTCWk0JU+Rvc067siZi/bt96g+9d
ciQWIsDD55vmQc72g7lVbEEJUbRDy99f6Jtkzt2QLu3IUr/HHSWNImKNEO3TF6sSxqjgLPuUkl4D
LijYE/4woPcgv3H7RNYK3wBc/18DBlt1vRgFbi/qbYjywuJOdT/QaPuaeOxO9Z+iw/BMK/IOjEY1
YA/qYcJresN+9M/pVjS1K9pTzsAkMni/GVpCjrN9KkZEabEoOF/09v82YQgerhc6K3JUVx3cgY5+
a40wT3lpN6hg3ksDse7zze19FakhZwgGsKlpdQrHnR+D8XsnqGesVm8uTo1PPmhm3NTRspj2z3Qn
ueOZbVJkoiaiuuUZjzu6rcu7oThNolBhNTd/KZkzD2pcF5NSYWEFKT0HfxyTnkRb9bXZVbth49xh
lG0AYZxAT5f9unF6n63kF3dO72OMhoZQ0xnYyDYpaNAYpPfy6UOzz3EnUBaRNC4+qaxRkgD4TI+1
h6nNH/2W7SJXcWP//0tJ+G6HMZb0kaqLIZG8Ki4DpqV+ZQr8xepawB6CGSAU+jBGca33qdU5JRJv
WAtcd7xHN5nmx6ObfZ8OIti0dbW8kMUpRx3nsRkl2DdZQifKqBJnVsk4WpveQbtMPYEk5YdSkDjN
HmlnoRE63Zi2sbHNrCctEzWAr9qUi6/hvI09qnE72XAFFu0Tdx6tb3qpCbutl9/yRTMvpHC6YunT
EMqLZoan1JsDaysH2tE+ItygQR+IBtpXPcOFNM732JM2msgWw/tTkmHmY2cNXmn9l6D2QgjnfoqB
Kc4oL3c8V/ypep4ySaD5oqPhvE6nG22VOZDg5G/ZcChkUcfF+rPtYg2cQ8EUUmwMHSRI2kvS6X6Y
7KakCzLmo5eEDnsl7r0ClA82Moa3b7XownGOpkjNRG4Whcg+6D7blL5ykJ51ZH52t+X8H7fts8dx
aa/lbWJNx3p0og7dqCoD/m/eGabq0o511C3HLFc8Wy4mAw86Ng0E5M/DY6LYIBSuZmsG1UyhldtO
VXK6CfPMxDRsS+EOnVwTQaktC/56Q/75Tu6GxD2qvEiYwAKFgT4iHq9L4kfqwzgIdmQ1NMZrcmEs
wbjQl0ywMqumtswT1Sx0MWFDwikIh8rrpXfB1q9e+gtJnKGTe6rZ0RShW7tJ3cTE2IxzSqSn8VuL
ScZnHQQVJiwayLY05Xxb9OoaQbJt6HiqAyyV02ujcVIp1zJQNqoZoYmmkN52fDPU9jhnUby+enIX
wjhV1ma56LsRUysxnd+mIdJ2Vj4u5bVYdqseo1IT+M0Ce6pFCeHVOwS+XHDbooyNCfxrpwX209qI
M7QJt+EvB9lROtxP6jEagjq6T9BNhKaU29u6utILgcsHXcQXqaFIYdxD4NQMG6Ado1/pbgQaTqyg
imQYXjzvbwtcbOiXS2FjzALNPpiz4s9xrsD8gdYeXN6PRMv3k9K8mArmgW5LWXUX4FXVdHAEL6B8
18sqKIj17LFJjoEFTr1xA86rRCeRCMdwtRKLZo3lwDBpD5LvazkD+gUnq8BqciAazJhcVH8XdDNJ
KVHqBwymkqJCK62oevU5J8dvIhBNoR8YfEUJjlse7eKiB2HKMsE3HqetuY83wyl6G75ZA+kes0dz
By/8S5XIfCi3+eMUFEj/dueqI/UzUu8b0Wtq1SRffhC3D+2Q2CxaPmhyrcDxmW+5xaY+JAF71gN2
r70mj7PQ1S3289YucM40TidtCEMIlbH+5OFX6NW+tJld5fg7exA9bNY06nKFnP2xgHRj1dLnlufB
O4bLSO7f1tlPgsBb6+Eu/9zoBqUDRKDYdOeApfnOadwjMq0H9aH+Vm1Lt9vCCAXKPnyNdvW+28nf
b3/Cuj5fKBZvDjIwx5odPiHdGZ6+YfuW1CTEq1f0BFgz5xfbyT/kwloNM+ZAEGB86vaxLPfAwQZh
2MvtBa1Zm0sxnL9CY+EMtjOYNyTKZaK5onZTTaAWfCzSR3NtmznWod1X284fUYQJ3fJV3xPrrrjT
d5E/78eNdjbcIZg8uklzovv5rySY7yZvvIuPw3f8e68S9ive5q4hiAzWZrzQZPi3peDHXJI5iZHD
xPdN+UuNxr+T7pYxoSkol1x6l3uy9St0DiaeKbc3fjUOvRTMmaixicwMOFowUe7gyiRxrYNObC/b
qcQWXJw1H3YpijM+c95XWVYuuuQbu/oBaQF/yXgKFiRSJc7aRHqrgWsJUk7jnwe2G0lDer+HTr2D
ZmPn3GeCXIdoVZzB6ZV2qmgMea1n+k7Qecu6RKwQomvImRxdLm3q9BAyK0S6m/cMMm7v22dD6w2r
xjcrGcD9wTIwjYzxTWSlS8Clu8Ve9U3PeCnv5V3Xu/0pvxtfCpjv7s9PUMDc/oLVNWKocynLom1J
49TDmamcWDN8tFM/YibWGd8a7dnqBOmGVUMA+BSMF2IsFkgq15HAhEGnKMxaNJ4bpMo7F/RsiePN
kStklF53thgQAPUrIg60VF6LKoAkmWcapgS0swX0ezsYMPli05dRUYLeVl2UYEmH2Qur04EzhOG5
k5H9zIBAcntfV4usGNjD9CYG6EDVujwWLmLHRM7MMQmxZKV1h/JPZAZV6fdglfhB5bcaUErmPBIn
yfzMOM7aXtQXuQajACJL9HAjxlMWLKtr+TDuqW2MS3d6qbsd+61PI9GBFZkP2+EjS4IBVKTDThn3
o/NHsPTV0wb22DI4iF5THvFZtmNDL2N0kat2T2BXx+KVAjIBs0iSvi06OWizDYrQy3A/wka31R/l
tiLzVJKFHUXEpbV45S9XDB0H4AUDQjQgNq43IgeDmlGmyyway22S1tK5K5wzbcGn52Ck0k/SJCYD
ur8BscVeBVuxuNBbwjkXy9qyrqUSExcgIvPiWnnStdc+OmLGZTcn+l3TATEti/ziI/4PLAI6en1R
wUW/uQH62etlI8sRFW2HuRxQv7T2idrHobwfRWiNa5u7DLDYCxYubhyn5XlBa7M1HXiXuj9ENN+r
ZYeVVU9VrOK11P6ca+UHAOJ+397XNQ27FMslD8JmxnzRDLHqpsVgQlRmvhTmJLSqUzt1gqu85tvQ
tA9NdgBXi276652cTE0q2xk7ycoPkAkWmLcVMket+TPgHgFqdbmzKv+0bfQ0jiUkvKAZkVtor4j6
9CL3WOJPHdCBCkVg9lcz9gBkR60d+V9MCnBmUlar4q/RnNJAZbT5GVUA/68aktePzrZLpaCMUWXC
1LTsoIJAt5WKxG07+3Zp/yxjWVA8W91iTNIA9wWsB+gUud7iTpJTXYpxnppeE0l5Zhomci3R/N1q
2AU0HwOJIAAj4n19LWaYklJltoQ7AVwXbde1jMjMwlxk7/WJD9AVvXRp7qL2c1tdV5cHvJUFTRd9
6p+16gtfEM6zkcVtAha83l74FozR9IZQoKarqwPihAFKIegROu6vV6cqrZpqZYfudEqLg53Lmsu0
JvadUE527ay2AfKf2mEq8b8K+1UbKvPQIdsuyEWtgXyg+wqdtkvrHvrkuViwrfvEkZBxPPbTQ8S8
mg4ErIlEM7aW5Rezb0jaCURR1dx4UR6/qvo21E8SkhDFwmXdRtt/v/mXn8NpOrixjRoDN2g1tZJt
B9CXeXzOJZFurRlC4GBihB1oDZiZ5ww9qITzYajgZbLG8i3nbRrrQ2FhONgEiGMT3VlqRariX6Io
w5shEQYXjwEBDDHhv6+PXK/B4WDYrXLW6wzQm0OykVtkcsDcx2jlKVn37xSZl8cP6ocYJGet0Sjn
0dw1uJ86jO4sC/qAuNvyRQi3lZlSgMqDYlHq4PidjqmOGYBEz7e1go+PvkjhPBcaxdCIWUOK/Nj8
zL1q8y38U29/J3cVc0UgJlyQvciCt1pAcjHfg8L6suKL+58NjgY+T1k5F3VtHJ0wVL6FhSH/isc6
8aLBMQTmdF0ekDUWnhpADHA7qCea3cYV5PXWZjIOI9yHpObBJFmCu8WnRP5nZf9I4nZxcOSiHqRZ
OUeFD+DFysFce35KPL16bdJ7gCgMgwignrtpf4nE6AMmwADIC5D6681cUB3GQpuUc5nPw06uy/Rb
X+d5gDka0287ef5mJHU6kUzXx2006tpOoDnL7l3EdH99AKIdZGnRe/eF5FGN4qRdhijP2UvyBy5z
fDLuhh/Zg3xs73LR0ODKZQDZ3T/COGMq9WlrFpB2bmh5yOTaT1vmTlPrCxYlksPtKspuRakBUOE8
9Hh7xtF9V9leZM/7StuXreIyPJeMzJCImeb35eDsbMb2csw2LFI9Zeo3t79n9ZAvls3FXAD8UaJ4
MLDsCNgbOvJf8wk8Mu6kaAea6m6Ty6DdbgS7sHpvLqRy5jRhNDebAlLRyRO0ZhSEIfVYrgZtL+Ks
Eew3n+IbpSJxrAFK1CrAFNLnH1ZzN+uW6BXAp7h4Zf0MGi5MT98nA+JOLEnOPjLrB2AA9p1ik1kp
MDOkYgpb2sZwGbI5B4WkE6BauSYT8U0JTpPPAxoYNy+iHsolZSWhg7G3x/pOT8yD0faeUXW7NK39
VhPt8ZqNx+VxFCQDFpKWz1zBxeKjiumSRSWYilfMHioYTyWzu+83+WMJthvSv95WWj4C+5/N/kce
d1mrpDcrE0HuuY3tbQl0KJRz/CLr3bEsXVxidwalb2aAmkST3cahgUD+qlLh9fD51kUHLWeNHYeh
gt7byjkHQpA1JSdEvK6s9XczUFZ7Z9gY0+x2k3lo5qPesPOEss9Mt6YEjGNNkKFbPfOLb+GeaPWo
tMg+QPG0FLmGxG10gvmVyU/IMFMyihA8Vq8uBtY/nxCWwi9djqQqbUwc9TS+VgDKmgNFJ7koj8VX
If464Qsx3KoaxW7ywSrUc542dTBnoLTpAYoWE11OegmAHkh+ucnQ4NHUJKGbGSOac9ty8DW7cLzG
ntlebUbMPXQSetPV6ZVaY3WwnCYEjEym+7M6t8RixezRRu/voqxMdreVZHlK8d4LKRmATX/ysRnL
uV3ciSFyelPXI/XMwuq+rYtz1NnSvw8Tge0F/7gQ92oWD7NE7aTrLSXBLpnTtAXYtrWzGwWodGFh
C0StGjhgjyDKAUgbRks5TwH8Eb1RaKmeLaa9scQMzHQzqHfABSKGc2ZAoU3ln3FF3ZQ1vjEWkZsX
jsBvLM7xak8x6gf6JEAdIRxAGZp7vlpjOQMUtWmeZKMkcp+6Og3RTvhRmpEXqd9uH+CyIE4Y3hng
t0d1Ey8NfuJZotKkK1LfPPWsPEuV+kjHIojKtiOlPO+kuYTeY3RY4JD5vCrmzzC8YWPsAKQwmJPS
uDRaVElAVNPG5qmZp8Bu+81Cu8kecdGkZg7a6UcN7iX5KWr9HnARQ7Obhw0aegSPXL7n/PMzwO+H
vCYArJUvOOasSeJhsp3maabP8z1wjQFjlfYbJLlCA8UjUBBLvgXw+g8UzKbyQM0gU/wOJTQ/Nvbt
tJUHUh1jZUM1sM4cwwKjVwAmP6BZt5Pum7MII+Tz0c2fFrrsFrgxA4fFMzHEVqU1oLhpnsqd9St7
p37vVpg/mreh1x7kh9rX4I+abR20wbDtjrWfnYdD68338t20FY0Pf5YTbn0NZ76kQmcSahrNk7oB
YbPfuJ0PgkkX8TocY0h+v09eQj4iT/BMWLkfKlJNpoJwGRknvq0h6+YqcnK5fVIogDcLt1O/Wwa2
voDFhO28fT++WgQg/mGWD6kHZEKgtJymVg1679oWmpr05dbK66ecvTp1uWFxi2xhdCyY4s2KAaD9
4aOV3jv7+5AqAj39GnosH7H0VwDqw8YPZxKQ+Vd7qTSbJ+YAVsSsd1qVPEaPRuEluupOrYeRQMye
9KCkGiwC3vgfgl1YMRPaQmmOdydG0jHod23n0e+OwbKctk968j0cWuBWvieRutOynABtggDyrWTx
bnxpatCYnso02tZx66LHxYh+UIW5paoLIgK+JLLcXSA04HsAIWpaBp8jkcCr0VWZ1j4BdQJ1gWNR
u1K0QePuDMSQwjG8sfug48ZMHioZHWFZ6TNNFSQXln3nbgDoFhaQS8zo4w/uaWyCJSAP4Z+eoqJS
SOJMAJQeQKQh2P0vb0QsFZ01KHdBlmbx6dW+jicUhfruSY/dJgKhlc/sF6rdWQDfG57CwpMLr+v+
CKSqXxYHWAWgsOHYoXogL7k+895JOiYnsXG25y36baa7aXT1sSeGcUANGxEBAdHFuJ2Fr5mvd86R
FWStQeSFtwRoLHjDkoDbwapU++xJ22D3i6LJBQG365oHgSn56gA4SdzFAv87WOBrSJo2JUB2AdxD
3nPUzmeiu6gleZMbKCQO2i1gG7e9Tze2Z3qjq/jUi/dZIB+iYH4wvNs7/9kydaVW3FctkflFVFUY
WgdKLsU+gyPGHb3kj73Pd/mxDyrgtmsHZZsGqVe47+iMqf3GG/Aje2YgbQAAuAG7J0k3LCg3qaCf
7EsQzn0W9yCZU01uUKC0z4OrQLzl56QkkmcJls/POCOnfn38nOIpTeGgz+tTTvEiu+h0BH79U0R+
f/+JDhnSHEMiE4G287Xzv4QClV8FmDceeXyflyNLQ2bkhn2egwF7rm2N7bylrrJP0D2SebWbuPcS
xgH22NfN7fNe1sMdN6oUSP+grw0e5hPQ/+K4c7Vq1ZH2zjkunmz1VKGlLalfaXlKEypwZytHiBQv
BpnRpb8gfvDxutabcZ2U0pmiUb5y0agDxGG1RNyCfIwnl4Kj1L+u7FIcT9Y6K/EMVa6kswVY9Cr5
lTX/euvgE8GhrWLgXsNDbfmAi60zqlFT6rqnT1pboibQELsM0CXsIoBwlUiEaPb1oBTUQFGKVpZm
YgSN19J0KWqWBAik2TEJtYgUr+p3/f+R9l3LjSPLtl+ECHjzWnC0IkFRpvWCkLpb8Lbgv/4saO49
myzyELH3HkV0TE9PdKJcVlbmyrUompYWlumuodnZQ8oNFwsb4qTy2BV5I0VnUUcpG1X9c4n8WbWq
ooVb9HY/YM6AipxrkWC5YS9RAG/BlMBF8Vl7TlFbCOXULkC8VaGzsCARL9rDEmfP7aPXQJPxXOFF
szPESNklQ6avKAEjjs+NA92V/Ze8Gc1vjsSHDIIUgZuYnf2Ltxq3xA9qSws78jbHPJtHG7+Cqt0M
pZhvvYsdo8sN3wxSGp/Vl8qcLN8pV9Qx27fHR5rtrIU7uTbDXGG9UMV1DEjROSO+qxCFjDaK8+YX
OJbXtR24gP0+tVZtAWdsSuTXS2kG1tI98kPHe+1Yrj+COR0pAhaNRviI8j1YcYRD61ZHWrjuiURE
tgb7CNZZE90dpHR1AueamsoBSI6F+OXebr6ccuY6U+NMCFQeU66RUThI0GKISVhuk/r58aTfBKmY
c7D8AZYPynHU15nhUnlU1Txp4rOCxKCeh4SaMi8STfD69TJf4xz4s5N7aY0ZVdW2UdH7ND7Tz8RO
QRlnEGwnU7dFUwQyNwNgrXXQmUEGa7K+Ts1qclWwbEdusVNMiKxYDWidVAJkKald3sUbyvyuSbzi
rBjCK4YFfKPFrZdkC37qpTefDX5J8D4pCu465rPDOO7qRJTjc+dIVrddT+is04Bknhxx5moho8lv
GqtcV27sBN6pdXpHJcUaHUcp7t7PzMo3w0CeI4s7hu5/sH64neAdUPkEmcj10Rz6BrcFqIbPXQsq
GH3VtJPVVMJKRZwRSyTjT4/t3WT5sF+A6VZ/qKVBhsnYA6eHkXFdlZwLqq5ziAEU/lrlNKgoLQDW
blO5jCXGG9RthUfdAEtorpWcAJJpreNr27RyZYtDbuGdL9b/3diYsxDW6Mjj8hJjg+RMHB7b4amL
BtIsjex2DkXwt+DyVUE8jpchE1BEWZILRcLFZ1Gz6nabpecAwei0DqUEsicARsiIR6dtx616N3kW
YlL+pUs+/e43GGBowz2GOIqlwuSnPkRvRZSc1XFVawc/2oKfSRS+Hs8oC3KBSxf/fz0erzHBYIY6
iANe3nySnAfHAMy+srPv8hhb4hoQfLdZoZhG+IJUC9XXBbM3CYi57yEoRphtdpCW9QqPWi1w/9Om
dXin3ID7GZ8jLgz21mUjQMQpnPN0yO+yirNpGvRpIg7JOeQcfw9oWbIafaQYhAW+Z7a9Yp5URB48
cDoqlJQhj3F95vkI794y4NMzdDG9d5AEEgT6kQ3QNhnIyT3udm/u3+Pfv/57f0gOXEm6JczqnaEi
tzy38akz0kViljXLjBgo0yo/+x+5w30KdrJ4Ed9myjDKmXQKrMUS6HfZsHsshcrv6iE/jxv5tf0I
D8EH8BWusuJOI3gi+mf/DY51n/CkKK146YzO3uXa5cM6pCmR5gU1lcEm0CGD0GRVKOXn0hp2qAps
A/dNMHUyq3ql+3HpTX17MV6bY9yqMCZdmigqzK2zVeZBfykzIc33VG/VNcDwK9BnvChP1Glsw23c
6Dl/Mc6+za/aN+CR9SfuV/qyFAndyShcfxPjgHkjimdV0HkKeLt0VLNyQ0exe0u0Csd/WupgmffM
oxlndnVZdlEdFVp+5jhw+OielO6V8SC3plG/SKAzia3Hvmm+tB/ZYy71kuu0QZFhj/efxC61pGob
yUttyPNHM0YgPv0jpYYsJIoF+POLyDlSg1HSaj480/qLF97KpTTXnUGA/Ahhm4q8E2iwmUF0uVF0
oCgKz4r2Z2iOXO5G/hLk6M5hR9SPXlBIJiNONOYQ8mIMg5IZgwyNrPNBsmT7JBK68KC6TUvibXFp
gXEnSEvmnF/CghCciiGFwNxRSPf86BbKH110irMcbOWd8olWABM13Mf74E7q5NL6zWWBilQmiuBQ
PssfQWX2r8lfxZm26VdvBXsircbYltdRuS5fJPTsLhi/cw1jVkHNC2r2GULGZMrlPJdaqa7w5MlI
j8fOqvbUJTUKdg8ixEAuHkZEaGXI4Oi9Xj869RFVi6A4ByMHcYwnHRnRhSlkzy5rgjm7eetrTZDB
RI6+Se43hvNavYqf2SZ8jvBWUjaJT6bv9Ck79md+wXfeJPr/MQ5aaswkxshmGLq6rwt9jGH8LG3L
t9AMn9VdanPosYtCsnQzsCeOtTaflovTkBRDVQ6ztWJKraHZATZM/O718YSyr7LZCKJsMIzN9W60
R10biTtjAicKX8D16mhbeEkyc5ggA9Uv5OJvXvasoXl/Xoym6hu0JlVTcZbQlG0G2+Il3Qqb8gks
l0vLxF5xrClm4tQJzTwiOpfP3Nbfl+v0ELjBLjzFJF24u++t0OXkMf6qMhK4XRWGNIiFyf6fSl3H
ift4ge5uOpR2ZFSBZ8g4mxIRVE5KfAjgnPuNbGMLdF/lm/ESr9IX7ajEJFtaKLacgdlDslNS0VAg
IXEnMwtVIygs55DkLB3ElPQn6ukHRJpb6Ts6LDmlO7vvyhazUs3EgXyWS6tzso3QYemvKqd9Kxb2
w/yXXN6M7ICYVQrR/2xoGoyE6/QorfiDiE7hx4t0dxxAB0J8DG9JFL2uN3fkdwmEwarqDGHHT+kp
/JJqIr75n4+t/FC3MyPBFY8SM1Dz6lzvuzYjKkmKLpyiOqfvoTlsT67jDFuCSPHJJ2+mt4pJuzCw
O3MHiyC4hreb67mMe8iMPmkDnlbn7BRURDw0Lrbd7vGw7pwi5PUVvGSw2TQw+F6PKsi5pCo4rj7z
wj5ODcJnZhAsERncM4KMLdDTQG+AVJu5+EGskwldGdJzJKxjoMOS0NUBJHg8ktv7D8+lOXuPYuCs
48fsNCU16qqscmBDtBIFx1SFSgHkM+z/zgozFL4F/LzgYUUOnznolxbDYs/q7WzNA0GniDE3aCgs
PaNSQKWN+jDRCptJ/uQ5wwGziKoiHXUsRzKCPbUrTCPYcBJ6/CDysrAl7k4kdIaw4dDbB9WV6y0h
JGqiQOqZnoeuMUimVZnZ1uNiY8x9M7NMqoL6OY7VtRklbP1xDACvAd0yrxCwbIMKOe9MkRJAJMV3
Pvnopo+WWqCKWRTnZQMybEUVKJvZsaNjD0DCa+MTlwHa5wOfUY7Qp+PffBUNQOIrjZd25b3FvDTE
TiYgbIC/a/Tc5KhOy+ALKY/K0jV1UxVlhzN/xcX9zingrggLgCAU6Fd/OXQ/fAV/c2oid7cCSgk1
wcgq3RV4GQantjyRbELSEsWas+8BEu3PLX777x+UmYx5FgYA8w1bqA6nQskyoWzOVIvC08w+bU1T
uCRoeFMy+Rk5EP24RLRZWJfZRdo0TqGucw2KCfpG2GYnywEXjyNs0RwCEoZNulK3qPmKlmmsFy7r
HwDY9Y2ATXRhm/GdbdXNFDGwXRDubY9itFla9VrddAfqICPsFOvPwsmsV6iyO6n9/OfxBN/UUdih
M4/OtCsloQ2C9gwIpqO75QEtv4R3y7WfEuTYHcUdVhoa/lHEOIm74SnfLFW9bzAC7Cewx6jPhp6X
MAOBjoaiL+1toBtfewdNrvYWy9B6xCOPOkkFkkY35yY3awxQhPL5n1GqAJTZtQlRtWIXJZxV0Nis
CzQsW5mB/zqd2sAthr/K2JFeNNtiZfDO4wm8ExUj8wEU+iyQAZCbwqwfxHzVMGqBHQnQjVbuaGCr
3Baa8G/53tgtXeb33B1uPpQtke6afc/1ES1bga8rjm/PfPvZyQkR+sh6PJ57Pg1hCQoXM5MwUKHX
FqI4krUhTtpzSON0MzRFvq5zvTb51jAIIPDVgr2b1P28+khtS0B/zSSWLOSOjomWclDaw/NFIfv4
WdmvngFp+348rJ9aA3vMLs2wm0xLtRxs/+15dNGHulGeld/C1nH2gqUe65W/c5UP4hJy6shpbdjx
p82tPY8n4YfXAu/xDDZL8r0wdGk+W4++aV7tC4fL13RSjBbfpIJZT9/GGqBlJz50DFQxUE1EJtHL
XlDVKs+T4rTveULA1QhEtmZVqxFM6NRuXqR4K3w3wpqKX4YlQgZ1549WuJT/uql0sqvE3A11Rpu8
oWl7FpMt7fZSaa4wIYGTm4Zl9qTf4ncjwQvaju3aNcWT5S0KS/6gGR7NF7M3xaHjoX1QtOc+c8fE
BTC94L+A1wpq01hxhkeVjZF5WX+oyolI/TYt1xH/VaqpmWoE9ZIsMyXufUKH7l6rLUO1RuPUAe+e
2DIezPKmF52sRz/pd7mu5y5IInBunRyKxB5004DIX/sUlk+Df4wp6Utq+qMK2VkCHZ7ub5K5LXTY
7El1pHX0GwRXWz0AppkEg79wKf5ks5l5AEcICgfoqUKijYVMUoOCL1lt6fn94/AF0AxHmnVF8iNH
viJQeURkLj8juw+5ShLYsTX/FCb+Hf8RkrLk6Wljb3iy+UxXLxJ4OGJc7c+hHQJ0NSJl/c9PDwoX
nIHHx/DeaddwmSO3hLBUEllm4raus2zQRoSF2jrl+d+R2u7lt/hT41aq4eR1c9bb1ziuncd2551x
M2OQdZjx3gbCUWb7SkWU+sjaNedegRwfnaoPOTbe+TjYG9G0pJBz70rQJIAnUVqBKwX24/pcS3Ed
5a0643aldJuNZ6pQq+RlS0NmWn2PpQOoMmm1lJu8F0lcmWWORyVVfC3OcGHj8GqQ8ihXJH1ONsEL
2peBW5NswRQJt+YtAWk2bk23uVutlqitbyoB8BQo58wJ5hlfcyOB2GtRKXMdIJsiv5n55x0xDqzm
ZXwGp8QgAaBg44F4kJcUG2Zfya4wOgogSA38kIIS0PWcZ2OcyTWPOIZT9gXETCmo9R7vofsjuzDB
zC8XVshJDX5zrgS3xFKGOenE0O0CJ+E2pVmUCH/7L4gv9q+PLd/JGmBOLywzyQm1jEUjCzE4PGKc
eg3pGpzkvx35/Rv4BiynYNa4pALLwM8SJv6mPvqzoBfGmZhDlIN8asMQ4Ni9vOnQxwmfEmxC+BTg
4cV39GYNbuWMi8RwtznA60Ezj+Re8+tA5zDd1K4B1QhN1RQAGUx2ClDwEojqAZconNxLLAPAF3Gh
cHpTZ2CGzb4JjMwPukKCeW5b7rgn7ck4DW/ak7Yf3PbLOIb7pbTd/7HKSOECbo1GERaFXAdipwYD
To4/kOw1OZXPoTOtDLP4HWLwIYHqH/dLOj9Tmw9IZvlPS+RTdxKV85T/6wuYpeYlIAoyGUtdSraW
mr5LkYZfJfw2Aw+nCO1GvrL5/s/j3X1TvP1npkG2gEc0OlZ0JjTTOd7PJYowSPg9rFX0swZE/uBt
WXKiYI32bv4ojDsdj8tnOT1DA4KzRJBALKz37B9u/ce/PoKJxXoKpbRQxeTradvboQBf3UdSYXZq
+fZ4vHc9lQH5ZbwVoAx3A4QNBkMsSgXtFdNfsdjzdWM+NjCv0s1QLgwwrtAAq4QWa3xzHnbcu7JS
8BDaTi/qwoTdveUgcvW/42DcoTDVuSb1QnNOvqXf3Hvy13jRd/JzdciLhQHd35cXphj/B/mxcook
mAJzuPgx4Sjs09CExkm35XfD3uhJ8+vxHLK0GMDazH22+EWVkdVU2Gyjxk9CVmU4/pDWrX8Bt/Qr
2yjKpreG1yQmdKudszdQkEDmd8HwvNvZ1bswzCoPyZTnEFYY6ATBI7zeqa7xbmyrvYAnwXfmRMcl
bbd7bmdOYeHSRFyETcmsY5yjCzUX8eJrqj0e1aFau0r8UssvdTWtGoh/oLJUEYh+VNxIBn4ly2ad
S7O8cFts6sw38yRfFblT0KVlvzMVV1/GLHvb15Lgj3h0QH9JrLYKuk+6Yyj+yhNLnp58zql+Nftp
k8Zfj9dgvlmulkBA3xxAyDNNB2JVthG51sO+aRFOeehHMwD0V01cgqd2PFZ+bQu9j47+Jdz4TcMe
OjDh9H9WAMRrSAjhmy7eghFkAlE4L6kXcodg9HyDswb5kDdA7NSb8S1UTUndFa0j9QRJsHh0+fbv
41HfZsHwCYAFoPNtFhIC2Ov6E4pSD8PIaKjXamg7JlxjjvxHKjZ2WPCOoHCmquGt9RSN67Raa6FV
ZUeR+57GEa1b1cFw8/pPwBFJN1tuYUFuPNr8ZehAMkAGhEuIrUpPStPW6BulHghyrE7eVdx3Q8/9
+N6oxkrCdfl4Jm7ugtmcKvPQzYD+M54r1xPRFBkHdpCeepAAM+VwawyRqdLjYyO34SRjRby2Uih6
lo7qQL0++9YaUE03mmV0lUV5ZJD4U5I4sbjK/cys2lU+vQxRtHC+7i/4xTjn83ex5/g2VJQA7c9e
W5lxmLsa19hxlZsaN67pVFhCZMpJScB2myW/fg3VTk4+muYFlDK2H0JrZCNrFKR4R/SeCUG+ejw/
dxcBydhZo1VBYY45EIWY85EaT9SbAEFog9XgUzPt1v++ESS7ZrZxWYbWKGOk1fWobjSfep3OfVEa
1atkFjRATX2J2uE2y4nlViXU6EGSB1Tsz8v4YrKp1IZNWwqN10G0V418Oxj2UwSUsuyKEEMGm8Tc
eSSt8syi0qlrT9KwUdpVdKy2sY/uqazZgfwpFJ0QbQQfkRnbPfphM//QVeuicwuN9OD9qMyqWkJs
3N0nc2g2A0CFW/m0YkhUfTK0xks4YZv0is31HRnD8RShuUUuIF2lHzn67WOhQorQVPvCO5zQ6NhH
QBZnKUlSR3xv8T5pSiuVeYvDrn68kLchAqYXdFq6hiYfVGJ+ElgX0yuPY1xl0Gv3qt4KBaDginyH
LnLf7iDe/qz9AYRztB7bvHNNXJlk/GUjxIGi1jAZml22b4E34oaTNHodHir5Z7/YLzhvRuZamiGy
KDQZKLXKbK0rgoNExilovfa7adAcrxLjlPmn8dgPNUGcuoqUhYa0O2cQ7AngJEQ7ydyGybwHBgko
1VzpBw/ZnMnKyh79IoGYmJTXwgVTc5TBDG727siho/UYXQZM/M0XRh0K4zR4wFxZpQi9pJlaDzzE
wcfjVbs7pgtD859fbBShE4O6bPjB6xpXS0sw/G/acYn16CbGRwBxORomptIpxR1LMZo+eQvir9J/
fTyI2zwaY4DZe6MvqFEcwIAiEEFbgak0HB20RaDsqVrV9NS9dgvx/u0Cgcdg9mC8iMo4Bnc9b7LY
ponmh4NXFFHhhkqZbJueHy19GsF224pLknC3dz7KG2igQcIOvb+QELi2N/lKDEhGPXhBpK2aQyoH
xPepDVV3a0qw4YN4qQv8dtEAYAA2Q4RZpO/YHuxOBk0VinGDl+oG0qYRWr6TXFuycvuyABPCz8NC
wwMDG56ZyDFV2lCPFExkV2nrOs10BzgGUEvzZWK1dVauoFyUrNIabws65t+d3o52BOFbEmRDYIPF
KSBoMekcQPQCW0+G1JWCeinJPE/v9XmcxSrxIJgzeWBiZXZw1CmRUUnh6EFwmBhGZPJAHQq9bum9
E4PQ/fF+vjf1l9aYxaaGQRVxRNzbVYUVUGUl03wBOHpvQGBZ1BHYQ2hWY1nWRqQl215ORk8C2Mt/
iRRso70qvfLC6fFYxJtnCxYY1MmgkADVKpr6Ga+ZpH6kyFk7emFZOGH6wdeODmB93JjDoT5qAdob
9LdQ760K0O1w/IjiUxa4sbEF00GJ3uPut/IrjzSiz5wcw9fjr7t1f+Dh+Kmmg2VWRBnh+lj1mpYZ
Y9WPXpUEu0gBFMSoRlKFebpwI99b0lmoGQ9LpGRxhK8NqUWriT3XjN6kN0+BXK/ELHx5PJa7JtA/
iWlGPQGGrk1onNxSucdYQiHEkyUXFAyGnxYGcie0wJQBC4tLaW6EZaFhY6EKVa0qI7hkc3Abwi+4
gSY0Vq0UjRm2+vimRLRb5VxYm9k4UlsFDHrT1DU1QaItWo8HfW8B8T7ToFiP6UXl+XrQadoXZR0L
o6dQ7aBg46RtdgC9kfvYzB13j5evLqhg40Jlm4V0pamGvaHyoxf14SkHK0Yy5XZdf45LbGP3zqUq
AboBKl0U0dk4f1KoKlZSMnm0i//WiWHl+IWgTmSBMvhcNXSpPHMbtuFNf2GQOQFNIwaS3gcw2DZu
D20Yofwt5+eUB3CbiPpvqbMfT+XdDaSi+gROFaDu4fSvl2wCwWOWAajkZfFGaCVLhOqFmoLRrCEB
ntWB/GdsZWecgoMG7leaL3Gq3jsnaEYEpeKcOUKcfG2/j4VKApfl5AFDOZm1FJQuJ0pLMhg3Hf46
/B5YelHbQwCHFxVzHMc65LIq0pC80JKVUFrdCDZZIjaWn6kkfpY0F03LYOFyS85wy7aypEncgtmH
ojQbJR+Q+YyzalM30vPC/N8Gzvgw9OWAylMA18YNoadImzpX8GEDd1ABYxElM+RssToIL1LpRMpH
v5TjvXdIMREAFAGajc4n5l0pyiiVJ7I04fQE4LqWHGAq1nm69AK5d0jnjlyQaEpQD2OLXqKYGwO0
2idvGLoUzeUx2Cv0qiZqCAKlPvzzeB7vRGQIvsHlhB4nbGRWhr4Jy8QYmoD3hKLh3SJKXvSUU0w+
kJodRBEyN6sFze7kYalx5c6JhWEwiMqgBRBAa3W9f4EO1uWRhjD8LG7qc++KvTnlm+ZbaH89HuKd
dbuyxMQhGZ9JQhljiEaWrysFlB+glgxH7fjYzL0BodgxE6HN/ZSsQ5CzdDKavBg9fZ+aOCPV66lQ
TCk0iyVRjHtrdmmJuS3GHMQ3fgFLdeIY6l/ACM2a9xL0b/P6mXbOvz8uoIaw6QE8v2VWC8KS72Oj
Hj2NT20tDADEEixJt0Y9Izx/yksUSP3zY5v3RohHyQzFBCXOTdeUWE+g5M1EjBAdCbI3oqUbzHE5
CCqdLl4A6y3ZmiO/i7djGui6nxq4e3mTfyqA4wdNhbgtFqzcc6RoFQCWeqZ6nzmCrs3ITaFleiWP
3mgAgNgWh6LPLWWIHT9W10m6izm7BgKlPypR7+ZT88oh4+D/MdQnXjEjpOe9Uf/TTr8fT/QdZ3P1
VcwpHDih57gIYdAQoONZ79ZiDGIc8IMlIA5+bOruPF9MAHMMfR2HkG+RSglEOSU0R9VHDP6gJkcM
7Ny4xxIvMYLfCUNQcoXWCdrj4WTYeGfMgyROpwgeu+E9P3BLn7eNcN2lX4pqPx7dPSczEy2KcNrw
3SzizRempKulYvIArmtXva+PDifjKRhLU7V+bOpOWQHwWYxJAHZ2dp/Mji1GFX5zKicvSZ9r8TVL
/qba7+agx1Y0PTX1a8q95eW2ySxgKsFkt6QBeG+oCDyAVER/LHAZzD3I6xztoW2GWZWHxM1y+luP
JuhI0WRJbvueS0VyFbfD/FxF4eb6zIig7jNGATduD13ck/RcjAdpO4kRCA6cIFzaoHfHdWGN2aD1
MJUBV6iTp1SoPXYACeuRXbXBwpv1FnY3ZyNwsaOlAi9KdHBcj6oZEaAHMjd5cmdlkFpHur30DONX
DvnNjALoVdqxsuq42uzjPzW1fGRHkiOkseNkU0HNWYwJVCbT0hSnJ2U4R6VOkl7bq/nCo+TegUX2
FYg08OKiA4RZZ3+o5EFX/MkDYhvaZLV0bEE9b3ZJLZhGGHUWBRm2WejNf5AlQo8BMjbIiypojmSW
vRppSTVw53naewKCe5FaegCI+DqrBit7e3yY7iw6oiyUvBFLAovO9g4m6HQa8fjjvRBEgrYQZgIp
myKy6zYtV49N/WQjmPQLylyQn8CjCEk3VsUkjo2+V7Ve8HQtOKspn1mFj8g5HQTRnMaahywD2pCH
mkMj/6SCoVKZBKet+WwVwJGdoCub7xI1qsnUqgnUJRTN0bqud6QoCkidGu0+FiGirqdCvSuTQrfz
ui1TJA994V3qhtZGtlmygYXIjunIh6chDHTCp11hpej3WvBSd26Wn3q7jqcRupNlZpeXbVPFYZtL
XtHusqbeZ+NRpygZ6PrCNr3nDi8tsf4oC6OimrpU8jLNAX4BANIJkVBth3mxEqInLQUzWBeZSUgK
OXDij9HftjnkYAfu1+MFlnFwmfXFh6h4E/IGum1vJFRQ+6sNAx/CC7lFZSTYlwBxt7gtHItLE/N2
vghWGi6bBiNPJC9RtmrxpNVoMEAs0beiqw27gT5pQAIiqZqOu0YdTRHsRLEtAfUTn/6TseI5hBsd
lx7bUyUkNKGNWkmewnM7ietMLYmWnnjzE/p2Pv9lg9lCcd3yQtOUkjeauWSlqpuZRWpqbr1Jarvy
rfT9vxoTu5HEDu1VaYYxRUi9K0BmAYL92MItvgbYILSk4EiArgetaMyQpKEuJz3nZI8O60H9pvJb
A0mwv63vZL8r0eacx/ZuvRvMoWUM5ZfZ6/CMJ6WNONUhCPo87Ewnyg9DtuJTumDkdttLKCNpkqzC
RaLwyjxHIMlC1QQsnl4fonV9zBuwcqOqtHDM55m53gygHoDznGtJ+EVl8i0czaCmxamK1zhqBRr5
aceZXOTVyvuLEC/hI+/MG9oq0QOCDmxkOzUmFEiTLqBJFCieWmW7CtAxzsqlbqFN+Q5YAC2pSB6h
LAHY9E2WrB40vpc0iiH5Ze1QoamhmwHxnZofk10+hJGtypPuVEkvrPpSA9Vbq4VPmtQUbiUGxapX
knhhLW8jZnzST0IJlz6uxDkmuPAv9RSDmagrFY/auvbO8aSSf/eAm3Hu4405b7zr1UR/HXaGCj5i
UOndsEhBzAuU5FTwptBSeIkUv9XBUcalFofbdZRFGU9lROVoWEQ2+Xo44Ux/NGaqgBdklbqgUyuI
WEuGjXxavXC733ngzbbmcw39J5xvJlwycIXyClUET5jeImq8QQDRFlFaT3irp3anRWarUYKWxUaf
ALtyI1VcJRBgLtYRB4DWuYaQLvA33Z/HM33DboHCF9p4sZHnmUYYzfiASgXte4TaldeDRKsBE2jb
H8vqnVbTV9cIZoWcZdqBrDbgTSk+xEWEwt+hrt4Kvj9XQIqoufhHmvSFh+ftcQYeSsZEwRsi0886
DaHr+xpEh6IncBstK0g/FgRtiXodOsX0OnCkHBe8+504YTYJa/Omm6/R680w9EEuxPgTLzuNXQaw
vm/FRRqTgE9MrkHcwMc66Z4qg6iJdAh7m1di0++0dVC3C8fsJxl0vf9BawR+4LnpC9zE7P7XqyLp
+jGUvb72DVvUksypfGFYQbudeoVc8qQsOB9oMbkjvl6oKw6IbfSh9t33wvaYvfPNlxgoCiioPQC4
yjwmk5pmasBFsqcJA1FCW+N+NejApnpMBDAIp0+NyW+r2Ck1+7Hl2x2AKbgwPF8rF66GbxJNojKm
IDFKcEqOBTpeMrxkzczYcMmRhgvvrjsZe/Ayo+ohKqDixoGYncWFQV/nBICgatULd0V4bsceBOAu
58VIQUJuLm9yovSEGpLDlws4iDu+Aabh7iD4MHc0s2joRMp8Luha1ZMgexdlEjHkj94HiAXOgQ8j
M0pBM+nUpS1REvyGmyhqu0xXhl+uRnkfxesgSG1DHxa+69bbz5+F6gGYU3R05DJLIOqQ4IzlXvU4
RVxJdF0GoMSeBCsvFMf/90GwgiJBIk1GKz7EKgE5up7/LhTkXlJGzWvRAlvtavCkztnEeHTi+HkE
/vdQ9/tCXofxuNWEpWDy9sZRJMBseGROsP436dm2z1EiMTrNayS7B82l6j938S5un9PuT1qdtNcB
dNn5ELvT3Af2BuTWOCy0z8+3DXPUrj6BCZR49GHXQ9RrnlqaAueIySuwp0ie7vVmG4Mj/PH5ur37
rgfMHGxJF6ac4ybNw/NXhf4tJJu0cgSWRC+WHux3IhnYAh8B/pn50tgOsD5vprDJZM0bQjRVlq8h
Sm/qVpiA5ZaLZo3sRAzghWal/j5pj4/HeXdhL2wzswptnxjstJLmGZoblcfCPwXprl9wHj8nlFk7
IDskHBNwGKOzm3EegDAoOU2l+CRzPHZIlfpyZAWa34EHIadxZRmxgEJyU0nAdEQN+Hr3FRWGt6gM
yorE6IT2VwNPo88KgjVvnGFAVQZFlvwpzgawOXTFCK0iA/9zYOV8ir6MLgpzf9UkMa+b5ZROOsQy
gOW1uqDX/qI1OSpNsPUWmRkNQv2iK332Locj91lMczYAp2DS3FjKcLsr/aSpGxCGcK0jyyXShEIE
TKDJ5fL8lzZcavZJk342E4U2ERg/QFYq+ZBJSmsAkdQwGd56vvV7K4/UDm2akpCZeSyhW6doKi03
Ewipv8fa0OJFphTcMQOdFzjCUCBVzBE6gvpxqBG7/wVFuYRN0A/IYAABPn7VWU9zMmS+kj9N8HVv
LW1TkMijbWOXCGlamWXtZxaYx3rQC7Z6OoAiq+F2Ey8FEI9Cho1aKuYmsXpl6r9UNaSZSbMOxZdW
FAvD5SZFDj4zo4TH4VulqJyokMGvOWZFJ72MkHzdjT4Qagu5fuacA/2DTXIhRMnsyDRV0xGIynhX
at+Z2Jl62pnTqzaAjRX5PlTAzX/rBPw/e7PIxexc4d6uHetIB+TgRA0C4skLmDvgTjc6AKOt7j22
w3iUf+zAgyF5CRQBqPGu7QQR9QN9hEQsJ3+HnG6hI4U0Imf/B1bQaAi+a9SxoIjOWJGTvumaHBqq
FASA7d8g1pxg+vvYCHPz/TOUCyPMcR6rrKraqUx22EPmWH3zBdSxjhP4JPvaemxq/t4Lz3FjavZf
F2EHh/r5QAeMB5UhS9+1kJ14bIAJpG4MMMuS46Xa8nGR7NReehNCnmRqaw+1vAYS0gx5ea37gx3F
i1q+jOO9sTsfg4uB+UNhDEGOgQXU/9NoCVGi4c8EogSczyUCdDbx9Y+xWVQDkBKQHLN7vObB1Bno
MNY1thx6/GDy6jHPHL075MGnDo5cfdprWkhKdR/w78H/kPZdy5HryrJfxAh680rTli03I42kF8YY
iR709utvQmvvvboh3EZozsyjIroIoFAAqrIy0Y1bQVt+Lr5Y/fj0IUwewqgdddInfEidAmWiPqpm
7tbr9vqScn2GMqualgGM0gfc8GxqnbyupniEeypx7Ftl4iaFKfAa7uqdmWBWb4ECiSmN8Jq4S26A
hPKtttsklv6nhFDd9dFw48aZKerAZ6OJmkqfRjqatHuXa/CmJ2/C1wTfBtJDgL+hCM/iqI1aVyZ5
6vOwlYlnS2+tDSp+ESe7yAiz9oXTl/WA/Rba670EDXJ5PI2LJZgtbmgC3ua/I2FOjwloMx0N33mo
lmgTBaG/9F2pwD4PZqcqfvmblflg9kSxHdpYlyujyuMSQ4AOs6bgMdI+1pbutqJmNO6s4XkBJUJg
T5FXujSC7tNpTKgottVFeGcZ07iz5yra9ICeCJxaZIr+/czTpqpQlKjC3EXkiQylPzX3Sy6qE3I3
J9i7gU2E5h1k/C6NLJQIINKmPOxa63Fa7TepiwQ+wOYq/okyzgctqIJ+mY/Gk7OBlFZi6iVoVEJk
PQewoo03il4eSVn4cT9s0rK/67FN1TE7SXXuNWNgkjgNujTxcy0OJzMS5Cq5E3v2Pcwaqko+Rok5
0zFDA2UCK8dbnT9dd0ZORKJSWciLAKmNxBBzjrVkxDgH+AkZBtyV7WxrqnXlJ4W1uJMs6sxm3yx0
ii/MMQGwVsGcG89YRrRAgKQC4WL6pazyoy1PP0gLsYVin1t7qdPQl14GpCZ+KmJ34FwU8VYC0gk9
LlAyZpmwpDnSTbKMuOpkrSt3kJORBkB51iBR87tsvk/mr58rFwaZZczNRF6cds3DHqgQd24gBgr9
cFtghRPBLqwwG6TDq0MnOoa1VO94bdToM9xOZuzWeXDdY9iUzj9reDaBTPzCPWPI+gpruAwPiXlf
p5M/aCfwCRh3OfaKXrlRe+ohUDWIXtf/H9OorKCQS3Fs2mUU0OXClnOgHMPU/JbjdI7rDXI7MtSY
lTSwjcUzKjzsl4fZVG9wA/za4/4/A0fHhoont6OxuUzkKeSFgNwyXMfSz3u87sACUzxcn17OxRK5
d8tAXccCzzxL8m7XBfhQ7CEL03eAPdv7SD8W0Owr1hAJS9wy366bY7lO/hnUv/Z05h3TdFXcypBL
DpNyM5F9Eua7BMkif5hu5TZ3iwQ129dO/b6QAsKFQay/td0fxbiNCo8YEHF36zlQbqWtoggedMIv
Yw5+yL0pfW5gJkyU01VXe4m2OMrSXRI63+rvMd6bW/teSQIJNJmNhwYkJFJl+Y42eu5ArfHi7K9P
FecIAvUsHB9iQDK4aJjvma2sRyprwQtTf5/N18oWLAV3B+v4B6kfgPBZDKqUDbKCWJGF+qwck+kp
HV018WPj3XZUQWaFrU/8s+qoNVmQNEAmiiW1rNVY6dUUr2VFcXPpx1T6iv6k9iBvAh5OK7+rmoL+
QitE2grEDRsy3ybGpmkHX8L13zRfZ0E+if9BeN2CdgalAvD9XO7sFB+azA4+aJAPzgimLj+/ATx/
E6uvA3koimNjOe5o+6Tepvqj6tfD66rvElQSHLRF/sVCU9U6rAS0s1g5QQuNQeuSrllINTsN48VJ
BYcud4+fGWBOwRXd+MAbw5Oi7gldD9upmfeafTCa361uv8zaE8hTBWOi4Z95EKNK/O+Y6Ced3W2U
DH5QjzBJikc9PcQZEmaF5l+fOLbS/o9bURVqiEqBAYFN2CFmVkpW2rBSZ1VQoOAY5JBD2ahygrPW
6fsN9DlBnCrPuZ/qUrQdlXQUHITcyUU5Ff0WSLJ/qlmX5tRMSSIhgNY/tR/wogDvViLnQMevnm3d
Xx8y9zaBfYT8pAn1VRaCOMpaFJcQ1gwX3bhFtPJnpBS7aWeM5JDfzTLkia8b5EahM4PMRonkKmm1
GfmgsT/FKx4QkPC9boE7geBhpDVy0wbT9qWr5GmtGLmd5kCY5CDu/VkOntJ55JeZBxGpPckQ3e35
Bg00xyCZZmKnXxrManCsAE6RhZaRII7rYTavgZ4VQVxCo9fwdTlIdBEJMlsN/MdX8TwCRgMD1Vm4
QdMDKZXFSR4m/VSAggE9+hC0Nv1BLaJtOcyOC5Gn1ZcKYF8MB7wZ1tI+LE6cCvyVtzMVAFgB7kRD
+yc5R404fZoP+I7SpYxQnvrj+nKy0MePgZ4boB9wtvVjTZqUGU0GYEDR/PJnHExb5bncWZvkdy+7
2++Vl63BEhrb5AHQeZAYB/lNtkcRursVMZRyA8T5tzB3R6DZuyJL8C1UhnirVHKgaO+jMW3K9r4d
XpUoTApBsOVeGs9t0nP3bPzzOkokUjDBp6Vw6+fT2vrLGpDUn/CeQ1iA+toXuzD/M+UmfXojlwR8
wqXJKXJ6fZYL5Cxyy02ad9V8ub6oLKnWJwvMJq1aSTNzOpHoV97M+8Hvc08JtXSTHtIdWF13XeSm
YnIVXvQBqOE/AwPO6XJg/SIPrd3lSMSNbqaTn+oUzEd5GF9INe7nnrLkx/NTTB5jcDmuMvjVTEHA
5S8n7ffQKIAUD/XLT9BR4clKpDFCs6/f8pHUrrUomyKrgCeYbwur2MYgQEV9V4p3XaweVKLuBJNP
b3rsYUppLtCcgalAV9/lJyxZMddxh9y/pCRP6NeBQgli4yp5JeAlaoueBhVlfdJ6QyZtZv1v4uW5
eca7ilHGBNg4Agzoh+pR7TUG+Oj/KInuyZont75mfRHT84+7nY2YcTcly4xmrumhOvxERy0wtDlO
cRHXOu8goKC5j9o4iD2YSJWSvpIXJQLQei3cXh4BDQ7a6VmLX+UqLI1mo+mtIMfCjUiAB0BBDIQc
uNZSjz+LDnnu5EbSyYhIQAB02nM/g/kve07LyF8JxOHbUzSBPXacBNkm3k5CM4EOwgcbreGsXSsZ
1WaxLKSCc9O1Z9xqRc9VGktZL9Up3wtUhGiNitko46QsXS4hCNXOSZNAPZM+DXPjzvH79e1Avf2a
HeZdVCZqn0gxkvNEn/2ij1JPK8D3ZqgDjhWcsHhP5JPgjsK7dp2PTb1ctX6tW9mukUNd843dPM1/
7Op18FXKITuK2LN4K4XrAYrsaMFG2oiZx7gtNTRjtQi11bsUNa5pfI1I42Nz4d2D/5S9XGbVJJ0Z
6HNrRRp9/ZZ1J2kGBXwvAoKwaJh/jDhoHbERNNErxwSNTCZx7BRIXvRpr+5S9Mr4S1r1PjqSJa+T
NGW3TDF4bknqeNpYDL41AajWGo2BVt62fi3GHKAh26/iKPISa6K3paUN5qq1vaiTSs8pYk2wR3hX
I1yKcCfEV1OulstVzgctyVJZwtWon72829u2a46mwJW4RtDPisIP9gg6TS+NSI6B6nTeFCFYkOsS
T91Xvb+7vkN4HkSJXGmelbYOMzskHSLdRvNGEaJJwFXGd1KJsLO8/YBXPCIJmpLhosyJNHddrScy
BoFckSfh7VGCzbkzTwjXg4pa2SQIm9xJO7PHeBMUtJzZRkoojNX7ttQ3YzV5wtw0b1C4+cN1UZYB
iJLZeIkxGkS1OrTpqaa75AgpyhoY8hw4IIIYqgzcFiJ9HN5KnZtkVsoYpa6C7GwR1vFP5Kl92f4q
BePHRjw3wTi1IxdG30ZTEQ4N2p1Ae6R6qZxMR6dp4i3Byw68+/26rWWrOkhpjeSLBncpk0K5b3pH
FskOiUbMvCeLtZAGy8CIE7z2chsQDxGCgXeqg6YKTAvAnQL0xpzqhj2hJ6/qi7Cv7nH8RL6SncDA
F6LjORJQ6/DcEldC8PqjRx1EW8zzojfRVVqOdREa41EFzHVAV6n0eH0z845VEFhYqB2A4++TdnOe
GG0bKXT9KscbyQSc0X5QHF+4x7jzhkOHKmKiWMFGv6HV6mUkgMtgi3jrvG51+TUzXhNiHKIETEGL
FSTC7j/u9RrHBCB7uDdAvYf6y9l9CPRBklQrVhGqHfA7k3FfkQlQSf1Qad+ncQ205Udp5Z6VoU6a
TH7kgI36+gTz7hNAdAPvgucTsKpMQMYxNKKzM6LjTgBmwzaE/gTJvH62D4tFAqn7YtMd3ZKUjglk
QuCCB2CdiWarPlWVOpeoyEorsNlHC5QL+u2y5p5ZvILV4MvjoxwSlEEda4v+t8sZjsjQJFOBdU3U
UM1/kPl3+7OublZRaY8zj5B3At0jOh4pDp0ZVU5yC2VgE7g8ctQjNLEZt0vXPRrD6oKs8+f1QfHS
KZTdBHSOH3hbVto4d1LbGqm1zipVdx1BW1F34DjJ2wwkJLnzvXDK8TAVVu9VaF3z5ESHznLRfrHJ
4WMtsT3BS0Jp1j6tZVMrrawMZRlKbeON9e918G3cRgcRiTlnd5rgPkKthvLHKCbjpT20pMk812XY
6khyTpBIt/fNXnM8ADB1/Y3kous8dzn/Nci+e6eqI02iUIONn1YBKuzrD7k/KCJJLV4q3oTXIMQp
Fi2RMmcg9joUgCPMYJftANBXoR0d6X6feLbqFg8xUg0/1u38bqau4e0gECuqBXAC7IV95oCss7Sc
U6gVhdCDcTX5m1SnvuKA1jNbBZGGc8FAghOXbpRA0BP0MRNnsU6LlckiI4CPVRRIcrbJMxV4dDPZ
TJWzI6BBRM5aFW0UeqAyzyUThyA6RHBVQx8CE2AhuooO0KgvQ0uZspu5k1+UyAR4wokSx52Kqvbs
Gp0JUWEbN0O81lvVnsnjnJMEcNdpDSAzhMf39d3LOTchhgNYOm1WQX2RWXJ9iohqR3kZkngsQSxT
DF6aICBZoyqC8/DcGJfUj+AHKAeLsmpzcC4lmVOE1vpmtsthlEEFjcfcdpREwBQefg1nCJr10WeB
SwFLRVArWqqMKSlDpW2nmzGxoiBCpyCwh0kcGKqSgtsSHbspEAHeokzAfOCUCOZpqINiartAmcgI
KIQ8HeeVzBu5ayrBxHNngzbXOUA4Ux3Vy7Og10gpL0tbovpaVdu8qrWtQRJnk1dmgVZkPb3To4js
r682b4MB6EmBfWj0/pTy6PpUW3ugMcPVGm5iS7tblucW0p2uDB7U66Y4t0uqIgEJXO2jUYu5+ykF
cNEAqpdh3R4M876oRFuYMxYLPIq0p+mDuYz+/WwLo7/A7tcYS1wbD2P6IEXupKC/St9dHwdnnT5a
E8FbRovyLBKyT2MkUpQF65TgPLVvCrSTGWiYWlQIxsy/rxvjTBrYYXGro+qJ6PVldqNCSic2EwW7
kdxm/akkIi4bngEN8Y5SZqDWyiLQ5o5APDPDaDpQVQe5pqALqOut7fVh8JYG/amUJgpvXlRZLpcm
N0GIPkaw8goknVOCZ9ItdP+6Dd66nNtglt8kdRo3Mx0J0EKUXTkoidcBB/BFeVt6raDNtv8bDLNR
F7gx+NNhaEDJQJtXT5kfkcAUbBfRcJgrm9yNSxlVsCIN27k+tNBvsPdr5aXV15qQPg2Hub1EqtlI
kw5D07Jd0YP4Xr9Oi2+KdifX0QBlQelZMZGWoH8/251orAMHObHL0NFRqW/xSAxQRRNxxPIcjVKt
a6D4AWqP7e/u0MxRoVxfhXIX/XSiuyixIEVl70DXIXBpzjkJWA6yqXgmoC2FFX7vtTbVmlXH+tSN
dWz1rnOtRC93qR5rwXXP5gwK1XqYoKh/5KWYd3nT2nNCJKcMbanwl+axLt+1LgNfqeA1wnvwodir
QtAWek5UDO9yjYyS1FZeq2VI844Pkv40mL/aNSSG7E7S0fZWzZugcd8Ldi4v8Y72YA3BGy2pGCMT
5ZI5orcLrQzlqocIG6TDxgeHTMcJVArmHJ8qo0UG62hBgvDrMwt8N8DrCH/oglYvBxwPToQSFpyS
vnB7XXPj6mWeXVl9/As70C01wP0K9hn2/VVLrTk3ClYwbiA1N7tVdxjaExHh8Xg++dHViyYUxCj2
aIo7QLPrISVhob4308mZXxURpTTfBDAO0FNAMoKl/RtW3FdlqyThLL0S6zUBLmwq7q/PFidU2JCJ
wIFHW9NxNF2uSlLOdpKZ4BrHMAyUEbvyb5bjzAATwatanlsTpPxh65yA8F7X3G3ak7Aawtu3tIKF
PQUQCkgnLsdRx0qNPq2ahI1yAmZXs3y80CJRIOJZQQ4B/FoacAOfhNGIvIytqWQkVMZjbUNwPf81
xs9p9Xx9UbhmkOZFDh5ZZWDFLgcjLSpUMoeBhEAPb8ugQwdYo/aekNOfpXKm5xGY0f9n6CNYnB0U
i5XnrVSN8LDBAfNiH8DgpsjTe1wau/FI3z3pBBU243tW+Olmjc3Q7pzDOoOU4k12vn952IDzfFyP
gWPCRexy2GAAqpc+QeWMkFd9fInMB8m8S42vHyYXVpjDPq6HqVIICtmFMx2cwMgXsFCJOFp5YZZq
OuuQYqdeyXJNorNMTS0d1SsgLipoi01bzGUjy15UQIYH0o+mq2oizWpOwKDs0DaNfEBFqYzfZGWt
NJkKMHIqbxPaiindKb3g4OL4Jrqo0W+Ia5aJohkNKGcug3KtZZFhQYuXvvjjFHtLVW1yNFxFYHS4
7g/0c5kn+4UpOtwzU04LeHpjw9Qin8xsPKZFj8vMHjkv9HO+JR3ZxUpw3SR1sWsm6ejPTEYakbu5
B/bfnh8b9IYfwSjvdsbqK0stuHSKRsd4e9KusipZMFUbQfS0NNVdZh7J8Nqad03+Ejm1YDZ5qUJw
MaLPggoDQYOBOYCxKaJ2AXdfuHYgAlDdVkrcpW6CVdf8JUlcPYUYsadaeDCUjf31EsGFceZeBTKR
UlFrrKVK3icVnP/avSkUmKAjYFfvfISMb1p9YiS2TUeI/Fnmmz8lxbOgtSe74Ll0ZHeRXFJsG0Mk
9Ud/95pdxlHxSI6XiWBwCvjFxnrwY7MRzB+NStdMMI659GsUyxHwEl3iTVsAEE2v87u9qMAvGgnj
lFC3AE4sVvJwOmxEDAz83zY/XsDgr2cLDOig7KrIwSwhR6uGosODd5bBw/7386wUTtWZoxLRSnux
Xx71bflWHhyv+AYEy20bHCrJWwJn30Mc9nrEEIzKYS4eUGTu6klHJlHq2+6miyHxECmStb9uhXue
nI+O2byl0xVQWsDogBN3e392C7fydLcIRLT3vLBE8btUwg25OLbxWSJyr8S5gczoCQUf6ZhIgAD4
KP8j+yKYOpEp5iRGmUYDax9MTWrlas7kxYntKy3Szupz1+/z4YGAKef6RIps0r+fBXhJXkBr38Bm
hVp2O20AanPbbNMt0KhyjoP85kj76xa5DvLvhH56KKiJhKCsY5TKNu+3aNS9/vu8dCtg0Lho4CEC
FTb2wQORhi4iEbpzLM1zwof6mB+kwPpVbTv3t9a4/QMk7zapf90q76pxbpSZR5tM0jBaMNr6cfAg
UoDkHcPgkAHHFGhMqMDX5SqpKV7Oku4AbKi+KJCYlOWdWT7i8VNkAowI7zpzbonxwchKFCXJgHWx
Gr9KZ/dXg9iql5vrs8X1urPxMLOFB9aIoyGiB9PsTVPtzcZx7Y5x/qgSBX1bFGchSmp99jtKv4f7
Pd53eIsazMiIGqe2ZAD90gHwsFGUCfxLssgNOJcKagW5WRniEp/1sM2laGatKAqUx6DnVEibbPQa
zdiqo+J28e9lQBfsnB7Hp8gQ7KvPKwfLSKN/JFMBYWfmFPdrc7AJsDej4rgbUMmD0ssXqUELjHzA
u87ChdnVKe7TQDbo6mkCuSaerp32GOkCXA+nB/ZiMGzxr5hTuVhVAHuKRt5V8XM21Hhc5kEOWGnb
/1CbRwVZE2cOoVVYbkdiAf+ggDBJqgXtX1yvQUYPNXkZvVaf+uCkVjMh4VOEZnmjofhorI/Xt4LA
ANv4ppVOWzdFBRyH1bgRec1EfZ+coxJzSclBKMSTlsUvg0dua0PZWphLNdF3eWds6u6OyKeR3GXL
4ILxpZhlN14ywcny+YYGsxR3jrQ75Zdi9ttiOPQGMsNsEeAJ1v5RQQ+TlkEv274Qu8idRWgYUMgI
3X7MrWMGAU8+ztRYYrmWdIfHtGA4nwM8hkOLL2hUw5PyQyTozPOzyFCTNYGFPDFxg17cAX2QVSWS
FRSZoQM9M4MEGmCe1EwJiBUlTOjIaTGGvxoMRa7aUNJACvLSStaiP3qIVtSQSvCNTfdop5RiQW6f
02QNGUa4HKjekK9DryxjpEDZU5dBb1/e6KWLpgenw7PxJhu2uvpqdJoXR5DbWXLwk8SAqgv2FTeE
nJtnZhIce0oaldhY9uLhjX5Tmt9USG7a8kkqFLccfQlMe+XwamdG0KvNzqpAQyZR0kMhpcfn45sK
UiJjjwwW+M9Y6TO7q+yo1LED9W3T/o7TFu3kbxk6y8WTTsGIl++iS1PMrpvjwpCyBqPOWrKNmk0S
3yxpvqmmxStTv4JugzJ55PfXY9j5+JgIU0dmPy5LWdDErKU/VqPo7KY/8HlUNroccPvBGc6Mqmnl
SpZXoANlGStoBU36EMePsb4zt/OjJAl2By9yadAugr4O2s7Q/nzpuMUq10RfYC2Nx2Sj1GDfiBZp
geEu35uDVbjjgAZ9iO/41+dRYJjF1litRgw7huGS1jt28eQXkFA3tkb+LQEK9Lox6v+f5vTfUbIh
027VOjNzGJvSP3Z5ihbB7/OuCmezyMLJswJA0q6k95HKdg39MTZiEAQTVyGCyyQ/0FANG5rqo6z6
l+tlgb3GkiGYEy7IIk79exn3N3Vy6n5X0kGFlLm2VbUokMGaNmoHU4TV5S4a1FHA44BMOLJGl9Yp
aq8cBkRsDb2s8R7JFOUBKrBeM71dXzBuFDkzxAxzzCS9zg0gPtv5bdQ9M8xI0A1ugRb0/5shZrdl
5TIPa48RZS8JxHLcxU/RhCJ4pvEOOoAxkDZFIRNcvNQ9zw46tbGyWqsxmrl8RRt72p1I8n59HFwP
RNGSQupxALE0DXaVzDWUZHDjDyS39BRPdMXhrsiZAWYMI8Ay+azCQL1XfMg5elBVFNw/P9pjPm3T
MxvMUS3JVjFXGmxUB9N91N38AKD24c4J6t0bGN69yAVha9B6fwhet55ne8/apgne9Z0k+BLugp19
COPn8poVmbbgQzRjn/U38rSRm2/XF+zjjXJtsIyLg/qqzboKNtoQirHdsTnmP5Pf2ns3u3MAWtTN
6BmtWz9I3+xd4w8COgJW0hm+iMPzbIiM41OSxVJZYX4IrA383lvd8gBSghIktUfdlVzLqzZAzMVu
9lQHrZtiY7S+cptulC35uT6pv8pfSqDsVfzl+sxwgwwgOJQGABAGlgtgKHMtGyQNwfqn5huAPIbK
ztxb6e7/ZoaZADOTYzVuYCYvDmVy0qb3FlQxZKc1f4Cq/ZsIcDYm5phd59ZeIwosN+bYBTk1WC+9
SROUZ7heC6kcyPSBaRpcJpdhRo+cQrIHGLGSR7Ttuab01LUimSwOeAGOc2aF8VulRNt2pgKtbmFt
0sEfop2mh5PxMlqvKL02ve2BFi8HbBUsnteXjBvkoDqGhkUArEE1cDlADRqWKQTpcFlRhnkbr5ru
Lnar+ErZNsRtbE0EAOb0/GKwKMHjNfxx3jJRT7fjHjrgNt7m+uoPDTqJ3MLPB9/QTlM9uLh9ei0u
+8Z9HqN4kwNFoQs8h7sbzr6AiYkKSNJAaIovkL3J+NFCPzcj2+IA8IaViS6D/Pn9d7SMAzlmMuEl
ESEkreAoSd7m/JsUgQMke7q+jrwrLog+FErqQ/Eg7G6wDGD7+qwMjecEAvCW31k/SLrcGfGtCnVw
tRHpQ3Aa8kH5jVORpqlA+8+qKsyqAZ6kIgEAxWn1QzeB1LXX+ixIoSsDOrG8BD+UuW7wxE/3w1Il
AZr3pJ3Td8PtlNeaR8UCDlMfSd8rJ/pJrHJAuRwZawMiPh5BX6lLQOwQjOWA/iIy2Ic8aXVglGbn
ZCupcwSMNd5fn0TeYoHwH3RFADVDKItp1SqgEtEBQlqEkt1tkI2Fnk/q9XIetPbXmUwwe5Ao+ujx
wStXvdx3kFOechNsr6GBw0ltg5g0riRvro+Hm7uhyEja5QOueJYEgzYFRl2CwDL/Hl7RW19tUaCc
ccMEp2wnCJXcyfvXFssrVfWZnuYqdhUS86Q5GNXBUPayIUrt8V6o4BXCnQzvOTStM44u66tpxRRX
v8Zq5K3TEvu1Pb7oZE09p5p+ZvlQbJS28HS9BCHluASCOaURkb1knH3Ap3HWY4++EKDMax9pHPS/
fFc958f4Kx5dafLHv8nogNoIsqEQtQJOgAlWKoT/qhhi22FZ7IBAXTaGIxoRd0qBoQYfC9pqURa7
9MVUN+uumSTEqNYHo9sK/bdNoZ8S7d7+kRN3fLk+g7xrL4Vs/9ccc9plc5ECz42QiCL9n7Z4VKJx
G6t1YJaZ3/eCSxl1h0+rBc9H5c2EvhJLcjBDBKh1oJEAGhhohG6k30U332T23rCzW6BUf8zgq/+L
4VFhCvgnhQwzQWSJrGbskrEM87L34+ZoDmgvQwsIqn9JLjjJ6OJ/Gh0AR2g1Aj3HJ2rxdsjVRcmB
ga+adtNIdSBXzqGqRWc2d8XOzDAOYq3ISpXZQM2gQ6hKtiN4ToAs8tVoPaQQ9Ba8ILllEIpYok2D
Fi1ZXXqknETg+rTQJaRWT3O/y0Bg2ZJ2p0Np0pC9llRbFK+S5rnvdIFp3t3g3DK73YoEJVSzKsMx
9kEm7kNpzYjnbd9JByyM50z3172Ft4LgY1NRHcaFCGIzlyNVCilTGx2tE0p3T8zUI+kJmmQCN+Gt
37kRZjrNGboKVgQ3KaxdUilullX+NHhOvh1KEaaPOyAcn9BtQ+cqoH3MgMy20ofEAOLXLHVvVBbi
rRLoLyGrIRoW1xSElmiPJ0bA0r9Za6dYwzjBLbXRPGbKuviVbO9VAPYFe5o6OLvP0MZAOxDxEkCh
9nJQlbaY61JHQPnaNVTTZn9InmRQkOUi9XPekOD0GAt8AVGLcYeaFBCQB0t+uOSHCoS6ECH/m6Gc
WWB8oR9Iby8agNJJd6ryYIRGfbQnouw9bxudj4OO8yw9k+XyCGpIjCM1NtIKlv3xQdbd5tGOSGAP
4/frm4i7PGdjon8/s5aAEX6wKKAdT8E5WFMNjZKD5c21lWx0Cw+q6+Y4g4MfQKtVQXMvZB0Yc2Y2
GdA+wZnSJbO7rIfJ/AWSS7U/kOamzAUBgjM2JP2B3/xHbIUlYXKqoaqngQakZrd0IfrBEzPyRju4
PiaO46GSg9Mf+MqPaHQ5hTnaH2ICVFkooxvasL1mOBiSaMNy4tCFEWbiUFyYDY12A+QkGFpvGU+g
2iYNKFcEUZxnCHU26PdS+j5Eh8vRaIuxLk6O/YrKYRLrgTS/mlLhDuYr0MYCb+AtEEC2AHyjuAfA
NOPqqrqUUhZJaEJRtlEeZNUBBI+rSPFNZIWZOqs2cqVbYaVUDgYBrZCrNveZ6LLJAb+gfxTMlUD6
I0+EB/rlxA1SA66UNidhqaKoq323bWSsBh2nvlWFTqeHWvcuAXAmo5Yd6/Z7LuvbZBuhpJEoR42I
igC8zAi4ZIC3ALkQJV1gnkk9WXqio4ER9aggmRPXtgEjldqTUsVuEt/phac5/jA+xw6BcqXydn1T
fNDJMHEf5oHLBQ4YWpUGEyx1qV/muAOgm+QpJKAP07RvpGObSCj5jfc4dTZxtyA/03ntPMieQR4n
uYF6wGk2QapwNKS3yNoM+XYabggwvRPUWrQ3gqSGpB5TdVv2UK4WnPUcihzQOVCwATojZWCKmSlr
S1kakrUDdB+iOSlqJ2a8KxzdQ4NP4ll/SsOt4yWQlNWzpNHFV42yW6U3+XRS5sztoP2C5+rt1Ile
vHSuPs2lqqGej7ZsUEUxriXP5og3L0DaklrFwYxL8rbWm15QNubsfFtGvh6t7Bpt9KB/PzsK4llv
E6dOAUgrDjKIjbWfeC851p2oBM7pLwfOH4kz+o6h/NuMoUGJOt1owbbgfEumw5j8tsgLATFOpWVe
IfvttB7nLr51fmbtG8TJIHr8bYCmKs4+S853aE0XrDsnQNBCCFqSAR5CWxfzPRNcwQKUnPLx515f
DO/Dqm7XzHqYalEY55kCwyNVIUX3GCbhco7HKF2jhmoZlGnu28leNTK3mjPPISLUBN8SHjZo2MGS
fiKt0tfU1mvA/p97Zzs1N7X5vIiAT7yqARg7/zXCXO5QwpXINDSA+as2ZKYcTyp+STbxjNi4seY/
3TYzkE1Yxo2t9d+SqPMTiCtp4yZGPhjLCSSYFPZfB9JBdpJ2taK0RdtWmOXMJNuE3isAgWv7rESb
dDqY9cssal/j7MkLK8yeJHJt9OgRREvAtt4JHJJ+IbPfIZkILA3a8ZBoYlvkDWXs1j4CxLbvDmgE
LQ+Gc2zt4/v1EM25tyDMofsbj0R057L56wX0Sqjtg4AOdUB7rV1gudzo4S9s4Dh0UNyxgbRmLuVm
C6Q/9GqQI1e/G2tYxugCFrUT8Dyddpf+1wZz0ixyUUZNCxtI7gIwqXtZvsFeB/ul418fDW/N4Va4
vQLRBVwV41kIFGNtJgCDptWNnoJ/PBZR73Lux/a5BcarIgf4/bKEhWXdyTMAVc4GLFBoG0BjhGEI
hsOdOLRlQ+kCTa3oo7kMRpBFxsSNgAmlD0YaLDqSqYckuD5lPFcGywB+n2a7QfB7aQOonlZdIthQ
ni37FxT/hscmRsen4NbKnbczM0xq0yJ4eloDRdq9SkB7QmcQbPDyd9l66ES3BE5aDHcECB9R3A0w
n4y7VSqJ7ZUAt02K7tbSu29OLN8UJuovdmZ+VyR5i959NLCUs2C/cpbrwjBzW5bADFKkNSKOGs9+
p6vI73cuqFpdXW4FAYg3RlxjVapBACg3mymOIWMXSyP4TVfcGVdl70x/6lsqYfeoyZ1XmOrmupfw
rgSoGvzPIPvqQC5lyIseV4KoapQ7w+ohGa+R/Cae+zIo2yHbtIXaQzdPQfdEBA0oDagTz5nbxUtB
BOZOYzpuFiTsv5dTkZpoUDRItVFBErmB6NgsKMjzkmwXn8vuHJCvanYMAla71MLEeUya9C6DpKwW
HVPH7VC7ycrYH+bFtY2vP2odGnrg0ABlfZKHyNGZmKsJZsrAS7BXFndUftkyyqumJIjdKg3OzDFE
1YNwJbJthAeH2VQRIY1Vq7isaB0ohpvAznp3NmwfZKnQLT1q5TGGFh1qgl5nk22WuIq1Ic1vku76
yPHleuuYXjUjfQyS8qV3M6d+1gbRzue9c86+8hM7Z790cRFVA/pRymDsXpAxc5fldtSGjQSSXADB
fyTT+kzafTfeaEN+d91zOYEHmPYPeUrwD+CJfhnf1LWWmiTHNaugzGH3ZkQ8CTqj4+LGkeYD1vp/
tMd4XlFPubROWJM+DdFj5GqTvo+dfd2X7ojin/RX5oDGA0M6avgfj96zN0EqJfacW5hcUJS6kv0o
aZ1rWpMrQfRDUr8PcSc4kz7w5Z+c7oP4hLbn41y/nNAawYwYC8RljAlV3zFHS2KWuonWH1rJ9GvQ
7Wlkt5DHNmt3xSRv0sjy7GZ9LJdoHykP5RrWmgZS5Oy2rzaVs4k1++n6kvPisIa0Ei4CKFJAW+vy
C22zia02RRuNOo7AZ0ho7FetflOrS2Cu2iJot+OFYkw9nX5ctYFBubSW1NagVpBLCPOqCvRCg5QX
Nvv/I+26lhzHke0XMYLevIJGokyVXJnuF0a1KXrv+fX3sHbvtARxhZiZ2I3oh5pQEkAikUicPAc9
ZZJ/KGuF1LX4e8rU9eMxLuSG85oDoDwTNmIdbq02TQY2JiCEQZx04bSMTMNam94f21icR7Ttzv1d
wMbTBZOcL9GPXyL/1KKPplHnjoaZqjRkKTQs2cFFAJRwM04EYMHbsXipX/2HRFaMNoUxEuiYmlnr
qD6rnDX/EO2614aoeMmJtZT5KhLROmidtPQvg36EgkknN6uh8myp9lePZ3AhuQKnFcBT6FWfAfiU
bwDcknfNF/rXexl8eZ/Je74zC13bpCKL7m7RFlhY8SIOoiWQl93OInTpO78R0I6hhzI43vvWzkFX
WhhPTRyuodzF4itePGNRhPjLIOWCldckY6oCTx2mvybOSQL5ReB/QLHByltz8I9TJFsetjnYiP/B
rKp4gpzpKCBiQt1ZssToasjqoq88sxIiS+YYWCnrKrEEnTVw+0IxBz134Cul1g5UzEodyYB6Vprh
rztuhsXX5WRpUyvjeUnnVpnqJdssLv2tqpaDHendMRB84xyWorIXwI3ACL1Le17h0Z8F/g1wXdMF
w1rrAqNMemDla/RYGJ96dRx8Vma5uKx4rpuLWfgHDW+3flQ2mtq1kgAEkdw/9RAkzAfNUrp0I/gq
/m1WYmhYNSdvlPYYN5PzeG2Xpx1sOnP/BaIp3VSaTVKmDb2Gi4KfQPnNEzurHMPE5osAl8e+7EyE
vsaU48yzonbQ0fM0ZGaj4uLatQW34ydICz/+psV5B4YNNSYVNXD6VsmnQ56Eyowjg2ByHGlkGr/H
LYvlemn/YmV1AYSDs9gftX91I6vbvJ9JR+vSmgD+sPmoMIgXttGqbNOnOj0+HtaSQRS54EczjStO
8tuFNlSQFXcd+vHqSN2n/TeBR+vzXp6qjRrG7mNb88fTkffaFuVUk6F6wzQ3WtXBLAwrepztj7LG
OBQXfRe6kMAy4v6PW/N80lxlQ7msJ71vYM9GRlk4IKyJ7CDQPQeccFByHfthrfDtaEuDkNlqMhkC
yTKv2o16qq4eD3jpqJlboqAfgFcnrOftl0h5Naod+rB38lSAh7cD4NAHMbbT+fFgJlLQQMLAuPRh
0zGCxNJhijQQBFjohdVwC7k1nPllIEceZrqTPisU7A15X7eRpf8DzDPqXwbMoDah3ilBFGJcD7KH
AQIyhCRHl+M13glKqxl91oV+cUiotKmAGvJgiaTi/djhEKgLnGyKBHhv1exjCdK/8Seu/4zos7TT
USwFFGmWp0LUv508uZC9vp4bFtLqhCZ9EkLlS0zHfxBPINwkgfkXnoFa860VtJSDKLbDG2uOLH2P
68JLIwXaejJ8j1F1WZo55IioZYtfkDxqi4t5YPiKjgfWaA7nJdHypyH5qQSM6/bitF2ZoXb3OGVd
mOigeMQLrhh++r1CDNar++JQ5lcAPP5AaIDuPALQP26+8ItGdQy8wgLtngZduSD9eLxxF8fyxw59
X8RjXVbpGY6/sK5mIesA4h9FzIgOS+EQV3Y848406ArNUofAVMQ4SBAOBQlUSanlwdkej2N5vv6Y
mP9+FQr7kcu4JgMIs/BWmadbsnhAIyH/D0DkuBj8MUP5so78rxIrjCQB0kJ4aQ238n4/HglrsqhQ
OlRVm/voKNsJgU64sjR9XmMEzeVF/zMKat97QKZwcjlTYwsauByrwNLRbAbe+H8SYAwkNzhyVbQ8
0hofQJ8bvubBUCvHjiR+SDH6Y/TPxxO2tPR4HgS/GRgd0XU1T+jV0udqkPlxD0gUtqOhfa8VjqDd
xxqihuHG87TQp/rMOobLrwGkNB0uQ7UYvckAQaCKzDA5ht0H+utzKI0E3Fs1+LYw/O2UBThwIKIA
nMP/7/AIZQyUh9Zjc8YDWjzGw6TXhPeB5Rdjt6++/d1pROMaml6+KCsBHKD8Lh5KEI5kwAvUGYQu
P8d8V/TffXBlPTZznymA0hmliplfWMBqUcGTS8RpEisUqMRVaMO57cIWzISxh+5XCkaQzqMNAho2
Mo3+5nMtNYwKiJEe/B4qb+l86lRdgQNuBO2RauIEgcryuH48tIV8bKarBpMjaFk1VI+pfaVI/din
AUrxoK6NwpUifUq9FxGA20wOFDixHJMhzM14Gne897f3NGyj8IhdjalF1/btLggTHlWgBC81OFzd
QgJNdD+gdZS1B+43260ZKs7KedjIejFfRsuaRKnToOavCidVdx7P5RxIb/farR0q0KpKKWQTmrB3
ep/acQn4bb/vpcYcxkvPs2RC7+PhbGxWO4TDIHegMi6hnKKI6wNkXNlzkjwLdQMWhN3jAVE2dLTl
oCUVzxfwSzyl0j3wgizWgZhG4Qn3ykOkh7Yff4Dk7NdjK3Osu5q22QriLX4f/HMqGB6oDChV0tKI
8RBwgijmG+c1T3qPTtjHNigX+I8NHRfWL5ge7Nx6micJnS8PXHSq0sjsgm3ab3RjsKq/CQX8jx3A
MkAqOb8z0XUyTvIakBEm8akBxeLgB44eQjaiRK8bI59bnLQrQ9S2HQY/E7wiik9888PLXqbq5fGE
MX6fJvbooJkDzGken4Be/2HwHDHUltGxQbdi0ZNFY3ULZczRTZTGp5jo+6ozA/wPos2O2pu8C/4Z
ZaYgZ3Xu0k0pd1apYO6VSsJJHEYGAWZn/O0dZBeqZDvvbWIcTgu7Bz7wly/I1A71Va5Taxm+MKCd
B6LrE2nC1hkM4IIerxV1cvx3RLjEQvV5ZvegNhAI6+QGahPxKUpM0dQjIvakSom8y4DAYdiiiSnu
jFHT1wUAn04QcjsV+nP60T9xPkExJDEsiD5sEOv22WokVss4ppbn8s8Q6bkM5VHsuTI+tXKBd/1y
XaTo0Ipbz308ldRJ/zU6YLcMEazRWDq6X8MrgU0oPE0/Jp54mFBJ9wqFtJK6GZtjk34LBZZoxNI+
E5EuyajuSAi11MDCKMy8pPWNo9SfBUjzgJ/18YgWDWAgCEhovwVo7DbyiXxXq6LfGcfa2Mn68wQ+
yMcGlqYMVd5Z8QflXoVu/WsV9NpXmucd80Y0PajYTyMJ69RpUQkYXuSSZ7VgUcfs1xoBdAM8PJqw
5tThdkSgBp4ksQy4I0p96UhU8OG34WvVv0Ka201bMqC3uj0buaOPr3xIctC3eIajlIUZ5Ywoee+W
8wEMGAPWDz03X7HmOo3Puzgvi4E7ohfHlKrBTqEWa0SM5yu64IoRo1gEXYtZ21lF0XdegiszCVdq
pZdF/mn7YzxF74q6mVbKYOdu+FP2zLrAjnu8pvcR5auhRwYiCJKePN0HoMljJgdKEp7URrZixJJy
WmWH5DMIBcfPnJClpbAQlFFoQREEBeW5yYHOATSOH4YsRqaRSwqkB9KVbLwZqIJYimC2QrKZtGAP
kTXGMJfMQhsMVUhQ7s1UqlRaEGlSnqstJC9qvIlbqj6lTmp0mu1JVX+K0jJzNQOk40bRB24clsKL
EWesrPHehzR8A/ojUcwHVI1+nOS6FG059RSeinBEozWnYfs0OecWildaj5f1fucA/DqnWeDiw0sX
jWfUurHvBD7KTtrZrwkoQaNTzUgZ7z3n1gR1Fkmt4iVZN5sQiA6ccks0PLBm+nGakm3ir9FdYj8e
1JJFhM4vti5oVdF3wM4PUx18a9mpEi3dJ5OBxt2db8wvXJ0s46Wd4TQse/PfrzYjpBgEKVZgT9at
lJ9IUNiiYk/xBmeDnlzE0+PhLRy4KKj9GR9NWuclxRTGIeyB/lZvPtSKKO02mABcKdZpbnboxgjd
Bm3rUiWbwREtwymrLYgGdSMAzTUwEWcUEnRw1cw+fDXmtE74Lta87IQHCbA3VONTx314/l5oL2m+
bYufdfED4iT65yAcG4gBZblg1mECjY9wizd3sLykmwk4IsbULPgzPgtLj/iI9lSe+qy2wgMezgd8
Vmpx/k7Vd+k34UOCsirhf/jnGmSgK2Xfu7Uj7iZW8Fjwgxk9NG9cTA8QXrdzEjWJUGpqlJ8EsK03
4BJA8IfeCFKGeFcme42xse5vMFiCL0YnlHEAm6M2Vta2kVpJXHYK5OwSn0QdaVD64jPrnjTz7tda
ow8HOtW4+s0KW7fjquuqGSMxyU998yHLPTG8bW9hX6X2t8/SNj5Db5/ol1rZaWEOOTGwnDxeVRq9
AnY6BEKANCBfMOPbaU7ysZX4UK15+VTaxS5/Slz5qB7FTeT6G+i4HI3vwam/KCvPka3KNFyVEU/o
isidfcqrFH0YyhRNKqdMrUlX4604JH5nQc8R/xy0UIRS+bMxZpDR9Ri2v+6hN3dhauzUgVQVfjYg
gssn0czcwok36arZZmv0oDrDdliHK99VnWjtPyuueJQOoEZzIJa+SlYsQPD90Th/yQxTmN/wAS2h
/K0v+QmC1JgFVdjLxYcsbnBpAnWgq3ArKT81itMPLOomGof2NfWgfcbjOZooUJCiktVSLYqhDEvl
BL3kzwLNWVa693cQ/zh4JH9OVo897X6lkWggj0SCgyxnrqPcujo/6mrdipx6ek+e/e9yBql5oj4X
e1zVpsjiGWncXbSacTOo64EgAzA3ABdurcUov8V+Ehsn0bDbzk24bSmbI3pEWHxz91t4tgTZRnTi
zOkbvYPqrqxRkE+MU7futt1bdi734jfP6Xf6On6OVrUd7LLfMgttsji+K6vUvonHBCV1D1bH4NM7
cv0nkA+kWWlBxYr78y/d7BJqfNQuSdvKr4caM1lUlpe/QXFbWZcqaU8VvwNdizG+isH3QJHhrmto
VsZg5X3sOXd3Hly15xdVdNkr0H6gb9xewUfaKA3eqVVIuJa2sen7qyf15bGVhWHeWBFvHUZIvCLt
p947pcR5Mx//9v3+poZAXTz1Nud4fsSPt0+jQrTnS3/wWlIQEUvGMDX/FLVcQFghlEP1BlJMdEtY
mUTiwPWSd+KPANlyPw0nO3vfeBeOH4Wm92YcJgbkkm4khOQT7hHgZwGFJgB/IKW5nTpv5H25VQT/
zK39bdhZw9Yw7GGTOud2zf+o9vpT/qZYrGaApUlFzzmqmEAX41ZPA3OUvlSmQA6CM9S8cVupzT4i
EhSYJFLZpVMzTsoFLwTSCK8SCJjoDfnKHK+yMqhbGWWfhcE527UrLSW9ROpnD3qbjELdXeqBlUOa
NTeeawBLK1TGq0KkNZy4OMalAY8Bv/LuPHINgbgLY1fd33PBL4KHI6Br5mMfgfl21arcAy60DpIz
ekL0lfq74knwFrxxOA12oRP8Vn4NDH6OuymkLFJbbBA9H9rJfnIWfmbo3nmbwLaKbkvSsaQY7oIj
ZYhySLkfSp/3MbTQJwNRTloNxZj14412Fy8oG1TmNoqdlgg4Ys7dTLDHqlQxV2c2f+VuAx5RykjC
zweX/Kk2I0t7itV1+26BowLah0Cxs4jj7yvE1IioQN95kufXE0z29o/+JRFNPGIebb3ZeOavoycx
AtVdRk9Zm9fwaoAG300gMYW1Eu6XEO8QtQ6yvWlvHGTWK/OSLTwAI8/FEyneFKnJFMTWKIVaxFrl
BM3EHEosoFc39TXXE2CFHzvGXQ0Q0Qi5wBeODIUdmu0pGKR46vHefNa5IHpuo762wGDJUkm6d3GE
BjytyMZsCw3Tt9MX8A1X9kEmn+PU6hRbwaVw2+SHST4+Hs29m8MOrns4TZC1gVjk1o6sjEkSca18
BuxZaNBBxpmh/u2xjfvUUL41Qq1Pmk5yWfaDfH6PP+AO4SlwkrfsVf3ZfcRvj23dX3i+bIFlaWYL
QG5I2cp4ERrHwiSfG2eIv8vfs47gYm1IP1PvEMeuAkKdJN72qami5i0cRdEnFXgAXUMhKugzdwlL
vXpxJSHn/P8fRG27Htpd0ZgI8rl8TUc7LyISgQ8wER1echljn53iJjeYxw6I8NylMGN45wB9teek
YmrRCqPI521vvhvEX3+X7QliKIEVmoP5rb58fHyO5NwSibEn7iP/reF5g14Z9ks1i5tAks/6C+BD
uhV9+G7ACMj395mb0YHc/dYID1owTZtEGNkX58L94bnxythwrrECUZ3zeCrvC0WUMer0xAsAyrPI
es9dteZRGHrWTpJPVqTZhDuV+IfuSfUsjjWPyzvlrxW82/ZQIzYmPsJExq8SuMhkM7SFo7bn9iio
2o+HeJeIUCOkDlEDUgNChKhwtsqj271yjBLLfdZI/T4VWTRhaOPGg9+Lx7Q0I9EKDmNqtZPpE82u
sStTCxTMP6fRhrrW46EtTSMOA0gdoggOKAStc1BIXI833UA5VzswtW69XWN7z/CTVb0dV//O1lca
e+X7kZGnpap48plfDbvIIj8PilnZ+Y4lQk+3JALGghLZn0F9DfrKUB2Ek8yFGkL1ubo4UkOaLf9N
PmTb2motnUhm9RLYBjiNDug3ZQzy7tZB2Z4jz5XtDkomo5wa8rkKbH/rHQ5kWnHfIdb3Ce7+YG5w
fWxwIaDcjJVyzhI4TugvYlIVMjm83a2NVUVi67GRhYzodkYpF00LCBuXAyefezNys0O596G7YVWY
UMnsXoJN+1YzgtjCYXAzLup0QmNTlXklHFNf5WQ32Iw9PX/wzQGgzNVb5EA8UMpQ4pyn9WqZ5LgZ
pCGS1XMARQqhePMT1q6eF/rOAoDes0weaBzonozQSNL5hqidi3f+U3OiCJuZq8noJEjF7dgKWJny
nScoEh5ZgAGZsWkAEVNDqsJcSUNJ8C81GL0uVY5SYYXNbWaBFjl6BaQDVITlU2cErGB8FyBny8j1
0PsH3ghobd9OZiCB839KB/+i5a6Om26J1LVnCvPNp9bthM5WUBoGRymuuXQ66Xl+UEQRxqeUgSOF
oCcNIX0O4MFKridX1WIrWQkNq1FraVYBl8SLJGoJMqhmb8cmAVjTqMh9LgAMmZO6x6uZCZVYAj5A
IfopJRNjP9/5PR7LUd+Z658Ix9B0vrXXSFJQgTE8uIwb3vY3vivYPeMCf18vmG3A+1GAnGWr6Le/
lBtCI+zk4BK48mbYDVvVrXeyE9lMmN+CZ9xYombPk0rIw8pKcKkcbs2t0XW9KffVOjYL21sLx9AV
NtGmYmED7hMgaoDUJMZ8FLb9BLP9JjiEa9nMDsLxW/RUurrDkmZjzibl/VnQThwHaO0lfrpAZFc+
Tybmcl+uWaIJzGFRMbEUed+LPQyLW+srzfE33i9ceDaCza+DPYvqeNERr5xkXtqrCNmnuhQkGYYV
Pj0Lb9kHWnLXj0+Vu8vo1yqBtgk7Czg8mqogk9BIF/NScAEjta1u/PWwllbeM+ogj+3c5wMwhJcy
wGu+JLBpf0fRP1djtQovuT05ojlZiaVsu61qxe5kSlA4yKFL3JN2/cowfB+yZHA04gFNnZlsEbxu
57DNIb/hFWL05f7+ScFLSvKpreRtZP5LS9RqyYMAGpUOlhqrcyfiOYX9Jtn1Nmecm/eZADpIr4c0
u82VWwR9HnrTPCQJ16an793hpwP26v3oBCf/Gx7GWMcoawqpU60Yo4krGtgbEak4U7Nbp7VQURUY
V8KFbYyBgVQTVFLoEUMH9e3AwiSVS7TSRxeUNfG8bglP+rNgB6Q8y6fHi/UFML49yW5NUZfAPJy0
BJCb6FLa1S5xSjOxvndOStJ1aA/rviDjQXzWn0tXMfm15o6n4ecvtImxumVZ36FS98QoxXlbNviO
fpO4AnZGs0Pbc054yJxmjm/7q9DtnfY9dpPX6MlYSWZjgqDHZTrV/TFxMyEqdYcM9FJHhokPKazG
qoECN7lT8/bzW0SqfbUKHc/27OhvA7rgyRJ682cUMPTeVWrLxKkIzaUentU5QDeADAR6FZNn6hb/
XO6aj40ZHYt9+SawNJvvA+utXWoHpUk2F7Ng1/+QN8JWFPCezDNc7D603tqgnHkoglBHb8G8azgy
kR+q5Z1Th3VEzOGL9mMIhkK/RwEoG9ns7ZbhxBAUHo2MLaOgVfQwKr+8kRW8aSoTqCVgKFdGqOO1
8ISiakcY4Vfyxlvxm/7rTb52QgAs2pW3qlfVWthMNgjzndzKnX7NKhfdXxZkdHlIqPmBZg6qfJSn
jEbjS2FSJxc1G8kgdSRmUVrP60HP5LUFyieSNoogul4ll06Poaf9lIKJDSTuXEyk7iQ1TOaVJXvA
9YGJRtR4XqVfjCC7EbW1IseXWjoOrdlwgNrZfn/iJLTOC7YCCIKX8m7eiqtKcSJ0lWdya+VoKy92
apCTIncex8QlV8INYuaSQIelylOuVIlpi60oYoo9SF+jvjpZaZJAu7KrPh5bui95wKHwDD5fzEAY
Cee69dp+Ar2n2hfppf2sn4Rtau58t/wpvER7FuPL4mEJ9CtIOPA0CLZpKv0t4qiBmEKZXqZkGkWo
3PvFb7lvQ85sAy7/rTUNNCsCrZl2aDGv30dxGFUz8b1+rwpNLgLKZkS46NRc8rNW1LZcMaZiHirt
dtffR01FqEaj75dNeonz7ZCNO8NDQ9gEWhpovIrJrxxnggze1dEvLeklGADE6BlV9aWtZahgwABE
GBSWNE5Y4UOuT6ckvRS6sjGG7szVMuuBb8GGgewLqB4JjxF3AhdFmrY+6sDpRYc25AooIx+aCZ3B
8OClxTbQuTtDiBC00Dd/61dzg6qsTGl2qazOmiwB6azuqpYMiLqxwYP3WmUgO+6fxhB6QQIoyxIe
nUU0zNxazIRU5kQhyy41KVH/9G3DPNgfxWqtHVgJ5tIcgiMJfGIASOHAnP9+lfYpWlcWjZcDA2Ye
WPXV5Zm7+nFqHIY3aNlYFdnFq9v+2eAq8V0Zo+rIFW1rBvPKEmGm1ibioBXwyaIWAiICGCuZg4qa
wKrRUyEx6yKZseCBAc6rxxvl/q0EXEEARaBcA5gYMPrUFzaeNvogZ+kufGHO/Z9BFfZmOR1L/3cT
OT3gUMap79xIDM9cYJCyDayxvvhtALrnle9ZEmcbEnAOJXToGJv4C8Bzu4nxbahi4bUcWER0tN0u
DT/xZaJyVX/hynXpC07h/WjB0ldEEE7qTW8C5VJtx0pJUs0JudD1OuC2wG+QQnslN9P3wXhvuB1g
K3niqIodpOsk+GxBg6c/QwTKxn/dVvsIpIwdQOYgmwwGUwUnWF7YHCpaPB71indOdmplXxa1xXs/
Mz63g6fwd9qtqviHGr0bPakBh3+8JvdHGGjUZKwG+gjRBkDHVgTRJkL/f39JgUYgmdqpNt8mvCNH
4Wctg3WlE/VfXcvF9mO7X6c9Nd8ohkpoPEA5CHU96qyGQKoaQo8XYMDhzVMGd+AdaPLk2WnMT3x4
kDQSeq/G8BpyyJcDUhiCXTxLP1RX5DZgGj9HmhXpuhk9DaNZ+KYiPAc1kJyuvJV1R1EtYT+GmoUO
WW1Ex2d4EEEkCfq2oiLDPldXXWiW0ovxW2Tx2tzDbWemRQwLvM/g+9dpSHOm1L3mVVx/4eMAAF/I
HMvPhryuVVMD3/W0b0vovIaWdlRMdav4Z1Xbl9VAtGilP6Uz7wIL6yrNIZOe6usvolx7qOQhHgOv
v3QhNDCdvnTi8hAbZu03JlQKV6O6gxIOXkXyneqqwQcUwgNScQfIZaTNO9dZ6Nn29DWccT8G9qRZ
YgqmJRyrlgDgsreOE+gtqebYbH2rCQ6PHeU+0QC8XhBRMgQlM4g36PeOGIJPwyQO8UUhljfa44Cb
q30eiXIIGHeZOfzczBNlibo/xaIWyuBXiy+gZFfcQREEs5rAgNODZJ+x7e5uFrMp4Kq+VJxw0FEH
QenpXVJOU3yJCXhToC0ImEw1EtYd+e68mc1ABBmVZbxNgf3rNqjVehslQGDDDLQATGRIrSnqDetU
+6oZ0xOH0IFl0vAuq9E3GMEQi1QT6/xSVwO3znw5F82CD714JZRqrpj5qKGXJ2nkajUlLdj7Exns
4mYfjzEoxEse2CcObM2FmYm6MpqZN4JN3Au0HtivIqyjVdS2nf8UclwQkAEtOwKRJE88l4VkwDUV
ANzNVB0hy160E0RD+CDuEWUrz0BBKlD7j8QAzb7TTlkgQcmH676HeVRyJl+NGscIbPfHMOZcmjXb
0eYEbDnNPcHLVdanhpBcBqdxyyfJqleBE+KJLnr6kNfJANFMxg65yz8pi9Qqg06qmzofWT84+Hb7
UNqkvRm6CHCT05ic5Z2Y+OIFixgkVAtQz4f6H40WaccKKmwAROGe8dQ4fe0AXdyj9OfUnd1kr/K2
/hWglQF5MGOod3UsnNFoZUY3A9RhwCNDZRBCoXujEKbppbY1Im/2gam6jT1erMd25sOHcugbM9SM
Jlowpk2LfLo105dv508WoOy+TEaNgzr9aqMIEr+AAW+lbRuye5LsiJh/H9JImaEKGLzWTUVRz+Ow
SxIhzOjkKQAgw3w8XfcpNGWHOmEUkLrXRoplAQjGwZAcxyeyq0OWVttEhNXgtnQkgJ8CZNq4Dc5I
dyp6dhWvV6E0m7N6u3HF37VFulewQr79ejywu+xoHteVIcrdgmGKxr4I08t7SaYttB7t1GG42v1z
xGxj1h0ACBQlK/qZHTkSHnfGHDacZ0ybu4t35yOzLru0Y6+tiLcnQaSXJXrKYAVlB4E4whr9nYCW
vLwU5ifjMro0aTMnBNrUwI2EN4lbU4Ogx4kQ+tmFC8h7PpigpvDJev14ZRYOUFT30OLC48EUXMPU
ePLKkEpZanGTIt536TlzO8I3K7NmSEIsbtRrO/O8Xt3YWqS+HJfBzvvkEWNP/EuTkM1ZZ7WBL03a
tR3KpfNEGiQjhB3vKJq1qT7jQcVmuNpdHghPu7ZBebNcBm1bqE122XoKQV/XryFj3KIWd+a1CSqu
cZB66Yy2xnQlrrjiTc7mvkvmmfX0Os8GHZ+vzcyzebUq/NRISihgJJGrbpxqNzcpulp1kjNyDl5Y
xdOl0+DaGuXQgtAJxlhjUOhG+IhDYn4yFmae+AfDoUUxEhQL1UrFzb1xZSvaMH59MTpffT/dDVRk
so7CGn5e3cys8LZKnipz/Ws0JVK+Pd6WLAegS6JapfpdFZTZZTSRcELDmjNLCwp16JVh1gWXkoHr
cVF70xj4rsu7al4XJAKOGJHYCR3OYngbY2vSRZuoVweumuBsjTWcO4Szygwtn7VILB+gNmeeDGM/
xpi48jNyZPe3sXXRlKnY8Xlci1sRV6vXx0vFGhaV4/QRp/jFCINWePqd7jZr1pAY28agYkHuJbwn
8TDwLpvCWv4JvSX38RBYFqgw0Bcl1048Nqa+307OQHDZZu19xjlDH2YBZCOTWMHi92DnKFeVvcEV
nTBOzMUc4I8no4PuNp6NbcKJGrSi4Mmj2e1KMv7qnc1aNzn31+MpYwSDO8KeyofWXSVh01iBGRnH
nf3C86Qn8lsdkMxkdbkwzs/7mwI4nwWem0ObYyk6sMHFR2olm8JkTeFSgnM9hVQwgHi84PnFVzBQ
SGfpZuVMlrKutjIafE0zMRnzOBcD/nfMRhfP7ZL5tS7nlTRvn5h8l7aRpVq7l/iZtYken9lo6701
03hl1Dcj5g9lQ9mtXZ6sGQN5HEVlWsGX7/lBDCv4Hi6qzVk/BFvTNnXtn9zcrteHigZZUTc9B/qP
C/9JSO1MphngYsCKoo8jAijsbqeryyQhG1WkUb2JZ07dBAL4OTBDUybdR4b7qfbZ7kAsbbMudMt2
ZzQkKlVoAqCCaeyDjg/VCURvu7L2NUlDwgjXy4HojwVq/lKIfvN8nmQX4ZyfOLPZSHiojVaPnYE1
DGr6hFLpKx4cEMiqv6MU76ylw78zQKVSvDqEqJrAQDqRhGRE/xm9PLbwPyLOXxNFwzGMFu0y4wgT
+163VHN6sqXM3pjj34YMf2XTf+zMAeIqB/WCDnkV6AtRI+BfQQD8/JLYjL3JWHOauhC+pstlA6/q
TYNw6HAb7E2xZxj5Hynbn4FQkTMqOmWstAghxtFXKfDPHIlXtRU9JWvW9pxvZfdB848pKmgmfZVK
aYOrYbTbtrYCVTTSmd+mfWauWVWx5cD5xxQVOIWy6fpICfGqt3kPiXpmDOUe9UMtP7XjM6MOharF
2gj1RiOCaAkKEZ64J7zdEHA/EhvcudbpFP8OTW0gIrIrRkBYdnRIbn5xKgHJS0UEUemUImjnx0Qi
moMrEG0NsBHYw0zWWTd7wN2yXVmiwgK6PdukUPAmK/4ufbNCSScghrUd9oW5ZiTbS+XT+Tn2r1FR
EUJLsyQNO4xqRNuLb/a7D9NO1pvPVwlZisjw/dkJHgyMpixAbaxHORjGAjc4m6XzOBQtRtM/Q5Gp
CKGXRu4hQGSX1+9TQE7pz/Pj318MDyiFzpQLc/GdWpYSqGAwQCD9tQbLStfjS5QSZFaPjcw/cjdF
V0ao9SiKsiqEAXmOvsJBunpBz8e/s0CL3lccWpACHyl28D4RGa7VrPg1Iz1cXOg/o5CopZCK9r9Z
72l1ZHjs4ipf/TRViRLHEDjOGhMkvvYrZSMSec1YZ5YFCUt0ddIUTWHEaG5FKAO2rrHP3ulfDoEK
yx5QbsDIwEBy6MzesplX6OVYdTVJVDQGQ1o/BhpcFUQ7px+5eegtfleZjHEwfJV+7kqMClRMMqyM
x/cfxgcyzF//ajPQITcwuEZoRRgILtM6Xu1yp1o9trB4bF1NFLWnx7FJcwVPSJfE9V94EjLLzbOn
P9jPErWf9Rx6Xcl8T5JXr5UlbfVgjhmhxXoUZAyEDq2a3E9RXGJblE8+iS+ZybqZLyw24EaKIgG0
AcYZ+p0tLT1cKBopR9qCm3lujg7JfJZHLSVHN1bmYV7vPbSUG0UFK7UtOT8E4sYulGhwc3l9vO4L
e/zGzvz3KztCXmYDP48G9393nrCR5bsLCwIBM4BcgA/EFYVG0ceylAWA2OW4iTtiAjjrwNL2vW9i
Rc/NtQlqsqaxANsKBxPe99buX58Lp34pbN4SXs34V0AYu33h+LuxRk2ZUeTC1BRqfnn39g5fmjIY
NDpkP9Xvx0vDskNtyUrU+yapZzvAmA9EejK9J9bFi2WD2pU4QzhF7TBzo6muvCMqjRaw85ANvDwe
y8I5eD1ndKU5brRei2c7YE8meccsJixEF8i04QIMYCjgdLQsi9H0gsBNmKvwtbdroruhSyTki+zt
v1TIujFFTZnH9eBvE2FKQReshkuLE5ipCQ8IbEicvbEKPosr9GdkXyfc1QatI0gnRvPIoL3hcGZn
PsXOJ+N4WY42V0aoNEWU/aFtBxiJSeRuR3t6Qp3k5fjYB5hWqIxlVBpDC3hYKW15tY+3IMV/ET5f
xjeGIdaUUXnLUEwxYBL/R9p3NsduK9v+ocsq5vAVDMOJSqP4hSVtScw589e/Rd13LQriGdTZLpft
ctmeJoBGd6PDWl9b1r4KrnpnZy+fl9fyu9tq5vhQ/5eiE/iGdCk474W+6jV5fiJ7x/hUbMddevI2
Z88Kj+ERrRCH5+FhPOQW+iDsy7K/fptypT9kU0ENmF90MNNDdhqYyXtlhVZd2J1VBZvU9mW3rfZ5
iUn+ChTvFlrB68HqJJO3RxOYIcNzns5YIeEeYxryZ7rT7HInOUlO9IqkR/0o7mKZ+B9lTKqIpG+V
ROSRRE/9IfMt33NbPzWlY5IaRHD5V0/fcGBqe9RjMxhe0XUYVudm2nSZHSVbMAt2LLaYFecLVAsF
s5UYW0DPD5Ww7rIMAOCVgNevYBV7EBTdh5Z1eXtZIqi70Gl42kpGP+fERdNRD693rMGLtaj0xyqo
iyBxojqKDZ+d84o8lbZoSj7YJbGPN6zZ3jVr9UMUdRfaRs7Byo7V1Ha0LRLzCWiIlVkm5lx30bYp
wzeu2Pkf4uSf4YQRiMDMTyFuz3+gFUp4vnw2aybkx+9Tqg/WqqSZ0DF6nq5Q5dfQ0RWYGXEfcle8
vSxqJTD6IYmKKUp0Lki+AEnjRjSP9Ub/4/47AVQYIcdKFUnqNBeRePNNva4YC1ixgj8WQIUPg1Dn
WRbhqiA1vJXtKiGv7ifjuFl3Zf6GhXMq+1Ds2xiKHGLmzhlbe5RcVr7p8kGga/CnjCr2KjXXIKP9
POYb2SoePEYn/uWdAjj3TwmxNDW6x+MkvPucdOfeIGZumQwfy1oGdee9Uu0EvcQy9h0S9ff9f4tJ
NqNm/GMYf03gJEI9SCWPakpOjiGJrFvDjlmTGKwlUJcbKPqZP9Qj8j48ipKJVVodoxN25a3wYxXU
9fa4TAUL0Gw+wh36hB2R1XbOMCAqXXUa4rAWPQ8SuD2/O85VE0BpDc69b7FmXy/fDZWn7jePHP0E
ak/cv5LoxPTRiVC6TPu+UkX7sWPULS9ywEDHDc7kCW8rEV5eM8uD9rBjhFSX7bpKA81gBC2XMhmL
OW/BJ765bAkZO0WHuNBq2YgS/DjfWc5E0o/w2JTMZDJjp740Y2Gr8jSV6z6APexNyXmZ5ypVAvJ4
1nOXYUy+Su4LMZ6sBYqXQ8EU4jj8nfme2wyjuypBBLg2yAxA0fDrraPqwEfoJFwSDd1U+USUG9K/
M6Kgtd5qzGV8S6FMe51JU+gbIi6KqxGrTtwS2QenAbouALNz4qG43W14NBXnCCzik7pxG4zit4+f
9it/tWPlUVdNz/fX0CqCWDyUOB5rjkn+UlrP6K9m7OqqEi4kUE4gF/PcLz1IaBpigM593+O6Xtbz
Veu2EEG5AAxDFpmYQcQDjk2FlJzFC8laBBXtRSgOcXIDHU8qywmJfghAcmgyVIOhf1+VlIWGJ21Q
in0PIQoJOlLj5WFcORiLyc+Xt4slh3IGcqvXYdlgu0bzpZocA0MRpq3cXxbC2jEqzKsGPaxVnMp5
Xx0c9CZa1QOLeZmlu5QjCLt+iPMeIrQrp9tHLsuysdRqXuLiPGpVy42yxnlg0HiwGoAL313eI5YA
yhQY2YS6Nuz/ebp7Um5bh9lXvWqavy/G12N7sQI5GoI4nSHqgb2/NchTfBoIyprJzncur4RxFF+D
ggtB7SBhoJeDoOxPTq5w08N3xh0XGForUpe85tpWbQWcdmk3luDwpoK6UmZyKDSHmCntKlO7sSty
985qhmdoMs2ershBO89AzpsoWHVEHnc9Ud4v7x9rcfJPVQOHUjEWJWRE297WH/4IG20zffw7+/JV
AV8c0qC3RpFpENKbSg7YLUswn6vTvxRC3XvJK8cEsCu49+UDDNgp3WLoymS156xVlZdelJ42hINt
xm5WOGswNhiH7cxtcy6fYkd+28suS9xvtIX5FbC4SJQpiGqv67sayvfUHQTVDg/HM6YQr+MB08XD
TnowzWGwsE4htj8xPfqXmY3FB1CmImr9RAEQwKyER9/1d/KdTu40S/+bF9u3GLp0K3dDnwWzs37i
N/vxq0kFk4T522VtX8/TLMRQMcEUaFlReji9Aa4BfXDvr56ZbRh3aq16sTy0r0hsoe88jMWoBdgz
9JL2NuiLwOqLNCIKS4F4jEgB68HCjmGujAoUQi/UMByHDbSajOQReUUeLXRckJ/8yy2kLEbQR+Uo
h9hCvErT+3Dz+JqZ2jUro8awfXRNLuE5T0sF5avldyD+trP523+5EMpgaGDgS5UBIo6p6zjRe1Y7
ZvJ0WcjqMjDIOHfW6CDEpq6vHhrlUOU6IgWAOj/nAI9T3fBvDN9CBnVDizhUOQGk3mcwH8VAyxV2
8tO4ZyVRVx3Ft5RfHr1UFBSs1Tl2i56lG/Thz82+GmMt66/5hRjqgqrgTJ00xG9nazSDa4PIZkOE
XXNyL5/LV0cLlXHH0Pg/B0M7dTA36H6TQ05cbDRbe/HIjDpGTBsYmtvdqT7voy3n6LuaaHgRFQDq
xUQ14wm+nspdfAR1Z2fOd7UI58WK+d6/AYGQegcf8hgQbpNaLF+ybiIW4qibO4GMfeBGKMr+KGJa
1hK6uUlG3LCWtRr8LeRQYX6Y5n2a19r8tENlgjx1lr+bPj8vnyDjZtFUrlXaJSHoxdFAkZPyYS/2
BC8jDKNcljLbgEtqQkf6gxF4AG9GSw6AhkgPKpq/ivUXm0VZiDFLg7HsZkVUiWxhuPn9362Asg6h
2GC8qcfvD5gFOWXMtoY5+r2wQ7TjxhD4OMYKduirTOu8+Xa4NV8jm4WGsDbZsLyxdONV0IvIinFY
yNzXIJpXE0HXL+jemP3/DM2ivXc3qF7u+VhRSgD8bLYkuHloMSTMXQXXxbbiNx2qwhjb0c6XT4ph
YenZd07vs7kMPb/CjTvuqjsDL8BRA4uh0qvLA0jH3OuHJnN6HzF/VsG+GjA67UOzj7f3scW04qsW
YCFjVppFADT2Ycz1PWTs1U124HeCNZBRMl//7p2pY34XeJWAjqLRDwCbFYd+GOY4q4fkDMDlB5+E
wEyBa7p8OKvvzIUgyqapXdrWJR/NgjTwuWA6kNVmvK7gCxFUPAIm50lIpnhuQxIQnY52bX4MJny5
FRBWlnlV1xayKLs2NMMIji3sWxebJ6D64QURWgYrZlj3OAsxlHEzJn0qtAhiniZrOlyrV+3hJmek
+db3DaydmOKHNoOu4Key1d00gggim1sdOid/7V8Rl5q1NeZEdkSLqXJzBPLL4H2L02bdX+h2HYEu
jOOLHI/ZyRkfgFJIrifTexJshodb372FJCoWKo3M6CIFkngwYl8FlgxephQLYinDqm4v5FC3FZSr
LSeBOvJsgXqBg5/j/mL22dDQoQFCkHlEnS7yt73cxX1aQd2AJqmac9wxp5vZnexr/nopiNqyzPMG
NfWa+ZrGpxCMWV1lNYe3gZSW+AcaUR/Kc2P+zUEtpVIbyHONJ08jNlAi01OKd2UDkPkOOSGWoPmH
aN1bCqICxkHouGFM2/ysIS+YPMtmTW4zMtnVqdgxUoSr12opi4oWk4j3s6bEmTUOIrjRFuZb5dRW
AWvBIq1YM0dLWZR1VcYWSqji2LoZLdfFJEduAa7fumzDBZZ2zP9+cXW1WjJA7A0xBeqdM+owcE2v
wFQBle/MxgYLmQ8zyISFY4mljC16ZAWtMerZQE1OtQXIoSW/yjZ6lxs7OQ0vwoPK5rdfu9TLLaVM
b5ygfTkGniFuwpST9mG0NUdzjKf+NTB9FMo03eQVO71mjhoxFYeyx2EnDbpSYbkVdhkDbGaxB4QM
sGOLDROMYlbC/3whfjGrSGmiiok8K44jzsjpB0c4qGaq2GS8Y2nPWlDzvaNAyf6pPXhmR1yDMRko
afIu2j7501vt1tvfMLR0/p1La6KsSd8XfaMmkAMUorfUDpyPxs5OIkgkmDE1a0mUPTGmuPD7HKIm
R0b5HwRDKGxn6HpkBjfzL11aFGVNFE4W+aDEQWl6RJS+cyTpY5RvDBQfM96qEFdXltq5fbMx2tey
6P5r2GrkUUGYKn/hqAHcmFLKRAvDKqjHuelSQ01IgjO1C7z4M/Py6a1fu3/kfPn0hYlBxK1wfvsl
p37pHcHONn/RPwrYTCBkAUBdx4ATtRROl7km0YZZDzH7OJ8Zd1Re2SyGa3oIzlcNtXpeNES6Ku33
Blf7wLoFWgFvOhm041rZ3MfO++UdW7UXSznUehShHoNOgxzg6P8B1S4Jt6NjbAQUn32L1ev/dQC0
Ii6k0Qc0hLKceiKkgVSYvA37P9PDjoWWJK6ZpaUQylRMXl+VwWyWelDUpUT6g+ecpY4EWEbW1e1k
OXi9XvtbWbaHz8jdGVsWW8tqmWL5BZQRSUJeTDseXzB1OyXf3+9v/FNLeHLqtwi7dIbWr3m4pTTK
jnhTG2vcBGkKUAeQyGifmtfLWrJ2r5YSKPsxyOMAJYVT8V/RW9cFpra9LOA35zIsxFICFYNo4sg3
So01VJY4g9pMVoY+cI0o25Q8Hf2b0ExI71zLvjXc29brLjM/WVZy7Wm+/AQqPmk5zZh8ZQ65gDcQ
I5Erkk8WtjtLBhWMaGEKLpc51GoftoXd2K++xVrGal5zuQ4q9ijrrBl15UsdNLCfntFFbHtWh26T
e35vXF8+ONaCKPMRJLyQp7P5kK6cWcxgjih8XJYx/8YFo0Envxs/9+qxgZ9EIkh8lUkK6jZwK1iX
pTB0nK5li+MkhkMIKT3UDuDOU2CePi+LYC2EMguZPNQ6x2GzrBDBLonNyYzRMcXqK1y1B8CL1FVA
F8oK/SQ3okLI847Pzy+SM23ja9m9vIzf1NbzZf0WQD/CCw5kzmE5YR1ZYDvqTjUHgEBERMxJBa9+
yiqTSZe2atQXMimjHkmJH2kl/C4Q4c2cqBjWnqNb1epM3jHLq3+7RuqsxDIvqjjFJiJ+l00OpIji
feLEpnruzNfA5rb8PODabRhauO4hAa4virjDkkQre9cXEsA2BaQdNp0VPddmwJP8vIsGZv1jLfwE
tO0/kqgd5WQYo1GCJEWExjeOQo5Dbk2bVmSOE7FEUZvZa2o+CIE4eygnsuLjYQcIfXYVdv6ZX4Zi
sSLKEQLON9RTCWdWxy7SxeB+lon8R7DNfnJY+sGSRblEBLRZESVY0uR0QByPAkDKSWZ9dRNiRIWV
I1qtaS/PinKPda9kKZA0MeoDBCbJTg9GhURAs5lfJWgZ3OcuymVmsLl80Vft1WI/KY8IVNYh5ztI
lfRNXT8U7bXebJR7PrnnWyflyWVpq9VHpCvB9wXMZSTHqS2NC43n+FjCK+Vq66Ddrj8eBnSP/U3F
dimG2ktQ4BWANpTnt7lBWpkI++JFfWPd4/n2/NbF78VQexc3gI4XfCwGPX0lCZ7mYdCDR7QHoBte
3rf1U/qWRMUULSh/p9rAo4e3U/sjIYf5CcmKMZmHMwcCi6dVZRStX86HYyWHY2YBYR+eXrJZ12rd
d30vZl7sQkzgaTKnBhCTXVvOYLV2fV9u+bvhtSeRWVktI309f/WFU6LrZ1wCyoncwy1+mjJSnAp0
d2ZMjKkvm/1LigwOc4CQzjTTs3lcLErgAD4alNC4GUpPcJ5Cy3xoQzN2JTdwxDM687fdbWJ7LCVc
1YyFXMrCo/1BVosEcitUNF7K++vy+uay7q3u30ICZdgLdDFGSg0Je++I4UMTdp1xQqw1UDZ9BOk9
ymWQANaV1PVPgwd4uKu+dv3+b6Z3kSL/PifKAClZ5Y8lD1kY4LOEW55kmxvWtOFsXX7qAkC8MV4N
AHQF9Bh0Ml6W/SbJDbk9W1uWm50/79JP/zzuywf7Oxr++ZnUwSpTOwb+JLVAVKmd9Ng7JqvgytoI
6mB7QED3voyNeLu9ZvWlsn6bOkh1aFK11fDbqcnkCVt5X/3cGtp/+AbXAky7PUvWbW0Brsc++HC+
d+93D5fPYGVm4KckyocUsIRcN29RTLZALe7JHgbjTrWIY97dZpv9i4X7Zls2Rg9tRkfgVyH6kjJR
XsXDRGVcdVCAo/PS34f3up2aHwCfPlrd1W1gge59a7rhnW221p17Si3P9B1j+355B1jnSDkdsMZG
fFfhI5xb5EYZfvO3q/m5u5SraTt95EcdPz6QD9YtX0mrLX/815Sd3ipK7ftKe36Ibe6Uboq3hADD
Pbq3OBaD2uVrT4/b/ZsNB9/lT08lCt5UKeK84deMo2R9JXXdS672vLCELv/rX54lL7xrN7WS4c2m
CtjRrMbOywqo0rCNI8enYT/iqxVCCCMrvpKn/Kkj1PXO4rQJjVlHgH5/Wxu2mN/fJLeNg5SydXg/
tMANHfcH6aFRTO0YvAUDiQ4RC4r/q9fuP1/0X3N1veCNmj7fMZBZmxKJwbroHOa8dk0yt3Se7key
ce3Pf6kO1M0eNS3rOB4bOxCT8dMSS9Woiz0UaPyMVfw2HmVxSeKbfLOzrw4juTWtm5Yc3Ffz/a7d
mxtrxnbbSZFVsuJYxidQee7Ld/I33ZL+Q0++QvOFgoeBgHGOCevZv7QEFe7Ico7etiIisT/AAnBZ
Gnj2LoYR6pdpW4jrRWPS+gRqWZKtZZDtYHFvMXmPUTKtXY5sKwdjhSnJSyLLVnw6okFG2XL2NnD2
2xHpbdEn0tuVcnpqMrMV9+cBoP5gy03to0J4n5S2X9ju5Labp3pzpfO29Ee9EcDutpFB4bsxDhL4
9EigkxDkk8OuBLIF0Y/CLVBBiB+gLTXZtglprtVPAV2UW8Av4D+YrHA/gKkT1F+b5PD4KUUo0eun
yhLu6syKrjsPFB632aFo7PxBc3Kzwedyf/RXJfrqiIgy0m8kB9yitZkfPCSX0o0Avo/jdT7jpX0c
+W3jbArnwyAKJly3qJiZ/K60jz2EhrE7WFGLmjZSGsobb0/74aok3d2VbgcmEtlgIlPNwCqcSCdP
25KAYBreLDeHK/TwOlxDto6ygaYaqYnnqAnYYIm8HjYusCButU1o25qNjPTRuPH3RYYyxo2+S21A
e/ZOgdJ58qaAQW8iozUIpvGh7cWt3BAlRcX3dB1Y+UC2ajj3Tal7JOhuGtBr9p71rmA6Qydlbx5e
+bd0s3ss96fSUh6uxM7uyB3o0zIrBd6TtOWsG29X3GtnpSBAXAWkMUiDbA6h8QaAwwLqGuqp663R
5e1tu7vP39LaVDaBZeotcGNCRzvB99mNqRVA8sJcG1o0oCMgE4gnZO+8rV24dz2RgImbfb73lnjl
vt/3j4pESLCz1N241W8xcLFDt6xLqg+1J5udCuWfONIcTZIh8jBlmK4/oGg6axJxKlBXRB+aaWyj
E1pdroh9V5HELq3YAtJXB47jx87swOO0i63PVgAMlFuR7U46mtPNKXR4ItxW9wEs4BmBL86jO522
+J+dnhQDNg2Zqw7fYvkmdt9V308KOoNMHT+KneDMp8DK3qaNA3T2DP8o2PuUOOBaeuRQ7H/37Pyt
B8R1guZcmfRWWNhGYp/cRzP5kDdX+f7UmlgpACU0lIQ3IfhRzsXGuBaEfUJaK77/gJcbofkH7wDw
2OL4jkFRIhfknXdFUruT5uw2yS4nt8a7n5HgM7TGJ8+5165BWV3ct6i57nKMHFu4aDwZbOTrXSJt
dlsuszwfWhnYrZkdUfDemMr7a2wCPVa6nWF/dq1V1yZxE4Kt/YNMKLc9JQ0Zr+p9YlcxIe7WLgES
b1iYmfZt8ZpDvBNfFcQdTQ978wlbBTxS0uzv35/Sq4fUGW6CY/RqZYMzuTwuQ5scdyrWf9mgrblZ
BUBGsiZLMoZ8afOpBpHGcaHXoQdXcnD1B/ISnuaGjMRqUqJfqc4MA29scVS7EH3fDHfElE/FVMJU
S1UiGx3gI4XUFPbh+eyEwNNvHfQOXefbApGzdG3AjGZHxgvia22Uc/+xdirqUtMg4jMdssuRvJwN
oBiEpkeQpXQvb/JKcw8mEBabPDvEhdPgeV/DODjXnZ+s0D4C9UY6lU+4LArofDV2jet3du2nOOoN
5utNMqkVzrQoyOOz8BCRveDgArCWtRL/YVkSKFUkUVIBUfdzWWLRBWLn+f3ZIKj2Z7wDC4lR+vwa
ve4R8LDKayaC3EoFYF7bt0xqK+MyalNfh0wgu2cB3CC4XULns2esjRWi/Fza5eNn/Rb1yYOUi1FX
IEKxbhlf+Tv98zP2oQ468GuhAp3bHIAbJLaVkwLg/p7kDDEiSw4ViwOCLOfqBHKeHACqEXK84syX
49m34eqIC7Klh73Nk7sHl4WvuKJhi3yQ+lVrW1wcP65LIZ1fLyhmsV4vrEiYHoDS9KHoufn58rDv
HCewzhH6SDLyeEYA4twS194qm91DQExAxb+P5s63WO0yXz3glAX6sT4qGPdkMSmbAet7sqzj7fvV
lVuSZ4SWzj4nqY0mSseBnufmvtt7FqimgP/mE2tCcdT83NwMpn1n7+T9HVwDuQ6t20846+3uw/04
8fBQjxI5HgOEYK5uX9bor0nSC99N1+E4o6sB2IAoWHCuPOu4PVo9PvXFUdwazwYMq6WORA5gMMyv
WBV8xm36eg8sVCKaBJBRz2mf1LRZ6ib/LsX9uFD06JXaB9lQzo8J6+yT43be6Y1pv53REhMQhGmZ
1VrWe4i34IiczhytKZaJ0EoleDoxcrtfMP6XNvmnDfofqVATLhbxMeBdsLZPt4/+jbx92hytbWnq
1w2x3Y1J7vB3TM6grUC1bXyguXHvQLIJmAyXpa2My0hXoLhA09VuPnQgKrJc8bwWeq0G0v8SyFIx
MvHLlQSjnzYpSHPxYKkEhEH9k+5iTJSz6j3rlNes2VIWZY+VAH1lgLTrYDVDu3P/eORuPsvLV2Qt
uABV9feKKNs8emEaD6oChCfzGN++pWbyimkGJgL8CgQAvOFCDmWbjUSvc0OBHA0Pvt5+kd4qUIIA
7TYDcDmHlnywnBL7/rNyLi+QtYtUCrStI1R4k69d5G3/RYPvudN6wmqKY4nRf8YYQWSMU1hgeVbi
ESkl3p8USpHgBl5ezmqmB4M64BAVjS/yxZ+ClECLc2/QEaMdBQxvwR9ULocXZ4DmoAqviNTynd7V
tsnHjLBQMi77WkVhKZ2660IhFWNYztLb29t6m9nvl5e3mnJdCqCUfkzqSqglCBBSJx2tXLNFz3z2
t3xtGw+jZ+HoWMRF/0Em8CE1URPAdU6dHT95MTcauNRHA/BE6i5CYryxJ9vM7v9qdd+SKD/Kga21
lSKszvIeosmqLTxeY6t1eRwYx8hMrqaA5unc/78s2vkBQjyruhDLKiyF9OCcFIi35TGpBAh/DahE
hLG4Nae0lPezcvU/sTxMfipgccnz5CqnjSmiEBvs/LvLctaeYrAk3+uin2JeUHtyiOcQEim5K1tS
53B2sUcrhbhPQdCVHD3EFXjX7yLU0NVTqRGWUVkL7398A3UPArC/1MF8kCMSRrHduPpBsO/Kt3+9
qdR98CKOw3Q6DnEEhw7mR0Cl49zrp7+Y5J/N8/emUm4gEsXS6MavBc0odimAFnoH7Fob5orm2/Tb
hX5LohxBqOrymAxY0cwXagA6q8N4OqbnTvP0nIdYKUKeIsRAJVMyS0EpV5DxXGUYwnzPHUBXXqsW
t/EhUbi+rKDrruB7gZQ5ieQg4wIfT78UMyPxJgHm8mvI7CYSZxW7tI+ULWkl3QDlEk5MvumRUQXn
rwkAYRQYCwS2huk5IaBGNx2s5y45clv/qnZZ/XyMo6QbLxKuTkVPhm8dzfq+bYEZo/qFpQZ2533+
13sKfFtVFkUEXgC5pY4u7ceiyjkstnOeaoCEVZg8uGP51vX8x0IKdXJqa0yTDzbw84NBAjMeyADE
Vp/UlogmmcQOHf9ufGNKXTnIH2ujDlJOE0lOZahl53zFlHirCjZykc6OybyxcmALUb9mfWpPDP1y
vnsp4TEbq9iidcdqwZVYQig/IKhq6fsAecRwhbHPnjPkyRpXtssb43a6SfR5hBn9bmaBQCV3P6sb
0T3Aemdkd48cqWVhBNUCeo3FuwazyX4tCv2xAbTvyNMxy+YTxl7zulmaBnp53rzD9UexfyzQAUhU
dyTcdvRQRbuswms+QxHQDGrIGJ4B/TslO1N4P44i2IXRxCygdzi8Fszw8GvCnbIKP4RQjintox79
oBBS2unJOMlX7b2/U7flRrHDmxgzvbNPPGW2ux+QCv9s0ZD1md1wSKGTEYMWrOTF2vPix/dQ/suI
laGsNXxP5RxFm5fJZrC7U4MGLdZ4OXN/KReWclrRqjVEWd5ch4mBgXx/ZzyzXkwr5v3Hiij/xaPf
NlECiDm++btrHSrTE9W+rCurV2ihKpS5E9uSL+URMopr71DZsnODNzwjlGetgzJ2sSpEPt8g+3qM
rkP7D7ep8AT7G5/7Y7co44YxHjGqeKyktGs7t1sbTdhw7ymbUHktjF+KohvaE18YFDje/owZZaLt
pb2Pktspd5r74sha11rS44cwysgZE3qhZQ67J1wJTzwMyXGrofopWA6GDV/k3Xj0d4mlwp5Yz+3W
zF4VNzc582BLMoFp84hZbnfBUUIdCkUw23NOO7d7vqxFa+mvHx9JW5ygE4tk3hF9wLDCYyih+IVZ
Z6138s4N1E0rkVyywmoDzPhIuApHMilmMJkVbyap7UUoHqFxfizsKLCiaVcVN3W54Ys7xmfOn3HB
ZmmUzYqwk2rToOzAm95OefT3w1flc2PzewAEuxExsUFv7yUAUULngSF8/aqpmoQhCxnsNdRBDqo6
KnmAgxzN/vUJtcqeNCiYZ1a464+JjvreZBYTscOzfAXP1eLfxqTfG1ZhMb5klvRrG8ABqyLM0cVf
dJm8yEk+B2ZJBMZRh0S5gDI4qrcf5fZ6cEOMMj2j9nYXEXmPKTiLNdS0bqm/iz88ZakzqfKMoMOz
SmrN+APEo+kWl/SOscpVq7OQQhlpPy5UIfOx3bxZvXNm/IysPAsXd90TLIRQJjoBJJSoRxCCSOJB
xZBOiNdgf+bJzeUjW8mGLOtlNJp1y5d8JReQA8zhW/FOwgvQvSxh3agtlkJZ6alK9bSZ1RNOrbv6
eE7c3GLE1sztomy0pGC0t8ogYwRzhuAW+25Xv5vRhsWDsHrVvtfy9R2LlLgfdKiZfWkYtHvYcreq
0yFHdXnH1o2eokmyigSZjBwtrtlCSijzYdYWcY+0KbBFvAcjNqU9ekUQVutO4prP83tMRHeWjCyB
8lBt3hkqvh5kLr6A0nE5SPxmkoL+/DRkBFCC/q7bG+hcmMfqIsLvs6N+Ag4lmJezDfM1sWpMF8Ip
3R8NSeaGGMKHFkPa24x4B5t0ts0w2mttreh/1lRFBvGpYcjUIsMoaKVAqXrcMRmdCl2IMwWYhjlk
4GI7hq68K4kyWc1jG5H6DBbBfVHCbPERwCLVx/gOf3ULVtfYqnVZfBS1eJR6tElNOsRN4GxKYlM+
3wPwv368rGLrF0YXJAy4CLIkfHHRLFQMXDNZmIBA5DzuJlSSns17ZqFh3r5fzkCHG+B5FdMGNNW5
B1KEIfCGeSXZk/qyl2+SK3U73A4pycDV+3LDaqRdyycoGImXcJzIA8kadaA55tcVzkv6c/gZP8y8
s3NmOTQPzuOfE6o4PtGOws2Evpu7YFNEhLGls4+n1wtQUdQhdFFVJImKeMecz4eIT3uY0hHzFdU5
toFZeeBB3jps7liTysJsBC6Jo8xqmAtFqMdlD7gZcEOUJ2cAhL+H7iuT2ygsOLSvWt8vaSJ4FRRN
w3WhxwX8rOrLTIe+VNbgROcmNX3NVCEtcW3z8Pw8IRjMn3lMRL8ztnVNjcSFZCq6abzJy8Ou7v8X
Fh8dVYc5swEK3HfREUmJDB/DJa7dwKVAKuT0R8nLuRZLDTxylA4JURLCOw3LyK9ZOaiqIWnarDUq
pS5dPE1JBQBxdLPpRAIdYJmZtXyTFuAw5l8H3VE5w8SonWkA6yk/eclzyrmj9hoFIumKXS6gvTHr
OqLmrhBgmJ9nfODKrJ+CFuvvD6QUrBbzUCrm24SrpDnxzif+8cMDZMazb/JuUrJhP9eCkaVEyour
UdZJuo+dl4B8V+6SGla5luYuRM57UtXtaToaKAgFZocYH3gUTFTbtfhVhE3kDVU1FFWjPiAIOUkb
I3yAArzKw62BoYLBPHHMPO66pfoWpM953oX51ftqnJpZxx6A7I6hqKeYyLbhZHcCsMt3MjTBOr2K
+8JsMxLtjOvmyMpxrVXhcLz/rJV+NUid2MV8iU/Yz3jm3bb/KI/FY7afNun2FVOkoLd37ch2o413
YiWS1sIoUVZVTFcKmvgLEHdKPDFJihFP6nLOmqHXj9nPsjIcDvVdyKDOUtYT9ODlkHFsrrPYnHMp
OwQum3vkJQlaaDiLlfJYvzHfIulylSeURT/2U49CtLJP8Qqbm2XtawC2B0fOErblG7Pwt+p0FiIp
6+h5cTF6EZysNdOa1Tdg7AbmGEaNoTVsMJhVaYoEklRFlQ1Zp/aUn5IOLCUyXPrWCXkzswB/pF71
h+Yl2o2M5M7qaw658v8TRrscr02Bn1JD2IOGXAtqwwLom0QAEyWsSHA1a74URe2iGiYxsGrF/uxt
mncASAUnUdvWuYM/SjtAOW64VzYT0o59y6i0rJU4Qc/7vUrK2xhtMqp9CtGNo5GrSLSbhqBPIrlp
0JOBrnBWkLQa+S0Fzme8MD1pVqYx+ErmHFMkIMUIAweYNcKhdfFvPLeizoR+kq6JKhXKxniTjamh
zAEgoEzQTjW/IQbzj2i5gc3uK1h9aCJQkEW8wfCnQmmnFKscBwQaWJVBQiOw3nLdRPgqnq7UFBzI
pGtzo7GKVAMIaeeVYUmapBIqECHqrWp7rdh8Spwm/Lm8DV8MyL9CJ4zc6jMNsyF+tfwtNpyfYi4X
+ng4J3iyyabQPo3iLpHI0PbECHJHB6ZM8sIDgFXAZI1+G01/2piU0k2CElHypLwaCXralfItEW7E
jIjjI1J3dl0dc+kzFUszQVum+BYXJObRGE7izFSrzVhvAdWgqYyK/KrhBkAOomxgQhn0WnIl4rVe
ioYzKAcj9aO7y3LAkr7Gd9L95V1bP8xvSXRhrtQEvxJFSIq2BuC/MYnhv43DLgYXFk7vJQw2EbJa
/ZYhdqXAqqA6938L/BpHXBzWHK35ACcbMOoooMcOdTrJ3DXMTP9apDPTJqNVwwA/q0bFVtEgTTyH
GvI5BJHpdKqvWbmwr9cGrXVLCdRl0CUujzE+M5y1HP2qnEfU0R7tKsM4SLibDoNBum12Vcim8iQG
2yT4f6R9WXPcOM/1L1IVtZHUraReLSdxHGcS36iyOJKojdqXX/8eZeqbdNP6WhU/FzM3nmkIJAiC
wMHBIZToa8FwlsTtxiPo2RrPMH1iYrTocE+QTxOw1tmb5IlHB+2MIZA9fZdxv5NHZ/MptRYbwyea
xLR0IKps1SmaA0lziYu09vNf973m0ZPEvJWdJ1/6++2wb82qL8UpLnEurKHWrGHxwcvL7f5TAUow
tvtnqYvw3a9HJE03kxxrFnApU8nxTKE9NkCqD5ibjjzie7CBlZjvQk85yDuC1C99xH5He4uSZzXw
vBSrPJEL2eXJPENsCS5r8EG8B4UCXJFrDYjuLX+JjMhxAKCxuivval/clztUOTfSS4vtqba5JF2A
AaMM48MV2yztLsx5QxZ4wffMZ7vZ+5YdtvotVnNYF1LUXF0h8IiLKnPAUa7c7+81FyUUD6P6Wrd9
TANxx6qtFovVAPBSpBJHlK2RgSIKik0762X+5O+f/T6w/OhDf7CO6Y94t+Gt1uKxS3nKORm1ggDJ
CXn3EvOVEum9zO9SDPpGQWZ5n/3cSn+uvcVtMDnpOg4mwWDu69ih1VKZTz1CMqsPMz9meKGOSZt5
2gz6xtu6rdvIH1HK83iYQmLoHUfK+2B+aWy3Yj5Dk5YGMl9jP1sb0lavGxsUhxYDeTQHhOZas6il
SRhb0MxHaNt8LM+hj+vlI70Tm/jA9UX8I0rx/V0/afogEBZNmLY5nqbKDX2gC1BCK3Z+86idABrY
MpS1h+2lesqJI9U8JgA4Lw9b4nXvot2Pzp8BnSg2y/fWYgOvD/d/6qmPoLoaGlMzISrLYRetp1ux
n1FPBw5rPqedL4tsl/0c8/uyTLyu89vdMH8RfHYHcJAVZ9O6dwZ/CJEhPCfNyY4imLJXd/uw85zn
zvmUlXch3fXZjzb+0sh7J/45g8CkOE7pPgbHWLQr8fKqQzsYrPekeSfGY5htjDNdfVsCacl05tiW
CZaga2tB4pjzDCzMn77cPRPqlUB07rwHx/8l0T7nb4KUfkcd6ppeylO2LyRm2fRmOIKbewIK0gH3
yGeU9vzTx9NH5n3Y/fOVTa5ne9nx3B7AT4LRydF79CL8vH0mfwddr74D2A/A7AzTZpbyHWWKcbcF
H6ZPX74gZzGDQBW8fvMRUIURbSNu4O6+CaAJ+sOj9OThFyaLoxZ593D7KxTPAIZ3TC1Y0vXEQqjv
2Mri52E2EhHFWWCV74zZc3JX+yY0bLs3fbKYe1uYclhfCVM0nkg9S65HWSAF+WhWjsvb6t4Ymg3/
s6ETVfJBec1LbpXQKQTp5OzOxJ0GN8y8CFjX0hui/00rqtxTVa+FOVrlsoCihTlr7qX+QNmGsSh+
4PfKgdSNc4rxdBZRQ9yOMjLEc54FRGCifPPsdJFbTi+3t2dLiLI9bQNO+Qz8z0FuIhM6fNRzMONZ
qTdtpcvWNoiiW8HB/cBsHPrrE19BHdlnZRYMObjr09PIXbt/GXT7zDR7L3MgTvN8wyjWlMMLwSZL
ng7/Wv5+8RbRa8rGuZdZwARxs/AkebRPeuE3dMOfrRn5pSDl8jPpYAxG3mQBbzIvJecy+UmouaHN
qhAKbwl0OqI+rsQqjj2DhmgRYsQxFuulNQ5OtDFiYEWGDlyaYS/oNJPYil0Ddd8J0pA8YJbYF9V5
cjB8CMiQvzY63dAtAOHIUtpSy7P1kGST7Vh5UAzaAwVXIW+4x+yvYjzcFmRdX6XLEYIgZtMFB2tZ
jmJ0Yc+7AmywedB246JOxeSGhGVnLxz6vxIMncChWtxw1BodD9taDFLPA715SAfpIfvuZcl95UT7
xn6+rc3a5uBd/a+sZemuzXmcaNoLgs0pMmc3iF1rYej78PemvKQmLGvJtCBMXT7i4sxEWaz3oTTz
oKGsDQqzzPZa3ZPAavq/JHf6d+1wC6FOQDHKWi0fi4IUmtFnRZCQQ9vmfueckrresLW1RcM72Fhu
OhMsXcqiJdzmZluIIoiSB8xhcHWkB5luen+/NTYa07FyFIzi6tAhK8ppjIutCHytOX7X09Mbfh7v
FMBGdWJRNZPbO0PdybIsgjre6fY9Kw5W+YaTD7f8nwjl5LdMWFMqoMEw76z5S5GdeffrDVrg6UOp
aaNyrkJlUqERIlGlCxI5eyCIdHOLYnrChgGvOH0dyXVQHpkgdadciW5EoSPA6SGl0ak/JCh9GQ+2
/RXzc96y5yB0xwgDVDtRob8+KTSrJWsivQimcudYy6b0xbfbK7bmXew/ItSnAOubyspSowic6KNt
PTUmkugJdQkBPlmTu9vC1hZuWTVUtGBmwIhc65OBPEhntVMEY1KcBIg4cB71svDjud/flrTmli8l
KT6m0zU5Rx0tAt39ugUB3tJi+fuF/0ooCHZiyYrATnaadd/Euya/H+uNtVrZGGAkYMKMLpVuU5Ei
dHAxxFLLgjl7nsbupBfHmSTHPFtAlBtlgBWNrmQt33KhEZko12INsoazNSV+C3KcINO3rHlNCu4W
G2AeHTVrW9GoNhqt1PoiD0hbgNtHizB+p/oxI4/tM5Jv0ar9tlzl3lyusv/EKUrNk4hTkAlD3HMT
N27TfGzyem9FmGdUH6zqkz3+tGvXxFNM7HkUWAeK9tohcMzIgxvxyXTUtlZg5aa4+iTFceRRKXLh
YAXi/q4rgnl4H9PjXxs+RIC/BNB/3OOOEsIBr2BimJfMA2PCZKXoo14/3RawrsMfAUrAU2a9PcSL
AMbQyGCeivrD4Oz/NxmKn6hYbU6NVudBxx/76Gng4CHJN5y4Cs5ZYoOrlVoUvTB6vbN6AdpKrJRN
O8/Qk/aRNw73qT1G3lhW7XtTRuUeCPZ4N2dp6Roa0feJ1aandnQy0DgbNmr/ffrxtvIrruvqu5Rj
EoHQg6XLAnP+WEw/tf77//b7yrlISDtZYYTFpdm8c+zmrovTjRLUqo0AVYZRJNRE+KPs36w1Ke0I
IqIRtOePmn5+eIMKqMkg6sZbhdjK1vVjyiItxe/rYDw34vPYbJ3U1U24kKBsQm8mBQunpAjKrvZy
1NHZ1sNhdY0QzZN/n0FqFGzieoqoNueBJr4l45kUz02x4QuWj3zlAS9EKEpM5kiLqYaIDki6HMUK
Y08eJ95sxL9ra4UykIlCAaEO8IrXB8kiTS+qDg+UpPtG2ufGHDcErC3VhYDfPBUXJ3UKu0EnCR5z
jiUP2tDd55Tciyj9dduqtsQo8WlD00gMFGKsHhz3wCHG2iYRwsZaWcb1Wk2DZWrjbECVqHN1/sng
P28rsbbnpm5SC68EDNtUI+Ci72zSL2tVDMYRcxhfqPZOsmh223mrlWBVFwMveOQlKE668u7RC4vF
MabXBI38PPbULe0tuoPlPlQNGGMN/pOg7IgmbWdkMZQJ5+pXwVK0RAynsmo+MevLmN7PLN6SuKWT
sj8YVjx3zFh0ylIX5PVZt3XtLN/8WifTAdIAkzG4oxzKLhc6Cl4sD/oo6/1aj18co/bnFCA6k3op
0tSEow3G/lKS6URCvr9tH2thpWkwkwPqYGLO+bIAF2epmOQ8jRbPEVZKpC/j+Fz11pkVn+fBOtRk
3ALKry/oH3mKq45mifcTxS3b208CpeF+4ypYtfcLfZTlbIxuLqmG398bv6wvXzd+fdUlYMGRrQBd
BODK16tld61lImOVB6O2t3niTuQuK7dsbnVLluwESukEyXLF5swID66SRUWQT+J7lSG1HI072hwz
w/K3Mr6/WSZemR8G8ILUAxJfIV30tIuGNkFGZMh6AArQ/uf2UzQfZz71ng5otkdSmz7yFrgmcOuL
vWiqBynE155rrVfL2fL6KIp83RHOMQ1bdNpWEiNqnG7cesOtLj6AF8h60SWQVxY/p7LuqjbFO6u3
3eZFkA4r8/dpD5C1Ad1ooViCq1KJyMestFidF4gkotDTZ8crIWsUn28fulUjvZCi3JBO25m5YUGK
jPx2OCTWu7l+4j9uC1lfrn9VAYm0moYSADBPGV7TAWvPrbNPhsdWbIi4pcciQvHHhIohjZbVSovd
KM+FdS+lt5mS2FJEPQ/Ig2pRDClV932ST339rqsP/9taKY8YWwBEPAyLIsYDajmOfp7n3RtEYPCf
CSZog4Hx4dp1WEVZCh7XRRBygHMnG7SqGuYAIf/l3xa0uikOHnscO2Ih5r4WFIVmhbkHeE4OVr3X
x8QtYt2lFOyh40ZYv5ip6juWpzs6NyjSXmpsQURrEL2F72Cg69VAZD/4PPypTT8GLo5x/m1i4YZu
a7fHpUTleGYcUF3Z5EXAieamzuewKt3bq7elk3I0eS+HOtcgQRvGY91/qCRxW3quOBhS68Bqd6n4
elvimrv/7W1shrkuyExf7xdmU5EidXBOR4L3izuVHiBaxbMVfrotZ80ukGRHhh1klPorAzSHcmay
ggHO/CjF++yum/dpuiFkbYOQlTYcgjlf6N1Rlm/Kc5F3swXPxl5MAfymeMMxQgIMPUq45CnmaF6v
VtPpVDCJy3GMi/wry6raoyyPA9GDxvj2gqmw298ZAWoTc+mGssBToyjDzDbEfBx4BXt2Yrd8aEDi
GYlkR4xAEnQlgcK2tl9ygEFvC15zeAtTA3WQe0ej1/L3i5isEiWTTTzgXFXTTorYc5IXNEL/tRAT
BXlU3gyCYF2N1lkshtGIxzRgdkYfaxmB4nY0x7Ns+3Arxl2J2xHgAua75K0tlHiuFZJJ3Q0Rn9Kg
TMJ9FSfvzXjc90brz9VhZOewHBFqEIDvzSdjBLmy0z/QvgOnLXcA+E114OSdBKVoTG+5vQgrZ+Lq
wxZzvlhpOvQtSZ0+DTCi/mvsYIIp2gVpIo6CbfhKFTS+GNOVKGVT26lgsd11aZB2074gbhWfk/mp
445rmu918xjKgI7o3U92Yypw/ST+W1QFppmiU8bA6blWtbR7koXIlOCubtwp+mUAelzaJyP7clvO
ivFCzz9ylAOKeuHkNNROA7DnhO/bIc9PdjJ9avqi3Tifq5LQbqsbBCeUqWNuuT1r9iDnNDCjwrft
5zjGBMGR7m/rozYa/LtxF2IUL9BXNMykYaQBRRsicxIP2QZ3LsL9rPff096CD6h2aVvf9xF6e8th
z5z2YBmjdHMy73jUeWTY6iRcVR1HF27cWUpPyjfVlM4VG3CgEtBYGSe0lLhio/S7ci3B5VEKTD46
IxG3XNvLnGnlhEo3zizhybEuaj+zxydaVw856T6PfNxCD64KxKA6BEdLpc5RzuIYDlWMl1saRNo/
cWn7ZHbLr106+On46/aWrrqjC0nKUTRtxMa0gqRp+mTonzQB4Dh6KShHsn/aoxnhtri1zLKJxB7+
QVKEweteL6VIHRFXQkuDQZDZI1UudrYcALEzSeS1I6gbxypFRxc6b920ywDy7qPqaMlCxyTR9Hso
29GPa7Qc3v6uVSNC5ytKo6ZlY3rV9WfxwRh7m+CzmuKMOrNbzbVrdI//mxB1raeui3VQHQYgR0Ej
YjDoG5fligu3EOgyFMYQE9i2Eu4WAPVJoTOgg6fa8a3poVsyaZF8AFvetLutzLIiSsALWRY8OQAe
CLAVH1qEED9K+Da7MJ/ruj3GXfPhtggVp7i4G8hgCAYRReHSVN4Joux7wgosWDtXp4KD07PHo5u6
ToN2OANYn+pziU7pvHQrmn01BuFF4+gzFCAGNJ4WE8pW7dY3rVjK1TcZ15ZSGTYKdZyngZOaX+Zk
PmYATVh54gGHPoyPOcYuF3rv9+27um5gzOSbMMpnC74ytZKNYGLFTVx9i+KX2lBg3nMEHBzghNaJ
9hlzSTrJM+skWrBmDbMB8nk43N6V1Y1H9wyyMXC4r+haiiSWQztgUypbNJ6MG7w+dDKfbktZXeYL
KcoykwjjZ7rIQUgWHxzxnoLpNPx8W8RaTGsBmvKfJsryDUkDTlyJ5csxmQsxlYHYi9S/ePQrBDNZ
PWFoLDOPWrVFybV6TA2+tIaA9AYEA9cmlHZGXXRAYQUWOdD8HPff2ifSbPiCNU8L7f5IUQ6PLONq
nq05C7TERueWMba7LMOMlVq2euYnvT7fMerU/4hB1CfZjdo7ZLfQaqNVkadroB7iosFMVBGGG+Hf
ugH9+TBla7OmjIuhFFnQ7PoP2sZ9tm43f35c2VPaNVMIJwjYJincxq78aXxJ2MNty9naQOW2GKzU
bGoOw+kiNKxGzO2mX00Man2+1fCyJWlR9yIoJ0XrLFyWQDqM+8i4n4/9fKzNv3/+XFnK8hEXQtom
HToRwR7H7lwt9JHhiYO64/aarfoqPOBMzPRDaVLtvU27CrnuBbPbCkz36fZwl6L57oCBpfx2W9Kq
ff2RpMK1jLydsfm4y3U2nOfuo0joW5zThQTlaNEIefvJgHPyC/JO7z+U9Om2CkvM+upyvRCgHJEo
74VoBRZLH2x413NexW7OPgjyaQlMIjSDTlsviPX9sQlltgFUqJppp6UeingCvnXu8+YwN2H00OTh
IQJYP4ezQhTfiQ0tV8+qjVcwSiC/exav7a6EG4RB4DVRWV9T566hwrW1LQSi2jL2bxBxIUVZy5ny
acxHiptkiANr9ErhDyBwGS20mxqgB5qtxsXk38cOAejAa4zFSBt0oeLN0iOP6+SgtrDB3mxjOlI9
+iYgWa3tF12IXEv3yPRiK+u2EpGj1LGU7zEphdpqcrQf+wUNhO9NZOzSZvKH+IdpnjPypb2nbOsp
vLoHdGk3NpGLAAXb9R4krYAq3RKP8/qe4Fo6tJ3hVdbgbOCotgQtf79wMj0bSZuXiJsAHfBs9sBa
vDSiyb19cFbP/oU6iivDbHStzyjUSckRUPpuI/ZRm/r/NSZsCh7aHKVXQ9FCa4A8EzW0qIqzDsYT
vTilRee1OUown4qE+lG7e2Sb3WTrajkWYCMA0aLedr14ZZbLBnFnGhjGg8Wie9Y7G5fyqtUhyfb/
JCipioyxEb0IuAM6p3RHk7lGQp6T6E6TFUaGxsFobQXSi5N85eMuJCrv9qkIEzktrSlZrB0ljdEZ
1+9YVyCyB+Fv7BzpcBI68ec4+6eptjLAt1fUflURwjwVkjLoW9PiZLT5saw2btXVq/s//Wy1IFSL
BqHfCP2qwXS7OfrAE+t9a1HXElu9CVvKKC6ui7vRSZelTFCvud96tm79uhJSdVoL4owRS1Wdx8Px
9nldP1Bop6CY5oGmCnWV+kQrhznFp5dV59WiP/Ql9eNpPhWz/iUpzcFDIfWxdrrHuI6DuNtC9a8q
5wCag3YshzI1r80HjWn60hjTYPCBa6Bd5WNR1eP322quAS6RvwY6Aox4yNH97ry98H6OEedmJoos
QObTm1EtH3Pdn228GiPDK+UdIHTtBGLJMxoPk3bepT3Zh1l8bFOMEmXRftKrUy30/VglwRDTN0RM
l1+neE3ZFrlIRnwdaTI3argr08+3F2AtoMFrnjiWo3MEeooDMztmprJCL1CenaK62Ymk2vfDhGZt
RAd4z/fHwhL+bZlrEc2lTMWlpZQXpcaWNY++id7yorTzcvkpxHKmza/bslbtWF86wgnqmrgmlEPS
W1ktmI7wiZmfcwAI88o5ldH4NQXX01zQewusNnW0G2P7OUkxOXBD/Pr6/hG/mPmFffFSxDmPpixA
HxmoPNIDSvdoV6sOfUXu2/ZjpMX+SAHcre8qVIiKIcasEiQP/C72467eA8S5dxB7zeHsWcXWIIy1
u19fGjM4X4ClahFHj9shzm0sjj7ty+Rd/iltNqKL1be8bkIItONAiqhv6pSadengtVti5mMWgmOr
+ajbpZdH5GPDda8Owx1v0IDdby39srPqPXYpWXkM6Bk43XuDwPkOs5s0GKMzvCval1G+VOOLaYLC
pQDCrLrTEFbqobVrtpzL/0f3ZRYRQx8Eat3Xm0+MiJc9q3F3E+mx6qHkoFnRiNdPszcbwKw7+Tlq
7+qk3/DeqycMGSAL5L3Aual58Ta3h76PBix6aAS5jb6YxvS6snYZbw5VstXEuGpGF+IUIweAI6uT
eETEEH1Mh+qgxQ/OZl/Jlk5KhDcnNdVLq0PaxKzdqnIwEOCbnp9zR570NN/dPrerwtCDhZZC5J0t
qngNXg4VuuRgO0bteMmwq20M3yDPEom8Odm4g7ZkKatX9hUv6iUflBQ70eA913yfNLfD64da1dYw
9bXgR79QTFlFmY64UxZhcY7ZMOzMdWMPuK+X4SzcXsJ1z3shSrm8zKQnEdEMJBbo97wu71LjLrS1
XSRKb2LfEbr2Alj5KpCy34jwVu3R4mCtBsrTeNXgOmu0pk4Bp6vz2GuHX3VSeYPcELLq2fE6M1CW
BsGDiokEDVyptx1WUo/5gUfnRuR+2sOZh/u2/4RUotvqW9yJq7t3IXMxpYvbhAFdRtMBMp36lBvP
hYUuazM/cJt9vL15q4KwdMAUMNTCf3u2C0FoeuNF31a4orNxOpQT+CBboDD9hkSO23blxptjdcM4
cqL/lp+5ctziNqqrdsA9lEW5qxtPfVK7dCs5+DuWe3UhALyKmNZCTPuqM42IvmwlvOIA5quWN90p
ZCjH2lL38o67Dc2eakFKd/4hmuwgAafo9X2cp8cZnOIT3yptra6xg6vRQOs31ljZzLolWdc5sNK6
e1c1GL/Ky861rHlnCgQBt/dzbYENHf01YEYEPZTa8h3ZYdmFhoUoCIhTiOr7p37zxC+OSl3fSyGK
QpZB2iYZbXT/x9Kvi3MOTNdtNdZc5aUEJXIEvclgtDHFDpaZZ3Q/9f5AY9NtUec10Px3W9ja/hiY
RwJSCtQdAaW9PmyTg5d2hPAN4JPSqwpxluN0auJ3ZofTcFvU6vYsQ3EXPjsTr5FrURIQEgQBPAtS
Krwa9CkN0FVbLYBbQpRDlrN2ymOKxbOdp6Jv3CTZZXn2P2qiXGZWqA8sMRl4Lfoz13SPFvdavXVy
Vg3tYrmUnSlSNAPJGstFBo8fqy261sWKXtkxgO5gGLQQt9mKDnMnhO3M6CzsafUJ6VWvnlPMcLLO
o0EOTSl/RLGzsWyrhg2sNrHx1CZA2F0bADhTtdTEWzRIkiqwKaA15imRqBwC6Ywk521rW10+Cvgw
aGbQ6WQrhiBNK6yaNkVzPmlxF4N578CFKb3bUlbNjQIpgWZQ9DupNt3nZhFrY46+wRTkusKoLM+i
nY77eCgOt0WtnlTK0Z+Oywrd2krGatSEY9cELYrOYO2l9bmOo/0IrkMm3t0WtK7Tf4LUOn4LxCoL
S7S5yc5x637cOcNT2tGN/dlQR2WbqNoGb6a5ygObhe6Q8+81/xBnmFpEo91tfdYsATRpgNghvwhG
TeWBkk5l1lg0ygOw8gNxRa0u/YHOhC2DW7NuDBABFQT4WtAao4jJetPqOorbZ5j6u0nDFSsj+RJ3
+kerRmU8Dx9vq7W2gPDYprO0ugNlrBg4H/Ioqgi6aKu69gr+IgxkT7RmXwwPtwWt1nIvJSmuApSf
0TyQJg8EiHY8Y4qBmHYa+6GxON1HhKeenOr2ZEVpjz4M56WjYeR1JtHAveMEQquo1+Rm9IbzcPlV
ijfREpH044jzIM3PjP/UCag+z3G+xYS3dhq4jWACETZaMyxFeWMo8hjgRPiRVO5oe15uk6Hd4hRa
88agqABOFzivBcN97Rppxrk5GmgINMomAvmqH3XlM2urc2NoO9EhJ53oG8dizX5wJtAtYHNAoVSy
ztqO2gJ1xByNlLPpxv0HDDwGv2pGwK265Sa3ZBnX6gFQ1nLMM16iDPalSHZdJvwICYEwnP3bxrp2
CpHmQ1c+ADsGGLKvJSFyKsENaueBaYyBsPUAEzR3etMeMAN4L7N0AwOz9j4ClowDu4uJI0ABXouz
9NqSeQsQNLh6c5d29F0zfjE75y6270xAgPB/nZ2RbnholXDvdyEIODaDov+JgXZEOfuYMEJHLUab
rR0jqxS3D2HSvC+QJMi5eTBtZGznwstLcU+q4Y7OoZsMzRvcjwNGVzAGowXIUd2dMYlkMhj6cJ2p
Og8V+ycXpifT/siqrerQqvUgcw3QMrYWkK/rRYZNpqVuo7uhmCdwrw7vGMCB/WTf883Ye0UUqjHg
C8JkD4pnvbKfRVtQx8GIwIAXn3mNSVjd6FcFA17g6badrgrCSxCBECi+0MV2rZOhS7uoGHaw0u9t
bn8o8l/FdNYo+/tHp03QaQAiEV1HnkO5leyGp0iLoYvC0sgpAqwxJ83hLS3TV1KUU1dZY9zwHp0T
EmkrwR4SO3JF+YaQ9UqK4kXMuY1lvHQB9L32vgcmk2qPhobBPkgpt4kfsq0xE2vnDBIXWh/n9x2g
7BJI9gc7kUsHD6MYp0Mzz0kfqP15orjR5a6sS7eMerci/0SgmUODzum2laxcPmDjRtiysMzgvCuW
XzqF1g8lwTm3Rlfmv/DQeAv5z5UM5bnZUFRGjA4ycku6KI2b3HLt/NsbFEGNH9NyGO4cFd+RZBlq
kRJkNsL4xQqkIuoH4WyBLdbOlEFAYMJRGkeJXFmtbq5IX5VZGcyJVR66iUo3zM0XSar3YNSqN26a
VWngcQXLASqIEHd9gjthjbaTcvSGRPOpNjAhp6oeMRPJL4qtaYMrlxpG8yyuFugYdIgqhk9skDYm
VlQGsfNUh+6cnwS9Y8PR3OKOXrM3A/cYsjVIITlqK0pFDClpqBUBrcpdEbZn5Ifv0978+PfWcClG
cRejoA4KsmkZNDNeSgeWu86w0U+ynEzleYs26j+aKEtm8GYsbFOUwdBnrt7/6jAs4y1KgL2MAymD
F+BiHxfZw66JSck6KEGrzxBAnSfS/7otYiW6WHrB/xOhGDQbWz4n6IQNdDQgu8nU167TzoAn7NIE
HNuj5WuVvNNy+vm23LWIHzlf9AjpKK3YSA1d6yYLBIcts0GyUdbmwZG5PMjE7NwkxDiznHC4XgRa
h3E07M+DydCCLJmXFsLcccGsE0qfwiNyAmnl7Q9bO3NoxWZAfaPTEWBz5bvqIR4cZG0Do5oOtsPw
GJn3k3lfzlt5sTX0Nwi2wYG3hHW4opejcrG9o943eBDgKOjCPk282s/pyaz4jg2Ox1uPoJQ6JM4R
TD9e9MFp7X3IBn8qkw8DHz2jfqTWFlhqzaRBTIDBAVAfmVTl1NQT2COipCyDorIrl9dW5MVW2Hu3
l3jNBVxKUQ5OPQxG2ZuwuXFsavjP2vaMGEyQPJzk/rao1esV9yuaCE3Q4iJTc73GZlkaiT4XJZJB
v1ilewNgZjJZipQDAYPRndSPo3E3FQB6O+xEq/ENLhzYPL5QnqHR5HdL/sUeyygXNC/qEqXLM8ZK
5M+NlO7GGV5bT7zrGJ4ipoOQUtm1acDIkLarsGuN5ifZYa5DPx43niFbQpRNs8cc1BEMipSAtyH+
4uDFNrbI9VaFINmAqwi0nXiDXO+WQ8LGzNgIIfEDcgJeVd8X/fCGLQEeBiBQVJuwXorncYZ8LhHy
SDTkN6XLsnvZixfDRkdi9pZwAQipZdoqsAEoGFzr0wjQ0LVtJQNRNwdRaN8n44eeJ3c4vLftfOX6
xg1hmThWqKIxdb7tJEgC3qW2BEtOG7qO1PZaG505w9NCDL6d/3Nb3Mo+XYlb/MiFVbM2zJEHa8qA
d5Mblt/0FHWmsvp7P4GO3N+FJo7A7vfMuwsp4ZhXJA4J7BqY4KJtDtExsdONW3ytV5Ny9DAu+2Oh
Y3LR9VIKiWHRo5RBo/HD4Fgf4uhJdsk9COf3cyP9svwGKK1XiNptwvwA8IiXZu3G6VpxvCingUX2
N4soAB7XH4FGiiJLukYGvJSnsq7PxRb17oqFoMEPOXFAOxdvpBwtVC26rBOZDOqFrD98F1uHCDPE
zDx2w3HraltRB8lqhBWok5mMqw0gjEYFZ9kkkRrRzdmH9VfPdhzjyXbbDteUQlUd44vQnwXQmeKU
BqsL53ky4C+cNtvnlVGc6FCIfV9YuhtK9PnxObY2zHJFOcTiqDBBOxBnq0MWctT9hh4kbYGdyV06
dxhJKow3tL5j6Sxs1dIeCdKea4NodW5rzuhIdGA4/NBKLT0nsaOdrXJsNk7AyiIuu0SNpZmGYXzE
taiiJh2SuqiXJPgP9qPdm2er6hKXztTcF0XiuKxszY2kwdoiQiCyaAzFIfCpXgsdW6fT8rCogiys
v2nxAlF3wsNt61jxUugSRMM7MnXofFTpEJPQJvUYW1UQN/cc1Bu1I8FcscWEtSYFOTL+G2AJfJZy
dFM7FEXJRB2YYM9l8xNKwrW2+3tNLmUoh1dEo9GYIq2DrDS9Q4X+Pz3dgGGsbQiQA3jVIlpyqJoB
a/vJaPiQ1LgVxZHP9Usu3tLEDeop9IQBJoc9UR+ZZqvbdWfKGp3M9BAxjNyrol3Xhcfbq7XYzvXD
DEqQJctt4WkBQuNr2yrKupnB5IlHOo2C2nqmeu3WeYsBwluEm1uS1FMqZIbbPS7RevHIxNc8RI8d
fZ9qX28r9HpvoBD8ALYGj7VXe9MIRtvJ7HG7f9cnt916km/9vJJmkOB1ijpERAGms/k284uU+v+b
AkrIZVU0ieIOCgy7xutOt3/89QHEUwV89wivcOmALfd6uwFYmFpJ8fl1eGAOxmG3n3m84SNXZSBX
i6yBCcNSUdykKpAYjhh2oH7gyWdQFxPj6bYaa7sAH/KfCOUus426iaqRwmr55Bb9ZxDQ3Rbw2ljB
QgWHuxwLXJjqsbAKEk8ZBtYGaTPWbkxJF9S6RFVeSuGN2jBv3JO/Q4rrc3gtUDkdchzQlgQqmqDu
PT4dpPSbp77a1dFeOyfFvd5vGMKWgoodR0VhjQT1yoCWoelxqwpPY659LQiAqWad1xseczHa1+qB
BQI93Awh/rKhF4FjHmpx0Zkz1NPMwS9atFpZiAP0od4Z/c/KbP3x/0i7st22lWX7RQQ4D6/dJDXL
g2TH9guRbMec55lffxd9zt2RWrxq7H2RPAQIoGJVV1dV17BKygXijT3Hvt067Fmu82IuhFcaxsev
CXfeFBpYNoOcTbdKCzfNfBs7Abw6oGH8dF9nlnic6wczpjoGqFi0c4yORW0mI8CyjGqfAv3OwOYl
7G4wU1f2IpKbBtF5Qd3tRcB0ISCF4CXgtHWDkWse5wqCHLHeK8rvZobY5rRSL4jv6vcZ8WVyZPSx
gt/vhxCJh6NHIv8hD0lscoS3oI9wdBAbIhD0irFQEDNEp6VMco2g/rNPjtAFDTN5KTeRtMjQTAbg
2ohz2N0naVpjJ/3g1ftA19aFAVyUcyvkdCq7baJx6oKzcBilhwsHIQQKeCuxnQ7Y15tOshg28K0h
yQFrowZ4Tbzf17pFIthDMuc9Z6wXJqSqcmHyTRVEfMgrj1671k3q1/s0FjTbNC9oMCGVIAFTqvWT
BoAyIjWTaIt9o3TAmogxFJ2g+K30MRkaOeS8WBaV2zQQ8iLWws1ilK/qVE8fx7QB+shzlj31PS9n
vKh0eM1iyT2qFMCtvDYOiZljmC6vm71YPiaDhxzNYMMiDbLs3BfgAieoD2PBFiBakcO94SQrRWXs
h3YfAsLBUfqy29RNaPGcyOy9GYVDXw3erKh8owOK9VqN0ASe1artfswmmljJax6Yh06S3D5uiJ72
z2ObPqtTttXClR5vJfNV7z7uc3qrKmi7QnvPjEaLdx9r6OEfUdnUlQ7YKV7mBOgscCNBRlZY7j1S
yXHiBD5K81htstGGMd3cp357oKCOxKGGpRbIJbG3uykQFjal2e0xcEc7ayIJNu6ZmO3VOU+yWzNy
TYixu1JnZp7vGd0+jtZZ4vaF22O0xz8IOu9M5/t7faaotMNxodoIrGIE6dc6WodeZdZ6h73UfVTG
APFOyq2oZKaTATiXhhMQLC0r9Si6zytSDL7kCmKdr+7L9dbI4CMwTYMHL14jqBtef0QopXrUQIP3
6eTZgw8ECSzkFSqVc+EXjg95WXT34KKgaMgmoAfPy0atBxyj2TvRY+3Po5L7oMg4ZG51dH67AwAU
WyPw+NHmz7gIRmrUThIjroAqqJXirlDa6RAImHVSuuRnYwCVWx/Feq0m4wmN6AonIPnOxF0fKGBa
MZ0DiDk0hWPt3jX1Yuomc8gNaa8BuGhUsQxrwgbiQ/LZR3a8s6bnUY6IiPWQravF2+YZP7QavXP3
lamn2NuIekh5GGy3cjfnMWagLGIuEZn/WWAXAknlTMNEcSDvw6EunLESK+PJyqKupFqg5RjMK1DR
4ZjEhUElgOsByGcemMBRs+XhrpWTrkkmrDMyOqJg9Cy1Wow3mgSgpkQtLTtPDGecIqfS/7k5RtEW
O0MweohEGKb0rvn1pSjJ60SS9koqYAterGv7OmzK8/1LsyBVNAOhkwvPB2CbsrmiMqk69L/7kGoW
Shux0yuB5BjHI62Ch3YPKAKOUbq9pfBhiAfRRDZjj7J5sDKaBtMoRnmP6UoZkH06sLR+JZVWpYdo
yEOTo8kLbxZUv6xvvDBU+G/Kf3mFukaU19Je1O20pKqBbW6kUGzA52PBm3VMMYYz/GMLf02TCUXE
yNOq3sylbzCMon9s7VzD2nAe1PSCiQBKLLQSvXhAKTGZB2Zc4lGBTJ+0N1K1q+ikNVJKk7zK8G5J
4jKn6NfF3hCzaCbbDyaMoKUCoBvvK9Ctk0HsLX3n9IEBcYPrjMVlpjAIHT5CkOQVckymPQDzzJWi
ythoU+j2rRpyruUSzTkGBygb8ieoxl1fDQDlTwPg9aT9MJr7UQ8OIyqAJFesCqs+xL1vRRwmlySN
bg0U/Ay0zwHi7ppgIii12gDLcJ9l/V9BgGFFoE3KKVosATu5zqKYCnlNyrjiaO/CZYEXwPWHd0Ub
DNuvK1WBXIUDbB66BAXHHPrmZy6nFm2iuhs5TnzBEgDAA04c8z/okWXR0a00RaCJbQbAePKfmw5j
7HHptDqwiBCb3NeZ20gTXg31U6RdMEdwA5ob90JRdQCEwyYANfhZ6lXnykIlcoS3TAWJYjR14t6z
fXm+FuaTBAu0R191SNKxaNdx0fM6xZeOCK93/BDUAoXBWawXbqnvm7xPjEjZm0k67UWl/VIDv6El
Oik5VmWZ0jwqjNZblEZYn4ybFkdxouy9RPs19Npp1Jqj0Hm/7x/OIhl4fQQfCNGBmXbNEMrRKJ8m
qYJGGxkAPoNvreZsybooxYmThJtdGBNlgBcd7hVhOBz7/FS4kN0UiJpQ+7oMTPhki8YoqpQ/ykqk
afeoCMIKf/8xa6jIwWpImFrCMl2GtdIw5KBFI/6+Hd6zKSEWhttkHmzMrdqhCg2NQwcmcpeGyRAR
1STUABCuA0RZxYh6Mb5H+hBzDNIiEXRcodAyrzIwGYOUhxX0efBBRK1b0S7LHGW/3izM8N8QAjg4
LrmGahI7EmO1cZFnWqnP4JollbMUcY8/Zc3nPz0ZHD/qpVh1ArOOub9rTRCnSo2w5FPHQtQ6FZ3a
Mrpy3Y0IgUiblVL0/M/JQe9E1OJQGcHD+ppc23gVMN0CY58YVUs6ozupgbnW/zlUB/pu/hN8zNOi
CkNmasseINShsQ+Ecj9TAQjbP07fWOj1RGYN23rQlMDC+1hJqueJ4Bv7rglf8GjxUOUzPsvE5E3i
3bqHmRBQa7+TlDDa1yJTI5R/PTM2UFT8qGPhnGPFUaq6ocRLECwR0lDPhmdQsW2K3ZBa9a3oFQEg
nPXcon4PhF4fY+0ikJ15x3Of0s2qzx4tmmIr4ngAm+XIzYdiFnbfAg3T5PnW24AFgcrfPGEB5LXw
gqa08CAFJcU7SHl1BBZTIdRHyS/xSOVkQ5e5glHAqj3AdbNv8b7ENZ5KyE+OwoBmvhy4VRE+5mme
7TKz5lzcBUOE5jL0WaDLFG0+LGctgNvbVOwRNQSozBNB8l8NdDr/df++LlKZK2WIMxGBsVPXYSxr
XiaXMpCJoqIkmSJXKwnB3+/7ZGbTfO2PABP/3bYN8SG2ZHS8LKTGL1IAxDdGktiRhbGdRBAVWurS
4NwntcgRRkAAvYI5EPTaX2tEHspS1tcNIjs17Cgwgjvgfxgmp6KxTGVe/gzzAAM+//+FgwXs7mSa
QQeoiyi1njFhGbl6Fpj2fV5utBvIvTDaGGAzRCQQ2Q5LoQcQnw/Qo32b+qTy1GcsjLNrBe7cUE9K
XnNExzb4oIqAgAHMQHxzxpd1FlrdmrkVef15JwKNiLTHwEU07qK10amehtXXfe6+95heaMUNOcaK
A0tKzPQS5HqaE30gBz0haUUrR6HSq7h35PdjRYXHitC9QZ2X0P3qSerG9paHwsqu+7n5EiZeyrHR
V+tHQFwfTMP+MH/HT5aLjPCzUezoy1fzc9zTgPAayblUGSWykrbp0gJUbf/ZTUm91shIZQevoO6L
KBHFKz5bBQdevoeFQbzhdr6tF8rbJVpViibkPr4oAWmEjb4V5qIOHbB5XnzLH4eShu/Na/NVjj5F
9SJ0rfOk/oiOmLnIAM31674iMI/Am+9hrANcUhDXNeSQEiUjK9HFJg5aUI75/p7iuaduTJhfW6Je
dxXIdHY80WwjAhyZ+MfXiPzsHHJqifYAGCr/WabDZiIGNT7CVXqQ346iu3q3fqIzYuURSrsv0e3t
47voKvRJ49x4Ni/2X1kA6hFGEhs12WEyL0njGFCYwzkmnR3QgPpOR8uNT3lY+VxKjPaFXp/mxQhK
k2sP58hOSPzY0NjliJ3NE91wxGiboQ5m6AFT7NxW5KPbFDuV1CHZxvaal7bhssQoErahtoWWgCX9
EB/bY3uYjtaqqEmy4t1dFsXthitGmSpdT4H+CK4KW9AczxBJh9mjQd5IBsm+TkOwzkpSbNOUooOg
NIFKvgE+UbX1I9fI3fv3h00q//djMLI6e3JUupmPsTLs+pYNaHaxP5jY6E0AeBWQ+PBojCR3v8w1
nZx6E+2qQ7/mKexsGm9v1R/a81P0wpjoE959aglBDJVt/hzaXfVYqWhHpo2jn/MnzW0CV5W7f0V2
HgVDs6uICIlheQDIV1fHZn+O43XtA0L0FH2mPuYtUyfrUiJiGPMvJaF4c294I9jM4/o/0r4gzXBs
FllYqePstqyj0AIbmwyjbWm7sbAlHnDdMi0sJjHQ3yhiIfi1dDUfkejQ4WQbt91ONlbrlJvU/ryv
PzwiTBCtWl4zjBUYkrfeytol5F16TXkHxlSy/iu1P5wwzj5u81yfZusr92f4tiGmzYM6rpp0O457
I38xec0R82W/UUwUj/9XdIxPn6wKi/lacFU6xaeylajCC5d4LKnXh9NMllwlDShoxC6fseYZNnRw
hhUvJ8HCCN3IjjGhXoEsaaKAkLnSZBI6Y4aNyvRdJtuotdsfPTEdk97XCXbq6L80LXggCUsXsFzw
mrkUj64480Czp0ZLvS9sZgveY+cx+ZkVu9ROnNN9gvOFvT2uP/SY4xoDMfa6APQa7VM3+pfiA1Xs
7sVqSg6h5SgX83T/yxlzbAFaAuKsC4bz2y9/IDl9VO33ZN2v6/XAKcnweGLOzcrCKDAjCwGe9iPM
iffs0ZrzEFn2eRfcsD5PVHO1mQMG8St+CRqSESA57nxb4BiJZT9+QYixuGmEscpphNjCrzcYWXeD
JXOjLZPdv7IUKC2hWj8rHjvLN4pi7mVYfgXXGh/99YNBf6TniKzv69uy07wgw/DTKb7aAEMDcYmG
oWWqJS4KdCv9/CP+bJz0Dbss9P2+D0m3ErZfQOYqdx4nxbQY9158AeNIuqmS/UrDF0R4/tCB1K60
MslPnyfQ2X7fXK0LOsyTOIr8ojHLYhZoQCPXezRtdfOePPVriaPwHI5YdyUhj654NSjljn8M6LO3
jjeYW+PYJh4Vxl9NeRJFbQUqyik46zSyS1t0p6+v+wqybAH/iI21gBioibBGC2S838oD0qWr9Lfl
mLbnCk+JUxy2PeEQnE3cnXNiMelyIHv7egqCnWuQh/zQrP2Vsj2OxNrspM19YjwZMkZQjMVean3Q
wnranwGUT3P26huvHsWjwhhALUS1GvBFw1k+CC2xiE/Ek3EwSc5R8fl3WMlhLNREphvtkFgqgf+/
CEJ7qakVdYzHcyN2ihOLXmV3YZivuqLn4WYtvtpRq0HaEZlApJhmni9oZdrUJWKQDmeD+LvusXiw
CjuyVWKsJCf3CPLEbkB2pkeDj3/1wLmgrcwRyQVt1ETQJJSAtps8BA9e8Ng57Q/Rsk3Hy537CrKo
/pe0mFum6SOW4hSg1eY7dfrAOq4ktMd2kzimZ8fio16j8L6pbRm3T139P4kz0UfjGVli1QkMyZd3
2Nk67Vc+nuRzfNWsAIL1xKG3FCxeMstGH2KUdGoKehUanJy30BGouNGesl2C3irn3adfuUdzjgta
jOvm9hfgGQHzAG+o6+MsTS/EoNnsgp4PLgDbVfqsE2QtZft0+hI4d2QxUrikxkQKoZLGwN4BtcQe
j0VMMSWIhMZ2GnkhyZIduyTEeNYq96NY17PhbGOiDS3eRCbr9Zfn6EfeM5wdWv6OUi9JMRe/EKNK
Cmvw9AboBxIf1Z9Kapukc3gKwuOJufWxHgawMiC0cwEo/cPYhZvmY217tCW80HvJaF7wpDKXPPN9
aSxGkPJfUcao94Jtc+XGo8Fc7rEOkjBBr935tadvu/j4odhuYKPQ5aQFoSckw17v37Dv3PGNif6j
6ypzo9GmrCdtB3Oye6hp7Pz6VZLNwf1QAues2tHotHsq7k6+vabDga4zpNY2nxG9/xG8C8d2iHqA
VlU8aT7FQ+HGPvU3GOik67Xvfq67jEdtFuI9lhkfW5WVUrUTWB7pm0GSB93WiUQjYtg8OGzecTKG
RPOSRixLUIqJHR5V29+Y5FPhxCffICo3/ABXHOjtcLGqyBgQsy8SLBaWcK/Vn81DIjvte/dLJ/Ie
D9BnhejO2j7VDyfa75B8ckfSE8iVl05cdPUXH8EYl2aopNwI8BGv9qHaB4+S67Y/S9Jtnn8g2ebz
cB4WX4sojf3NNGNh4ryraiMCvcJ+fevskpZ/HSl94vE1/8yNbFGhBwIDcOCAgnztCtJxrJUi1SBb
BBZOvwkINXgOYFF0FzQY0RUxUMJyrCs92+nP1HC6teXo9l562bZkdwBICO/5u5hxBxzb30wxsrMa
qwJWDgiKHx9YI7ONfdcnz8/PEympv01XD5tzYJe+XWzL09f6Kf/1tA4c+kKd4atzfPqypqcn2D6e
Is983pM1Y8uT2MSOSMBknd/01bAbNxwjM1uyOz//7YcvgrQEW1qNtMDPA5DbX6mn7Xb99PTEOczF
G/9HtN+v9QsiaWdIZWWCyHfvpV0lqExQjtOb7RPLCIqOaEzArjbUOhk5iZWktEjaQfWDZyWW7CKW
OSZy1uobCgChQh82So46q/V+HhdqBLyMc9ZHbtH2VCt76uvrrOJ5vO/Q+IYUoOSArSxjQwELkdfJ
ZVvrKPKdD78UfQXQzIakv59TGriWoz6uVtQ5iT++qo/4L1qtIuer3/Vk6pxPzrl9N5Pd+w7G87ZN
0LVlN4znN/uAZaXkAePqBE2W+BTsaSArWpET1t3jz1dy6MnQOTvOsUq3UtcVQD4b6HcD2h12uONU
LnSnj/QAwzVNfxYCgn0D226fOmpEil24bxwL4XWzktfjv4hrrsnO6nZB1kM34tRrIKsRDwdgbvYm
SRyeK/wuvV8LGGRwM2C0kaRHC9c1GamvK8Vrx/6srzSReFs/cyySnSYb5QCLWL+ixzK2VVrsM8vG
RF7z0/8rQ3W9Rtf5oXuNBl40fGsOrr+HuUVCMwF2fYrwlIktrbNzA+tgpFbrvwqxAMhbLQHFhVRS
WZ6tsTOPYq8YIRH7FgNVnpobGenVNOOZwO+S0K2UMJ+LghH609kB89SIZA8dB8jFkxyAAiTeViJR
jvJDbR+/MvrSHU7RIf9x3zTeOrlZFH+IMoonKkqne4aEGsCqfKld7+GEUGh9n8atYQQuLBqqMDCo
zs8DJnq2ZOxx0ktj1rLRiZ3A1lY+RQqFc48X0qHXdJh7nKRNWJcF6GDlmxu+Tm71Qzqmm4I0lJcY
+p4VYA/rkicmdpbi0YisHLT6bbY/Y4DqoUTHhGEHsaNs3mA+tjufaCSh7c6kja1vZQznOfnzZuUH
dvRzclR3ok64t5zIs42nfj8SzTbsiHQHm5ujuPUa14JhDrkdYszOQL+hWcmmdA5n0zYceaOTbbHy
KOcYljTqUjKMTanESUuAHDaf9htu+OFnRrkMLV3gSxpMcO1F7WQJKqQ/n/M8lu87zdqgwkHYFvSf
5zavpcfEgaUxlgFwLv9zLx+anec6vs1bkbTkAC45YgJBr9RztG6CSHmQVugs4HUxLN9BNBABtw7d
S2zvZOJjK/SYotYHTfV/Oz+/6t3rv7nlfygwYmrrQRhjTOIjCTc6kV2sTZLavs01k7Oy3t68P3QY
SY2tblTC3CqjuQ9vCX3LiWu+d6+pyw3OZ3txjxLjtnwv0Koh+eboIVxFdkozgmdwv+Y+gpcv6B+e
GIdUi2KkWCUoYffauSQIxnuinnSClpto5dvljof7spB5mpX6b4ps2nIs00KLLEjxtX4q6e+JHtMH
36b3VWIhF3RNhbHIUaDGnaWjEqaRyf0V2OK7t5co2sYMO+Y4Mi5HjEUO0ewnevNppaR1XFRkP4+C
3a7/neTw2oaDnhFHWcQOXRT8WpO/20w+/Cf454KYRED6lfC6whZyIxDfBSnGlPbZYJSx9E0K2Qo3
p8EPz45c4ehvaLZKa1pyPPWyC72gyBjWWvdlv8hQUYw2g/0rPgzbCW12vvvEC/4X7dEFIcZaGF6d
1WqM7G7pvA0GIbGdUGVzX/1mS3Bzfy9osJZC6KowsuIB9fK3BLcp2XLExWOCMRAadiQbXoGs6i7Z
YPk3iTeoDJnOfS6U+VfuscEYB2CQaa3QQlTZW+WO9CM4HTBLjSjBsNFVsxWptElJZWOfAnrk5E/1
3aBYY+qarvOuY5eQW9vjY7zZahtAMN//NM6Xsc/qVtKDvCyhLQd1O+FhPdohjvE+je8n7R322We1
NTRtk6og8tpl5PDh0QQxi2ZX9sF89FR7oCIJnOP2mVhOuBLPdvYba5s4Mc13i/K9j2CMS2WEXhJb
34bMIuLhgLpZTIr1e7o5vtB8E7r6My8yX1AuZJ2kGQdhbmq2GOWykqGORL/tz2+TiwR3s67t/PTP
U3cosSCwmLuaJcw2MnzNG3BDb25jwcYtF+kEt9vBF1BhBVgA8uXRz/uHuSRHoATOLdQq9hwBGQG6
fvHgLONMFUasEztjnzhN8eQ8uDm6KhGQ+iEZXQBf29nKfAbelfh8n7S64M2vSDOsCnIWapkKY1p+
dbaAdBem2iN7/oK34FDYH2iwJcKxJPhHYBu0d+VH9TTQn/FpOKo7SvP91trMmue7ycp45ERPCzVM
nMSFZJgYXda6Skvnchf6vKmEp0OMr9GcPiKtezKPztE7ahteyXmh42KmqqHzBsEARv0ZD4Mx86rM
QlgwBRRbZ67XuIntY/sYNSgKqNtTT7KtYGukwIuNpw3zrzO36oo64220FA/tykOOXFzJq4PsSGtE
8c6wLYjxka3yHzlP3eczZgnq2OUFQDJ06d3gd8degQlwFexqpNpIdrvCu4FoW2E7+zjeu+F7hOKG
GtAZgI+PyStweq3sVdIOXWygtIEnl7FzXcWVtwaJHqodQGiPwqpwnPUT2smJQ9+xmPSFGyrP8rvz
ASxcOYLKPGjm2kqDt6eEyCFdYZnxIe/JcYteWKUnqP9x7PVSzKcC890CogPGjDDOe831MOlpUCgm
0qDydnQU10Vi7/iIqqb/1/0bvVD8wGLCC0rMjQZwkBiFwJI6x+sBvSAJXODkliSlCtbBUP+coX16
oo+h4wgfEfVtjDCnJKJr4yw9cmvzcxKDlfXlxzD3VxvFMVO7ajxb3jBss0KJP9S4VElRdsEO24dD
6pkphjfEtFqpAGVZez1a3jkS4X0Ec50xfBp2fgnZK6fI2iQZbTqC3cqd22p2Agjud8ASm6RNaIFu
UgAxxq5m2iKMGg/NbNHQX4qDudotMLqx2NBA5aS0hb060FxZGflajSn2HA/bQxTQcTwa/iZsdtji
txLp+MtQ7PvyWEqpXWkIE2VWjYzFXJKFAAWaaOs2hgr2ng2ZUH2HCOKJV15Z8tmXXDMRZ5ZitNPM
wHVj54iIfrx3q5HwmFqIuq6YYgKDDPlavArAlCJj8SeRpYL0nRNuaoOOmNZJY6JOj5L1o7U+o87V
w+ewOYuYm22eUq3lTDUv5M6v7yBj4+J5KDjJ5ts+5eSQkqmlH+Ex2hyyTbSpPn3HcArDDjfGqrUz
8q6tZNsxU2rz8hsL3f/4EOy+kRSMZ82QNddmR/Aa0dNCfzy/Dm8f5uEDtXPrZ7I62gTR8BwRhzYv
CbisXhc0mTtfeJHRiRFoik8aDIt0OoRr1VFS8hjYzbrH8WBayqO8dMFSSHzFK3PNhX78r1obGkrX
9Vqw1sbJyD4aa6UONhaGo3OyQ5Okm8a0THZm5iomsJ5eFGkLVGEl/YEBoqB2rZ6I084oalI2hybe
FBX1T/dv4MITDCBF83w43K0JmPfrU6lFHZWVMhzPiqtSgVrbIy9Lw6PA3IapqDth6IPxnK4j26LJ
kVqf93mYjcSNZb/ggVFxSWxHS6xmHojyiw4rnhotGo2/fx9dR9cy8rBtVm5GcGBPEFLx0JB36v26
z8N3IMcwAbiLuXQI/AKgazD2OClRm8FDYDzXW3mlOhooPcd7i/7W0R7XPXFDj4VjuaLHWN5JbYDC
J4CedZqz8ciO1+gK1Tf+qnetlYGJMhHtEOf7XC5YRmDNYkYXvTooNHzf14vXRSwpo1aNKOS18lMm
YMjIOqqVRNpmnfnIrxcf98ktHNwVOUb1ytrPrSYCOQXXUDANomZPrWnSSMqJlf4A8hstQt47YSGE
vSLKaKMvlToQxxBnANz9tV21hxRPw7+AN/kSoufwPoOzHWGV5kKe3zb3Qp6j0KRWEqNAG/jVOc4D
uxqD9f+PBBMtqu0oj3ICEmkb0qz6FSWbf0EAcBszIBLynSyOtmVgYWA764QZIxA1clL/807XGRPl
DwXGC5hCaIShN45nH83qgd1zru5CEH/184yxTxSzVQYFDITyhyDHtgVHCwhVcl9MS/f1kgnGPtRC
W/jGfA4aVg+aLVB/PIwDZRa1kr80Hmj7wpjxtcgY65BIiRFOqTSed7vDd8kdOe9z8tc5p2RD/tp3
zj7ek3eMdNLM2Z6wR4Nmh0/kjDlM80TLeCdPkIc8CvEZ4tSRWvmr7zTSlLx34OItutAPxkzUiYaR
6kQcz+iWRkXQ791BlzlK8g2vcXNVL4gwZiGywnbM8QZBG93B7Z9Dglc8sY4DiU7Pzwr2PNN9Rrbk
FGI/0cPpy3z+2lnnz924uq9GS1n4C20FZNe1MzOEJu6GFNoqPgWPwyZ97h6kdfrpI0mec05vUa7Y
7Tr3vmmI++RrUmqYtkCDx+l5VUZM5TNouYHWokO5IMFcbS0yQz0dQQIhFYryh4dpc87c87BD7m+1
cva9XaCTtsET/mRtvj45tn5RPS+oMzc/iPtSiwycqVW9aeWPLHPSmnNeiwxCekgAouMHmBPXMhzG
SBvCLpzOsjz+BRANu7UG6g/1Z1uKjSPFEdaG9DyEkEW+sLREx8of7KAwmGunlmj0msJ4OlflwYuP
VfMoCbzlNTwaDGNt3kghIAWnc2T+ytuOWPJW8HnY8zwizKVTrcRLRCuC6QJIuKJsukJySoT/nDu1
qOjYrwI4p3nXGKvok1FMrTTl03cVbWeuBCIRgXpuRoRVbo+EV5tZSlzNAMkA+JrBOBFNXWsFEhOj
YQ7FhIj30CGNYxEAuJ7l118P+ZNLSntvVOS9ek4fKzJuThldP93neCmzc/UBjH9QtaEp06Sezru3
ISQ+IrnH0Tn8Klw3pc8hLW2ntYuSZj+drWxXqFCFDyjK8nI630XxG6N6IQdGUWt18nWlLqfz6+uh
2H/U5NeYU5+sBLrCUJ//eJQxihbbQKMiEZ4FnOu/eDcvqDMqbE6CMLRiNZ274kn1T1iUtReLF08D
fk+HoNbjLTzmHjujzoNoeSPQeiF1tG6MzseD5f6qDwPZ/A7pyomQg65ofjo9CfYTzxMri1fpD7Ps
IhKtjdtUtmbauzdz9RF9fqgvE+KpDVk5ndPb79ufp22//tqKhL53jvMSEV4xZPGaATxTAiy0AqRF
xtw2au8HKYCaz538OxeeK/V8X6t5v8/cKj/sVaHocI2j9CM2X3SBk91e+n3A0mCD+/zOA3js9a2t
IrmWhkafzoaevylB9WblA73PwtIpAUjamrfEoyh106YYd9NUBuJ09sqQWOOm1V7z0b5PYymrMi9X
/JvIzOfFq2NSrTqKtAm3TnN1KiYYxKxO5x+pbPuPjdO76MZsU2KcOWTncIG97ABqhC8EWh7QaJnL
LhpRKuctfH0fDUJEsUdxRF+RbzU5UXusY8BaUWA/01SBMd7po2UdwkgyEgI4I9UjbVgkbpkAhZFj
/eWF78JWNCDWAwsYe5DZ7wr1vsrQQiHB+gsyDdDC5ZaH9HCeUEkQXlByjcjW2gIKZbtet+vX9T8X
C5qAFYBVAPtEBCjV9WkoZpimfjRJZ/vtoNJwW9oIyb+eOLZuqfHgkgwLzV+acWVqE7gsnZSgpyf9
qBz/nd9pM38uc8pXdJhL4mlJMKY96AhrxHOHh18DIIXotHJg3Mjpac3zIUuJF7SKoI1jdmhAgGRC
SMX3y7EDeu0ZbaM5CR42KxjTveg6W87dvHUXBrQDM5DoC7eAv8FcGzPR5TJsMXBpuzUZ3/d04oU7
C8H9NQnGgnnmmA19lSC430474uy3xxNv+dqCIlzTYFy/X4aTUBrz3CgqwyXdkP1oOxxRLdSorokw
d10OEV4EDRjZCUR9P6KFgNpoceF5Na7AGBcuiGhSRBSKpPRBwZxK9sybzOcdOnM7vbHJi7aaD71+
Gt9O+jPHGHN+/5vBC1tsDTosfo7fr/GUzAhtVieOfZn1//pCXh0F294RKh06AjpQ0Mg8CR/SYL1e
f/JOgsfHbGQv+PCLKS07DQcR/7R+ArWMN/ux0Kp1zcbM5gWBIBLSZkJXMN7f2jpfQVRbaNVInnjo
PgvN9NeUmHuuRTny0SooTQ+Ht5a+vX0EdP2Q018PB7fAMM+AacsHRGmcmJx3Z9gMslj4WL44X37p
7eOxI2TvOBF54dzMW/M8M4cpCAspXFhL5sJkkd5gv0KOkRA0Y8Aw44FBpvf7KrcAtnZNhLk0k1XK
Qi1l35by5fkBQFvD+vnZP7SN/bx/iifbKoiP1lVkdTmUOeypTHYk6OY5eBmUg337jJ6XfV2SwA1X
zdqESKXnPfnh5BuM576gz9R4//InzFqZVOHeh4Vy2ZUMvrtlLvS1EIDjVIkQ9Kv58nqAx3A35NGg
+8r54RwpT2n/D0P497myo6a1WVt+kIFcWaK6gVLc7sn+V6bqDwnmBg6qjsm2OTFulyTO6Q/A4kW8
fRgLZe1rsTGXz2qwSqJvcIAH23Xd3/Lj6nHvzGNeEX1NOfE894wYdzsYgWGMBYSGnN7kPrgSDmlV
rbP1HjWbAh2gfIyh2wD/mj/G+3ZiUvUFaijnade61Drf1///w0r+OSPG72pdpmRjWoOjt/h4wNTx
GaVZEqyLo83tQ5k/9dax/KHFmJIYvXWRnEN69mEAGgTWfqGrizinEB1mls1zAAuF8GvJMUYlj9Ta
E1Voxm6XEvuA49psHju6+t2snxFdbjFgbGHAg+fY/o946W822eEaLEbBLJIANlOfah9bqKKJRrF6
zVHGZQf6hwwTN+eAzdYwpo1MaE7Ejf5gr3teY4M8/8adE2MX4o7pGFYWFhqfd/abW1N0syLXotvE
ceipWGFik/fo4DHFmAxtDPp4LMvxrL9oeGW6m5T+Vu0VhuDeMfLKEyH3qBjjoehSY+QaVCTLAUzm
H+q3Labrn57+h7Qva04dWbr9RURoHl5LAwIxGONtY78oto2teQBNoF9/V/Gd05Zra1M3+nRHP3WE
kyxlrcpxJedTTbQS/jBFlcENMZKrMKRyYIbADNQB0Bk7dyzHMxcmHhTOMfLeU5UBjUQ/DaaQVXhL
cjTo3t6Sp0/ygfw4YirLC237yMGRP/ucfmrI4IgZKUqshZCYkrXdr2sXb8rW5gjhPNbsMrIkQCq2
rWAdBxs9bE9kgZw/RnoxO+wbDu8eTyTffqrE4Eed1lIvGlDJh7g3yIvcR/IZuHOnQH8g7vXX7ngU
OHRXk3AvSYYqItMLth7GIjFEVcO/h6XoLSkPoFK9f4TTN3r09xlLrPprEagdbrRMnjHB8Pa2XSCh
pxA0Axk4Ss/jmOIENQBOcSSQMcULWANEJP5xxVD+AksZDewt13C61/ua0YP5A6pGchgDzMAQrnYt
Dk71FLt/uf/HJzJgP7Vgnq5KO+f6LLsdGwg8MQq9EpeytfTMh55wXcFJEBypwhheq19rrZth4DvM
kDZAkZCXmJjGo28JbBtBiL092DENdSrkkLaA9U8KR0gegFKEh32TyDCSxbxTnXxFEyS2lj2ZbrKt
PFQ7I7I78pwLzr255exG3nOT/ffzy/t4rs7vf/6J6sePz3/D29FfD2uhazPqLD/7/9fR+pZ67tNp
vpgjEb8arN52Npvczl0PUR5PtYl840/pDCboxrXB+h+coI+m5WGRiZhCP2P43W0sq34HXaJ39Pa/
BJ87EkTvzJ07xY4o5tm5yVoaHCWtlQWvDTlft53kRjIH9DgGf0Pi0fGaxaxIQ/AsP+lbY6Eia8qx
wWm/fWSDDDicxWGWNiU9QRu1DHi5W8RWDQoZvW0trx6vbsGDi5s9jRQ6d2CnBkU1TZnpGGdw/w9k
bUe1lva/ygKMdGPQQjULRS8MSg+BKQHdEuev1nK3azjwOh0vfothxxPPqqJXKT3C+EIEmEIPxkLM
wEs6JyLnPRgsv35vnv5jdL4tOKoXLLenw6/uDWNM3Bd+0r0d6cTkoC6xWIr5iZpFTp5PpFm56gpe
hY50MAienPSw5Ibd9E/euVJs8vkKKlzQh+JrIStF7Jpc/PPeXAtoduGNgk1HxiPtGNioT1Kbqwlu
FaIfGvx8gs0MzotjeV/+jscoMJ0EG0ljHAvBSAasyYBiNmoFazd30Dq0eKzt+evSWV7J3kN44h85
uEzDgT9Pk+6uVhW6KpF5W6TuojWViOhVBm/itto/LRCfSAvi4PN5GAv++upvGT+O2OnH5lssYzdV
JM8qQ7qJPRy2mlViC4EDp95SN9Spt77Qx1uhz1zwUJbhFRUn6hf0OfiWzsRIMZr4M+ncoCxmNavk
6W29IBcL8p82Gx4711/cxW9ZjA0lctqE6gBZ/rPf2LQzLCbu47xBqQHY6cDxvn+0fzHab4GMGZ1C
5SScafBMI07AJmhYNXuO/NdO23BkTUdJo4NkXFM5N2tN0+mrLswPmOlbU2c4cF/mzua3A2/YsT2O
dvQv3rNX5h3qjC5JLtT7xktOcpgMWjfmv89zLsv/X3yG73NkHNZTLtRVNQO0PTcfOpFxOxbzwhvg
6b9gT8hgKS5oozjq/eWZ/RbKPEV6VP8nmVo7je1H6FAxVmSOWdfWso7qYhfax2deRxjnOqDOjjMf
vbVNEymdSX3Zs20fBGute1v0Udf2Zd5y9PvLs/5f/bAZ8acoKdLzPKexzJu5DewFUZBzt24RNa/R
TKZH9XdLwWrjn6KauAfVQUSDT9u1t9RFf8znbuy/IcmJDAz0W60cT7SsvWeDZ82L7V32i5dCm84O
/nNDdHayHpCu52edPpC4++5TTJCPIcMS+QPu2U6/xd9nyyBNN9Nnsn6mBgtmAgxaFh4CbGPDeTE0
nhgGXww5lPtzDzFGSswI02eHqyV/5KSxM2xpRD24szGwVpNFYeBnLD7m89Xrcom4aO84ZBG5gf3x
8YIBlgP6Yc1dubKOAYLm5dJB+NyWvHB9OkE1+gAMRM20oE4Cmt22QatXLTDlPIPbsOPA0nSI9n32
DCzFmMK8BDTpUGLk1pq9Ca6183ikXhRx7lk0g0i6WJRGSEPoYXGyA0K5Tu+rMZ2wGR0WAz9dKDVS
fYEaKUHycHdArwrlznvElBlpcFU3jhU/gFpyv/O5LLX3PRGMs/68r0mlBqZAI8Q1pNaW6Qgf1jJs
CEfFaffxny91s5cR2KVGnSYXmpMCsSP1seCtzjuyQkL2bO1BCsEr4XAgXb/VIEcCy+sFkW+ClJv/
dqKj2HCwHh80MDhJ5GuJ3Qr7ZH5fRZ7J3+KDkcS2uqCd6VYL1JZBT8QdcEDtEW/Y/6MgBnGaSKiu
DQ2ry3nwiuce2w28Pdcw7vuKOlukTYRLasgXGMazX4EDxdwIr/E+s3Y33/C+Rrd4/M4Vu3HajY6u
m0lhrM6odTyv1yKefCzWIfPUKjzUhveWJ7/qPAPhvFO3J3MkMlWNXjQLHKIfoaXXqu3waceDp/te
E5a8/LxbIZjsmzSHWms79pD62OaHr9MLlmsgpODS396W4tw7RAZFokbuC7GAxV9c+83H3OR6+7R4
jNefT9n2Eb1JV5l8fhJi1WgxB5OYufL36f7qebyT5bjC2G/3U+2kRnRa0Kt3tv3D29Z9esDOHjz6
+52+yCyOM8y7drdIYPQhr3I8ZCeq9sxzq4gEnuxYlJuW8zE5rwCbp1PjJMSadFwHUOF2trI2KjJk
tsC72zwxTIyUtMF/Ci6uq3oopJvWI7F+L1HDx93juaCcO3ALjUdHN4T/BRJ/jUp38ADCuPsXm+d4
som4rkGWp9Zwy65zGwml7SJxG/8DqE8HHXi93hzEYrNxl6xSB+MCS4iXnxgVP3J04X0axtlQq1wO
T7SGbqN9mz4naB+fO/TLoPL2zBFG/9idy8wm4qJLhrXEV+gCJoK3J+RNg9XqVubw83deOukvmat/
HmeWCvZambFcUdtuc1vAIlfNS1Qvu6wycy+fYOsnZV40j1cMvNXWfT05Z8om54ouFYVOhJp+/yW9
njdfnFs7Md88zjn8sfSybeMsKajbnP9eo/s8teYLd63MXZjiYzhH+ZlsHAwy9eQLDVYc6+cKZ2Kh
aobe53MN7UrngHLF05tr+8paPNm9NVRO0O6MrXV9sXfe1z5bJyVgy/8f0ZFN2zVtog0GOiUAWzZI
meElo90jw78cXf+SZv3Hhm5zeiMsOReyeKkV+iXj32gj0y3pgK41jhSeuTBBEKK6pLzQOPZUWpWn
kfLpyusZ52CizAQu10g3YiFF2wqi8nipzz0eSvHifna5nViYiRrWkHBY5xvBeiMVclIgBJ/PFvcv
Fy8KZlvgWllpWo0SifQWNl+sQpLOH+cPm/MjKvccUeJ9vLqlBUafP0zbtO/xnDzZdq+RAT3k5Dcy
mRHHyeYYgMK4Ftns1DbxAI0QTJagtUWwonBqOpzsGkiUf7ov8kyojOyKJGlvgdjG3mJja0g+EU8T
TJFuklsbQo21bDyS+OmQRcZGNlPFEJ1xM5zRGUqhGOghhWHTe3ZT50mzP5GocVC1p9kSfk/xpHs6
ksfcpuAyi+qkwDdTiX/xzF/p+32jmM7ljQQwd6nBaESGCXNYOqaA3Ld3BH2oOmaEvG5QK9v5/84K
RwKZJ7qQ9dRoA3qCZLGYBy66pkjgXB/v6zXpZ4ykUCMdfSejyotLGVO3frDBE8eD7MmkxujPs358
mGWReaJXSdvF84zcSgIcIOXZGuujY6PEf4KFgw+WLtoc/4lwfGWdLW+PzBBPp8ksw7dOrJPeD7IR
9TQ7Hq3e8Wl07IH2NXC5mLb4WvMqcZMQPhLGPLuqYBaS9H/C7HXmCh+ezdNnEu5GIhg3PdNS04xv
WU7FEh9fkOVHgMpzz29h7x9O4EiK8tPQ2qyr81jGqWX2G9b5fF5Af0VAz4MWnrBy7hs1VxiDBqew
v15lA8Lsw+G8yonfWwo6Q13lVTC2p4VXty5HIv3599Rj4eFUSKDRg8QUTPnlnCA7TFAw8dQFz9p5
n4vBBez7gitNG3pRRMegDlqi5ipKzisUSxCWmoseg6/P97XjGSEDEjM0jxRlQ2+xciazFLMn3JIT
7/wYoJBjs+pMaoTFIl5ffNO6oH/4izp3Cf7jmPx0jubbGFlXvR0u2sk0Ie15jbw+jhAcsvYjCLDw
LypPlGEBawVaIqAkff8op0u0I9HMi5xK6Sy5mjCUM2hKKVGpjjxpb5n7ahuS68NH73bLYSmvwxQu
tOfdlz49rTCSzsJJeiq7nPar+m/5Z+2qsNCd4TzzaDOmExkjOQymKMM1lMoBByyTAJT2m7zH8p2l
t495ydjpBM1IEoMrsdSYfaJQ21zT9kAwyae4C0vU1Twe78t0x9ZIFgMrSi7nqhDBBzjbh9ZBmQsP
c0OwigJjcigBcb4V59b94b2XIRbAUui30fr4HsJxWzyiEILWAWyc5+Iz56VmPXlVU4NZc4W01lqf
SOiIcyy44dy7aSd+dIAMkOhQqD3RzHm7zFZYe/Al+2pOQizs22CHzhfXh+IpxaDKpQ0EIdYh7zY9
ndnm2+zh/lfi+YWsFz+kMlUKItxt7iDJ1ZEPtPgaZINU786Tn+6L49gE688bhlYYckAVWme2uCmI
9sjNoHBcQnYopY37q9TQQ0OXHXn8pKMIDrqVnd2Z82jyBDEgUWpmresVBK2xwXYRczj4eH+dAYYq
kSXZoAlrXwOfab24/yF4SHrbhDFynDPJrIpawp9vrX5pX+jC849heVpYPs9Fp5fiT9dCQySlmHTB
NYPZsYoOqVOCGM74bG2rtLHLgbdxcTJDJ3+LYL5EMNOk0iggwhV96SEjEhdeeEowX6MeMO+bB/Ba
0PK8XrdviS2DsOHlSoo5NrGhGwr5Is4XmnaUvpVi0Now0v4sXyFSesuwRnj14LwuLc6DOh17KFgK
BTpbEOeycybiYERiV7XU78vJ1VrDH0O/TEMw/4Q5QDxDHP9hEgBG8hj3QezlvKGjjk/DR4bBHXkJ
3OScG08EY2/yuYtPndnRTwU+AbSRbTErsUC2Efk2PKwprxox7Y1hv49syibIllkuMrW+KuVA6UFb
KydxTQaP0olQr+wtso3YDz6We8xoxG6xlhN/x2tgmzTNkXjG+K9aUHRtBPHbcAcX5SvkPOTTSZiR
AMb2Z5FmdGJAmUlJtFpH1tZN7PbXgjwKR3QCXuZ7DF9lv3gpmOks5kgsY/84bD28Dtrl6WIPJP8V
z9FnWzfwajn6TdrLSI72M7IrzMtMyA3sznt+1vHVDPu6Pb1wbHLyIR/JYIIe2mLY6Cfo4tsBGIvQ
/oKyt/p65IihX+IPqB2JoaYyAnXsZz1HCt07eHqMsazl8dbDiJLV/spTiF6ie5LooY4koVzVZ3oO
hZIOnGRNbRE3/QznobrghVa3UtHfRUlsb5akGtFJG2B+PppCtc9UAt+1Es/PIbLnZUSwuYWyfEeu
sDnaOz3BbLavckxk2vH752AltmmriJu6voo4WNvOKkLQ4FeQ4nG/567b4Vi9xPZsVeBiSc0A6wb9
qvNROcuBHZ6+2HEsZdK7GCnEgEafZP0sBSvYU5K5YRGSustIAhrfbqEIRBSXsS1rftAcfs2Gh0Z2
e2PB+QH3TfVPXgu5iYYioV91LVjVax1vMvCPXHXkCANHr3hx63T1c6QwgyYDCoZn0cS5KvHCEAoi
plY7lz7Oz61sCQqJT+QyX0rHiz84anTQeHHepIcyEs+AjNnrgdYrIFTOv+KUxA/LkPeUT0eSIxEM
xoRYCazXCWwUc8WgeUp9POUES2z05W/Z2dvcoSyeSgzYpGoRCnpGv6Dd/8aOYZoe7+2LcyaexQE2
iSeLgZsuxNIcI4asZ5vueSgd7H6xy836rR0sY0/KxWpVOa2rbdUzyAtSm5d44MhnO7PiswaS7RrW
U9jN+8bBM3T/OvAUZHuy2vxU9WZKH6HDIVguYgf47UoLFO5oisMuPd9baq5n2dxUB7W8O/DKNmdd
QHYdl/Ri2OvquLiQp/YzJG7lBYoFam1Pfbqv6XTg8W2mbGuWkSboMLrc5JWkdyLsxUhXmlsgTcaR
dP9hl9gaThWr2NtKMY76ZVcLK2hXlfeREdpxu/ldYgG2zfFup/NGI+UYlClLrayUGNe8dJ6Vr2ZZ
ZWTJneW67/BJt+zx6O3NzLhulQEOHybgZx+KdVnmHfZC3z89zgNxw9ORkEtnDFVCb7f7+HX/L0+3
OIwOiQGOqu2zU0XXGZztVrevsZU+6sr8HDjdiVTP5hpNUa1X8njwuIbHYIhxmpVF1+DYoghOHpkD
rtD7hcQeb2iGc6PYek4rny+XlH6f9HeyH35794+PA0Vs+UYutFgWrvgw62Du6m7OgVqOcbG9VYae
nmKFnhL6/lIU9l9BynZfAY5lsXOQ6nUmhlUJBYIFpj9qzhZYTjQGAtSfnqnYtd1V7+ntOKz7Je3G
blZF7NaZBUJJtJru9pblvG4e55XKA5zJiP3bsNkOK6whkky1oYCzPBg7REpVbx95s7DTIftICjW/
0c1Uqg7jXzkUBMuy6L5RgoM5SJVRPsG+G4vbQUjP6877cHu5RuJAHRL3cUrPM7PPDbEkgnNEthiF
Sa6bzTtABhnEWYg5rBmQoT2Tw6HM95WXPA/BPuLFfDygZtus0pnWnFsKb2e3XgdIdpznfCKK+1Ef
tnv//FKSWAahTLelXLFo6eW0PnXE2vHFcK4sO+xYXGrJaCXEYv1yrVnGQ2p1qN9hnutq4+R8+YHb
38qLh1juWiGVhSxXIFL3kDF2CKYZPCt0j7y2Ld5bwfZMmaqQiDW9Ur1ql1iju9kf1SMKarRO+D/G
RGzblNrLwnBqYH0pClrxc4etfJ3dYZXYFRxvZ2I0S0dw72PhzQe5c7tuBKqj25XGaRkGGWTKLchD
HjPy0YCqCdRDnFeDA7psMaZsZUmZJViqZDYkDkjNA/W/xFfoIsGmFsNU2CmfU9x1hWRiaQrYQuzC
nT2m61cLe9+W+9i1ufyL02ULkHr+VxyD8q1eGi02vNNCAp0o3KX+k7FQPmKsKjRtb5kQb+/tOE/j
Xz7Wt1DGu2srQTRzupRk2Pruwp1ZwyOW2X9xEZ4G338axbccBuHra97J3YyepQ9yzu0isNEyThmp
ztjWBh49rsDpbM63QOpzjKywAZVlFQUQeEY7JJ1/w4AmJdCknjLeFTwrGKe3OaY/7ch8C2XAXsBM
UisbMMlnHyLddd9j1+ZDsJdsAXT61u7k8zaH/gX1v0UyLuBJODVRL+ADgmCmJsbDilLdgeSLo9n0
k/mPGDZajMCoN5xp4PGcrdZXa3CRLyrX15iuGeaOg3KM5abz6NuZ9UxWpWRGl4O57lvxpPxOUxK4
v8vW4ejFu3RsqBimQlModEUV5oZCX3VdjJ57C7JEr8H+16ZdyPAMeO09087091lS9UfqzSoxUIwS
VpLrdoD101HM0YqHXGyYqAdYPa13FEqwa1UiB2WOyu5zb8w1F+l0m/PK8GyDwZDSTMMexTcAsY9R
v/jlvund3vo70MHGhl0gh0Wq3iDKPkhLbNHGktF3Srl1wcRJbDUYL1/lC/T2ZKDfsrM55j7v/wTu
eTJgUjVKFacXaFit8s17YQND6tXqZYXnwOO11U6G+LpuYMulgUWnrLN/wppVqaoS9IfW4C/DJgUX
lCbIAN9XadLBGklhvll26ZW8l8CROWusTHVOpaNiCViySCo/bzjmONmormqyTrcdYcsay9IPJoJT
pF3ptLwNjOreSwv0ZcB/c/Op2Q9oTw7d1g9dbXMMQXhqOJzPN3XfxuKZt6dQTwbqXBCPHaolOrOi
z/tnOVlNGgtgzEMM4ivIxlEB9Nfuu/upLRqPNvSitFnAGI/PM/e+wMmM+lgg886Iel5ofY56IHiK
fMWpvPjB85/vC5mykLEM5mG5XBrFFGLIOBxc+wJ+quTEiZon0xcjESyVftqc+0SmH8ZfV/vk5fSB
/oywto7cpchT7/JYEA3SRojbtWJnxJSuAWMKwTKwH9AglJEV9Uk9zeEcHDUnFq/GwqhnMhJmXNqL
HF8grHYwru3wXo/JQEWXVRXE/yLq22y2RAxbEbTTAm1z0DGRLTbEAPHaGbrsZhXB6AVHnylDGMtj
9OkktHH3MeTJMUleMhLtCvCi3je2ySs0FsK8iaF47i+dBCFn9+DDW2udt+I1dqTX2iTxolGR9O+h
25cXCFYyP3GJIW6vCPvVxj+APnKjr9aHTaypswEgkSK/sn4/zQnCQHFOBsfzRE6LEvcbMvBb9zMV
hQ2oC2HO2ga3u/ZEk3dXaMlBv0kXX1ck1JZFTZclgwnZZUmcDaeefj8odhD/A4LJhlxfeJhxC///
OMWRLOaiXTFgkAc1ZD37OnHfqgfdS7YX1OLsM+ja7H3goAlwb2kueALxqHHzyNMHO/oBjLGmKSbo
ehE/wD68BeBBRIThwRvWeT7P1CUfHypjr1qYl3JeQY4P7pfqJdzfvw+Td26kBmONZTq7BJcz/nyG
OElYtLbjnbkcz1O5nLEOjBG2UVmCTEPEWaHb621B4nlnKfbqpcA0rdUScdFzHMXJ1MdYIj3V0SUb
wrI8BSUk0nTEwXVnTu2S/Z47A8XTjHmQL7HSS9gQQymeMO9tQoq1VB7vf6LJ12usDPMIK/r1ImbI
W1OvBiObWEivEOmFA4yTrudYCvMM95U4hGgggJQK3ckDzCG3Cn/u/Fp6ocuDCno7/ri+8NHQNGUY
GBNihGllgTkrVYawhi7RcEQUPj0AIufkqGHdEcMmEc3ATBRBVCCG9jMdLra+UQi6y1Gb+1fH960R
m0isL5kaGINONXLXhY1a+Nl6sEgEl/p4+f/oy59G25FABoDCSEolNZToeBdGyA7vsq3YGTpPv3iq
Tbat6yNJDATlmZCYaYpTxFVCtiF6qMFqMKCFxH8QULkGvsZ7wYfco+bwLjLHUNi8YmlUtRGcNFDs
28HDMF/tl96XujAs3uej78U9S2EgCgz0Zjp0kOP3S9PFSMDLsBOtnYqWxfs2Oe2AjE6TgaY4ltL6
ZOI0n1Pk6dFg514wz2ha8/l8g7v2tfMM675IrqkwKFVpTXk5pTAV+2yrt8a+iyvb0qJ4luwl7yQn
IXGkH4NWciSFRtTgItgd5TGQN+VhpgLluQ3evMvNYIgyaKciMYDxApIO3WK2yfz6Y/PVI3d54m7J
4X02hXFuuplYJfkFZ3h6k18w96XIpHHIL2dewcFvQIXhGcp8h0Q7oObEzRBPPtPfh8r2fleXRInF
M6Q/1w5Wiocbd93O5Zxg59SwexVeds+8zuPpV2ckksGXAJSghYD1wbR1DKD5+ArU/MIaiGfuh+Tc
cYXBlyzHrOipVnG0DqV3rRoyc5QX73j/FkyFZiMUU5SfLgFaImdl0OPeneR53MxnmKdcCC9ms74v
ZtJfQ782Fo5hk6MqMNcbjrFhDJKBzuP5sPH4o6HTh/X995m7nDaCpHUa/v7JscEfTZdltO7Vxhzq
fT2mHdyRIsw9jkFC0QUmBKHJ3bLTx3AZrgfB0lpyXu9Q+d+oTxdO2/5fgOpbOeZK6905S0QZMlWQ
bxPBwSJnFKE/DLKMTuR45LIKTNqEJsOMBRHnZjCHqWCRcxdQyzvDM30vtvkvFXMVDVKxza/KCkFj
zR+5pDr88dJopmGgox+5txtB2sg1lTCW0JgB9ouCTAH83zOiepFoSYvLGQtyriR1vV1mScK/egNG
YpnrHJ2HzoylZICnijsmJtbLL8trfU/mArNK7+s9DZn7LDfYxSMlEGVrbyWR3cLG8hH3EUMSL58o
sD44L69XV7QC8mu5XKLj9EBDG7gwqH4dj+ByszaviKV2ABrO2zttX6NDYDAgRMI/NUr8srXsqUC0
DRYogi5DXHDuDv07906A8SZaATRrAv3GUG1driWZhAursr7kh9LXHI6wyXdwpBSDOL3SaScpg1Lw
PA/YeoRkwkbEAWYWLz09SYqIlW3/2C5zX4Ih6gztSkWBBceYH2TspAhTJ1h5lNnH8yyQ2zZE6zHo
j1F/6hdisRTGO1of8Tg3PzUJtaNfwyKUHoVqJmBp7sF+G3y5dU3r9vxHv5SQcCeWbq7mvY/KgFMz
0xtRkiGOVmkHO3IXj4toaxQWsmJxYnsAxcAyJK8CKwXMeL+kG6d2zzyPeNIV+NaazWUKvRyJaQzb
wifonbcaG8KClTzHdD3qm3SP1/HfhVEjkdR5HkHWUCfGNbtC8yAl7mkpJGQGH2TuxNjW4amvLbeb
gPNldQaswiDCuM0MAn1lDudDzFFzWQp+jA1U4Ks48rJJ0+mCkYIMYikJNoUOHZWHNvlkf916Hsg8
OejDAX6dAZ+0ii+lqkMICqg5KERRpuXmnznQqzPAg1S9lLRNSNcU+67pqoLl4CED7yuPE4MHpTqD
Ou0Mb+eshjbP8EexU+VCQvDw06F3zrHd0sx37h27Gzvv9Q7dvQHtHOitZKVjLgmog4ytuBFA3V0v
vnYo5QSW5nA9Uw6O6wzCqEFbC7MzjjPFsg473smPdO4S4ydWMSP/G4zrDLwkihbiYlNZZ+If1lJh
CccKJXasMCWq/e9iwm+TZ5O1VVE0epHSR/qtnqe/wjUIGPegb+rJbMXL9ky7Wf88GwaDH3ER5VVf
ArLWwCz3vUDEW/jgOI33nv8vPeSRZgx4YCb3ms7ArkObGKPtgJAaJ8gbHOPZv8FAxuViSkYZUhi2
091FR10EDZI28gW87RNcSQxutL1kSO0Z9o8Rq1uaEfxHKxQLfC7O05O5c9MMBj30NEzlRIkGFJTQ
OwNqKkrCDb+F1zPDw1uDAQ+pqLJZIsPW/UO97kjhVQR8RBJ3nnmy62LksLAOfqCURZF3OLvrPCoJ
nLHYmTm6aQWroiHV1a7ORCP1Ct7S0Y/ijdlZ92/1rZnv3pEyCDLTzTJIrjATJHswIqpZso9Nypkd
O6BRWwQnKwDZsdujMVSKndAyPLyoIXwJGu/wmZK4tsSATCtKeaqdcOuvS9c9WeYVq+LBrTxboEKC
rYr3lZ9OKX/fRHaDcTqIQykLsCckKNdYGLUAw/P68cUg2F1mLo4cadRo2KM2FKzB0GQDe7hvAe3I
Szm1ktoNegZ3ULbLtYxBwbkXbwvrmKyPCHM40qbuylgaY8IDknhlZ0IapmpIYcfWyxXeCTdCncpL
jsUwHveQlR26UvKb0zAjKfggves7r8Y0aRZjKYyVFlERF71683/Q4B+Dww3k9KhmcQvkkw3YY0mM
AV5PiZh2AfQ5ozzYDFj5hrl2izY6In74QsxiYt0o71tNRUgjobcfNbKMTC2Ca6TSb3WwOwH6rSLK
k4gA6cgzQp4o5qlTjaEAxQpE0eTuwTaRvuhJfVBySHs+Zof/zQrZiQNdRPbiTD9cMI/28kC0HHVd
Wm1IePwdk91R40NkHrwzWNBDo4Zm1/kJI2S+i8liA5sv0OsYEtW0T+iitwSfitcXOlqMg1vSl8sv
M+kPjn8I8x6mkdRFDb159tpuGgLpWFOOf76QM0AC9vjMcUAnm2AMxTAR3akauumY2xHlMzWeVTWc
akxQw1r/y7TE+Zb0d/+JX99imKsRmk07M7oC+IXZLgzcgy7vFy3n8Lwxjhz2NijiIDYGvYKIQ8Jd
iHVFMcgOCQ7uvkKTj+/o3G4fcnTt9AgNAaEMhfDuupRp6eJdwAOPbB59c5AW8Hk53sk5zrFIitoj
kZWKPVZGBpFobAaVzdtadvOlum4XAipxMd5V+76Ok12xY4HMrZC7bmb0PdUx255Ao+ztrnOOCN73
ov9/pFN/VYasbSvodBhW6YmYuwTeEu0btY+8LULi9CP6jxGyYziZoqWC0MHWnw+ALFtDRwDojTww
L3C0otZ8x9pvk+sjrVRDCDUpPtH40RasbWSVJ3L2lCd9+bXXX+le2P+PzbA87ZjXdKZKGnicIHTY
PmOfA00xJ3blp6v0CbwqvNbHSc6osXEwwBE2ZVxkIrXGg9vtk8CGm4eVXagJvxy/vrjE/dMuyfe3
YwBEqENUoBWIo3wkBxu+pqdb/RMXQCZ9EkOWwIhuwt8SGIO81vlFOysGUslgL+t3qqMurURyszk3
/p7UaCSJCUhaKVVCA0rhANWXBANUGJ6aLcBTwIGqqWKXig5YUcGiF9HAqsqfd0yK8qIJGgXXWJk/
Ve/mY/96PqFtyA/f79v9VB3xhyTGQbictdmsMFRI8g9b9/2peXk0nc8PgkgfJPaZ1ROV6xlP3DXM
vImCaJgaLa4wHywQovJUhubwpCFX8zwjpXXqLQNkus7J/rWv1tX8P7OcRx54Tfl7qIGBHEDSZUVA
I+HPg42v11xMlVIAILvB8omutyavV3vzG1tAuNx+t4kmBlR+SGPgP6yKc3a9tMItRVtiJRlu+G/T
rcl7SBL3ETw22W3n4Ovv88ZwMfJXWeBf8XyEWvc/81Too0lQXAILhahrNzMYwVvcqVVb9JGA6pm/
lpyTgkI4vGoBEr0vc0EXMXEkUjBhdP8hkfnIjXCNLxes7njKHlAY1nXwrSIdjJ6n68sOfvUzP9Ey
4ev+kMjczms3S8IhSARailzLdvBEmc+QbuEuN57yJH5Iorg+Os0iyweQ/Kawog752e0w2NLxxbNa
z3w64h2UKMGghW5R3iulTDwYmiRKJqrDoHiCCf8UfC4lGWFeBoNSycXtYMTDCnQ6Dlbd6wQvZGLR
6iiyMpgUOM2NVwNdAe/Zizm3kovV+x6W3YAS24qeq0cr3+7tjpc2nGp5//ELmY/QRXl/xkos/MJ2
icIEVlWsYW/Ded444ArE0VjEMla5QlS6a9N4ByNjx+t7n4LPHz+C+T6nVEnzSMAxgc5aJRjeRU3C
NUjCdbfoef9h5KPvwTzgSRKa5dksoC2i7m4vveZPzq+v0zsvvJ+qdP3QiHm6+2GAaxdBo3Zp257Z
gHgc1dpgt/ZVIpMIg42Vm65NTBXAo51jhfMae0pgELNnPfUsbtV4Kuj58XuYt11K8RJrHf3Mtv2u
vA7vmg0eFrBdNqTDyCPNGfmByUngTMV8Y6ls08usDqQ6E6lUf33dxDvpBFrAyH5QFvNwdUGaAJu5
IudKsDgC7Xu1fwztq9++86BtEmi+vzrb/ZLoYXQxDfyMK4qIyILMz17gXrBl1cTqNQ6MUof9joWx
jHt9WGamlp0EvM+47kFid48eEhPcQbdpTBspxUQOUhsp51l7E+QiLZ7JRAyRFr9YM4xzYKDDgnJh
wd01djusewoykJaCjEkouwoKluTqpMvSGryQvG/dqCIqWm82WUZKG05qNd8vL3NrA84mq41Bh0UR
lgb1KNkbVvryb4pXP6yNgbKqLgcz0nDngKcHVK8w44Xdevx3iwMiN9AfvSZ6koZgmcDJB7urWJE8
CIkRfOV2mLhR+bsPSDjYs4RgnYa5vCpvHAOb8Gl/aMlAWFmZSicEOH8kowRrFrvKUYnRJTqULu/e
cF4vhQExDBxmhajTT23TxaFOiGn9FQ3nWi+a8yCT/u4/7EqWNcE0REnV2canWTtr617HqWZX1yRZ
v9GC34Kv686/Ob+RHOb89IsY4PQg59m1g4QgSyKgd5jaJUfQJBKMBDGn18uX3ozqMz09+sCny9Z9
jfAa3Bcz1V0L9/D73BhkR8awUYMAYlqrsd3rRvYDkDuuyMcCL0tBvGZ9y1xka26yZNISvyWzo7aJ
YoRd10LyBWvRXj4DNzwmZLhYGQCIu4Zt8tKNhDGBQKuBC0M0KdxJTm3FeLcCwAyWJ+251fyJ+HR8
ojdvZXS/s6qLsF4Feslk7YtoZFed1/Ocl8DgnR6D36oeqKpSQcpsC+/qFdPQ6HdB+4V13z6mUlo/
tGHx2jyDAZbau6ZbtvQZ2ODTVipMKbeLme0daatLvN3tOFInn9zR52Kw2JCKU9bH9Aw7K9saq9aV
Ds3Grn59zexjNOeur54qQfxQk3EhcyMXz5UOgSAlEO163bZk/9W+A6u4a8fFSVwcKcdASF0XgpGr
VBaWUr2diLsISQautz03PzhFwPhDLQZEhCHBEEIOUZXduHTLaXyyMFhsEs1KndljHvuDdd59Db+8
fTH/0mnrEOcVoBLu4PLNvka3AVuGItOk9kPj0P/H2nc0R64c3f4iRMCbbcG1QbPJZpNDcoMgx8B7
j1//HVBPGrAIdYWkt7qLicvsKmSd9CcLU/35zOpA2wry14f8/PeVCB0sHFnVQkRnfm4ARrTNzRht
/7MDf6b5i0V1s+06Ie+kI7LmBUGnnkSWKFwzYFblqh7qkgyn4ndyyp5+hrtDm1iP3Rkx73EpaDJu
cqslVhVXcqlHMWpdLJQt5Ibe8aW+IiElHZDIMB/RRMh4gBspmy+iqOfAB2MdNRxEJSS9Cnco9z/+
YjzxTURenYZ6BYkf1KWuQ0Rpnc79D83GqNzjLnVZ+cLtEHUliHoDesWnSidP8AzqHRKTGUn+oCqE
ub2lh1C0a50Il9rurORq2yVm0B3uYUCYT55YPc1bT0ESVB7r01BAQmoGT2Wlp5EW8r6izksyqkxM
qSIWywnazPtIoohoTMB/ZJpKv0mSoOFbfXltzsXvbR9NvbVr/nkY0ISCEWDGN9xyutbiqKuVlCKe
pgLiEmK9vc3k7IJ9OiV3Tztmx9BmCLqWRTkq3MTBiDfL0RADn17OVwd0166/k8FwguQ50//a/Fp/
r5IOPlMkfnUl/cdVquaYwRlCpH0N3NEGxeqvh5CVS/mM7WioXJ2QjjNTyZ8RG2h43xGRPpL5wAl2
hF3tB/14sF2M9/0mnk/uDmRhGVLVw4OFVN4v9QJatPcA7CQW4+tugcD69ywuyEpfRb3mKmG5cT6z
6+boupcQ/L0/X80JrZB/zFZ0/qshXnUtk3JruEmKlbTBHRxfXkIkicmPu4O48+8Y7hPraBSE6xKX
1VUKMXj9nYDVVtH40IrvAWfytWto3u2bZOkuzdivSWoQoMMOL/8akGURmm3E5t51CVrAEerlZvwb
GF4xeXq2PA1JREOKICzJYJW6zR61SOwN8RGscGBWJi8gncO0YzGSsTJRmmEpzJZPuhZH3WrWwzo1
DcTBieq9MTbjnfngY4xtf/s+t5/m32NRhtDXiqJvFsXULo9oUMTE6O2/v2lp1wehzJ/opxEItzgc
xBpFM3wUXPXlIH9g7/0uODOHuzZ97LU4yhQGrajG+gI1WIqbWlYp7yYnMO3Jea32h/Ztxxwf32Ja
xDP7e4MUcGfxoGNEAgdEoTq3sP4HO4gWykj3ftkdYC7V8YHodkdUm3W3W+HRWjSF45OYBKKehsL1
eXJhjrG8MRmIylJ9horQbep1oTdSUeJK28fBAjkFGgwYELIZOa8Ooi0HXcFj1QzlNGPNCxyYhaoS
BOfmMkx50T2QR2A33/sjVjX/Yn67rZr/+tvR3elSH01joQe4QKuzOXw5ZO1cltu+VTz+IoWCjnwW
lbrPoSHP1lsaE+xpDu558sQT9E4E1rIdi+XeLn/xu/n7l07SZcJRH0upNnCfXU0E4u/nbOnVQAUB
Ndc/jI+3WTKQsDcDdRUZnTU0VU8812o1Kplw7SbT4p+EpV51V9ybusOi79vqNlXXoigw6dtW7FUj
FRaTZvHBPsLQpN2dD5NgM1vNNhF4dSwKSXQxbbE/I4duvFiJXe8k0wJvGSM42PT6VkIo8FCHcRCb
DkIsvSL8T3X3mP1gAPBiKb7pwkoEBRK9XM5pUuPzDNCFXWBfG1KZ+l57E8xDqzKpX7a1/a88Gi6q
khfrQcc3Qj1NOgq78r7MzLIqbc6wwuw4znY/kNoxEgvE+mKJyU0ptovu/vaxP93zG8emISXPsTND
QtL0emxsjLqXPVBlmZjuAvLsu5hxIPnH5YJishU7Cuil1Gv0ghmy/cGu9mpBuj28fGZPziZgr+6G
cgPVLC87ZYqFa6mTZNjNs4lU00T+qBnDrLNeikZhjlEpeCocvkIuWqGBsdJd+LA7PB2qkjC59xYN
unXVlK+ipJ2WRROuesmLnE77GGRnPXE97/VwYLI0bvXwrTGAHoyJuDlDKhfSTmNEsOsyNuUX/weL
Qm4zMyEpmoTcBLgtVHrdudoFrdTFBZ6NGdxJVuX6e+mS78aLvCzdrRHUol6G+on0KyHq023l3baH
K+HUm43iXvXlvBLgxYDe+HRWzTO83UuL3FZtj+ZSnd9Z8uW/Mht/xdIkG2UqVC22YQlXpdzluztz
DEz5iLaKZbnIf1UAXl3wZ8VyZfNHX2glX8AFo5Hl1DsFwfoto7eQ/z8yyc82NVSVkWQCPx6adqj7
VCSQT/hTvdgNR7RVEwHv5SfBOrHD4x8Qpd7+etsG8a80+hoj0S+7bGoEJJeWolxwGD+WEdWktNBH
wJC1aUBWsijPyciMclYknOx0igNLHWxZRBNt5Ty1b48J1sK4LIu1nRdZSaQwLK79XJlrnE4ivZOL
pncAva092qKB4o31a368fULGp5MoIIvr0i9maRCuzuDmO9l55BnbtZmfi4KvKEtmLh0goeas6b4F
v2yCDTr7I2tqcBuTVzdHxVp5GMtSl+PmLKTpIhtFYoxBolueTY6+6bKvJFF+UtuAu0BpRgHJpBdr
iVSvArlWT4W51z333TST8+4xtR/hfbL6bLZxcyWadps6ZUjEocUhj2+nN+c6VQSbFImZ7kLCL736
DzsWbLHeAOVEzUlW+nKL0+JeFcHkKxI95cdl+v9xasljfOg+io/bWrlZeAArxD8Rhd4uHwpaKJUG
ZPIuInS0pw12dDJqk3PNpjykJjuJtumP/pVIJ9E6aci1UIGaPoO8JzTRLz+71b750Flh5eeT+mbP
V5IoTInrf96nUoCVAhUOZ0Hn5/4VXUmn3DEuyuX35Yqtkt3TuONCNAgVe3VA9YoV3y5qeuuHUFAj
Fq1cj8KiS2B1qM+pk4PS7+Xzoy4Up+jlYHxVxruh+Uu0oK6LNMYLbdG577y1e4M0SNsfB3gazkH9
QJWOIXEzUlvdNQU+ad1FhjR2y0sVzlhwPX22oMnXuWZG2RLrOin8EZvQ4PUZsiq7dpalEC+5N5k6
uJkLgiE6wQWJ2+to2z9cGZRCmK3BQlyUfgzLOrIumqXMFEApoqyqYYDnk3uLjn00pnqu8WCZEeNy
plsqRMGRgBb4zDdwZhDZyy5oE8G6Fv8oYSNz2/xf9ZUCotYXhFzSICxOzdPR+agUsyxd/c5CV2ps
Rv8Nw7a6AiGZcmuKhbtR5aGuR3iHiOsiYpiwkDsf2abbevrp7t64R3pDZtlMslJEi0V5topDeG5i
TH3t9+fcqkxOIa1rwkk8pmZ4AuNmevrF7Ir93LBx6xdQqBRkfqyq3QQz7ZyO2PpyOjfmR0SSw34h
hbfT3aEkovP69MicOmO4IAoFQ0E26nkfAIZOFvpxmx8sA7ZFs7L+jp//vnKF/V7A6lahx3fsnRN6
1SSndIqnwbANG51TiNoeh4/cNHv3gBZQ92dv3l/uM7dDR+pTCA4fMHS4s8uf73obG89Tc/c8Du7I
CKg3M6tYw6ou0RAa+emuoKhpNa6a+AWpuB0GmNP9aDWJpUQOl5JhbzwfaqxbPz6w8kubNem1YOoJ
j31otELwKZh/UEgeEQx8vJz4CeQLh+6Vr04YrWelJDe9wrVU6i1XQWoIFciGrsgMvpxP2SUJTCFD
N53MeFqbbuFaEvWKs6hVwZS0SDLQ5y6beWv2uMuDZAsn7fX2O97sA10JozuFwKvdyUUCYUeMIAWV
k7yFZ/WahVa3NwsNNqeyd1gJlll39p1kHnJ7h4etaoRl95YCLf2a17+Des18iMC7qJdD16HFXdKJ
mOVhYTG6fd7NSHoth3q7QpBXY2bMOC/GyM7nyrxg65WrmTY5wLYt89mxySodb+HFWiYVsnRt0YfV
jLONnfnhxCgGoGH7wORIZ6noZyPOCjYqOfl/KnpsHyX3FZSDD7rJstSLA3LrQ1FOQxbPgYqPhQs0
zqdTgllsdOyGxtLW+otds1w+xy1plF8Q90Wlhj6k+TXBdP3h0Lvv5eGBoX1bbt76A1GIYkR9m7eB
IFzFZM9dUI+eQ9PnWBPfWwNC6loMBSFKZ4h9ri+694zWpDNak/YXcv/DBrUSGIWObEJq1reikGQe
hbiJ0+VbHVvLUkD88IT+6nPlhAr6b5lZlS3fdXU+ugljHNIUE+AQBxYlw8mPGJHAvhk0R9x+w5sl
RFXF1JOqyKKg0L6HMCuhIIHB8FrMO21J48bm/DGE1tMBJfwYvgczg7PlKa8lUujUCgUXFoIEr/FY
o4mYQ8MCgklkwh4eOEZBe1MXV4ejAaoM564bFiXBLcq5qeASn29f4CYerURQeFSrPYdtA6Jw5TpS
nZQfYNzpzAgLb/8rS7YStOjnCpDymU/jqMdZBtNK7wuzrskyR3tksrJtefXr70OBUhuEWu9H+D7H
3ifwsg932O6cnB8eF/YgZiVoU89Xx6JAiZO4Nh45GbZK+1m+ClgIkQlWwltInjB5E1maR0FTGPat
rH2qw9F5O8+kgjqgggx6A2b0wDoWBU8VXxggOMAllhZYimarcLUn7gCYYBUIl9fyDdRX90fBEg+C
6EJvlSVjeOqvwuUgWk+L5b2t5ZuZp5VSqFRPWFFGtR7lEIOEsuy+nN7eznuMYWDVqWejIvlkHkP3
tkgWMtEMkH3C5T2fQDPAAHmqEcqKdlg78d2xjAmCof/xIlUKKwa97iSDh7jnF47Ie3QXoGPj9pEY
cES3uYRaNbZCDBFhTIbfPLomzF5kacS2ZUTFWFtmqjXFoBApmLBIJgHjLyIq34Vt3Dv73/eR6cIw
gnzJxEJSdv5s0+NcyaTACRsc5TYMVLxijH+99d50x4Hin+X7fTpd35X979EoaBrbUQyrZhGD0U3Q
+s2kdLBcG7kq32Q11yxgcEsWBUxZPfR6hujhCjJ+4eKTAzPo21aHv6eh4CgSa0UIK22BPsQmL6fK
Po0hSH2lk/ySnUv3z47txWyD+1+ZFC5hx1EN/nqcCunGl1okbUg0O30PSvKIfDXDNm7j7V9hFDbN
YquGbYoDLsJO0f72a9pME6v/UjqVpzBp7IY4TiScRXM+0Ep9uezz3ZINR99fgf1uJkPcpvu8Ekf5
LaUuD/6sQBwHb+JlsMvH9Fg/g8vFYgjagnQNxdGFHFlG8yalF/wQ5umEbgyM8Vr+631mIbGPuUWG
lC0LtZZCacKIKYIk6yAFpQQDSX2Z2JKNfXiM02z2FK7lUEoQp9UgTRXkfO6RAdnIdY9+WMz7vr9j
kTqrGXSzOXUljjZUiTiDhj+DOHDvWE4Af+LqnDXSoYflND2gWUEj52WUgVya1+m+VMi9PXk1lqZi
JHiXnx6qH+A7un3Vm0mW9W+iNCfDSugqbJYPOlqnKybsCdbBomkIiAwy0l+Gx3h38hZ2rQVStkwZ
tURCjV2E9yG6yUTkN3gH2R9UGAb7dCbR6VKYqXPdXy6g0x/N+Bk5PsUEQ3tmoJHVFmw7J3cmamcs
lr4tRFj/MMo2lcrIiXWBH/Zcow3EYPMNbuHbWgBliKa8K7qxXK7aOTVmyhPJ/QezofDKskab6Y+1
LMoa9caYN/zyTtG0isFBZEBya38F4S3/+jP+oZJiX2Lc/rnyWS1orFtc/n0VCsjtMCr9ouMSds4b
d6l9W183s5Hrg1EAJGZp2EyfX+n48hZi+fNFsz1oa4xN88y0xJYV1DTDEA1sowN7AHWLWivw0wiX
5Vp3B/A5iU67fDQ98XSN4cRuepRrUdS99XzXTjlGYq5HcAy+veUWWG1sw80sTC4z4JV1KuoKQT0c
jkoOUbz7fPqQr4nDwNXNVp31YSj8npUWY+cpJJSPvY3JgoVQgqEH2ybi76ehoNtYCPq1ACKsBTew
sHWPBh12D+xmcLE6Ct3VNs6lLMVGv+iz40yna3j+TX4uHU6YWf0z7Xaxy/o8/waS/3U0uoNtBgfQ
yM8drNLLyQHnIrDQvYeLvAzusTIem/Wd9fkoOPZFvVdHAecDMca1eAhIcEhDNNcT1AJdrFs0H8uK
/AHxOXe/dDP/YujiZi5zLZ9C3WXKJ55FyJ9cdCwAFNGsiiiAZXsXdaA95rUYCns1pdX8uYW6YO6l
IcGpXeolDJ38N6D798NRcJHqYJuIK5wFaRBszSZJB1LJmGSOVbqtefiDMbqHPxG2AzDewpb3tz4c
hR0lfPW6KyAX6gKM11/7Hf/RfLDEsO6Qwo1p/Cf0Hi394cUgp+693cktutJifDUwD7tL9wzjbFvR
2/psFJRkwhimYoSzYenBCcv+ChK+sw7Guj8KS1TVT8pyMZYFSe9lVEA+B9dY2rHt+PxLO2i6ZqWu
k06XoILQc8XZfyQHTA3MHtw9w8TzDi93B7M7ykfxiBkJxi0yTkjTN6u5wgHxASlHRzgGB8OsnMg5
gmqRIWfb+v89I4UmKBWLnTDjJo+oZI4tGbilicJCLgsUmh9Zi2o4ex/j5iTGSkdoIufZGHne6HC6
hTUNvUefRIXYfYZxjJ/3rvdqh/bnMEbDDFQYT4IeY+VLZUJpernXcbacPVoLwbrxyN0v/f1grGZW
41nfkUKYZJgnrZBwv2jNwP5YaYc97I2JLv/XZVdD4KCzCzuob39Ulj2iqZ5TUSuR3cAhMRsMGkjY
2utvF5Q5no2RfNaVbkrTBV5XJFlARKvKlANpxBnnJ8sRT7ODFBG6DUhl/VDcA06ItlvCON3Wla7l
fbvSVpfTJQACE94BycOGXNEabk0SUcw73jmYGFQ00AjDyuFseWGYftZERVqcS0X4ek4xLcN+wk5n
KK3TvWloUC9Zz35LO9ciqNeoxFUkSI0A7bSs88fgPDLAedM5WgugjfdsBKKSQgByXkuQgbYMxM+Y
f7Ixc4J9Rgx5Wwi6FkepBlf0VctFuDK9Jn2AXvPfDAGbPa5rCZQydEo4YvwDElA1RuXug2SLBwQS
wdtKx5RDWWzQkfV+10MOIvsXMGeG5tXVHuD6gL+AIWr5ybTnsz4SZbXDaEqR5vo8kgVgTB3BBWse
nhIro7YZmq0lUaa6q6sQe2XnBZzQLSg0oGiX2wX5Q3IAs6/FZrvfcg7WEinDrWt9USOpgs9VEfkK
h45t0RjPlM7ZFG0ZJsoAEd3SoAffEd44MtY/0CPx8Of59rdi6DddVcjLSoq1aMQFTnYYObrAXgi9
jXb/Qh26klBwWVNkPr6R0tp8/ZzErjaSkDPryKwEsElqqSVa5Xi9fTAGENHFhaKejHxYLhFsHTFo
qQ47k7XNYTOXt9IF2m6kOaaR8a6WjMfLi2rKoKkEFHl2dL3DVmamtm+WMtbyKKiQuyTR+wWMrBfh
hf9TkHp/Rqdq5sqDOWO8aHcoBPJUheTh8RfzqbE+I4UfSjPL8zAtwq0Bu5sWxkYWbmy5cuvz0bgx
VlMq8tAUjE40l8Zc1qpl93c7rJJFlzND81mAqFLY0U/+JKbhoiEvpxHUjM5Vty4uGd2nXwx3ZjM5
sT4YBRpNmWNrrYRXBnZ3adf8VF5/3db2TX90JYHOGcw9ViZgtzQOc4LdlXYRwXDw42WZPEHbAjr3
3McBy1aPrMouA+rpxEGujPMsxLjEyH1gNkOy4J2emRWkPqn4Dn/92VJ+HsM98tWoRvZXWTHTFHR3
SPMwq2r/xhv8F17R42xh6usKF3zaFOTFsNIERLAfgf0KzpZ322z2LMvMgGB6gFYC9fioxYtHU99H
948sPmkWStFDbImg1SkadRY9L+BfJHa2a8iJRAGRAiL34IvvEjgBrNfMvEcKMMokGSVQQiwqiS3X
8y60lsXd71g2vHtA587/+JzphU98P2bqXOIFwL85OYJ1rbBvWMGm8D2g6hcLqhg2mt7x5CuDUsXi
53tTnNNb+Ct4SO6Ta7EHVv1/eAgUgJSqGGTVuIiz4CS+nJ5598VwYsEMCuJfUBCLsHXyNqSwHh+d
PNBqfwZF7CcaI/PinC+ufHXtw+FzQI/J9MYwL3S6oNIjaco1nHBAU83L6eSjzFzYOyO2H1j7Lxiu
gU7FKFXWtrMsfX47/77wkB5g1XU2K/MrOKbTA71eoOVgCYPAFo9gGYzqr6htPaJcwLItm9nUtSgq
QkmyqpzkHM8MPV0gJkNsjvRtgCWo97pHiPeKPSnY1oNdPctiIBaVEAtc6OVP6CYOA1HAQUEI4aRW
vXNd00aHFCKYpbOCEcR8MiffiCzovECvxL2STBDXmUhUIzWODdEjwYjlvUt+ePk7/K7H6cdj+lAu
zPzMibNNEof1ZVMeSppp6qhpkJ+QHB04suVH5A+CAMY5WQ6DTvkmYJ2JOE5asBO19cwO0WvPSk8z
dZTClEnlNGxZWnQUIca8k9wndI5YTCPOck3ofU4CUp2RUEFO7bygeQRx5zVFJdq3LvuWyBZBcdW0
zV3CmaxkBEtdDCrh0YNzdE4kiH5Z+nCcjz2WoMEqjLtls6w7PviOq5IRO1M88w6DD6Q5ct6vdCCs
jA+FOFAIERumNENRJE2W+M99X+sKZdiAErSoWy9NHaXavU0JGLAayRxkO2I1ZlBO9KcsA3useMkQ
eU1RqCBBKeZ2nPy28xIemVDBMI3cMDNHDibztoFYgGX1FhdBaDLReANpM0VQ6GlZf2zAfyOIndd2
/XOgT5ljGJzEEGJsXJ3K6wslPm5OBuXH15xVJ05lEXTN7NVKwfWmKk1pYKZ5L3+kflq2lhJzuXQ3
YgdOeozjuLsYUqgbbtKrqXYq/EJWiF5L+kywWDnsrEYe1V9SWyql7Sta9KYrMTrq0FiMDSmj0c5k
xNDCnTQMKKRUnFBdsjrH9pS2LIznYgylP8VUVD9BeDCf01hPrnki1g9pO3F2GvgZ+AE0CQVIceyx
0k8q0sIq5264xFOXnQf0tyMbrRlcZ/fSUP0U8yL5yCY/usZ+mOZEycviwU9mOTUxaK2eJBDWgie7
r0PJrOoofAkTka+I3w88WpPDYXLEuekNF31vqeJkfZFEV6yuw8o6KTWmUw2maNkJI5E7jMgIfqgg
3W9JWLQSfxKqKH3oM27O7/KIEzJz5qegtcPKl9EqlA3cNeCj5GVGtuNt0BptDy7R6QWAlKSEj7u8
MKW81t/zOE0ru8mKXrA4v0gjO+277jGoxJ53Rl2KBStThCrGBGleIBEUtg22z3ei+tTMmES0mzwu
fCIIhvEeRoWS7LpxirFnr5u5hx51LWQoo6otLKMJhdZOKtBikrlXhtcoD4p53+HuVKL0g9TupzHI
BIby0Y0ji4prGEJCN7iqY8PHZyVx9W6x+TpsRPCmeCqm7UZTmPqiIXKhDqHDz8aQgkpY4y9dXSDD
kKVG9NgWrRbhQqRcJn1X4FMIldE3pjQJ2btfpqNBtCQWPREbzTJTEfI6xq0osmqJpar3dookNWY4
1CjTiJBo7UlPND4jEeJurL6WtL4yZV7kTzpW0th1OVc/O3+uK8tABeQ3VwZ5YuW9DtdeHzQDQz2J
GB6H0vAftSjLuJ3QpVnnaE1fj25r1N1kSWk65gSrKLTL2Aw8b3GTEqR2P85TgQVdTTCXpKskDYul
6lqfGPPwG1il6aqoYFmCACChkzTx1Jdhrk6DN6il2Q6uKoVOX/3m0pwVgS9pYQqskNiWwftp6AAS
nTLcOppnseEjGD09DoTLzKkjMYxGdaa45O0cPhSJurGNSZXr6InigBSdr3FOoaGmyitGYA9yFbfk
P0bQhSMCJBGagn2TKmWBR2lM1FbORg8dYZMpaRz4mVT1z20hVHgJHZZkjDLA+IgarIJCAejYdU3R
RfLsqZri6H1hhlp76BoV6fPpt+GHjDezJU7heR3GQTU0kbb286z2cjEHvFeounLufDl2tBLKm9VT
f19ks2ZK0cjbt8/4XY9ggnhZVHRVBs8HbSRSvdGGZuRmLypjw1a6DiFuXXQHpZELq1AUgfHhqKzH
550qPD6ZrAoaBvMXbVvhQt9gJzMvhrwXxpFmBoFcnoye6y0F200Ot49GBZr/ECXoPA+I1mHRKfde
GyTJqMWY93gsM94rav4utjpGLiNQEcr+PN/lqtCaqcBVzm3B9Kzgp2Rs30XnpaFgTcRnfL86JM/l
UYBNJrMH1nvTqESb1/vd0BkPoKoxJzm2xPHat4k5S/uoaEYSgYeflH7MCLU/P97XpyspAg9HRuZV
2QDr8NfLNnipMTBEJXiyIvEmtllIItEGtSfxmFd2KAia3ZW1agIqR3Oao9I04r5xsqhL8L+MAcmG
/ncVabLZCW1+zDqeO/H8PD+1QzM4WOJUW+ATTfd5PRq7vArLxxwNmmTKJ9/Js7i604Oifbx9ud99
J5wJxgUfD06NQece+TISy0bseE8ap7tSrH60pcQa9txQUpAXKQauDazGOk3iUE5R3cGjGb05aNuT
KI6+BX2OPjSxY5FNfRcl8xAlC6ifIuT7TCWsVCUDuV0BjgrRK5JKJobSTrsmmzNTRhGX8R62RKnQ
A8XAwDksBhUZ8blaxCO8B89QbHUwG98dMsbr/u5y4spg77G9B2YVa3y+KpwmGyGu1ZC8mo+qo9g2
k833inrJM6k5wiNQidqpramMamAa89SHDPl0gxJe3vIDFAXeOwYWdJUyVrWR1orkS5InjI6CjenE
N2JrSD44WbaMyW700pXnhpT84PRBYebT/rZ2bv8AQ9F1STZwXI2yGXqmS0amLjcgZ1Y3BnbSgeCf
rw6aPD8L/FMlVPtck7yY08/80JA+auzbP2HjM8P1kvE+NFnDBk0K9qoO8qdeAOwVWf9UC3JxiLVU
l83Q94WaceEbH1yEdyBADJ4LaJ6/fvBB0uI2llvey3gJjbixNmNJaS/LjpY0w/PARb7diH3i5Fqc
mdJsFIzDfjdfsqhL6HA3RBFKRxf89HDkfGgT7/WNYByVKeptaHkDn1ZN3/KcKxjo892mQJ6iCaCX
lWGpecp8+QLHz5Wh8F6Ux+pOE/L8gAbA1NEDsb9PEz+74/xBPuuFVjHAnE5sLKotLfcsyoYITm3a
GxGRXB/Q/sd7qYg52MJ4mOLpueDAcdYNmEc0HsIivDaxYs5yxfjKG6eGaF1HOLkYNNqSRoEcjjqH
U1d8vjgFpt+/FrGH3ZWk1EozatzbKvxvzvpX4KLjK1SUIl8U5Q4CjWogXPWa6InTSNlZLzFRFTeH
KIwOeVXlZNAEhuyN5yNpgorvC18MAYH4VfScpFKocpXoqViRYIG7VTCTrAczJ9JnDFHfTZksa7KK
JYFoKBGQdfgqaoqisJOqXPQcjB+Zt6+QriEs6rL+47QNi8oOzIooCnpjUSAIJ/nYHfRcPc1++ouP
mjs0MFtcUu3LKroMc2iLH8PQ/4iNxg54zvYTLHDlZzLHf8RqsoNBvb/9+zYergzXHV7Z4nTCBH49
uz6pWhmPregpUmj2amFG1VucI4ONadTbkhbI/+oE4SJWkihd6mZwkuQDJGmhXXJWrBHuPkyPT7el
sM5D4T5fRCpfKYPoJUlv8f2pVVvHV/aloVn/hSBDUIDwAtxL2mFQy8poRr8Wvbwx7ob6LW5LRx8U
ogiMTOrWiWBAMcmtSeh6oqkVlXgcBR2b3700Tq1cfS9KdSdJg80lGkNXt94BQkvEcqAs4SU6HWb4
mtYrciB5Stzmu0DLnuBH9Lvb97ZhmRUR66QRcuCpqeJne9QKU4SEU4UgTQRPavzAHPRu2GPXWjCT
WhU7UkTKbKvq2OxqXSv3U9l19gQ39DToRvtkyFrPuN7vh1bghQHJJUWH3aT92Dbk5D6sE95rGnEm
2ADcuGLVJwxt+Y5mCvwAUUZ0x4s6hvK+PrMk0WA98SG9rI/3s+qf2rbbByrDs/xuH+DAAiol7KhF
VoKeM2unjEuWhLiXiI3dZoVTlQqyePNx4sd3vxIfpJEBnd+VU8E+Cdwbr2twvelZj0w2BqOXBUQ2
oJB9EMqmt5LcVw+62s0eN6jjf6yiiKLguik61kzglBRUc0j46MVcw61rxfwYFmrj9WpYsLDqu1Ko
vCwjFoeDASeaDtjiWivkiB9lr8hkxWrlpHGHIvjP35uGLJeOpWFQCgN68VUpUq5O+rCBlFDOFCsZ
kdEpukxnXNl31YMUbL9FhttAZoHmY5q1LPfHVpI9ffQrD6Gj8IG3bzxUTSPZt9/2d4iHGkMaUnyq
AidQ+nqgJhPmKE5jxePKNnaVMoPF4nN+l6Wi5E5xPz2HXMey3lvnkxDlw84iy65/FolWeDL6mp/l
Rat4US33mRV2cTwRHhlmmchNESgMM/ZdNTQdaRMDmA+QRHDz9YxFPmEl+VAp3pyBSkHv587pmpbF
FrJ1KKQ3DYSiyBdIdIxolEk/V+iC9TTwThTz2UiCnRCLDFTa+l6I3nUJhOsa1sJQxaVMLltFbDPV
i/SoMfteTvdqKg073S9C7P5EMaDS+4ChJBtHM3Bv8N1RUVJEg9L6QlbH3uhkxUvUsrf0MByPiBBL
MglGyxC14b9qkGVgvbWI8ATsK18/ljQpSS37huJVupa6RTZxxzRP1J0q1J3XaXWwz9Ow202cKpny
IMbHbJwEVv/5hsXTkPZCF6eMRKYATf36K6KxD9C5mqueweeICsZDKwe2nL+qqafmAimElgQqKhdE
yh41ZtCwdd+w5/qSppaQd1j+ffU+ytrgA3/mFS9MtIjETThacjiFBL53ybjvTVGItVErxMptxChf
RQUjp3Fdp6ueroY6f1SkZhzu4ylKRWJw/SgxyGC+P0UdDisvyIYqqrL2mf5bnSxL07CSG0n1uML3
r3WqNb/L0ecZJu77oRYp8A4U1AoXWp2vh2pmlQO68qon1nr9LvaG5KQSyl0kSpqO8SA3TwQ/D3uU
DEAo3d5eaJySplyqeUYbDqCDkZqhcIYC/f4Mo7ApSNVUFHMFRFl0849Q6Ure9PhSMNb5c+pr2Y7n
+PJ02x7QvRUIfhbrhrqAjqwEniAFME2Mgk+hRr6nYH/xi1FiGlmPG+5cD3V/6AaFPwbjLBzykZvs
GPyMThLzmdtkWXephHQvx6CG5BM/tbW48l2d6+U3vk3aH3E5lWctHFSr/z/SrrNHblzZ/iIBSlT4
qtBRPcntcfgieBwkUTlQovTr39HsvbvdbL0WZq8Ne4E1MCWSxWKFU6eaLv1lorS4YuYXTl2zdN3S
cRSyrNiz6bzQLXNoEPonbRiYeRS6ZYR0qpGTTyQbV458wUbhckK78HbBvyciiyozOSqwRA2DDs+X
4ihyHH818FZnPvImyc+6NOqzHrO69zSjj4uNBX6Y1z4F08TKksVu2vm04KDCHYZGoCQuFnPKDA0X
Mo2tILQoGmmpzEHyDDpBz4rSTU3NcAfqxdBLc7h1zSA1fjeGD0luN49DPKSnLLVe9YZqxwyGfyVM
XTgOuC/wx2bKGrjPgmchK6y3OxZZgcWM8WxEKEuWeVQ9T0i2rFyN20cR0ZyFFx6ai3S8iNjs2Jzl
Kqr0NNi5a+Q/tS5yGpY6GGDrhNWHjYuNXk0FNxAhuIq/r9Vs1KKWkdLMT6X1YNgYOTE5hrkyefd2
7+aSA7KDyKLDTonJYCwF1bVUTU9TgcpszpVfutJPrhEhZ3X/vt9EAxpSNcig2FgUIiqxiKWldgEw
VZmdQjymj1mazKnX2HSzkNADrk6/uS9vfr6vUgozEIVYc/iN6iBs2fXuxbKZlwzV9VORy/qnEWkW
r9eZCYK64fcUdgTolG7ylFizX1SZFyvSb6ItSIfjjkQ37AOqE8LDwOqw05quL099GuknWkyTX6mc
b9u4+51KcfJYxnLjxnaqfLq/7BsNnQXD0dXgTeCtEGt3Gsu1aMrt8sTr3p4cTYsqHeCFMFKcUUW9
aJNPXfObVnz86C2EYBgoZJoR66HuI9zCRKItRrzE1YlNBXAm8Ch9qFPiWNnQrVyMW7M4yyKyQlQL
Fhiwo+uzpaSgaqbl1YnUQ+gVTWUHHYebhhkIytMUy/Efq6f6Iew4xQjTKFGfFNA37O7vtDieBT4F
vsJEnRRFRJidd5rdi2dgsKIYUIaqOk1KY3zSJcBWZMJn9IKpYQPYdKLDWGxkuWSfcgI2dyfJ0vEZ
XAuZM9mpcegkYm660H5To6nYTPa44UYjuejVq37c/9aba/7+qag4oPCCRJtovaukJzZIvapTGlLd
z1TroYCXva0KS3u7L+nGeYAk2GFUM2VNRs1dKGei7JMqhkTK02QriVcbfeYgwZCv2OFbYzLfLlC5
6hY6/VCbu1aAxGrDOjFqDRXQEONN675Qkf1tjPy5a2U6uEbREb6/v7LbPQRBtKbCVZlrm4DVXctE
LD5muNVGUOtTNH0q6hT8TQXwRfVjxTFy0v+oOB1lYRmahfts2bKwRAKW+qljmRWkAwPQykTV1jph
zrhMnESOo/bDaI0ZfoYbhZ9g4xUTc12V3rS1NFpmEKmpljihbFEMpTDsOFrxzG/3UceSIEPB+wn3
T7i8UJmpSYvECjggfi6xTAyWBFQs/TSEMUlWFOVWHa+FCa8AMngxAeM0ZjUD3+MgosJANE6tD1t7
hG7zKEM8NRhvKrrmVlvGU95LZpCAq2CrTU0PY0uU3kn0mfxtMOEskE5HR5NmpCsgo1uDDzcUGS8U
YuAswKUW1DKkYzOQ2A4mi3tVHx4TngAd0J6nXtnW0vm+Vi7sJ+iEDcNUFd2Sb3KVUTeWA4WHGLA6
G01nJHImuZ1lpPaKu3CjJbo+xzg2pMjmnDK6XpZuYchnb1VlIBvpLjHxXqMPXvJtda1utiZIeKmN
2tIwhqUsg8zoPbX4Uw7PZpWsvBU324bVIEKUiYIBBWANE2KdMBzbOAl5CdhQRze0LM+FzPKVDO+i
kHe4FRLnNiKU6y1rYimTQsssA9YnADKSiCUPclQUxUfv1LyY9xl1SFcgoSccDbEzpIxsqwx4lIT7
IbcTF3XldkWKqNd41aHTcGMA6pJRyBXMbdzl4GhEaHQ0RrdSUpeBpD2kfmOOWx590LRDFmB6mJut
IhGDiyns3GCMJqlISI6Z/GR13K09s+u8+zfnxl14F2LMBT8bCRDASK6PZ8zGOVNhG0eZGhIwrDF9
nXSzeO0REh3q0Y6+dohVDxMwettImxLX0lr9i8yM6NngTbZlklU4jR61h6LKGsz+1X+Wpa21jkH1
yFhxGET/df5YAhSIYQEbiudnPp0L3wbxXUitqTCO0atZ+RuyVfz+1H+7vyUidh4AENSmkGnQTVQH
5olSghRtGhsrz6wjHNnc7XMbnZB1rWwAyQYzbFhwrxib2u94bXnUStIHo235VuqMIkJKkIWHUrVq
H5NX4wcTI15PppSU504uuxe75/0OkuX9NMUh9Zo2kr2uU2wMDx0ZaX3dBL7biRUgelcsl+ibYFH2
nOm2TGA+kTcVDArA1fnEJ8M66qBiL6utorZ7iX1Pkd+4v31rgsQzkkfgOlrTOvbTEdAGVxs0J08e
0/71X8jBM4oMIbLaKGpen9KkFl2X6JBjkhEz7A3fLpLvlV77fDI390UtXHqEh/+IEkwLqD9KOY8t
69jZ7CnMjVez3nTjqSNgMVKHFXu5Jkw4KMlMwXBSYl3gzJMi7yQ1L7turTdi6ZBsPIgKQH7QcjEe
UzOWaD1Q38esnzDXQ8uLfVs21s4a2YNujsrKWc1ncRn1zsoH+AfoB3BU8K4E50rutRiT4CBuaGzu
pEbBvEZN1uipRV4mRBCKNgPHFVOdFV3EL6XIeVEbNIfBoCZV7SYkCiu/j7v+Sxv1JiZHm4P6ox3a
2ZaOWcxd3o6MuTJXu9FNS5udmSUXsddEQxQ5yKtrEdjtylTX0LU5Tm+9kWfPBojKNb9IdTWE+xRp
yk+5ajQg9EfWDJaHog/C2USN6rWq2I3xMxSUxGYuTuQmgS4ULlau6XwilEhHQPjrz73pGDtZcSW6
DduVK3wTyWIj4eGqKJS+O45iF2LVGrSwLBYFIODoNvVD7RRvY+MdwAi79v7cqAbAvChcqkiVIfi+
gWMrI0tCU+FRYFNgcnrrGYj+nd4QDBMrJKdTvvd15JUaRWUs/zLhf1Fcd531/iitYTdvbt71p5hC
kJgjXaOUyRAFnXTIZQrXrt5m6tYcLMeUiu0Hbcq7MBPPGUDiIB4UhA1dOZK4G6Mgyb4kmuT3458+
Pmdlduz51/uiRF8Sp4mZLihcmTjNuann2lJKHYg4W8DDA4XWnhoeOPocxvjxvpAbi2LAfUA5E5yN
8I3hUl4LsQl4yeTSTIImt04sfA2VdDvEOY5qJbK4gSdhOZCEtdh4f+EHCAayt+0wjHMOEJkiHYmJ
wWwa4oyu1spPQ62N25SX3M8UEm2MSEmfeGy1mzG2UmeIrX6Lfhz1WR4AWy8VuNY1PJenEG79Iyu0
l7K3zRcAlDHr7P7uiDzBs2myUf1HOXt2tOEIX2+PHqJ3JBkSGsRovdH3ShRwske9N3+yDwqG7Pxo
f4Whtwmfi9/45vvC5599ZX3fZSOChv3F4YjZVKMI41ZBYSJgOXJublsG0zM4K2y65YNTr4BTbkqH
f630v9Iwf+t6pWMCCDv4TWhQ019xVO+TavTUSd+axNqYNjqRxmOfWl7xBbY0M6eVtS6KR3EYnQCo
BqJSLIiv0f7TjDKhgZL3jl6XAKWFKF+S3kGrklPLHM8CeSLkW9R8Ya3uxRQIvfv7vWBH7MtPEK5C
qaQpSYmB/R5/RPTVxIzCUPL6Tna1NaTVwpuAkGoGTqPON4f515sdc1OvEGfTIBx3Q/2Hh5MT9d9z
dDmq0WeSrrVY315yFfny2VbriILl99atC/97KLQua1QWB0oS9Jbhgo/fK4AJJ/nb/S1ceIEgSUX4
A2gXoPpiWGKFSaRSeNBBvyGO6tanDEOtY8OpvHZFYW+tI7JmgC0gFw8QCOon11s4SJVslbqGUa6D
OndcOLn0OV8TIvYw4/5DyjxZC4eEJJ1YkqVKO6GCGCXB4PMgPBjui6H7kSdh8CFdeVmWDulS1Kye
F4dEs6JjfQZRdflbktzoubCPXbMSid00qswLAqDYglGDz6WJNSeDjm1SFm0SqNv6Rfsq++jGcxpz
81y/ZRw4yeLzfY1YOqZLecIxpfVIVMogrwThVFZ5WYzS07iW3rw1lderEu5TSsaWSi2kJJOf+Btg
nBS/ebZ/6yvZRrEP/F0f5jATFtlEAld0wCUz0szQIAl6Ub6YWv4kR+W2NOMXq0k31WS7SdG6jf7V
jiruWF3zOI3Snxp9qBLb3d/XBYOJCAqBIUJrwBKw/Gt1qeFGV2ae08B8VB6NV+uX4f0sPXnXuBF+
3xe2pJqXsuZDvlDNiY+VPcOtgrY4VCoamsy3pmbOwNdGuixpC+4zPAQEHAh2Z7t5IShL6rjOrIEG
BoZMFUPiMIKJ8HTF57kpP8+XAK0SSPib+IXI41rMDAeIinaiAQrOz/TJOAATmr/kL/1ZCWo39Mq0
cEYMPfv4LgIsaaKdAGl/pDyvpcY6hhdNuk6DSGaOBF8F7c4OcjS9vuJqLVqtGe+noZURQzxEJ9VE
HK9ATZPgK9kYozMdhyd0S2KsNgKgFau1qIeXsoRXs5ooVzIJsgZ3HpP3vXW+wEtw5qGhw8oDPW/Q
tUOEIs3FstTrDWwbWe2QHU6C1if+v/rhAE6hogwEDl6v6x8uK70aRyF6HFraPZVKDjZlOGbex1UA
mNy/hQgrQHSoGBNv4E6SyDGq7rHSSie1n6PGWtGBxb1CFt+0Eabd0nSqes1tO2U0oGZOnUaij7I0
rFV5Fp97gK/gVMwcmUAdX28ar8uqaTLc11Ht+baJFTyT9kS8BgBhlCesnyOIOVAzJZnfFdz2w8Gm
K0px67WhDQgQP1BF4Cojhrn+BITzHOPJZNjBhGBioW0dG7Sh+7Gs/Rnbingc7DUrOr9kpTAiBxVj
1OTheQjmMJww/ThM54tM7S2SNdMOwW/qUszYWlncguGFdwOYA/B86MUWy+BGJbN6KKI0UMifEvsH
l0BLG3dupL2vmAtLuhIkHGQUM1bpVKIBUTMfGPVDOJAAhBj+fTEL7/Qca6L9RZnzPKIJjNCl3+dJ
mgbJYNd+FRbR4IyT/WbQvHVRjIwdaoWK0xXWEKHLf1iFQC2v858PEI5ukpIGwU2ZBq0if1Ulectk
8piN0i6UjcHhlv5ADe1LHdW7kbWRgxIn8JO0ztycstjjWS47CZDJK2Zh6atmSt05HAAAQSxAFyWw
eGB3SIO4IY7JqZ9NL2ZFVjKUS8qEchuqzkjrIUkkxLI11WIGDNu89vZU1z9i7VFRk52NRM39U15a
joYUCQ4a2Ez0+lxfyQR5qES2MyxHa3wFHKPwF9r6wyUdA+1xF1JEg800cwjbPA2YbwADEReflfZ3
iR7rz/dXM6u+8OqgQkVmWC2aN9CHd72aQettOjRTFkiqXbhNX5UISQf/vpClLbsUIixmJF2lR6Wc
BXHmar4Klp+P/3wT6TqkwtADDvfnehF51GhtSyo8B+1XNXul6q6hf+6LWFIvVKIQY2IeJGgUhPhF
qXOM2bZriIge8vCFp3sWeka+vy9l6TQAgsVjA1CBSkSWopqFpOEEFlErp+o3mtfAfEnQ57xieJfi
JABj/5EjvNRNW5XSoMRpUH3N4A1KsRMqBehkQkeOOrep5W2YZ4esqp1pDDIzfigUfeW+Lr2uV98g
HFrZZqwC7RTGmYBB6xeqVsZv61t1bCwvLv34+f7GLryjaF5G/h3IDWAPRNcbUWHSkoGmQSkFY5I/
8qxzjXY3pLEfV2utWQvqjgQqUgUoB+IRFZH5rEn0CDSOaZDzyemMP1FbOJlJVi7VgkaihQfoWdT8
kUF7JzW9iCZ6qY6HsBlxhtabnHUoy2zAQ4NDXMOzLi4HyWB0hwGxZsiCZaWRxeqWq3imWeOoZeRO
02Es1jCPC6o/F1Hn7qe5u1ETLthQF0lLTRNm1TKgjZErt82/2DEcPWrWwO7oQNdfm4lsaGnUtUYa
1M3PZHru+wTPMwZlNJ/uK9vSyaAxD23TUDU4bsKGGTTUgQu2sRT4wdoQgycocrVsC6qulYu8dDQw
FDN2EwEf+F2uV4RCT8MB580CkmNqlP7FBlOPST8e2c2mYsbxzkQnIsY97es+zPsWQgxwyVq+HT0q
8anO1tAl87YITxFKSTOSay4mAWErLAZdJbzNIadNQydJUr9pkn1q1F6H5rQyOsTMOqARYsXdXQrx
IA+dLVALvOg33WM5a8ZpUPA4BeozOgaYI2+LRwvsKh771aeA5K0c2m16dMZP/CNQUI9KpmiwSmeB
Z9XPPOnz5Be+tr+vg0tCZnQa0HAIktBWeL2ZKZnkPO/HLJiUp5Q7pqtWwPttfunVl/uCluw4wauI
/CFw/sj3CreKUgvTs3stQ7OKk/tW8ZJustQxX6ffUeqOazWLpbt1KU3Q+EKuagl5UyhjHwFV/qZH
zOnl1l1Pjs4/SVTHS0mzwbqwr1MZKTGRdOwgO05mtuPf8TQWg98Zbpm6fXpM6KatPFYf0s39LV14
rK52dL71F5IrQ9NybqvoajpVccD99lfLHOvtfxMi3LY+mqYkMnFsvN1+pz/Sb1Pphi/3ZSyZJzRC
I3SG8w/IiihDbmJmj1ketB39VaL5pp3QzWS03v8mRng6pFbm8SjleVC1ZFcU8X7Kxu+mTtfcpqXl
wAV8B6sjyhANIaBuoVZMaR4M6IJ2GNprNukQzYUGspZNW3oN8X4A5DTzKsI1v1YBoEYAgFKKPLA1
arhKiEZdA1M67u/bwl0C5B4RGXCkSAyJHgSPGtvGTBcY3DZxYwIigVZ1URoFJm5F0lJmGZ3AMHoK
ivco0gjX1rRqK2MWzwLKDqyNHdI9qNmXutyyCsiLn3J/GJO3PPqB0nOtEHfs1tyLxbXOJD5I5sw8
OkIIQsOm1PgAdS/lnYmgrUo2Q5jMA2vu7+lCTRUhIWoqcP8AXEPP5PXJxS24HfEnx1hmbaO7k/eW
H7jz29GQty4wSzJFeWVF5IKyXIkUlGVKozHVhyRH1aPfyIfBl/3EiTvnSTnUe77FdPcViQsXAQLR
PW4jGALmY/6gCwOlKCWxexmmMczybQk+MFSnpPjp/rIWrCD4WfSZPG4+L5F5iBkV+j66MAtSTUfr
7nbKMCJCe+7CV6ldSZkvPJZwa8HcoaP/BDxPgsHtauBzSIrbVoD8xunziIISkObbfNT5vmKIJ3P0
YJ4SdGD+i51ELxaY1ZCWRUJBeKaRrFHVHL8CUw/6/jcLaP9xAAnazYBXR40fegnitOvD0vqwrOIo
jgPWvVWA4csErZDskKN11UYh+v6hLWgGMrIAjgD/NreXCfccHGatIU1jEkxx5Rb1oY10pxlXgrmF
uwzvEC40ALwIx8W8LEg+czUlOuph+nM+MU8mfwwbNY2Po0fmPq9/5AhqkZgxHEMd5TCTvBih6THp
By1fAOpesRkLmg4bj+T/bBqhg4JDaCmEN6CtTQJQnvoWAgYvIQpK8wqczzz9PvWVsnJMizv4t0Rg
hq91Qm8VrULfQRJUZubqCP9V+lKAY9WQs5W1LSrEhSTRHGYVLZQiREmxDQGlGmQs0PjBmbkSpKzJ
EWygzWo+UwYmQV6jgqdRj+QII9eIQea7IviEcGSQntEBHUSCTrhL6F8LU2IVAFE0hG9tJd312rAW
pi4LATIRzTpAJYqHkw4tkQeKbBaqsJMR/THT8df9W7pg77CMfyQIh9JHUcoyBRJSufUz/QcYfN1G
NneScgJvgYfQzr0vcGlJiIRRlX8P8UWCBGZTtAAbEIhS72MBZgR5bF7vi7hVAG1+bQFkmiEa2Lxr
lQbnT8iVHDZcqiy3jFOn6974Wm3kduNmIaCGm9mAgU0XhPStmU4MefKgrMJNZpMHqn1ODP0Yc/4Y
5x3oWszd/WXd3lRA+/FAoJYLYwSber2sJpR0GxjuPECTttPjIeJPkXXu6YcNwrUY4frozM46iZV5
gA4C8Cub7GGqHow1lNzaYoTXIanCLm6KCu+s4WcZSZykRYYxrzOnsX/f37dbm4oFzYUlVO9MlImF
Bam2lFlUHnIggh7DpHrtwG1T8RbLAoY2Nrz70pb0AlQDSKDDkUYBVNCLUGYSvEJ40jFFZT9Bckzi
rzWmk9ZN9wf9TutJmRt1n28vSmbwZucmRZE9T4rMDmN6KxboGW28FhBND0xd5U5jfI0raEEUfAcw
NwC3AAdeDBNMYKvKMVb6IE1C/ZTz7CunkbqZTMK297fxxkzgSQcsYqb4mFuZxExjExqqVNd9H6Ck
6klm5cXZSlpkfkqvDPi1BBEbkYeZ0TYV1oLbKjmMycyHxGYzFWm3A3iPupLcqBudtLbHU658vr/A
22TTLB9PPOqmAL4SkdkjtkqlgBPaB/1PXX3W3b1iOiBPAcYTzJlug5lC9wXeKOa7PKQxEHOhuCP2
OVl5aaS1hfXy1i1/x0BDgYeeeZO08szfXDdBzqxDFxFBX4cxWj5VyOGbiNSOqZ4jr9Ee1NWi/KI2
mv+sSLhqGtOpGtpYETS+fgWx7D75bfud0/gJZlTLXrpZObO1pc3/frG0KEriugeAIjhNP59iTzl8
GH807x3Yv5H5RNUYT9i1AHjsUTvU2LvpZ5m4k1uqnn9fC27sriBBMIZlhYxjPmtBaxwz0JqGLQG1
KRiSf96XcxvmC4IEA4/ubabWRMP1Sl5o6yXNk6473S4Ie6fKHMyG+MK1bUp+rdE8rQqeLcvFIVWk
jqYsgmDyqNqVI7vDJq7dL8NGk3fk8K35UTkre7qohxenNv/7hcSpq1MlVnBqnfyaaic9es20FdqX
NRGCqpdhIo8J1bGb2lPP3wbrVGrfV05s9vRvDOLFMgTtBm5xyvNZ+dI490D7Zceu/rVqndRDY1ix
DdUVQ7Fk4sGIiIZ0+M+ISYU1gSWdauBe7QM54Y4c4jHWqhURS9t2KUJYUhujnZpGyRCo3Bn2xjFZ
eezXljDb3IuTxzCGAjKwhI5+V7tH2r+snMmaACEejDVFams9HoIQ2Ydqj8aBOn7Qfgzn/mQ9yMfP
ySN1s+f7Qlc2TaR4z7oI0FkzGoKsqL1Sqd0S+MTCWMFtLUoB3waIDudsizX/+8XWVQm4B7ICRxNy
V3UABGhWAo2l9w4kU38LENQLJDpD1nbpEBS/gN1wKTm3+bbv/SbZ6muliEWjgxANc0EsFPtADnO9
mrjIQhVMQkMwKt/lmYZ8gwwVJixiDJTl6t9xSCurW/Je/hY490gLAvuUd405C3QrzZUT13zrwNIy
YLQMMmQrar68lf9ZHYTdPEssHSxaDkhkjn9sx+F/fnxcG0CEhBgX/Rhwj0Uf3WLmgGY26FzVPBf0
nMWnkZ7vq/XCIq5ECA9SWVaVmYLsNFCVb2X2C9e1Lh9b9P8/KeXKtV14ZK9Ezbf6QrdVVqHrGCNe
gjxrkej4oVnfOCaIKGsx6LIcFHtRin2fcXEtZzZuQ6/hDkEF7MFyCwuJPEyG0e01DVjwfLCifyQJ
hm5mwFBGE5epK6mbYl6PXkh+qrlSyB1jZfcWbB5Ioy2kVNBAbQPLc72qSB7V0aqyARh35hT65AzI
ft3XhcWNw+ye9zAafIaC8SGKNnVpBYUe5ENeRxtQJjq6sdN5vrsvaGnfkLBGRRldMKjLC5pg1ZwM
esY4mv6Zk/B9Vn2xim9zfk1hH/fvkR5HeX6eHzHjQK63LSvpkCRayYGT78+t5BSKX9Uu8Cbph6FJ
INK7lCQsSqVlNMh6ywNMPAATlUZjlzXFWiB9W02exQBqgD+oHMIxvl4Q6J4ikyQ9DzrNrQLZD8ut
LO244UzZtt6Xa925S/bhUpygdoOVm6XEcVSxlh6NX5Iaecn4RY18RdkCZbzSYLHw/F0tTjitEXlJ
m6dYHOmpl5eyk4fP/Qe5DwFSQ0EPrxLwwgDSoJ3jegepLfGCthM/A9kVnzVS6HsrMtYKF8LG3UgR
3r4ijbNEyxR+Jl/psAWVyqCAZvEl1X9Iw9f710lsaBBlid1zBm20XGohK5UCKf9m5SAl+258V4sg
QVWt65043dGHkn9SxwdEtmvVLhEt95d8FGNBYoXI/aZ4GSdWrYHzjWMsrwpmOS/vfQccc2RPT+j6
tTav99f7jkO68Mlv5AlXrTAKM8Eh87O+zbpPZPL63Thuqu2fArW8Yjvsxjf82SWbEX9L+2zrrQ3z
fB9DeO8TBFvZzzmnlmCsjyV/y6zHDk0+ZdH7Jd21aFmlRxONF4OSPLK085rym9H9GAHam4o9Coau
VR7T+HdZ+waGDfJjV3XwTl6mYpu25MGSMO/QGtxKemq7et8ZymHA0PJxpR6wrDRALFnI+gN/IFr7
sDMMxmKTnzFdQnbD7fy72Wub+b+xy5sNV7fxwbt/dILl/+vkAMl7Z6lFSUewXtVoo8dSlfiZA+am
e1VZo6ATjXriDGBy9kJznMD5hqb1+2KXNeZCrmDGeB11hp4a/NyqiO57LymGDYF/oIdPKPCkeroZ
pC9KtY36E7P3QwQCMNtJVMcYiBcbX/MUqF8yuEl4kopjufJ1YsPOX7tiopILVkwDQZ/gtmYWhm9N
PY6i0aljJL+y6gH5vcxC1WkPjiJzkJzmEK4WHUTW1L/kghUJrSyo7iKDfm0JM0lHE2qE0yBxv6EG
2F/ANGKEo1NZhRfaoxNFGcbe+VJ4bJAzUE5VdUbWQgEHxMQSJ5+0oxmB1+tpLA8VmJXvH9rStiAK
AugMaVUwhYguT28MhRFWFjs3/CHH6KIqeYGucj1x077AnMBzVDnDGJAVl2FBR9GipYEPEG0toA0S
d8WsC0xJk/rzJL+2SrmdjG1b1hte5L42fCxgmU8AskBcBp4SlHZEoIBt52h10C2MaeePlR47/fCa
ShtDRVb+iF4Z/WVlS4Vsxl/yZvwo4CzgnRPpTXtdKsiEWfHnMWXlJ84j1a8gFy3euiujTcjXMgyy
SXCYn9RoMA9ZgfmV979h4WEESS8AQGDSRGCjC8a70rNMbRK7P79YsYoMs+7IaKKUfmVT42ZrXbXv
BUfBTgMCDEwSbJwMKklBWjbZTCpyYzinxlg8TDqRXjKzkzC9MI0MUKh05YEzaLxWNaMXdWBbLlD3
L0ab+ck4qYE0WRiyaGijO4Yg2YJ7XG2YSS2XdTU7ssT6jLmRmmeqo+FOJhi/+7Aq3NqGMcOQ287X
MPqzUdpqK7FY2UgD5n7qY6c7DHRYG10ekQpumQZ7Q7R6WjHxS4oMmwcOOdRAAOgVFJnHch0leYq0
SFZ8Af/6sy69mcNzXz+02uf7hyrm7d8VC4BhIA5QX8SoMcFzy6xuADdLOZz10Lf1PWaV7m0F87bi
yqmGPz1IB4EG+zK2g5ubElDFa2V0EVb0nw+AW4zxuigGiijLqmfRZEr1cK71TcitLavjzTwCtio9
kB8em2lfJIcclXxD/ymzTyUDwXGNicbj14JGT/d3Y0nFDfA5Y1YlpjogDLy2q6SYSK+TajhL4fea
/Rztx7RyGsMxy4dVB11Iefy1bhSeUAsHcBuI6mtZIBvLh7hgw1nt6BtgmE5qGvDBkkfjZy9VLiYA
M3UFDbR82Bcyhdc0arhalWo/nLVQ+qlZWxpuywpPaHQos3YLeIs3MrDpKNwJi8lTu1W0nBAn/GfR
2OK51CyDRfp60VPVgc1S6YZzrh91uq9ZQLJTyh4xrbfzE+6W6NJpqqNCYUInrzhNa0xMiyeMRpr/
foBwtRqW1/o4a5sWSz7JcoeTYhM+6SAPZ6AWMwt9xcdfW/H8QRfJEzzhBqUGjpmOygNX2n2d2wFh
a/nHxTcXF/jvhQlhizRghJpNsbOj1O6UtPZkROWVsU8k7mCMHbI187y3eEOJk5Pt/Wvz/+jV38LF
HGvIVXMYdSyyyzYnw3ArH9l266s/ff7U7lacruUTxGREPPXzyAZBh6WwQZK9hSwz/1bLuy79VADf
Ob5o4au9Imp5U2fiQW2Whrjz+vCSOOJqIjfDeSh+D8nJAFN1iOi98NC+hlxYGW7+lN2ff7OZ6MQC
X/VMjn/jPZVdIXc9LinD22WBbmdDEC5VmLXsSrbTk53Fuj3rdvHv+4LfqYpvntwLwcJTgHlVVlaS
AZdz2ivxC6gqP08y4CYVbCDsYDzPLy6pIycYZhdhTMZ+GE5VZ+1sOHdDR12MJd1T/RzXT7X8SQ0Z
6I+3yHVxJNWY2jupvrP6lYhythf3PlnwEtp66DgrsVfgFsr2FjJs0bDrpLWexaWtQVoNLJczpybc
PcFuxXwo2YRhFWdqn8gm9gvmam3l5K8h2RoRxlt7GXgBwDycvbWf7eYsFWh8mEKntMMnVTohgjfK
E4jMDg2wJ0982g7ajiO+v3+CC1cD+B0ZTUDgWEc0InwlOpFjpZLm3djm04GHz0TbYwi6N+qPNVlj
OFwWhsEEoBvGayn2YYTJxFMpJ7iHBQiQd5E2YDKBY6Q/ZfTgFz1d8T4XThpr+0ecYN8AGVdA5a4P
Z9tpgnC7Mcd/tXl/CxABFJQTglnj8nCustatZcMfix/RIdqSCT1uwxox/ayYguJeLufd8lw8C7VU
DXo7YjlH4vQrW/WOW7n3wwUTqVdalxY9frhKP4UAwqlmi3yLvi+i2mv0zmu7R6lzzG5v4aaEXAZR
kw4kT/PYhM1BTbpTOq6lqMX05/zyY8HoswM6D71IYjsu+JfVCP1r0E25fLLNsHqIx2yeIN+ppmsN
Y/qtV8hvOPfmgdC2KRzCig8Cr//6BvRJ4gOAfsUsqGtz3usVs2MNKlvVz7H6glo6RoMbUeTq6koo
uvQizuQuf4sS/Axa89JuNAO3ozYf62LXfa2RDx2TNpClQ/KzIR49heBhCdemwC8qFiKH9+wAiluC
RdTSMGwaRYJgVlqOZA+YVcxpt6ZiC27NHPb+LWb+9wv9bXlR0dEKh7M87qxk3PTtsXR51TjsW8S2
DXtkR2tyQE2UjSCfLH4oKxv83rx2o+MXHyCcZVcptMlIjGTwnm/6M8ZvJE7qs23rdk+PZKNtvkvO
5J2o7IzeQ5/tOpdvOxdRRLl7vm91l6+brqPbHEzIgK0JXkIUjjlDNQkJueyBY045MCgyyEQbL2u+
UrqF/+e0+kv9tWs7R5vccPo/0r6zN25l2fYXEWAOX5tpomYkDRX8hZAsm6GZM/nr36LPvduaHp4h
9n3YgG1gA1PsWNVVq9Z6MNqnxmz99/sfwhJy/md/f/sQ5klR0jyf0ihHWujU5eQN8y881emm0SBO
4KZQFk2wIk9abHZ4t4r9YaJPQuU0k1nT1mpKBwwg9BSiQzX7l3RS//kyZO/xwJsTzSyRd40Q2NCj
aLhIXf4WGeXX2OzD9OP++OczdbMl0I81U8qDMZp9XOhSMypCjHXIBoFDVhfkyT4fWWqV2bnfgPFy
DT+4eNbmQiJw03C47FnLUPHo0zYeLiD7iHdSPdGPMYyzlX7yxaP2zQpz1AZD8hNNKDF3tJUPEC0O
9oUUhk6uNMbz/Rn8IyV0M4UorSDYMSBxzlKk6C2fVVGDKUQ81TmNM+5EV3TRNO9xTugWb9gtzvDT
irf8rrbH8ZS7weGVbkfH+NE6wbawW0dweyf7HX4omlm3W/zZ2c+Rk5hrAcFScG7gof7PtzI3APhZ
gSgocAPEYkjykQwCsgL+EZo/VBSJXm784Kk5/l8ycVdmmZvdBx9HpDbYylxxjPgfuf/cSVs9OymA
gaXnQsAtc39RFtf/2ziZF2ROdYGGejJctC4ad/kwVHbedtVW1aO1ruulZAwGhxTWrM6Ic8oMrgLL
cxpE1XDJ7X7XOKKbnQWL+6k+z6sLWvyD6mRuvbk/wMVz+80oM8COG+a2hAz3J9f7eyiCRWZR5fKh
qkOFhLkUEACAtZVwb9lDf7PKBJQp2PT0LMRQxT63h43STIA2n6oN9NSq7AjmI9FHVtfm0rVbY3k9
/5lj9lEptIg0fVS2L7zSnES8G1Bg0rl+5TL8L8fjrxnWGSRQimubAoUuA2n+MzV0s+N3kU9E7St4
77KQaMIztxZ7LpUmkPYXZy5JtE4rLGA89UUqtKDRu0T8JkgNU0POtImgmBtZuIy3yjCZje8AnuxW
WWABgWTJwrnO3o36o9S23EfA/RaHPTjXTFVee7Islc6uPo7Z3kLFdRmVcJRS3w5it24fm/iiy9bY
b1O0BpgQL88the7jVicNKI6Mf5/YvbLP7HQuMqBvzWHpiywwIzvND1Szm6IytWKt/r/4XoLflSBR
BwYmVjSOk7Kukyt4DV9+E8eN2r6rHNh23PtH978s918zTLjpq0E2zeCJS8w5MmgaUAqR9ecmPaHV
xy7RrISQRwRURLcS7DUFG0IHXC1H/JFqGz4/DVxBkmgv0M4UI2HljK/NAeM5I04udbFrhgs44kyZ
hmbmOwqXP7arBIjLF+e36Wac0eDnWifwLbwCzZ04OlDjoSzj98I4G/EmC4r9xL9L01PK7+Jm47et
Bd7LHacfSmMNsL40aNAVwGHMUpQ3ar6RHjaDko+4XrRy+JCjbrYjD9ZQqMKhS1NlbZbnTcvGDN8N
SsxToDHkOCwBIggeavUs8Q0BEW4bOVG+S8W1csGSr0BpkQep88ySyDKQ6GMjiUPu4wR/BPlnHW55
0IW3peb2n/d39pIh1NiR7BENtASzXVc+p/T6zGR2GcrSmgpcYlzrFVW/mfLopMtrt/VCfQ8oJyQ1
Ib8360sxN8NI8T73O5RGp1xzaev1QwqRts7U251k7I1C2EnRbyP7l12tf+Ly72YZJxgIjUSVUBsv
ERhC6l1UvtE1zoel7fHNBFsjn5RhzDMOmoxd/dZ3p6oaoLfnRIlMdHqp6Jp3XVo3ZE0FoBCAyAAH
wPVu5CK/lLicGy9NiDQOxbNPexTbjd63mxCVwn+7SdB4D+o33H8odkNp79pYoFdDHIZQwZQBWKmc
TvyQfuQi0eiK37g909d22COm0ziJAtjhjF2j/Zi0twK9oE/3B3P7mrk2wlzlTZdAgDEGMgZIh9IU
ZZ/fcfnIO/etLDzcYQbiaXP1B9lUNr0NscOR7wCVvyiDYA76J6KfQQQnrT1xVlBDWqTb5m9i9MWN
L6my18avERmEIuQsBaiBUo43YfMzjH7JgDaMu0wvNqK8FXMrgKfp2x5KEyvTcrt/r7+XmXugxSNF
64E6S/PzOD02m9rqVIJWFjVYQQ2vWWIWIAVQBe0ysFRp21DfUqW0afCKvjyTj3mgNVYwewvYGowM
DgLpMPSXokv7evdiUFxIBwMjo8lR6sJNXdhV9zxIAyn79jkDW5Du9DVPejoRgEpimTfRYEsi3234
bduZQvYRZ+Aj7FFS2oprTeq3cbKKax71D3CA6SgPM5/Xd6BJHWpxRB1E8G29KkdCC/ALdzT+tbIn
F87X7FI0IOHADX3DayXlgl4D5iNe5AouejAF9HrltjY+G8oTpG6K8tSpIaHccxUo6IIkSv5YcI8N
YEbR71jZx2H8M9W/NPS9QbO7fYMIJdcGTt6sbJCVz2R1QgKhwBXmy+Klk6nogJLWbrQy2iHhSs/h
2Ky1g/zhNLj27PB/ALjMVKZzsY15QoCCLUkpsKyXfU6QTivJSTU/Pz9l8/N8eH19fX9/f3j42HlI
sZHfPUnMr3+9LLCPPA76+2aeHbYVtAhVtQdNq3IJD8BZENUdHMUBI9IxcCO32Uuu70hPqTtt1K1g
5yfV5l0tJsku9lZpu2/986xCps3865DduGldj4xAVxNonl0UABOI00BwKgC5Ffdeb9YgigupcpQ1
4U/AQDJDhVnlGSGMtahqNfXC78J3w5k2IHV5yGwVHOH3J1iY3Tu7wDPdDugl0bNyk5YbeSmWxtZQ
Lzk5jSaYwc23U0B+yaS0zof3XUh68nLf5B/syo1JtEmBQ2aO31hSMg2tEQW4yNWLtT9W58vJ+eEc
rcQcTSMin872hNZpcnEIrpWn+rzZbMzNzrZdEmPw1uN+xa8uPAgx1d++hol/wgllcz4v1ItGIjvv
rNoDkC+6xBvTLA/DLkE2abcGbVozKjH5YuxoCNEOmAI8OF/MH+NnmdjSq3SYHqBo1r00UJJ+Dp5X
5n12U3fmnQVw8lGMJ3hYYt6to/XjeHJOp8xyTqHJkR8l+Zwn3UmhNkfybfVgYd6fY2J+iCQ/bR6V
c0s2KxuB1ZVB6DlPPYhh8EoxZm68a+9TZYkajEOtXvxj+3R0qkMSOYdX0TFsF30/pvDrEfjO3+NO
W4MnLm76b4bnW/Zb6QIqQEgPizA8CZZo5kfjuerckuL97zTS2/1pX8gyYZQgiPrTFy2jJeja2AD6
jjziG5ywlEyHzvD6CeQd5yE4+q9aZMZPIYTHVqb2NgQGNBgST2CEQpsBdIiubYKImOujIdAvBVZU
sb3CzTcrw7r1zdcm5lDm2xxmEZSUe9/XLrwr7wC4tWMnsjmzI6+vqKZt5M0qFGPNInNSAURopSTg
tMtgdVZvBhvuodpTT3gSrdzBBt1kR3/levxTlWDODIhcAfQ0IDEMzgVmi6pCOYpBUmOU4Mjv9qFp
2KX5GVrgKzcTgvK/kzsZeSrdcle69RFoCGeeg9QNCO88JVa0ia2BnBW3IrEdP4Ilm1Ayf32LfxVu
ZCWEM18BXzT7vbJNjty2MQPHN8NtCZ78Z87RV0a0uDO+DYjZjWpapRGnVdrFKpzg0ctPa318fwoE
zJQBka6DnhEEobMi7fXG0FCmb9JO0y6NJZvS3j9zT4UTO5gxe9rQH6E1bYJd7QqvtVMRfZ874T4k
jdu4FIvoP4mYB5B7b/yHft2vLlyBqNXg9QJs5QLdQ6x3UaYnkX6Bypzd2j+qreZMB9EmwSWJTP/1
/hlZSI0BG/HNHHNGYC5NpizWL62N/nRA8x3NRh6IGPZHbkVO7IY2YmqiWfftss2b88V6ZZc5KYFf
h3IlYZiqq++abf4QkYF0oBF4Lbed2z349n2DC/fpH7S1AdEKsJKwvZtTBSHuOBn0i+/GlrRp9lhY
h9+UK3fOmhkmGJUgGoasKcwgDNwM2+DRcONNYWrv90ezUM2FNgvA4/87HObZkUDiWSv7Xr+8ZVs0
4Dj0EYjYp+CoHia3hUKGBheJpOa7sGZ4/mH26IB5DrrpaKUCXyszQBWhfJ4oo35pDuVO/VB3iVXZ
sqW54zP9qZzvD3PefKwxSC8geyED86ux7Dt87JdC34XGRSrtSCa4oVBEC9AesKbPsRTNIvv81xIz
n0EjhRDDi42LEdq9qYTAtR5qyaLts2r3gimuhHTzFXY7MBXqFmAXwrU9b6NvnqlG60ozpZlxyQ7x
s/osWmuSZ8sz948BttoPIUFh9GcD6pHbABn+FBx4R17Z7MuzhocGtLIUsASy6XuAUgytU0vjIh/5
j3InflW/QWRmi0/iypty0RKihBmcgyZVJLGuJ6xNfbnVmt64gD6jfIp/apBPc1DMBLvz9KGtbLvF
y+m7NSbH0VC1ixS/NZCem+FiaJLJH4NH4VjttQeemtUPSE+KKVl74S84vjkU+meQjCeP0cDsiwLM
GifwGjzLX8Kvdo39eOmC+m6Dca5GXmhCRDsDAW3Ykf4DHWGn6nfuNCvkGQu1Bh0+HL0/eI2i8YiF
HQiRDxWmNPMvFq1Jcu69rXgeLVMx64Ng76JT4t2/KxYSRTAIAJeAXAyajFkWyYTvMk5vYJDfaaR0
QzxJlX0L/xmiKgyeeSI6KTAAkgnBUrPd95+rLCiLc/vtC5i5hfZwADErfEFloaHrkWh26Eiftatu
Xx9EC+Qe74kXu2viird3CXAQc/EMmBIwN8nMQ23Uq1QAGZR/0fjJ8cVtWQm76TfX9M79CV6yA7V0
zC2YEmeJhOsjWKllXbdFzV14o9ghDv1ZToG2AeVbZxfiwK8ECPOvXd2QMpILArIYeCGAjYptHhsl
CpmPgoqXhMMlTPsqs3KoM9ii1Eor8aZ8s25Iw4OyDuUoqGfNCNrrkYkh4DHjJCkXbnoQyh1f7PV4
WxhEQyeaz736/lcEJZP4yANmEjxPw1nJiSJ6iNJMTXKHLz74aDea/1wk5uQJqGDj71/VR55vDP25
r0wePU/BfhygOOY7fmC1tdWgeUGFdBL4/1LSvtKENJ2tlgjMU9TAvIHupWAFoXPjEjBKuFDElbOw
4Y3PkSHPkmbzizILdd8u6xFCpxrSiDGIE+wkistNKBaBXbajv7Jzlizr8sz8Dw0akB3PO+ubt5OV
AeyAXKVe1IFDX/cAfvlAEottPWCSI8VIXa2m2aNijGuF/qWlnTuUkJhFqIRiC+M3eq4qAygoqIDf
ACchEM6HxgbdKZknCaQ4pqHT5jsQpavxcQp2sX7KDGqWwpHvTV7YhJw5gSz50xj30+TUFQnUs9AC
jVn8EIMN1W0JVM21w+Uvye+oPKaNjx5Ot03eA0jEK6Slpr4X37KdIj/y+uREMfF7p9IPEv51/3De
xvF/djBYzRSk/tBcyAxUlcFZ2kxIx0HK9oz3UwXsMbgk27IINkXdjFbVJaJFK6nblkr92CQquLrG
8jlQ09YSBV83FcO3+jT7nc4jhF5MbjZSqkVElFKJlODDI12mDdv7330LAJmxdgaQaYhnMQQ2npRC
sVenQE88qdaTLSj+0geRU7dhAn2DCAD2boBinuQPjlHgrCEkLhwljf+tuDWuK01RIFOMx+CcSWYv
ty4HUD6uJv9SxJByaIT8McaRlauegMKElFhJqjbnUHuJhJXb5zb5AtM6Xu6gGocoBs/GgrKvSiVf
8YGX5q7fm9KmF5yOd/vGiry+2QGOqfi/5NUuq3lDXF+wMIsxQzYH72CFlWRRaS7xtM4CL24N3eY5
lIt6n/ftMe9Ct44EiPJ2db2ZQl/eiSHXOegrIW08FZYO4Xbb6MtmLZy8eVvIYFQRDQXartAHQdTP
3BNdA971uA68isrItMW1qfJUMWexbKeS8tFpASm0aFPqrhHwEzTR6sxpojje6qO4hlC4TRLga0A2
j7I6hGtwdTD+Loj5qADFRuAJz3popvQ4/uZBzDWZaCiN8c6Srb63s8iW/JMg23XgAJqTyyXh01OS
/xQPIvq/i00Kva2ExKiOfY2dq8S7XLE1Ya9IlmG8aF4gmxq3No9zeMos7ZysRG8O/DSIrWd/9+2+
TRWIM+Rpjx314qskDPDelQ7pY6s9lLJB6uYt73+N+3hyU3VauYf+ZGhvbOP1iQoV/gSTyLXtUepF
aBsUgSfqD7g8fCt4GjlA40hY7FrdFLsNlc+N4vC+JVrVR/LIP/Uvsj0OlhLvBVOzZZFIZ+WS6lbv
Wx1nG+DfX7t0bh0+lvbbR7IOqS0VLSzzwANdonHianeQbEnbBUcFdcPmJNjyHrryb1Kw0R453PqV
JZi8srJMfwpDzFSBGQGncAaxzviN66mS0Bnat4oeeHVP7fxxLF+y0h4C189N1f/VcIeucMv2PZti
IsmHcPxZ8ZYquBpwQYNChMxFjqGzoY8IZW3CF3bSWTLnTiNaEx6SxI79M4Qy5Mrm6KY1iJDYyqP0
hQqp/2w8NfG2ApVEg+Qu90tWH0NQELTCsd1NzbtmkAEyr9E2eqYj5FiyXaOsYTj/0J7fGzyTR5C5
tJNTCDV56rFWHTQ7knp4ioKj0Zl0F8WvZUmyTUpf0dIEp43m/PfsHOcbqlhTeAgaR1VexcEav9Rg
G3BPMpDh+U4brRY3tlGfVD8hUvWE24Zkg4c29HHuHjGj/qypDvjstR++vNU6L6HbMjsBZRjOGuQH
VXPk6ZgV+wS40oh03DbQzQKF4/wlq6xCs8thX7mR9li8oUnlvidc8OAoNKkA6CNEQ25FYRLio1Y3
Ac+pgddQRy1NYOPLYAsm/M4CWCshYuTqjTke8wbtajba32ozQz/XTtVNdTzKa6IeS27p6nPmoO7b
JZJkEDPqaz/wxmMqo+3XqanVo4ge8iQPX5rRlGVb5qmli2t0Ggun88oyc321iThMqcwFHpeRNE3A
c1SYRq0RRXXArFRlKUHH+crs3z75ERsj+sdlP3MIg57qerho75bkqgpCr+EfOHieeBqOYaCTugCe
IptpEm1ajwTMSTsBQXOn4ziG49bQV2ntbt5Z+BLpP41Ic36NbblO40Is5VYKvVxXepD0RcaD0oqD
W3aaYPZjnR1qLdEvudCfg4Zv9pkRDFaejiAFCwXxLVdbwxz5hFpiKeRfBeevQb1vn/b4QgiTQmVA
BAke6Peu5wr9SFqU1mHktb60qaLYMrTKBJS91tyidsK2s2tum8UdlOSeYu4lqQ5G5VANcOXP+2fm
tkiJYjeYtxAWYuF0TWUucrWQpVFNc+qpLgWkSXjVnPGIy4rKpuhvRWVTEfGdnkAV5N23fAsQmi1D
zVeChwWEUWFilQ5YDLE2wsRTy4fMcKoAnDybnJ4135PUn7F2TGvio92Cf2hUu9ZrK/P5t0K8DGAM
CLNZSiMH0PSt54GsTnxTL6IdTEELsDEl5SvUwRUTrjwAb9JLzCfPYcO3Ey3Iicwh7qKeqKaSN+Aa
cuK+roHiSSAhUsWZKQ95uOJrF3YzinCIRKCvgSQum53gMmB8I75KvAqQiEO9Rm4zbzXGjVz9PONG
IrGvgFPHzwvjgza+9F+atCseOt1cS+z/qQldW0IWAv06ACMh940c0/XsaVXq51JIE29Mpl0QH+Vx
J1Ta0W8PpVdOst3n78W46UzEFhYn+5f7++02AYr0DhAu4HKB6KAAZfZr86nIya0f+qFXCTMNVtwT
OqLj0+mSY1bFJK1cfq135Xa/XJtkDlcygitK6IzQm8VEqNiSRBLQgPU+TcovDkmm+yOcB8DML5K7
GmpeIAsCpR5zoIY0H8BUqUWeFPaJFbZTTficN7leo+Z9S7dFfcwlZCGB7DMk3BpsZJ+XdTAIWhx7
ebYf1cegm0D7g14z8RcyOsoH+EqTzC4dISb9QdVPRuNMR/DzkLYmmbinaxXcW4ALvge8kUihg316
Fi68XlutKeJY5JLYa7hjP9NLiGbKPSmPvsNNpMi26UlHSXIk9VnyDPVcDZugQJoPsnLZytTc1pXm
T5GRPgBcdCZIZ85TwQ9plYMry6vkr6K4dNVjzZ2lFJJQoR1ERPXR1B97ymBJqBXLOx9yfQgvxVaE
MqV9f5mWtt98YQB/idoPnM31rNC8HHoBShxeK0kIh4w2cyspboDLzadNrJWJhSBh7f2yZBTkTOD0
wVrAszBGFVqHQhpG1EtCXd/IXc1v+/ZdaLo9UEgTnnixsfJiWsiA/OFPwMpDYHzmirge51j6EOcY
MauT/FMet6MmQJMB7w25JunzgGC8jmyhtfU1WPDSgVPA24MWfH7OjjFhlti3RYxHeOxpajcdBTCc
0BS9Lk01rdxds19hT7YGAioBCRaQ+LHNNlLb86OmhxQJDsgfSREurxUns3Q5i99NzMv6zbX5uJvR
5R9TL6wFIuiUtBPi9i8J0IUXPnsfJQJNqZoe4oEMK6WppR3z3TQTDKmBZCAcKqmnF4oGapaBM+NE
ACSp0PDc1XIdtFNp6v77s6HhhY/eJRWIRzYCm8JQmHijpl4zxmiYvfhSaYVSYMZDgfOYrm3RWy87
iyPJCHgU4ITgyZnpzTsaTjnGiHZVwcl7XYSK+lDuJmF6guj5rOSgUStArLoR2gLIsBitunLYRlbD
VaBC0KfMpsDYO22tfmnxKIHaiov26SSutrTPF9TNZkO5CYlutHeBQOf6UxsQYxTpJGA50n2rIO2K
Vj2iSw819OCmHVpT+dqla3w9i/sPUwRedSiYIfPB3OB8roySPCrUM9LaApU3dM+fuclMswty3VLl
tHihD/q+5i30/PLBWhQ0H1V20Oihm2ujBkg1WLaZhvfFYhKLxOPzLjpyuY4Waj1JzrEcehQ09qds
goKbovupORb9+7/ei8hfoO4GhCbU5f/E6N/OniIFtBiKJvFATYRu272kWH1pyxkoWX7ct3TbOo4t
+N0Uc1WCWRUCUFKdeOIRPZfbNy1xGt9+bd8iEwQCduKgCXNXUFOD1F96iqHftQlO6mo1+jamBeJX
x2UGKcpZ0Jo58pDjlSYaJamH9HRt5aIAxjEKiel/7wCvzDAXdKnnSRr3NPXSKUaX8g5cU6G4B3vM
sJbrXHhHXY2IDW7FMgj5Vocp6Vl0p5xor/o7xJN1qMCYjY0UWOQMPUHt63llRcXbnQusMkCAiMRm
JWUm3gCPf9xVUZF6gJvZSLh/jF59jJ1f8akmTmzpAJf0Vn1W9xB/HffwH2vB14JzuvqA+QO/795R
jQBTzFKv4jODjKqR2AEdM+f+OBeyKZjgb+Nk4opAzoHcL/LUKyzVP7e9Beo4EWq94MJ0OHFTX8Rq
p2abFasLvunKKnMZqnpdQfEEg9NOX9XPlKA2RS35bTCRCd5WprQz7fHz8b7RBV8Bm6DCBjUdHnx/
Ei3fJpQPxAAcBk3qcRQvSlCjfsJpQMmi7agZdRHntr04mHKWrwFKbxsBcDvgwAALyQMHicf59VKi
ghOgUNQmXgJ2vlPcDIUAVxzIrRkUnAAwllJO+vOce3sJeDo2ZEjySjkUed7kZjTS9CUM4u6Lckbd
fQ3YBe0pigruE0dQCTZS13Ig5zD0KkQjSQlO2UqQi8riY1WbjoEygVEkqupCRVmiN35yEBFWnIHm
co7koqHYQjKEn9IQBZHVDnFFj5D0HjIzz1T4Bllpst66vxCLh3qmA4O/hitEeel6PsS8U5SyKBMP
OYWG6yy9JkIAogT/UTPM/qCgdK2bNAIvVG+i0xc9rvc/QFxwS9Br+/sBzOGWZT6LIY+FJ3O8aRUe
YNI2gkg13dXQZZdMCu7Zn+CpHBwdQFMUSZywJsqea8G13PyuuLfwBbOcNE9NgBmPiJE+l+oRdZf/
w2cC9AyiVHDQI5fD7JseLbBjEU8JeMR+RR/8Jj5woQx63sqJWqvrHbUinU7wXDLLoDUr5Y3zH1Jg
sjvTqBJzQJhOt75vo2BJRbOi227YVhF8Pyk1wq8pKtySfGGXyyikA+0L3CbeaNer2iJVzk2DkHj5
uCnVfVtSQkMHmUIJXc2x9KvtI7tBlr+LBdLRtxFc9P4ughYLRSMQSpnlVpdejNFUe/S1vY7x0wig
Q2pVJUf6tfL70l2A1xSe9HjZz4+462/lwirqx9hIPNT3Oyto1cIq09EnBqbcRmFVJUmS5puq4tZ4
shYeNzNmEAxKc2sOtG6uLUNlyS+pKmOWVD7Y1INUA3IwTg9KWhYrbnopGkAJEiIkiMPBXsYEx4VW
Bko1RbjaJUEGs3U72rGRv6Dgs+NpuVY4WfQkCG+h5w20Pv5jDhWHSDNqweji8SkangTDiVvSgCCr
uaijg8pA9EonawzXHNh8WTAhpvTdLOMnfT2M/LhsU69UiVqeNeXY8nvdwQHl6L4Y3LFaeeLc4rmw
0UHjixwzyq+AkjFLOChlLYQQ7/PGDtkIYIygm/UpArZek1Z8RVlEP4eIi2KbG62uNjWHh08FvN8A
q/X0Wxh3vrzySUv3GZAzILzVAKJBrfp6U/GlwEUtxyFKCo1uB0ZagEga5VnkauUIOepwL+RlYPJc
GpktsLsrD82lRIGEK8rAEwxFcrBmXZunmh+C3ZxmHuSJiBq/aSPqfPKG03aS5GZD4ybBY6XXdrQm
+rYYd8OoKM+KEMhCMjekLKTAE3Ww3CtkKB9rPrMMSIT4sU271Kz43KzV1645oKufBKmjqDWuRrwK
CxsN95OAkl4IuU4wjD0M0YueWLxvgo/v/jW+cAyh2IpgHElCZK/YY8iNjRILqZB50Kw2OWkb1B3Y
MY7GGtJmoVIELBPe3sacqFQBF7lehrJsVb2gUuYlh+qZ26akNiGjRZ6ehKefFRHXWB2XsoNX9phd
109Z11Qh7OXkGDry77l94+nX9HCmB5W8FlA292roJq5674UTf2WXcTRZJtT6FIuZ1/3Ei4DK+yz8
yDRXyQuQZ0DPqdKJrxzB1sUPzzW39/E5hZVQe0ATUbvPCztPVjClC+fv6ovmLfAttOQmWfXxAM08
lMvnfoHC6vgUu34gQvirHlZpQxbtAbTGg6kS7Z0sz9A4JpFWF7A3Dmik3CDtSra5Gz4PWHNg7E2e
mMVx7pexu9I0Nz2xvtK9X5OX+zv7D2aCuXvn2OSf72COX9qh+Tg0sAP2ICQhBpFQGiYgdsW++9W+
u7V1yABuLcjOe+4/Hx/XErFLSeEr+4wbr7NOKoVynncCYCvYCKsD3i957A673MfwQzwPI+sx+Lw/
7qWax3e7LAdRNLbgm4gw7tYcFYJ2ezy3zcSH0IVrSdv7xhaeSle2WLcq91Gihxijru078MHGzdkf
X4bg1ypEZilZdGWKcaWpTuV8lDAs6ZSi0QY5GfQId/u6xyOXVPJD/KMHWPHor+W2l2+uv/uILbEo
QYCgIsSJHoVNXpI2N/kj/8JPO/oLGJ2JWhwIWHK7fBbVlczN4uX8zTJzh2H79H0yYXZ56VEVAKqL
nQESdKvB8eKdNSe1QfcKCAXLq1H1KierAdCdCref0Y+KkwpoewAX/paDArE2V3moU32Ir7zSmrzu
GPEDMpUpyoVGtcZjPm+Z22P792OY6yprhSQcBKxzXBy70B7wruFM6C+gIT4BgmefWtxahmx5F/81
Of//bzfk/PwFzQzmWVIOQuw0YEiV34AwFlZJRdjDidoQeP+/KUUxS1oNQ2+MUjMcxOoB4BrVxKOy
e+DTIx5xXGdzKx0z7CV0Y49xR70vqH2vQCoqtzu018en3EMWw/JJQwT0IYbkK7XCo7G5fy0wLuB/
rAIdCiYfpBXYI1MJgNLVTTUcxnIf+RUog5EVK9+rkkj+l544chuuxDHMEs4WNfQhgXd+xoIi5L5e
wqmsaNJmPRS4rPJYkI/dWvfjvDDftuWNAcab1JLacVw0DIdeOuZKSCr/38/Z1QgYdyEh/czLLUag
0sHuaWy2BQEPAVUkkoga/EURFNb9ZWKee+yY/mzWb/t+ACEJbTmYFEqo8ilHPAwgy7GyMuzFfWOF
8RFjkPhGIUM/DHhAR3qTnObzoOzGt8b2kZfMX++PiXX7/2MODw7IdSK1z+pbNiBBTuUeO743wzNE
vrYQuCQyUdzaUVzZipAvrV3QLB4epgFibRy6UlO0GX/d/4ylg47l/N/PMNhnR4z2L72ArPmBxttu
DMgkqWaJxoWuVQmNLT5oiTaZEq+uhD3zPrzdp3/tsrOd8BUNOgw/2RaX3vbf20PxxK/sVdYnMpNs
8IwzBtVKPKUGdPX0GmT5ltASsY9mLfcfZfsmRbnNA2uZG58yVciINBBKXz1dSyEsb9+/Q2WeFD44
e0F9jqFezuYaneDKNkLa6PpC8fOsAt81fjwQZcJBxRi0LJYaHhsMNebMGnH8pFl++lSGNgiPpsyp
oapSkgSYZWh8t25XOnnnb2VamNPkoo+hMR5qqG/c32fL9x6yaCglzTJVjLcEUr0bGwNHuOXdGoA2
NGAbqDLavmD//xliLthKjfUKlGk4xQ6Ur7a7drMm8fRfNtXfsTBXLDdAvYSGODINuBtinFrB0Yhg
hR8dyA0fLah/m/fHtHxIkStBGQ4qeUCSXC+yLgSt7Mf8cIgEgBWhw1A1FUm6Xy2gGxoaq/2HuHHa
aA28wMR1/zk938wyV/0EcgwlDTGXA/9sBDlJXgPZJ1ywdkoXD8g/dm5SH6Gh6nwlw45kfOiJm5y5
zh09NBbOOzh874IftVV0EpkaEX9H5lp/8EIYgBwmjwAAyShAwJjUi1goQYyOGdwSEY/uHc7u/x9p
17Ucua4kv4gR9OaVIJvd6m61vHthaEYSaECABnT4+k3OfViJUqjj7sYxMedMjIpwhUJVZWb9ATWO
jQI1vZkPG22619LdmTVdTv03B/jJ6MoBsn6UaIWCUag2X/sa+gUzoLXEBboaHGdPQbtnPtge2+k4
rxnHq0icibnWjVL/WV64dySvPCAh1sV0A+pUo6kMuH6n4okl73qrjGXavRjNxtaHuPfmXTM2SK1G
GUjsOERxSuN2AGzKzMSupNBFevGCY8/Si4qeuR7W6bBvH7fsmU93/thCWw6Md/BrrrNx0iqSwVXa
J9YUpe1xxJTcGPOuTv9L+Yr/mF1Y4eCUEamtH6W8ElWqxsVsSomiibQIq+ix1YJXNTmx72v/Zd7v
m8XVPrDmzGxVD4vOrba9S6+Mi+nCvGqiYJefCTl+dlyfBre+DaucZc0EU10VG5u7NHIjJ7mMIf+a
sMvDOU6Gn73WJ3Ore483OS/QAD0dNCOaFYG2p3vQPrQqqq85OZfOWbctf5vH1UWY+UGZA3g/HWru
7JTqt7RBr60ZOgcXNBfZsbMN/NaDhXQmRwaAQhYRxRyF66i1/i/x6oKEBH1WAA3u1ZK60BITNTXx
KX1iDkfHvKutM9tm8fhfvYcLTB3keXy8hgFpW7lm0dWTRYUxH57QJBHDI54LLL77RBhAzR45UPwC
ldev50/NnZXPNQx4lN9pLelAR4d8Rm7HTSOgIf1s1sOZWPTHMS2qZ/DBgImtETMpOBmlQh3nYD2N
6OQqCAQMrvql0eN31/sPafZt8j4ZWq2PqUuI580whNNtEvkHKUZrOz9YkRHmF148xfmu27y3McTQ
GkASouBq/HN7Ti3r59ECo4dCHy6Tf5WgTw4O0AB3clpMsOkSSlpi77XoXPvD9wscaweNyAUVjJ+3
ZnAI0qbjLnPnQ+WTFNoffhMbRdSdpR7+cSyf7KzOXgmRPNXaznwo7nQ35G2iVWH72OrXvSnOxEJr
CBrO+dcxrS4GzWB5LXVvPkybMvRjuQHLTwLZ3AufzJehAtlUsPxF2hg8KaRMavi3Cx5etGThuUnP
RuDfg5ev37OKbJsyEKVR+fgePJVYsUndDlp9Z0b9sxGQTSJgAN3Cuou0mQZm0RFGXHsjUeadFVZR
nnFbPzjsZSj/a2UVOwdoAqxdDVbs4pF7N2PCITGMGIhZLyONA68i1uScGdn3hwFwhJB9BvkfjgLO
wVc/Y2f+DFUe2PTKTRH8HYvEk5d1QALAkn8/9j9sUpTXFjrlZRpR4flqaTYq26q7ZjqkZdjepSBp
3Ken9iK4+t3MD0sFsjV3IYjGux6q8V/NSMOfg7Ir1aEudMxZf6qDg8qb+HcrP8RHSFqh92O5Y2Bk
fQH0tZTTqAp18MRJ3LSHGqOq6q3Vh2gInEAdD6pzhv86Y/b7ci0cA6CiwCY03G/lcA8Bo1dyjM4/
auGJ7+RGj0Ws8AjS4vd+Y2VkBgHIuaTW96X7anX5/U++EhggNdYOrHa2Q0yx5+ipmYhj3dGiIDLf
nhnkEph8vR++mlvtFHsBiDgS5lS5SbOj3YKJpr0bxov0pmRJ72mxbcXawrecQdhw+PP/M7/eQbR0
oaQoK3WQf/37ER1HAlXgDdSD2oRuQC2RIwA/Vz04s65rmlXZAAUiOFcHntfE1p8a93F+0pELGseP
34f3syUIvQJ7jd4Rf+Uv7a5nuC00bJP+ttDu9fQlaz+s9F2c48L5IaGHZVzUydFfgM36T973067x
g6HP6zlTh6L3oqbI47LJQ1y4GhKJ3bBpBKlTBhDyYTa06/plkN0ZdmPj+/27fAEEqkxn6VZe98Yr
hrbdWTJ1yHYillkksi261to4vc1ugouU3ILh+Dp7Lx9/n+LvsdtidkG/oPkfzAurKTYrXeoBxf6d
0c3hop8iMRSUEUIpGWm8C/Pmd3M/3Btf7S1L/mmizaqXVevDF836UVO33asgyJ8Czpz7Ya12yJec
uTR+nlhMKHjq0Qf0jcEVZBGV8GoBNssNqAviY3tC++Hy184O0/CtQPGWnrkdf/RBn0yunILfW1NH
x1oddGLsQYl24ey88FwmYt0Wg72CqfxfK2te1taj5ZApWOljfjLJnQozoranmz9D+EyBU8c7nbAE
3H2RRc6E3z9u1k+mVzexB1SpLHW4AKkaktuoQasW9CAn4GDP7JfvV+TXQZqr/RK40nAELNmg7jRp
5FYqctSm1O8EewLBUp05IAFPTJ2SujZ2eCmQudvJ/oyjXaLSb27+04CXa+DTtm077ndTgE0UpM95
8KeczpyLHz3dp5+/2P/0830FPFOWNctaVvWNnz4w62Q2UWmfe/v+kMkBRgXN6vgHfMZ4d361xFsn
7ViLXTNtQO7yoLZTWG/llkXe5sRD68IgcAQbMNUAJvN41vpP1+Vn66t5HGnfDVoB6+6Fs0H1gFQE
4grHduvFOZkIPoCkpI3sYwF2UXuPFHt4JpW17qL5d2zQSrbEkXi0usHKA4GIzBC0w1TLTRdrJ/Sc
xnTjRF1c78wZuVm0Q0ovRMrZZBsogwpyNtnxk3sAcx0AdpC7QWl6NQkof83dkA3qIB5kT8qb9o5f
ma/eEPHL8dHcA/cLETKolO7H0znEtvvjAnyyvdponsN8buu9OjRxE87oAW537dW0Sz/A+XmNtIsd
oY8ooeT1uSYPDl5BPXkD7Wd8n1ze3/thTgJyw8JXSp6Tuy7cgfQo1ND3FL8eKJniw2V7aW4cIpPb
+3Hv3pyLKX/yO59nbvEWn45Jr5hnigozB371g9xXB8hynHE4y/5fn3S0i6JzHcyWeECu4se642xm
nYLvpuzoiKwC+VHnbzVdZ+g8VNqxGoH+tHg3EOGCasMTza5q+wLlIWptfv+Yn7wOUHJ4gaC7DDiT
1eUs9cGYm9xUh7z562Unzs541+9eB4ME/yqaJNC1qq9jDoYGv9TOHP8gbYImsv7AQSH++xB+qNYD
AmCCqhHbHdmndYCRm53NvLFID/5986CDBw8tgoRtJqJvzN0cuSH4+Fg8Pv5u9gc3B7NgAUS/u2Es
7O1fd4qTgQSwM9v0sKmzWD1WTbgb/th3CKkgl5vU4byzH9H4D/IZkKpoV9OZl90PlzPsu4iscMDh
ZtZE2lpFrbEHDdhhHzDiXpgP2mX5wt+m0NwFL8FxjMRdcyVBCdttHWJd6ZfnALzfnQw4CUDKb/s6
uq6tdcsaOpjStDbd9EArUHNADWG+crQrJMiQ0BzNM0/Mf2nKr6fmq7XVqTFkbQTC8VJUqEWonfJX
LVwIdcxkjJ1NfgPex02ZuNEUIi0Y3t24EQ2vLh/RtXhpkOpq3E2xHpmbIdHRFKBiSNJEv++H7ycJ
qs9InQHtjY5dNGx+3Q5BpkpPlDQ9ZLwJbUCXz8murDEWuFa+WlhtOFAUslROWnCwE23jPHWJuK/j
7n54DO7bS3HLE+MqO5ed/CGa/mp0dZmnFeCuoE5PD92N3CswNKuYkzLk5FxbxQ+eAukQkLOBCgvC
oetL0x/rrJp8vH8gMA/9qssqtspr2yjh6X9fqJ8ObqBDyRPGsE7mv3D+k4tPhRwldMG1QwV+omN2
NeysPbsVx1oP7Z2+S7fZ5Xxw7u09PaWX2uEch+Z6oKgoLhBzgGkDEPAASvx1oxiVO0xNbWkHDSk6
mr/xeggZ1DpbqyOiOTPYn4whCECWDmNFKntlLNVn0xWqoEfZ7fgVbpdtRVXoc0B41RlShbU7WMb1
2dRqp8i5bQELLenRStMd9O2A1m+0TdMhUUehblcgS6DTc0+U9eNybXQV6EwzrUHSg/G1dye/iPKj
uyvhbbFF//y+a74Fdf+xZC/uHjVKdOh+XTakIi0O0SXsB8iaHkxSb1hURO0eKV2GoAVKq3Ebik11
Cq7OyYF+O4Rr28sqf9qxbtfbRQ80wCGAElFP71yVjOOWHvPdVH9QBXbJ/O334f44rwjf0XWOeg5g
2F8tzsJMvU7DvBoyMZ2omfRQfyoEDb30Zt55+X8bMv8bIZwmKt7wobhWvtoT5WgyVWLzqJzdsklE
zcBDo6NIq+2s+6y6NfN7mi645kacCnbNvJp04G5f6LSAP6rfTZWHv0/Bt7hi9U1rOhlmTC2EOjAH
QRYiwXhKL/pjeT+P8BLlQRwAiLjsd4vkbXi2AfGnswQWCpTrECAtOdWv05HJkfdZWYMkDu2Ux+Jv
/Zg+16c+8QiFCIuyNl0Wagfrft5ou3NqLGtyMNxesPzJ+GrtjbHpZ7+G8QaaAFU87eWpenWJIOUx
PzgZQXA+74dYv73UrgYguc5RAKxDcNi3TXQCLIQDAeLjVQgubLjHHqLOR8qTqj912fWUXpnGOdjW
OTOrA23xcTaaHma6j+FCkTPecB0O/BsESHAB1F9g2/9eSZ+OrO4YOUeABMfrD89p3u5oX55J6P1L
v3wOiRYblgNOU5QQwOO1hmdlUDzBO3vIjiClTOqNf6Gi6qI7OtujFrtv3VEA0XgRROpYX4MN9pQi
S7PdotyAIhU7Bqjp//cH5sv3rG4Axn3gVcDoeuzah8F/QR0wFCDLA3vZs9/cz12EzdNCQLh96w5l
Hw5gXa3uHeR2fv+OHw7Pl89Y3Ql+kHtabmJaGAh4A7S2B9a1rYFf/8Iqk8I5Y+1b/Rar4KDAAt0e
sPw4ePZ/PattlQGVJ6b8mAnIRZXEeJQ8nOcQbL7QEVAVmobr2D5NMRIOH/Nej7ImFIBukO3vw/5W
hPnPhyC9CzJOpF/+xT2fttzosdnK3DE/BtOt6YTcuhwphHTzKcy25QnJz6Nz7gnwD4212oIOQihw
gi998Mj5fB28MQFBNgVzDgqyg7dpJsD5N613Udib/HriWyvY2A1Q6JATeaObKsz8A95Dwj+zBt+S
68vQP3/Gcho/DV2DKttIXZUfLfo6Gh2p0S+adqfqKgXt2bTv6zuzjmoohgGgrTmPv0/8D3clkJ9L
DzX4w1FjW/nLqc3ASkG94li6jz6Ia1PQyBppWL4IaK/lUOrj9Vk+nW9xHfoS4FoAyTWRof0GF4LG
UVOXrJmOVSiQIAF7LelCl5jxcOUS9YT//fLn6nmOwCVMVPjYhmUEVRnkT2r0MShEK+//tIkUUQQN
xds+DKIRDyMS6Qju9zSqkSgDJRXUeX6fq3WyFU9lH0911D2RmHJBl/11oVQdlH2PFtjjUN/lGg2h
9OxkZw7CN9e72ECEv2Dzwee0RhCyLBtoKobp2Ht1OILGsQRs9fdhGGuYorcMBLk9PQBk1MI4Vove
S21kQZbNx5m8HPdDtCVPbaT+glhii6ynSf5M4WMevlSYwSc7Dk8bHoGbH3295HR3AkNqGO5e7nZ/
oacSPS5SNLfX11YYXRwG8vxRhRfjxg7d8AqpITxgGdkuTTWXRoJfttHHQF4/+riEACAjI/lwTzYg
WRb+823YOPizpN3c+uFE/LDcsfASSTbnhBR9crCSxzF65uH9gYVxT36fk2/HYDUjqxDOb3V0os4U
M5Ko7s7RIv3vxLE1dbCV7AJ+Jh9gLRP8xfN8NbeuS2qDGHvbg7n98eWok6gMH0S4O7697JKbY3Q8
7doYfx/ii4vX5PDeJk/b6Pfx/lMg/u0LVm+rKp+KajTwBe6LjNqDS3Yvp837ZnMVRzF8fngbD2Hi
hkkYb+PLA3nYHuIwvAovwuQ18sm5LfmTR/i0Idfape5s29RT+JoybOInj5wlaT2zvmvW9yFz8yIY
YUBC5gL9CrjkPvp37a/bx0Bhcmz6nYq7vX1i+TUQonrEnyBs/vucf4/JV6u+cvSd74MtvMFHiPpK
R3Muep3NBUAXIkaHonL2pqV7Af4GgEQpen9QOi45sMHngrtzk70KUfmQppTb+IzNA8ehPj6dRKiT
fRkewetC7kIcPoI98LTZ3Ejc/4ckvrpIDrePFiH7+2ucwLdzy//9Jga5OkjdUW5AYhm4cfOrZ02H
IZjrHBSNlYn+mF3X3XeCR81Lzh/Bry66Iqr0AwhB+HwcU6J36LbvAOYPAUQIinOi5Gt+lMU9Qs5y
YVZH5yFobldnw9O8YnQ0xY5PGvTdIrmjex5pl+w0RdwPHcjAQfogMpJ26+8wQTIBt20KZxmBATtq
Nh/FUd7zc23/P8yRiVcF4jSw76LJ+F9K9XOY0Gi8M3jWHXMu0MQMBP0Rl1EZpXWqJ4GZyth0aJMY
8yRjcNPJvzY3gx3YiavL0mMsYjPPNtw385gHc5WMndCOuufSWOX6ObTI95sS32qDK39JryJbtdrp
k2krT5hFd6zFc29BYrm6LaZzgO/vTnQxgpVaKG1dPFW+bprGC7JmCGDEXbK2dwDaK9DT+KF7jjUM
5AHLz/rqLlFfwJ5wLTS+Lvvjq61JmKKxWm26Q1QDzhOGFj0FkRLorNs9NV6pPRR/VTYxnUDgB5BU
TZPv8wyR2QTQpBTKq3PFD+0I5tQohwzNS8sb43KetfxDsNJdVGjHAE9jC9hHViMcHwORnhRSfQ8t
H2uwdY0OaEmGdkAX5dBqA2h2UFRJRs2kU2L0it9loE5zSOFmE0QoUoZGGwcii8mssJfCdBKasWPO
wB6bYfTBh221EwDZoy3fmqnwH1rRZNauBgltT0DiCKpi02PqQW+6rgNNWFOJuT44dQeaohDUdnrx
kVleSoHx81NIW6HFtBvVRtgOF7u8D6p5k5f+aALy3PfFn7nXHARzltXKqHAGhUgin0G241Kp5jac
SysHdUxd2iDecTO3iViXF86lLXxR7bqAAxBn1Dn48lKrByWU6zCVklkV6L4sh87S42FRDyNWU/pV
Yiq3z7f4FLTfaFTIN0mxe9ClbAtGUN0FeTvT0RLne/jBYH9x5aPw0wmH2pG5u7dHDczmFSg1dkA5
TzcNK1vg9IVTHzLmyiEaaqO7niqdPqqikn9auzJ1IkCvezSLMpDoYgJ5UuOZQZMUui60kM22HCNj
HpzIESXYnWjdFaDSr/0SRIT92L5PoP0yIscTLYugFNXggrLmotjMuVWmePvpzq6WlfneQHpES7jN
NdSfuQYOE+FPasO9Zbknq/ec0GeVzECCpkmaQA6iuks9HXikXjrA0rql7iYeb40gkkDsK6Rty9Em
MuB6FS+4jiPrFqLusS3rE+cZu8WfEiykAJfnm6qtUxmqmbXXIs2NYq+gTIiB1ZlM8rFODSI03Zy3
XhPI/Tjp8yIIb9D30hW5trMEyCd3eSvNbiMAPynCWejOWyFaDzoio2BBbGoWs8J2Ava5tUCaQbLB
SadtD/XkPmybTjeiwC6zv6Ly+7+BNQCVVGidBEDbmYCpEdyXD1pnDKAQdBUWjVLZQ+PcNVtwIPhq
qGJWgy83cu0hQLraLtv7sjQ9HaItASjxtarLragNXAq9rwFpQlBoGTOZ5wFEIUWmZx8OsJLgLWln
J6mLzDCIpXkCJnV0Q/k5lmQjDMAeoj730S5vKaOfL0aIP2tHDwBZ/9hpAK/FBs8F0hiOsk2Ccszw
Oo1tcDeluns9Yhqve10GCcMqzQTc4NPbAJ5EyKjlyJMTQ1coyOVCWg/Kzov7SgO7OHXcLA3NKUBC
qx8oxi9S7LPQm3r3Ua9GDysKFcR3ACQ4Hkot+B1pkeP8S1yBZWhJAIrQwi87yDGlIPkCdUkdsNDr
mABwaBrLB6MvZUmQsG7/THyadoZWzTkYTJxsz70saOLaH2hAFsDadiyg1xCOwORQqECnOmmLDL6r
92vvSWss3m6NomcDkrFFqiKVVlmsN+1yzQtHO86FgQwEGFab+7p2qv4w+CbDbJW5tojrmNUbk2MD
3pi+x4fmymU+kU5l5CD2yE2o1QodnE4SAnF3aO9oUBVJgSAA76aDBxtg7c6b06YjWCnGLMCgXbdC
R2LaGvceMIxzhDyE+6f1JII/1QlomGR6Xt7xvJpe67EpM0B0Cw9iJdmyqCzIUZj0ihrMViOYR5ZN
Bq8QmLK90FJAUcKSu/Ba0mQOj5WndGtbAKz5p4eekwf0V6o7sWU0ND+gC7YDC9KcooCDR+EYjrpV
GpAOmLEQwxiMbmwYxexAgSgY8Vi2layJDn7FJ9eQwgZLei+GMGhnPYj5RE0QEeadf90XHIFmUdJ+
x92seMiqxtMSr+fVY8Atrd35QScSpU99nYCrTRgh1kQrN0xUgX/MsiAvriH4Qs1I6yoQW6MaM+6n
nhZLkgh4rrBlLjt2qhFuoiZN3gZ1qV0iL1yy2xF0P2AI03thoF3QXjSJLAqsHVz/E6rS4xxahpJ/
ut4LZIw8Qf46oTf1dhZFZ4Xm4DvXIEuVDfG5194pyVAaserJcQigxRZATF6lD4mPyFHFLOiRVs7p
1Fc72047kO/4tOaJljN3CAvaiLu2RPV9a7i95iadM6enycB1Q9xywKA1u/L+TB1vypNymkGSigFo
cKs7LUoWtpU29XHqav9Yu1A9gifyRBZZgpklGf1G9pE5OnTeQ0kug5qwbkAhqJstzmNOZYCKeoqv
Jwb2Z01ctDFhGouCgdxwguIywg2obUHG1lH7KmsgTmC3tg/GclPSmhgmUskks9ruGd3Q3o3Ix+wZ
D7exwC1tgCHYCfKpPXRj2vTbstKm6xKdmsWmyXUEQswJBEo7atZiXe+hlgHirRGs6Jlv4oyXvrMz
qayhpGQWevAAvIjSQp9CliZyeNsPoa9J9UIdHZOQYqJB0qaN9qs11JpFOCgAIIxYV+Ym40jmhqmh
p9POaVoIk6BGmOcI0/uZ3iIXH5RR1XcgzxsyEBLBLQmXXdC5pN71kAfYRXWle5IMtT6AfWxp0Y7g
zx10OulexgHZw+YmadDVDz51dVCsd5OGPmlGZZHYsrZ5rNOWfkxOOdVxVTjeCV1FS/rE8sYyYqPG
ZNi5Y4MDmqNlLEqREW0jbRRmD91nT9Oh02zBStLTBk0Ppoa4ZmrbTF5gLfST5hZzuu+Mvsq2EJjQ
aDKlweAmgyHknZf7vCBDWnf6pnGrstnTPNf2WkrrN1447GZ2Bmj2yIyht8CldZ/HAZUjCMEaYXe7
QNl2dRDavFAkUA5qCHABIP8pLHMwNmBfH66ZLQd6K6yyaU9+3WX0zpHSvK+k8EF5jQJat3elOQ+4
zWcwPgFq1+j5A5eTjpSunaLWhPAD7kZOzTxC+AahKpmlkujukHX/KMAd/qEGVnNwx9jmuEUrbE5D
RO+BsUllwxDwIRBFO09lDRmeysIdNn1p5BC7ARNoLLzGr4E/lqOzpSYIUm8UD8ws8uuG48FWgtzj
Np1Sg0b6nIK5XffEGFE9ZfbBGzxVRKrra5qorBVoAwUTYrDDqwYvYWMqB/6q0cCjtynOUBVqGnrD
orH3Rx1hVokgCtGC743zrSjFYF5yfJWIBm+yHiV2x4uZuka9SRX+NWaSVtcixzszDNDT+2QZ2pQR
C6iam06j6q8jdT+LIe9WXVcoH16IwceDZchZeUtTpwALaF/pN9bkoxK8XLqILZnpvyGrkL2g2jXP
N1Va+nTDK9ogfOhbJ9voGVc1yXojA1t+LWhBcj40WSgQMRwhzDX9tdng++GYd00Aua48Rced22IN
W1xiVghRPhu/a9LqLYPAQLOpRN9+VEyk9403GF3cwDUyYuWODwljH6A9lJxamsdp5VlZOKgKtd6Z
DyAaay29I3nh0csCLUcIXPTGvMId4rKw9Gf+LGaEOWEXDHhZzPmIczSVCkz6FcUsh/6YZwEeIWyY
3w3pFddGmSog/mT1N4BXW0QSBzhGSCOC0wShRvBocsdFEKC5vAe+wJqPQd5leMDolqpis8BtUMss
uO4nr3qoJyNNSm6irKMFTlIq3X+kIOc+DBofrqH4lqaE2Sm0w6yhNV6CTEf6JuubAsshfRvEoo5d
biG25mFBRe9miUf1RsZZ00/8wuz1eohzB5pt4aQr0JCg2G/bUWfLdrzEFCEIz/0WuXUGKjaUnJpa
u6AOXsexM5XNQ2r2yIRnPmL9UDFoEoRaNgFU10nTn2I5lYEXl63I8MZrQECFYCS188jphS4ivGgU
R/yuUC1CVh1QLuZldUa0wgua93n0MOdWRzOQZRZ5VSRDEXQSbgvXzxFvMNEmbeFUO4e2ebm1tME2
I1Nv6+7aQ4NmhYOJO4slNtWGIgLoG3QvHrMY4XoP1pfBRj5Fp0ukYVoMMZo+QQCSQC/e80Nh+FDZ
xN3pPvWcO4+WLPDqqO0REr6aXzRokpHDeKn1bVCFo1uWDgoB6LdD0/8wtWQWUCIMBa1V7MBTQ/e5
RdUdujoORw5+hG5E6JpWv6cOYNeVU2FUgT2Kg9nnVYDIyvAvmryf0C7pots2VL5Wq7DUgwkVx9x7
omYO6q6Ozz26b6cZJP+OzYPTZAm7DllDXVSneqd0Q7urSmhHsoW2E+WR+W9KPaaH1hCwIsqkOwhA
Pmp+LcpSe9P93kOiLRgq8CDKlnECgjpwGQ/YTwKhag7CMqe1rzs2Sj+2u9brwkajEw3byvSOWhY4
OZltVEtCILdRJGlkjkh0RC/7R4v6Dcgg7MHeN/g9aN8NDjsBaIa3e2WV1ftgjuWlUWaUx37d4kgW
LvdzwhA1UcLy0vJAC+85AFIUHN/k2MN8petZ0W50E44GHqXx7rDzstthzHwk7PSMapERMFA9M262
p2kStI2ZAiwZ3FSYAPwMMV5V1NaLmDZljifU4ENoR5klI7pb85G4Y88vexcVBmoUYEZF4KYo3rLT
ANbwYdQh6QlAwqO0WHEDln0XyaYc4bAuSkj7VagomlCr0xuoPeE0QMPONjBZlVmX70XVGtDRdijc
YDb4wRwHrsr+zn2nbmQ+2nNkpchz4I8UxR4z24Lo1nDFZeXg5YpZ97Tb2WT2qyEsocd6W7gAWxql
5UYmGg9oaEA77wHeeqqikhal3KZeNruRj5fds89SW4fcm1udqlxNbhxoLHue8VpFbqh3pBM2NcIh
0Pky/wR0LgctAZvhdc1Wy4Ob0ektkdh5mYF/0XX0Ph57J4fcHlzwtkI5Fe31rWBGaNo+fTZse+AX
eEwIAyFhj+Rl7mt4rqK7UkHbIGWNiL3ZoEZMLbfc1mMxezE4vrK/DRuqK4GkdLY1m9Jqtk3VNfVt
HVCGy7rXO0HGgaOThDVVRSFjxdt842dK2pEvymrYSaNqn0Cc7ONm7BxwNVdVrchyhXqhrfQaz2AI
A2eEVnZtbBWbmjKBNLC0NkaGeNfPQY5LBJhjFC4Py4DgtGYYJ5cW8NwT17tTaxoCwXWpmTj3EI8C
pZ3QzOwgWqPt907b48EInCCKJOiSDRDrI4u/BfY4UyBLMfrFU5qAytaZDdbkTFZWHbrYgsi3T0WK
6TLteoi6bLJ90uZ4B0RIED/gx00JEDdIO2XU6R+VL8REZNMKPMY01CtPlaZ3SMNI5KTCYALE48Jy
jClHRCVbP4KuhgdgF3aCSYzWpgbkLABOCD2vgLQBxfO5gYfqTL53CzPVI6GP7NIKqqAO8TiCt1M6
ty0yWtQuiOVRNL2XHRVenApVgmil4g2aNKFDYsD15VY8GkWpbvkoEEvyBdkSzlaqNaRjLgoJSLOj
eu/jefKuK6E9q8aRxsZFdC1xaZa2Bd1kQNxD7vYyONUZDVJk/EvvVLd0DJArnAyO6LLEMCCqBFoS
0VLT3zLLqV4Co1EPpmbOgH0M2vRhVmrCW8bqDXCX26Cs9tM5vQkaDTt+NEvcf55FcY33aCt41Ap/
wPvCKZEDC5C3anCS+bypfbjoMAALDryeAthyg/d0jQ4xZnfusQfLF6jRZ+ZBL8TM4WN7KMD7MSs0
CIZks9d3ZCwm3SdFChIQkk2ufLY6Dq68rKCtHeJ5jWxPNvbq1R97643Plov0DXfM26GZO7CTdYiN
wHlq4zALLxMWmOZFiTs0sKq/Q+kGnLhLhI8MYVvBgXfUWnoyRM+JlAYgASxg8GNjjsdTWs2ahnfX
4AHmY5bilI6zr2Jfn2oaQWvEsk7GlE6SlHAH76wu/4ei81qSFMfC8BMRgTe3SdryrsvdEN3VPVgJ
ECAJnn6+vNrY2I2ZrEyQzvlt5u506Pb3vZIB+GDdTx++F3VkxrrbfJ+mY1/v1x6cZldXRLveZ20b
V+c40ZN39FcT+MfG0ZDCVSskL5lXBPoI4WMIJImuAXCtr9xy72gvaM6as/0pi5rO2ft1DMAElJTU
+bhFff0YrU5T35qgkeVu8jxiVJSh7Igmq7QO83Vc5p+gmr1hHw2uSA+Zjyo0HzxRpwRshv6fFLcr
v83Wjpq8dhX6hy0oJ5Vr5ZuPVCf6QdBeyy1A0v6S++Wovp3FyZhepyUiylt29HvKqqHlyXhD/Gmi
Kw5pkUNe+szpzWXo3WrMh9UL+oMjl+icgease4E3wNvJUnjnZGEBOWRZJ+qTXIVId/A/GWdp6aQP
4+zQhzRWTFX9TluOhj11gwEm0ZUL21nBZ5ZSdS+jaDtwY9PHyamZifbMGwardKfX1Cow/z7ApYP/
icqSJkyL3BOlC8IsoFeP2aiAh0f2sor2R0ILiZh22j2KTgGmp6rwdgrHRJ3L8rpajK3lFSu4IlC8
A2gimkuEmnNvtMm4X6Rvvxuesp7K8q5l6B3SGuAzq4a90X5z4yyxcFDMOAEgDF8iye0tNyBjVjjc
UgoDlGMBSx9IV6fmPGNrOysq5CcaK61rAMBFfzdXi8tHiBZUBSRJkNGz9fVPWqWcgeXqvgPqtOve
IxGTgUni/GSUGXt6L/FczrT4MbWBFM3pf16dkcTu9HpyT/6QcLU2K3r/PUkerjwziIg+93hGfzQ/
F1PBGlbJKVmDpvpcAlX8ZiJbq7xqbE3Z5zAO/nTurUezezK6wrlpPDma46b5jx10EkRcGiyjT8QP
2NQ19CYFFlqXNdkj8U/VMZJT/NqOXntjyi7GazyEY0RZJUbZ91Lbdnh2Ol167s5sbu3v0iajCsa2
qKhHa9cV3mop6OAFVcnBV4Jo53a93vaqLci1TYCIP9faMiH1fWNeaOkuPqNqi37GotnkZysZM58m
rpDozefSXi9b0XrVE5/SUhXmThFXG2F1/q0bFX7xbXq18YPJcbjzBiN0LrOu7HPeL03CWZCMtPcQ
F/KlcE/xMIQyfRtNimegcLVgOHFtIV/XoTUca0IQtctotJapybu5FyQopFMMDl+4adg/mtBO/aX0
594j7aqPR/narY7HbzHouH5sm6Zx9hFjLr+06uuXrutrpFhsS/pvJ5s5BSCHMWDNR+kh4jsVSJqD
impzxbEoKifLufcMESOLjsrlZm6cxOfAlpWzd5hWzQ0ZId4v0PH5fkxY4E4tUwTtZUo30f26GfWn
7FK14gqX4fwQdC5RCUG1ChBstkVW76xPoer5J4mLaLUez3NsbbdfpsTqGw1lxTF9DZlgcvOWezGp
dXif1rirQR76GA8vCDz2z2kIz51dXHGedY9IeReldi5OqHtb7zA2RUqYH4kJFYU1Gz/Xoh33i1k3
bnZN2rrEfaQighTygu36mShkz83gkrMiesPHW0Sc3ALYTdOByTQiDV0u8bQLPYXEy/GBPPJ21vHw
otiRukOdco7uqeopxiM52WVxwiQS/AoTphS+trR29vXcrd8VBafMkMtQFPqwISSjbdborrnM2RTK
W+ulS7yvGsrz9nE7i/rDbByJl6ZgvCnA+Fav8nZcE3P0L3BjF2nd5sWXuQzneJf1QfqF1df7FM40
rH/ruUyKH5A6mzxzvQYsIau8yhOVYEiqPPqlwr5PILDqjilWgtQw2lfOeQrDHqBLVT0hpwXQFqwA
isXVAo6pMNvOnFTKzbeMkpH/lO43cetElTDHakjkI93mI9o4ZwuY0tS0EStYKb/L63GQ20vLHPLu
NAx4+RrH3RtMOlQOsa396txkdabTj6HziUMaN2aJjXSs7rJu/Dz5kLpi2JeT2yenWJg+esyMVxMo
MrTTH68OYmS5q+na3UCvV3xOCTd+TMzUxLt1mr1D3FA9XPi19A9Dwch3CHqx3dreVfGuLDI0kiFF
j3/9qnWTe92PiwsWBRDGkBrbOOfAmSqC4LVSL1HvW3iOXri4LJuWYbdsRQgkbVMBwjmnFauIj7VC
S7Fd/DFt3qpr0vWhc2I0oIumc2Nc+vVFM13XF3QNwAuSuzHeDUPPRlQVrv/Ol5k+sWHY+3Y28bfO
+LF2fVjpU1JvRbpLYjF9bVE2BzsRdYxc1RgHJU9BMqLUH+oZgNSo+NkDxxTgBXGC9WMcU7sDBFip
NjCx89YCuTs7pJwFx72kgYD0xZL1ORtWSitgMULFp+mxpCTc0bxFo78eEk7rN7MO8rcCvntq9Mwc
5riqz0O6Ky91B/Z0GFY2vdxrZz5THXZqpE5Qu/9J4QXzLhxG77OrnP536bfOshu0FS8hA1a4X1i6
7WHylXo2RJBQ70V93sfSSUa1IZXRYavWkRLH64AJfxG371W8sZSLuILqif2qeG87CgNqeQXqZxbv
g0X5UDPLjo3ZV1bXZq/bLs54H0L1mkFEg1HN9YqcECBF5lM1ZJ9rhbzy0jH8P2w4CV/LWsPhFd5I
WVNh9PrYOQoI2lsr/bssEsb9qu5Qb3ggZzeTbNr4aDzZXIrJEBKMS2ojqAIok9+RRZ5n1AmzMxRQ
xEDTiPhpBQN453IIfhD7wAylUOJwbMUWvjkNtzsb0zK8B3yRBMIL7vSdowTNDJGs/d/xMqUPUzcO
MBjeOLa5k86aQyzw1fucucWzFxLCkM5b9ramRetC7WgSqb1aAfR3SwdiZ2tPPeNti5oDpyNTiSjL
6GPxTVWfxoTs9yqMXDp54KHurJH0cTntSqeuzWbYmT5stMpjJsCLzULRk3iZzX/LBA5kB/gpfsWl
JwHCAA1fyIOQ5oD+f8rytl9dsu28agryqGOIZofQBb90tQY3CblvzW60tf6pXImZkksZoNaLzGjO
zJA6BKSHz86xzAtIsyG0zXGYCvdpLEY32RkLzpWnveX3XULXzCc10NlDKTvGIGt8AZesO/ur1UXz
nxmyUealnBNYpGaO36Qj+4CctqB/h/Knojoz7MC5nLq0P/FX+w9lFdbbbjJ1dmoCJgY4iAL3s6jr
FzVu/nQZ25mHKqT6qGdJJPqNl3ztz8PY0B5NT0v7Wo3TJmjczKw8RAtJUbkbrOnP1gS4zxZRmBdU
Au2T4GM+LmVkeCKmK6vBUjx/9s7c3wEMlH9XXU2sjkxtv+cx2O5F6wPhpGt8I7yrgUXPWfQaVFWE
bUN28X/Sbn520M0Sy1cbQLXxDK7DZZl5rJQb+h/sFlfIXCcIzXQp+9txqboJwM2fmIdc/1J1a5Ec
piBakaPFbfU76+z8TFEdf+rMtrwewSdtkVsT2N9OKKU8rosaPpFKMPWkZVTHe8ZKhwBx8IAb46/k
ahpTEvQv3ZoSnVasZjg2jLyvSRVs4xe604UaGxX1kzgFDkLaXCTOeHRsqcbbZcpgmuNgvT5lzai3
c2z8KjzDV/gVdLkrxGUZNMVjNrbUeVSzs/nnpsvER8OrFoLUqij4AxY7e79w1gbqi9myRGJhiPKB
/w6qo+80vZdzcHtfAPAyPs12qt1D15uZL1DZ2GGN4l8NmJ+gMFsWj/gGdNBz9OSiC2AcrIthvIk2
Jtm9DyP8FUuo8X3BGeUeZNeGSCag99GTs33UZ/aywuSpNUV23LaZeKawBZ46ZY3XjZjM1hGQIjH9
vzSDgAJ5a+b3hKUs5WmP+SI16sU254WYf7o0FQKF+IanKVuM492MzPbqGIgFEHwnmlH+kiUkzU/K
/5zcDrXr1LkaKB09UOCWLtARpQj2G11yTr1boT6Svdr4B95xpoXZ7VBMDb1g4OecJ0XyFK1x+N8y
rm5xmFNv8HblWiffKZ0XYBHu4sIGw8Qf46hxzLmpMIugiWYhRdHkkoO8TqGmZlPNPZAB1abOdIiM
5ZC1DvDkEY9yPB147EAF4KpDxHTbKnHVa4cXVa6OeAr6tq4fp6gHG41BT1BChEhsbphbQ1LC6r4g
tbUOkREVXLki76Kwlnmg/JXJdUyjV9fLNhqohpVVMprGFt5eJKNh2csqoLTAbbsjMhis8muI7gjW
M5FQdUvq/Wp978pzdATtXOxqimTXpzr2OLezaM67KmP5WZjo052TAJGaDI43B45P//AeW0QjwzLD
SNp5KvdElaTrL79V3PipMLNzQD81NDeqdhsezK2CFtPIKOKDjtlacw7UZMEqVa7BnvD0mi9obUS/
b4Uf2MfSTB4Mr4Kf2w6OPzXbYRnEWj1ZVcZEG00wUE9RgPqv4jzVyfJkQNPMXkb9Vt30gxbto4rd
yj3psPPNJVMGuF5Mjes8oauy1bmOuyxh3bTyPp36cmYIdzLd/ALAazWLzqD6l0CttbvC+IRD/eYV
UZtd0j6BdFk6J4r4hoGZP8pq8MaT9AQYfba55i1gPYt3FVH71wTeaur2ds3MesqKPgG/axws6L0z
2L8IxoDD6BNO9BGtH5V4oJVBf2zbLZ2OxQrZ2oer+aMDZ1mOnlPIfi/7dLW5synaN0zYo9Jb+VwQ
LGx3T6LSS3nWpLhyP0lT2FvUdzO9EinMbF5FGjjCBYICuRRGZvly7WLMmT8MZiThY5YT8wYim85q
GF5KUYHUc9Ga7eC1EeaJsc6uwiLXxOupHdP5iy2nfE5sCR/iJ/Xk5xM6hhHkgwyuw9xKfa/g+bej
cMayJEmBweKz0cmMTa8e0uLIj4waTnawv5SnDeW8H8zQZ6gq/C0D+pDFeJc11DDv6IgyzaG2PQ+T
mAOLskyNvf3s0CtSH6f8Sb9v/JX981QgzzsskQiqF73Ann+WqdOGKNEKUrwjr++YuW0n9KPCO3A/
0tI0f3j+pgdCl+KRt01z+ebFWJMgW3oTebZDSUBptitoh6tfhYChyYsQjwEwMOQuoFa1Ffer7EPo
oiRpqx08RiwvCCZteCMntLYHAOvaHoclwxCqh8x6RybUND4A4kh8BvzkxWWtS/XoQGL15xVPS/O6
ZIBZ7246VP6N5Oqp/i4ySedbb8W7vGsSN7Ln1bTxndcnc3UqCyu2XFarR1RpjBDlvrAdRm2klQRW
LdsGOlc56ca+DalQ/3LcJJiobUj67GHOnHT5Coeg4ekKS+PfbMw5pL4WoVK54o8V+202DXQkgpGF
cKjO49ZqiyS9I2IpyU6LhV88d92ctWClMdNcPk+8PyeY4GnZBcIPvSNZls16GIOoyHjK5gRBRjSF
1Y1MDU+lQWRlT2PvxvKfN7pbjV4rQOg2D1km4MSm3jq/0pAaxkOzOEVzQqVh270TaW945FTungbh
cQ32XjKYp44/LztLZbviXdLZqF9cQt756FxXxX1rCsZbK3T54zmYs++8NuFkjsGonVvYQ7oKOvBe
khqGymv+Ghv7ND9MfaAOpe1D2FNw+OLS1AADKDY2CyPFwW27w2ZN51FClkbzmwOlM19pG/g+5s0U
TSIgdVFdFuoxf0AijHR2iG6CdS/VWsQ7DYfXXRaYANjkTCj/6MjMMcfIjchhX/0mLW9ip5/9U0Tp
8lsii3o7O2vjVyet4b93kwqLnzYukecsWM87WBKu7X4HFgOwi+SFZYP9eMFrlTjDsocZR5Lv6Dnm
+si4rBGnKf8qJZmS+ez0i6Nuec0RMqSbCNs/smMf263+6EUHk2k/3od6iYCJPH+IyU6zsrmN+0Tf
ZmPDCrjODtlMc7iFlj7EhsoXl7b2+uisLYKRIOrDMPenCNkvtyTXqjusrAWqYJYeW1jYU48A2e4E
Q4/auTqdnb2QkuTrpfAR4NWAPtAYCLSw2WRQn4dGjnHz1faz+y3DUY9gDgodHrqLTO2USZIvGOKQ
+qq0917Zjwg6Wscm5OhrprF+gDQR5mQlVM+lkcH1XZ5dy7vfCBtDW8WWa1qF8ZiPrVKUVG6uO7O4
YQO/cUrH5yHYIsBtP2qbbTeE1/1KLX6woluRXnqRuADWs7P1DZSsKBnInDAKrhPExC6KBzvK9rJA
NsEa2KVkEi1bSQflME3/iZ46uzJumvgg4Faetz4GrckW6eIFLpLtnZMDu9HIHvocZJChp7GY7C/j
VLj8s15OLwD6w2OWjnXBCjStrzWpHuZUj1Jtx47lfkNNOAb/JE9TtAPmYbKpvWANoUy3GHIxNh7q
oiyd/4ucaQ3PZbx4/PEEf7SgQ2tNeEcSOb8hUeYa1d0Qv0wrTFu+ZI0SeSFnFGWqdPU9QRmaCBYm
FO/srVlGYOG8rvRm2rn6cOvM/2I7Gx60QOi9W0zmtrlGcuydFbTbX8cPmwH1eCxU7lK2Xe7hXSeM
hUkz3pN0XOKuqhpEPivEwa8EIWB/TlY0Qn8UcPeCNDDhsUVELuobYIpwJP5SaHe32D5FVVbyzB/Q
jJmZCdDngWvV6IIuTLH9l+huo12QelfnOJcaVYWlaX47oSRz7zRvT7uXWWQYYfktYJ6igOFVTbV/
IgU0QxogU+EfZAC2tl+Q7HLPhMFanwu3Vz3wQzvLk+xrAgB5XbFXJ/HcAOmklXvZgtTh3kyCTpPZ
kEa3rpuhU1QDbSTcBVxaKAxsVR7jpUn9XPsMHbxgkxwOs+sjR7QxBC4r1lU/GPuLxZ/Wo1uCVTDe
Sn1HwQNe6JWFh9nItedJNPqhQi4ugeKYIEjEaojDUEDL5sBo3JydLPOGeyj07C2D/+8OSbg4iOUn
EUf54nRbcGmQo9obmAPeBmdDVn0QtWEWMMEo0bE2wEJ5XJcj7YFDYn+lMftRDspJQa2JOzj8dspU
fVCxCL3c3bQLyyeW8UU1dGruoiSVXyaOBiS1qy7is7+kfGZlp4dgbtN/Ud84r0hykiddKLQGw4Ta
74YPA/5lG7/r8iE2Gsn5mBLoxBqw/szJGMlPqwZ32CVy9addGzdl9ARZEVSk6QlH+NAsZej5lw6O
jscOctlDio/W+KDcKdp+VSnw7Q4EqiaXeg6IOm3DYemOU7xFDx6/Tpb3karHu6uW5jeQuOhysY31
lAeyL1+KRjHRC56sG4gSnv0gYqc8ynqaXiuaeqh+WSETT/NcOqCdk1t8ct5v6ZERdCv2ohiA5tTE
G54nm2zde5kE6znYphKt7TpLRu16Bl7mL2+dzyTZFJtnW+Oc0SYIi+8ZJuh8bZKIEGrwCK+nyBUT
Qn/V2lfHCec11ymQx7ecA8W+Moyk8BFm63hE8HMSA2W067MoVonGK1aUUCQD5pJj4PnK3giOuDd4
mPRHRagbL106Ld8jGopqP0Yhb5ePvtica5UIfNLJtOrnnq4i+qWqdao+ktBU5sh3KzkG58B519OY
xIem5BzOx26O7I3py0IlaDvC4M5g6dCIsVSAz7GOkmwHirDpY9IWWXzUddtfYZk2+04GL/0jF98O
qIBl8OYINX2Go0PFJU1Ma3OQcbGs+VJv6fM0tA33LSeNOnZx4zm42EuCphBwDNCzMm2D4gFBZj3t
Z52SV8bYEY2vsCkxQXs9g2iemJhceXcYQLTnVbjfS6irp2aqAjq0ghWosetY1x78bKNbeihrixrG
OCMR43JO/f3V7jGCYFj17hvpjzn6kOLN0I41IICt65IrgYPswGYsbkUyp1xqYQkKzVyFCwM4ufuQ
7jD/ZX5u7X3fKjCbxOglPTjK76tLza/wb46Gtv0OXTwhYFKcPHu9GNCKQCmu0GyggHg/RWU1H+Jq
Ktvf/IAV0mw21GVv8cETgcttLPZxELa/B67HR9e49hsNbhvl6RahXxo9HU35Nrnx78UGY3ScOTlr
FsN4dH557dUqB/XMLS37Ilv/BHgYHtsBrdkfpRrrXCZU0e4evV493jaEC26vWwmVmddxA6oAywse
fMBJI7oLaHIx/WUMCt3jnMbWv2mtlcOj4ynFuWY3E+x0YOBHIqUCD6WDV7TB7bxGU7FHILjEhOTM
OnyJBhuS7dFwCJw37gUaOEpTo8UbfF2d1DaZ9liF09ido6kUyY3minYuYMQQoFTDwsPHXjh7e27H
yj2WfgQ/XrKMgXmk5fxSTxnbuhuF47uphnjdDXEK4+uhmXqNs7n29lyGHcmpPt52pBUVdOgs0pHD
fYuHh2GlcZ1xSoX6iATb41MXK7J4qjgsArst4NCADNfyNCqnD+94HJPyYGf2+Lz0AMJ3I06L8MQ5
uC25wETrnDPXQ8U3owrj620HmtRd43yT5DC+dmpWy3M2dUF46I1b/IknFCd1F3XF3sii+lvasAh2
5RzU9b1NVgdABl9WdeeTi/wHZCP7o/uEFbi1bpS+dGz7LlITFG3tqYUuQ2IMU7i8FpigkGJUYmL8
jCLLu7glhXuc6nmtLiZC/ss55VZm76pgXI+dmdLiznULn5vLpP7wREdKRem6mq76vSZOpvQ7dNgV
eEi79cP0c+udPE8heE+LIfPudLzB/li5rcF9ESKAOXqJvzFoeJ6vk+EgMVmMCwqfDoEbKJi0Q3WK
6jUaEDT03gAeEEYJEY/NtvJvchAZS5GFzr3nAcuWvL1ehBcZInp4E1CO8igABLZ8nAqfsyET7d+a
563KU9jm4V1FSU2KAEYI1g63McHvpA0mbEBZYDCvUfE+EV8xVRvIM1OYMVr9GWDA/mVrKPEQ+uQa
vjh2lWW1G5y0A8AYVvXWNrObMX47vtPfzm7bcjh15fCh8LxBG2m3/9oGq9+Uuy7BS2ZLmqD6YZGf
vhJLmGsxG3cX0RIbf1IsMKAZrdHx7vzKCh69zYyAiA1jlJ8bG63pMUjJwcClk2z90a6TvfVDxeKD
QG2rHg0YlceyXIPNLIQQ9z/hsAEZz2k/06uObyMQh8mk2/taZemTwKakmJT9Jrl3ASoFXc/FXN5p
v2rSA/qtur0PXSXLZxvILVAMTlkt0DAwWK1IJ3ubPq+Im/UvKHHva3Lhhg5EeDjdoZpRuXBAVwlX
LMiC2ZVyITZEelH1Rthcq8/aQ18NwWOteAwK/+q0wXJnWP2oyjgUncN9UXRV8wOl7gLsIRdYsqdY
kRX32qXkReY8g9wsCKvTr3lqxFubwO7goRECQJbN1TtObRbzHBXV7OdIYOc7SF/21qkPxQPK56uz
2k6+2fneGn2pxN3EE8wnc5MlZ7ncJ94kvkGsAu4vWEhUP0vU45nwgNx13FCKHG11jFtCXqXNbu2Z
9A4lAiRbtyQTuijWry4v27rNuJEHWP8i4n/9D+C3LC8x+FF/rGNESswbSOw5v2Zv3OP79MR9Qe2l
d6iZdZG/pJ1GDtm5gTCPJbNifTFJsy0n15Xqu4G3Jnl1C1bNxu/pepc01fjPRjb+rtxx4ICQXpM3
Om2f+sKknx4mkO/EaRQSxBKz895L0inay6XHHaq8vv1WZnG82zrycEggYq/1wS+z6dKaOaKuGJVc
dBfMpl4+GxUtxY6XN6HSAxpV7ZO4Rtu8hA663yELCORvZBfAgo82/WCgpj80xo5AyFNR4khD648S
MitWyy+ULIW9ujXWasdXz6Sl2zkac9zfs8t4HlG/OUzCM1/LFAAMUnpvy3MaDiGW0ezquYNGYpTP
HcijCvvjKnyccal6jpQO7sEp5gV0tZt/pE0TnDYRGChAEwaa7R+Tkn230GzLsRwGBtFjmaCclTu2
KLP346oj5I3NjrU7bO2Sp3VB+8Q09tLfF5XCYCHDSrz2WVwNiEZErPJZNyOp/Z52epQahXzGtsnD
lvnavWFEL9K964zVKwUHoXO7+cJT+8YuxfowxZVg6lVDFu4z4P2S4SvmrOKlQNahlDd/0KQ1xfmS
wPUVJNVouLnUfhT1UpmPzW7A0MqP6wVR1/UxNWUb/gOo4XdocF4WZ5eCU6ZuXmt+JbsFfg5tGPFL
hppSkRBN1j4ZQ4eoDXOFNortOiSNZYBRd8rgM5HS1+7tWmc4231Rh29jOY7UN6Y+Epy4LCeQtNJx
FvqIluUNyleixulwH4D810WxT3xlbmmHaQBE+SYf2cvbx3guMBOBQfUij/rFLAeas129W6arSTpy
XMjcGqNnuIPQ9G9BRZZv3Xra7Kxu1nvBuldz9RWFPUl9FWvCP7vP1uVLedAzXMUFQk0PZARO8gfZ
/MCCHkXygS+wseBzqFohQOpAHb2s7WEYdOhhLULQiDui39TT5CxDty+7nl3fyfgQhyhU6e8gWDAa
AIKiPxehvzCEl2TPUty5YfnmdRAjuoSrqNM4gsXRTaWLexd5YA6gmX3ESRb/kW7T89/Bsz/mznXv
WGDrLe/hm97LgmE5D83WYxpYivZ5wr7m7VL0iuC7wHI7hOQgK1xKqH0HAOYfTt+xPKKhxyzIT2KD
o60L6+2ioFt538uMJHDmpCW5rzd3fiprZ32qfE+6e8hpMZ5ikdn/xIgXZddEM8xhynL6CwZj+IX5
iGsqDbo2OnsT+vtbBWf5I9oCv8LWBjo6VHHVvpCqqln2x2B5iAYI+qsQYIHumEbxGlrV+QdC0tBM
lpttbgpq2vDiSZdYl3iIEtZ+Lyik5Aiuh+yeM9hB9lVEfoqKwHPq4TtEiUQADv6eqfldo4VEqsgT
IW680BnNXkVRhmWkpG7h2XXZwJ/CUabqhrNL/0foQDjesWIt1WkUkfywlKBFKLuafnprhrB3jrXs
0ocaZJK7tXb5YflDkNNpF1CEJIEAEcLQhFB5LKhzeOvhhhwxOnU2NAchwTDfNxGVT8ZC6d0Bcrov
rZt26rbJYvDsORiC+sEkU6RuCxlcJdlL5lWHzjK3Y0Fqtx8MxDBHbDiMNCyAUM5QxOVXOjE18f8o
ov+CBESXX7fqaUXkXwOpOyM3PKvNpFkuO794JFuqXg7aZtOzcShRvkTwxN5noYrgLZyb6fcWemZE
obQM1S7sBpZVpArZnCCdEK1T7ZY2o4YwSYp4vSi3c7dbfDB9+oyzen0NZIsUwjYjrvvrSDbfTENS
WX7GDoMfPg94NNs1qbNvBjUinaxNUBx8V3BZIKEqzpAE+tfsy+AD0KWhNmiZG3LVpzhN87Iq1feW
pgHybu2u7g67R/1bbdn8lcnW4QW0IUYUi+z0r8+EBIE4geDkCKOt/jBOu0DiLZyKRzifILybPMtG
jJtovuuwvWKOy0qOI9b3dp+tvQ13ZSoQS2sgiJ47YYMcXILQxS9BOGZ8DF0m/OfMmCx7SvALoe9L
TPnigBfqRxubjGyGgKVGgrc7SG2xchakUjkSOY3Anjrn7tir4BwGFRq0lm0i2a9Qelk+huX0JttI
45xbMAjB+SbFQYeBG17GqR8ga6pEfQ3KmaaTFh0u1mpZur2n6jjm9C7kiC6fOkHGLfdr0JsLEy2H
Hqi1CcTZA+m9GtiUOIBJRBPvj91ErhufDW4J/epsOg6LG5zwBcr2unXMJ9OOIHUJmqt+aJHOzP9Y
4CQZGl1BNtD/pJ3XbuxIsrWfiAC9uS2yrMpK2vaG2Jbeez79+agDnJGo+sV/um9mGj0YRSUzMzLM
WitWVEdjg3fdH845/IHPnVwDm01rYomVIstd8TSolgqSbwRNys81tfgzMWkT7JH2an9HPtSkFVCl
Av+QG8o3LRWGcyQOHMIsyPJo0xZN/qkP++TJCOKRYkRXDN8bHuvfLQAVfaJINdfUD4TcQaJ7kMH1
i+B5DbPXnjR3AD2olabyJfbzyRUMhpvY0O3SmP0g1AMBCKpyFRQ1Qjq1CiDMsfidxmrAF33WkJoA
a1UG3ufa9aPgSQHJRecfvxo/FXLvf4oSsx9AKdbNlbpwmXMUR2g0jSea7Y5WECV4zasTbSNKEHVX
OaXHP8ZAnOlUyhie68GFmwvXrALrAinuOUaCzgWdK6PcwqTRAXrNEMTf6zE3oVp2AkBVnsYfIte7
dICPpt8NKu+IT8FCbB1oHCgYpJ1o2DSnuy8IxA0qLMQwvCDXbzF7zxQFcVsTYp5ARfhfwCGBpdfy
MURdFeWOL5C72nKDQrFXbF3wTh4Q8Soqfoy848RgYqQ8kWGavp0oKah+MajKG6iTPjiAWPL413rX
p3sdbZnsOMZJsyvGsuSU0EwKOLuqDgSalsAXhPvZAqOq23M0Zur3UgZuujIYfYyGbtlR5BYsqDxA
iXTwUhSFq2eV9PwXHI+k3iZuKf1FtqOQ1z2jnxgKRHeeoZmtN+1GIwdg69E0Gxt6e+KoQRPJc1q7
RS5nim1E+YB6OgsQzkY5Zp8pjdH08dwu/YLTTc89MYFoU6E1iZaqoJmm3PvBLzxAI62gg/XWcUCv
glaxHFoHKsWKtgMEm0SPKnoALcvMqAOWTW0SJlpRdzJUcFm4vBwR0aAgpFoFUYzDaWOt0j+1yLL5
PyCseP421dvwCHBKsagsImzEoQWVkVOq7HeUVYpiV/kNggpaCHzS1uWQkVqDKhqyPeZGBytAS63f
E7bq1NI/ELdjZXYaAXsxlA9TFflHgFRFBDjBUD5FmmxRNe8737xkUlcVj/SpYJcl5iRqIASRVJ5j
Ja2jdWOk2tc69AY0h4nOLi49J2J5IE9fc2mAztLK6Ui7XAiGlAnHAymy1UYttf/Mi1NqRhNqg/o7
B4GrUEBuFNuSeN8oBumcVqN3QbgnPDaSDgN7hYMro6cEwp511o0ulYjS6hDOty2qoiCJZzRYSCM2
WVhorgmot9Gqn2PCOL7SoW4LUHaVmKrR9RvGvbZCcwOILxXS1RwamFVbyZeDBDYPTMDEe7QGtBWK
B1MBE0ymSL6leGsdLr1mQE2BFx7sGeZnCoxt1qRYIE4t/eKHnuujSAYI3smJgjaHkp7qhrsJXKbn
pE5WyjKqpKFJ9I0AVCumf/PKK8Bk0q/uupOQWar1BDp9NNdy1nVEXmKAgIKS1Ya7ahRp+KMg3ZId
RpeAg+aCmqfPXeAm+cHHE2pOw/CJ7xbaTeK1opM/8bRx8uZvoU067yobg0XPxpQjC4HKPoibfSQk
xrhNlY7xz5OSCCWXzku8H+Ogl8l+yDtf2dVUO72T1aH9eUD0D58pV6OfOJ0YGv1TzZ1mDnFq6Dqs
DLQQPheNHI4PlRlp7gluEUwrmQQV/hbdUGAQEre/lldA8SBkrVJul0bcCnlkTeWjFB4pnkDa6SNa
twcBhc1+JaL+wu0ZUSdAxigGluPV1sCfpYnersi8u6nEVzAOs0tSwHCWJF3R8I3A1De9NEIitmgQ
gLgIP2ltqf+Qoc/wXuSd9SjlY8o8Y5li50BrEZpQnIRENrw7KYm45WqryHCHq+pqanuhNcUbxo1U
P1WKyQROjzt+boW2ReqA7bYOglZav3q/8H5GfIBx7QMJFyk0UNlZN6Ve/Ur8jvCxUwNKoEZC/8hV
Ov5m4I4dnDlVHr/loye4OznKhXJH+67/3KZGt0l1Xa62deX27TntS0RXTPAET61FiQ/YBBzgXe/m
8E0R/+k4K0aE+GnLCTyPGS/sg28A/QE2iXdALyh01zS6y92YjHWxzuoiexyGl/dOkfpPhUITzill
ny4m1JlUt33sGrbfWVJPjVyLYJkUjdrv3CzyvyA3EpA1NIl1hMiK1kmnxtk6ViXNWIG0AKUaaMDQ
V5Rum2yHe8/xWWqL7s/o+zeKXVK5Im2nUFeJZGBT4UpS1hUczCda+LSmlSIWLoPvU7ItvQTSutta
zd+u02vSUy5Qvg7BU5CqUynOKA/CSDt7kENdJB8yqdn31FAezLEGNN0zop35qaj3yA+NkpvArL0K
7IRIa7bgQiV9uPaVvGJpnluPR9mgDAotvXRbu6uoSqMrIo0kJBXqw9e4VPpga1amPxG0ikI8yi28
AloHAnW7vOzb3hETMi6b/FcEOzGEYLGMrIJK4rVILNCRC1deJSuZI0de9wfoPLmfC+AUjUzfaNRt
VhkeFBLe622Gsui4RhxMe/QL1BIcNDvam9iZtLgb1yVxAp/HOYvBu32q3UKlWWxVlWOo1JqBzonl
DemXgHoWlIXyaKAz9nnIut49Zwyd/WKKQ+lEsty03waFljd19MEKiXvp13O/6dNClEUPFHxj2Vor
2jpiaqMSirSLFFKKXIM5AeOqIC4A4ILUTIKrWWpf8intcVwNmWB+sZ4ne0sd3U+laMB3pnGrPRm5
ODiQyttL0ZbxZgTo6oGj1+vf0PfB7sAMof6OTB/JxkjZV1yTxYsXhGasialMn3RFBTKCqw55W1oL
8JsQ7QCHDIYQzAS00nyk0S4nZfwlSrrYfTDjWOjBeMeik4Q6QgGWZPLPVq4hctZp3XgqSNp/ZdAM
IKkLXfjoj6UmQ6KDFrMCgdwo9CnBFm9CiQ4/58yqHjJRcmUGn1hl+pirHnWUVEyrv6nU5j8zSsP8
gjI1SdKpGAw/Wy0pjbVpFf0lobTVrYLUVaw/uijQQlLozW89KbKY3jRI9RPyEXoOZ9xMyIrqPE1A
ChTKoVdLeihVqvnePtMrc3QsWlD52mxkxuqYoO4fpEliaD1kfnvBsbbRmkYTKDQJdyBsp8FtyjlP
mqF7gAkAYaJDe0TaFwHcMIukGhygWFU/dcOw+iOMEUu/Ur+2VHixUDqM3kJKqhVirhwsQ18Id3rS
QAILVMP/AWMgBBFcWV198b1er05K00+4tFYKTmPf5/kFnXe5O4mt29MwgcoSRBtwDCYHt4ugBEqw
f38F1IB/WHAuruCGQHsTULQGAkEWXEf+Wc5OBtQGYU/W0srwgussXhd0oTK0IKDQUJQIwKitXGIp
wbYYMRZtypjEiZsV0BW0g1IRZEePXdM94OUQ8tQUYQIRoa2HDk07ds0VQD465hz83ETMxBtB/NW2
FqiNcvEqIQXCApM46HjUfLgZpS3hrJNHakAj3Ewmj2mbrra8bGdpEcREmm2NshmR5lQfho6m21QJ
ljm8PL8Oqeno20Es1b+7plCuiYqsdWxbDVWe08CcQUSoUl10cZneUBcPgGwS9auElARNYE0Quhsl
Kr/8DFrSh0ptgCJQnRC4C2gYmfYgtUEUVdLPgdHqv2IcDegPhR6FMbYq/Z5OR/sRSJsRO10JDB00
OI3XTZJHtbuPO701tqj0lNXW6ghYeBDBcFi2GJZRDtZZtxDU7MuwOWRpAhvZb0vl1Pee6FlUqX1J
+TmmanmUU6r7Xw0AXdK1BnqIwNc41OZjmNeFe7QgSVK9yAUBmfQRM9sCwq3wVVKrNmOcL3/tKTao
9++soqSZD/tFBn4HPTxSE0d2veJWC3Uq7xtqCybiS7L8FMqBhxK8KBNcF1EHskeYqJApzQjxQMzr
hfve48bufHblsS4lskyrrBEZSAzT/06C2VdbVDObaysbRbUOOr1pgSnXgreHU+yJdt5mA2wuSAiS
8GBSvEeuy7V89+ZGufwrzAWv2OdmkZsg0y2yEKi9+ndcSo2yUE2zDh0nz2wjig2GYtI8q4DEFF+z
kQcwhz+X+NHB90Ox/m6KxNvUBmDAr7NgKJSzhi6dv8tCkAhIoqEbtdIo5DEfOA696AsSLZ03YXQ1
8TErqjy7MAKYCROlolbVtbIK4G4jWybu4Ql5xOyyoCnFs9rkOi3qpqLo0XZovTlJ5avJlbJ53x8U
HdiP0Co6TABDzVxobE2rEin2WndCc3r8rZqtFgDLrcOfCxq47/WtZRQMQZFooszzK8+0VaM2kUyQ
T/UJ3HATPMlxsk7A4GEQcJO4GgXv2RvjTZNJe3NX2zY7tSC+LN0TJzVl4EUis0EYEjL7CYWeGnlv
8RMYajegdu2tkRBxwIWckj3zKmxvszhcYNKvncuHMi1ZmxS9FciKMz1UgWW1seE1py4uhnVbMgCl
BIJFP7hjuiA8AkAVFl4t6otmI+jGtxTK2l5sffniQVFwF5SI302PkGQLNCnj7g0RBdW5kLnWoKPj
Z1lzov2xboddmPyxvK8IdC1s9nul4ckOWu98bFR/zNmXHjupkeEmNSfz1tfPmT30e+OkCevaNqTn
ID2VjuJtE4QY7IxhjpdkaTDLnZ1+Y38mK0wBxJdRV4B7+oOMOq8ZaKqtofMNv7VTtwFavqNz4ksb
31r4wNLdlVPEtBiOLbP2+cqNgEl8Yt0wfiW3x+Y8opdBsuOJW7QHLB5KLYdR8Je0k7LzOp8gx/V+
UP7KnbDJs2jhyL//DhTgRHHa7mnQ9Msg+FfSwWUNwbNFs+xEd+fiFRtaaKewePx4t+8akZjdwPk2
dGl+qOjRKn0MgeEkqckNLN+D0jyG6tM/MEKqShuAyEyeTx6PUk+pddVtT2jZfrZ06Q+s9ZvpKwsa
2fO1cC0IQaADGhZ1Rc2c3VddsCrR1HJUlIIvpfQoG5/MYsHE/IRgQhIBlyAmrBEzSrORa1LeWgwW
l8MLONS8XpfQSfVdGe9AV3z8yeaXfW5odhQJobXaJCq7hPmtjh4j969s/Syby8dW7nyxN8uZXbWA
kQVjXErhpSp/ysFv07qMSzO6lr7YTO9Z86OYXiVfLFbtqrkoPF7DGgC4Xi74jaW1zHY/F3rX7wMl
vBjBJ1c7u+pvNVsY87C0KdNPeHUjEWHrVavlc3XuVfPObIoYPg7Vf3lb5ls/m+7itwokKxEraAja
sYRMhvlV1W//buenbXu1lACegAoANLwoUE8i4Q/ygRAvF47X9MlfP6D/uxICS0USZW7ObCXgA3Ih
F/XwMqmQrWicHcQaIu7HK7m7KSbNeI1HUQfl9nYlJHLgmZmHcvHzi4mWbIjYqBT8Lrt8wdC752Fa
jqzhYBSDQoqizG6L0aaS6A9RfAnqI9WNoDqaDWrO4AfH/NugUbWjz4U+5maUL67xNULfW0lMu6cz
44O9tJAB+3jpcy31+Q+a3a2+HtVBcPlB/iivY+TPAk2m1es5pZBDqWOWypePDd771q+/wOyOMQHD
1SuKQpfW2so/UpQlE5O+5uKXnvZsfnBe25ldtNEoKJoWXnyJ0C9NwCzDtAMdhNybtUVOz4J6GfUb
A+7Dx+t7OZFzw6Zi8OopEjDv+YltzEgS4YXEFysVLhAnQdRdEdeDCYBwn/AUPRo/yRTbY3LQjwly
TZTBl8aM3PvGpmpOwwwI9lR99o1DxdeaAezeJXf8Zu0LjFKB2a+lS0udXpB3S9UkXYZhoDHYZ/aN
B8l0AR3W8aWoHyn5rlBLi0nSpG/uyripGwS1gPLF9sIHno/0MGQGNxHO6CIBli7rM5cQAfEqKTAN
VxkhD5E8tkIVgvnMYfuod89S9kBhMKRg0xhbU/7ZF/F12gsAMAPyYPmOqsdGa5OFX/XujZr9qJkz
rINg6JF8G64NxMuhfw4QQrCQFmuoXkjZ5uNP8M4pTsaIrRWEdSyZ0Rlv/VWO+qeWuHwBw3uk8rMq
yz//vQGdvz9NhkKAaZ4pUbIEYqTlw7Wji6coSHQL3z628BLmvDk7rOG1idkahLbXTFLz4Uo8tNLN
o6/+Zs1nNVp3yHbTFt8jAdIW1sI+/T/skokZhkYAZs3uBjVftA/TdrhG6bnNvyGH6AgTbc+6CCYy
SD/7BrnJpeFu7y4ki+UzGgwIZM4JIezbDaugshT09MergJh0nUCN4E6CXDmp/sKdvGeJydgS2SYT
Mpgb8taSWbhu2XmFeFU9pNeRlHLDPbrhAKUWBlgvGZp/RyvtI9WLxWuDusAZnV+BciXKuVzceF8P
lul8fGDu2jNk6vMvyYw5e6MHigtkxL14latoFddPFvET6vhFsv/YzrsHUdanGoEqy5RHDVmebZXm
gU0C9yJCgDcutRZt6+LZK0oklVTaM/K1zcSnjy3K730HJg1iG6oSJB1zh5bAba/UbhCvRoauaqwK
PytXNz8lI62eBL2vB01VskNF2+6gVqP0m2pfsVOpgjpoxVbnJKSlNUrwg1euFyYPfQ3KHfU27YCS
yKqp8+81jBeo2Vq9axGmWNW0PmyhE86JqYV7ND39b1DM/YWbdu9DKrBgEMTixMva7CQCpskgoMji
Veqe0m9hhB+0x9apy3O+cBTv3GlyWzQiqbPgDqX5HFbaMUJW5RbXC9XwKJc2ua6vg/GgmL2do67T
w9HpRnSdxmH98d6937rJjTDS3MRJGgR2b69bVkUyUzv68Wrowgb1A9Q/hE2bHHzwa5Xy/WNjL7MQ
3/rMt9ZmnxSav8TL147X8hfA9Prb+Ft6Eg/WJty4jrqX962HAuLK+pEcvefmOT+Um49/wMu0m3c/
QCb9Jm/VNP1lvtyrkF8VkO4BjDpeu4P3SDvhgVmRwll71J1xm38+B9eE0a7WvtqFJxBZC8bfRRsy
q1cVk4niGv8hTx7ilfEIWSQQwsZ49SrEm+BWPfi6tlPD5KuU0PtF5xltuPpnBlMazphTK+PXf/IL
LAqtnGtZoUjw9hf0sgYaHt2Ra1UJXK7yM3Xbvds7XajtIap/hyYNFl83o1VDXPux8XsnjYiHydua
NKmyzvxSE3hjWNH1vypp9WweKsO20vQpGf+a+fZfWXo5ha++s0/XHeKK/nKms5UKZ55+/CEZ473Q
wXAy088f23vv2aeyEbE6hU6N53G2r6kC7MmKPPHKCg+N7m4QgUYTIn802wVLdx0F5V/4vjzGPP4z
UxSd/VEVE3zSpdAziB+/wuqZsXAhZDfBzVdFLK6LzFjyT3dX+Mrs7NygLagkUYlZwag2ZbsN6tIW
9PwUh+6z68pgyte+V528vEQj2kHlqxG6Q2BF65zqfLk0fXyKyueXmNeGCqWhIc6mz05SL2dthj6r
eE27ONhabf+XaUPdro8QCPh4Z++dWTIgTbQk5hhp85OUyKkGmpV1q/TfohGB5h3Aybz7pMFe/tjU
SylzvqrXtmbVrrHs80KNI/HaaQ18L2bK2LSfd6qQfgJUce5kRbBDtT+ORXmjqfWQjOpTEo/HEDUr
G4XpcF0lgKE15PVXhoVaVyopkLnEi4dMtD/WNy+Q0C8UytHJqCCibUFjxpV++6a2lYE32oXsrvW2
A5QtVwuOX3of8NOqRfXCtESZ6qc1W5xRhAHw05KgRNZQNFbqcxM1X0RtDO0kTpnypKQ/kULeZ4X6
nd7gKTD9Q1xmMgxiZQcue1x42+/+HoUXgGIpM4StWTBG6EkF3G3Ea00sseo0ObTB1qoLVu5cV5MA
QWPujUK6R63yrb/NG4txW5EgXbMViq6Hbpt16/ACHjgsNojefXyC3l/St8ZmyWwJh19QFE++miX8
iVw+JsZ5ZMIayG1x97Gp+wtjZIBOX0gRZWvmEBREIJUcQs8VXkinb0LH+O6fEeKCKv+p/0cL0xRL
lkWCZ0ucLQxA9Bg0VKS5GeSjqCn6KKcCNICK8/Gy3jsWviAhLJ7couM1j/gQFYpHfcDQ2FTotcjF
uK2Za7X1MsVbiNLvmtJFGucWgim6PAWfr94oQRqSvCEBupb0v/9CGQtsL+jSX3qg//p4Ue99GIua
0gGgfrIlmvOtQpBaszwspQAygGzYcXsATpGgoZXFC60BaQrg3joxjFmoNFu6KZGIzFxzFKtRxcAS
GdBEjhgwqDvjE2OldqrxXBvfE0AEQfAZ/iNSq7sIhqfiL0xnf3+xaZvrZCG4a5MW4eyspD4MwqJj
RIg5AGUnxEnotif6PzgoZHGGSigjgd2cWUHcTKI13clXgnoRZIwKnlBObfnx4627d6Nfm5m99moJ
FZ/JzfI1i3GCByG4oecKFuxjK9L7uJRvNoUwrIhzP+/x5tWYCy5idNdQ+TOAjRSi5xop1TTZRfEf
AEsrNWG4Ohjv28eG792B13ZnX3HIqb8rxiBfPRq4aqI+GN1OyuvNx1Yk+c6ZfG1m9hUVPVe6MZHk
a5qhaWC6ipMxhWxdlVT/J1Qoszzqdk8WVJ6R8Q4OSE8mp8iIguOAOMHCr5mMzS4IE+stVeXt4VnQ
Z7dRrVMI/51nXAeQO9QayHzR11l5paGsER9u1h8vfrpvM3OWQW5u8fyws3NzLm0UPVKR/2vD7wp6
4tTKbK+/yTkntobZ4zUPflEt3MH3Ri0Rqr2mmjrlPdIMftQr3waVpoXGFhnXoJB2Qroan2Ll2g3S
MQofTf1g6Qv27uwwWhWqRSiokMgytfWtQcUNezCVnXWVpWZdoP1RBbci2iPhjhhduSpaYCfNJ1WR
bAPOL85j4SvfyWsBKZtQMifPR1w6HcFXK7ag0JihOvi3pPmhWRcoqys13EpA4qLeboD39Ogv8smZ
byAkN/CL43AyYE0hBVUgG9boCSMpf1ta4Xy8/fe+jGGSlVgKc0TJeWdnP4M5DZRHcq8RlBugVGJF
/HgAmN4CjPcZrEphCLLxV30TLE1rfodWmR4C5MClKdMmnprPam9HpQZ563m3rpE/5+U+j+y62VBg
RP/+ZDT92kKatRSQn7LGbZactOAqCTsvqBau3J1HCQAHQTzJGSELSfjb3YF9A0lKirwbnElH0T6L
I1WV8in7JYPdOAHgFTPPRmXH6fJvhrfw/L6vIr01Pnvo81SrW1QzvFuUmptiQOAcuQVL/Y7cu52D
+pPcpaG/02l/e+f52MjsK7xPIlrjs9sQMMYEOpni3RBvgngYgGpDSNLaIZey1Ke5c9On4IJrB7JQ
NeZ9GiZ3jYMxGN5NPyErqQb7tD8bnbWK9WidFd8Ec+GiLdmbLU0NmaLCkDbvljdTMwpdmfTYMKIP
Nr+DiOjHl+d9WVMBeALWiGIN+TZR7ttzA5ZP1lFACW/jcPZ2sbofvJMa/m3ZwCh8blS67Cji55tB
985xRwnZlvpfoYMqk2DLwtYSHirkkF0UVItcsItuC1PQR8s8DoOlROPdnr/9qcosn2GYIsr8URPe
ss/+NzbcvBZ/ik/9utnHB9Bon1yg6guf512kNTM58/IdY2OZW9iFt6r7pjDRu/nz8ed/91LO/v7M
pyIrZ1S6y99XW+RGzMKGKFwEP9rm239vx5R1qrw676MyD1nNtqzTYRzCW919UcvqbOa4pEQfboHX
CQv79C4WZ02myn0hcORdFmfblBZaVwuRy5qMJN2KfRYjPlqQA495tquGpt3D+1yIst7nagpwIKIN
3AHemBL922MsDiSmSMeNp8Zmism623I693AfgkXY2rvriSWKq8qUUFOgmYfFiQZRMWg98UTF2un3
wjmwzY24CxZetfcn462Z2aM2WIafhALDrptD70Q7wKvyUn77/nBPJiyaGqAqpvjp7TezAiMRBTUQ
T/We6rQDeWlVOb+8q31AbOr4+789gW+MzTtD1CuZmDfy2aKd71i2fJT2Hxt4f+zeGphd1XiKjwbx
ZV+6NaIzR+ADC3siv/dAb23MrmshWogjdb54Mp7ghSSQWuDfPPZHPt8X9xLYLivrnOBK0fvc/bJu
7qrbw0HZGMdm4ZK9e3FfTuH/7Z2pvN27mqG/RdKF4qlaW/QVLNs6BI6xsN73SdPMynSCXoV8Heya
ColRTojTrdGr25iO+mslr6hlLazn/q36z3pmjx6SZ0nThqwH/tlD6Ai2cZN3grNk5q6feHXmzdm1
QrwYtnHKDlZr0DwOBUH8RPqj3S4dR2lph2YeCV0MVIRbLLk3a9esp0sMv+QWfcofrLO8V+xiI39h
6pflKAuP1tJNmEVjzK9HQU3Gsmz7dv6grL3l77i0upnvGIs2KuBziadxY22Sfqf8JPy20wd1JdkI
ldr62boi1Wo1jre4vvvHkoomARlgVqKWt8eySEM10Px4OpbN2j3EjrwvHHAkG6Y+LXiV98nFdAVe
2Zq5FVl2GUHIqIbTtInDOtoZO9dJd/5OWWdOvP7Yh931L6+MzfxLqpnKOBGnTvvH3dILOf1/30TM
s4XMPEZJ0apQgAKcWk5isE44953Tr23ycif48vE67l8zXTdAj1AEoBP2dofQw0kEIS1EMOTRDsWW
df4QXfOTa4cLfmPR0sxFqQJa9L6CpemCVSvXQf/rkB5ce+lWLVqauSgJmWOxmNbUrdt9tQrWxIOO
eiy32QLA9a4vfPXxZj4qZypN7A355KN6R7Wn59I41P/+0809VNoMmamxIHQR9/0+dOqV9NdG0Ovx
X56GmUNCD8SSQoUFlRt0HFbVyjpHtmQzV2rhNCx9uZlXahh3n7oRK2p4FWNII8SAdn0TFxZ01/n9
Z4PmjRU3FxpFt1hP70yPr7yniW8veZ47XhxUIAG7hJOjlz3bHaD6tEchOGPEt0OMDMfkH1zTNzZm
GzOGKqPHzJcjjc6Qs6pXq2wv7Jde3Tvf642Z2bbkFqOvIJpM28LMXlvk8WMaxcLev2+/AbR79cH0
2avgoYEQjAGzu4sV9H27PjJh1Anx1QHC45BJYttcMqm896lvTM4eB8ZzqchNsTDlot8mvyrYKRry
q8YRncPfJb9w792jHWyR3VDzADU2+44S2oBh1hrTu9fv82/5Q88tMn4EDvP6Fpb2vto3fc3/2Jqj
rTumjhp5/WIrObdoNj92eKOKcgRTxI7yk3uR7Oy3vIoP4oP7uOhsJ7c9e63emJ99WYbzlXAjX8xP
bj12gI++3OZiw1QG2yfPW3BS0198ZxGwI0hNvi/QYP73V7GuLOlSjEQfHzdYwS9/yNfqqrcZ9m6j
brzg4e+eVbJVcKEUEDVVmz30dUX5va4i6ZQkkKx92vr6TSMF+zp2N807VMlNBqGkPDMcd9VB+TYE
fWm9dxLMKWH+v58wne1X65X8IohQmZV4zmQ7dqxz+hOCdffN3dFXtc2zcHTt7KcoLth9oRDOv/Nr
u7MHe+w1AUkM7FZr4YKmeOkEjmmPx+7Mu3qUPwd2gng2Y+sc91L/QJPKqZYaeHeeCRpnlk7eSyv0
XTUE7Re+PVhPcmuNqb6O/xw8Bo+Tl2XW0iY5MrWNmWP+Y3ouV5Gz5KjuXq1X5ufPh1DFFNwYOnry
j9qldk7lUT3Ux2C32UjnLWN5fzDP7e/I0Uu3C2f83q3SLF2F4gm5gf+e7bnWZbI4VOz5rVlru+rk
8+a7u8mNyCv5YTlPeKnJvdvtVxZnLkvU28FTglo6oa3HhOJ1ZxtP3XYKadJdZQ9rEksKNqhWPfT7
bjslsu5utC2k3H8xUzFeFZvl/Ei+EwoDdfm/z6DNXopQCCAXj3wGa6ddzBvd/VtzGDfMfyHYYkB9
+rP6xRD6bW4z0YKEviCxWNiJO5H+m58w82+dG4Roo/ETeid2mErgZCf3Ku9HO9ylJ0ZS28LzUkBx
L5V5Y3PmdEjXKl1gMjbbkOeraKe8JNpw5h3gKt2TtVtY4/QZP9j7OdLAKBWtU8xSOn1XHnzi8p5D
ltuWs2hoaT9nLqVmSnwSiyxM4Tpl58oWbDRhbcRROocp2vuFdS3cIm2WCJSIsbjjtK5uPeX1LkFG
cmhZXnJ18RfeP0pC3+zcLCMgzzLKJJx2jssypaH9sbKNx3Q3OGDTl6LoxYMyCz2nyTCq4HI4/WPr
JGdGGb3sXuegRXTIlx6Epc85c0p9PenFG7iIhoeo3UNTYw6bUztoVa3lvbtzcQLCTSPEzm2Dw8N0
cGpdi7t691F45RRmnsr0kDEodXaVWbwvdSFUpuz2Mjkr1UH02q6ukx+wHGGxmKdMb+0HN2UeuurM
LGTqE/tr3txDccYVrpmxefa+1A4wab76hTLfBcjbzmKi7Ko9xJ/10hltptS3K+PQOPE5PjO69R/W
AF+fPX3mqRiQblpay2HI1p+rdUWN87rVbuJq6Vm8G92CGrYkHb4HYfXskMOyj8Im6qSTfhp/GS8e
gznFa6aD7BYLufeCvde2Zie8FJpOr1A/eSkDSk/9ptu2e+bo4v/TnXetV8Y2Pk/PYsiFRjJm9bEL
mY70+/3+z1JnRx7t8IYZB5hvDuhg2hSOefTCJUDr0iJnJzrUFTdA5B0/ZRO52+kluE1ukQEGl3+U
Cb36oPMnFV8voTSPLbru1FXbZ9dpp9eT7ZNX6j9L9oBZQlkAIgu4bHYqYyWmwDRI/3tbw6N5QjYe
f8Hm7Vvug7nx1x9v2d2ojZBRR49BRdNSn+1Z0hlekjLS8cTYxL+9I39W6v1z4Ujb4igMa+SWdvkp
2/injERT2GpLMeu9zcQ7IQ1hyAjzzT9wMyCDlDBJ7WRxM0xOKLhXG60shyh9KTu593C/tjX7uEVj
inGN9tRp2JKxnyy7f6xX6eH/Iw+a7tn8Iry2NAtJEAXsKzVkVcYFsfgf7bOxC3lQzWP9t/yRnouN
ShPAtYfHjzfzPWxjIuW9+pqz5Ac/g2huywoZC3rLzi0xqfbgOuVf4+DZyh9xVaM0smDz7g6Co5tQ
UQz0nDt513WlqNQamXdOWLWX7OCt2cUtPGnx4Z84GOuVrdkOSkjIBMVYc1p2UzM0+FPtAbQvBLH3
XszXRmab12paKUUIEr7c+cl1EtZvNQK8jz/ckpnZXmll1U2zYKbvFlF7bw+owa9AcS9c8Lvvz+vl
THHKq4S4HHKZhnUr09htL9VNefDWGZWqdqt+CRb48ktLmkWQtdzJxsj47pceMkO1K4dJyZz2pR1a
XNPsTQ1440za8TJv6hTve+vJLfe2u5JOxZePt+lefRyO1X/O9+xNjZiSmUkeiyodyDbnYO3TXvB3
BG//8kDMPHGWjigtTYcbuf7jVJOa/D6LWnKD0y68c06vFjR7P7NMqvRpliSv9PSmRTv1x3CeklTE
FB2U9Z0x21q//91XNGa5qdK6Ul35GJ1ariKFmcQeDyj42e6CP3qhgc2Wh1SLqFCqNhkLMMdMGwkK
yLE6yLQJu3O0A8xwVJxfNSiAzoEb/uMTF21dPD15zu229GnvBEBvbM+2sEJYM4EYIZ8evuZXeR09
jCs0ue3WxrBmo167TjbxdunbTp7ioxXPNrQ2CiWXe1Y8Hmn7opdL8Z4BOMfk2p91gkzleWEz79TY
Xi9zXumpELaTtZhlGquT5HgP+eayv67zc3X9tPu98E3v+JQ3tmYuPxzBP6shi2vWTIslYYuO4arZ
aQuX714c9MbOzOtbfR+gx8uaviIe/k20BWAB437/B6Dv6ts3eYPaJmP9OK5LUDX1zu5JLyAf3QDp
P4d5VkFUy1Zf8DHV5pwU5acojrYLG3bnjZYl0EsqbAXYbur/kPZdPY4jTba/iAC9eU06eZUMy70Q
Zem9E/nr97Bm746U4hXx7Q560EBXo4OZGRkRGeac8RuufECAvh9O6Kvxyv9Tdom2+brejVX62eaK
6fX8K4tyAkD4FgCzPMrS/1KwPgH09RjZjakn1GQNjZl9ZE0pJHpVx0ZpDf1+LLW+JujLpuFKfhvK
FUYgTYZ9U5JfWZkFnZgSxLNojUXXpDDCqt1uZJM0UcKFIr8V7RYveVQxkVxbHtEda/IWco0GCxc+
c3hTRuVaJrU4KRLBABNDJrd3D8mxeU6XrCkYZxAm6aWZPse75FzvBLNbPBY8dZDXcqmDxFMkY8A0
xG+BMgrCBquSfh4LmApXMRf0725SbhyMMZ4iRpDAAItxxENWDDdfsy6oWTIzbXdVa5f5Z5Myy1x6
UQujBPnvXP/5lH25/gbKvQNAk0trTBhsWd1dRevPyPRMdjv6J4B3wox2BsoYINxEt8nczZ/qpblZ
P+UuWr4BnVwr8FtQxZrRrl0KGw4jzS1pSUyAIdwbsiWYpQ5zd57Z+jmlonyGyOU8hghGT/W5/QQw
LTkfbfsJhYGLferIXBVqqjpyvdI/63tlgJIMigRuGTy9dNkejM+C7N9jYwlMFDhHGZ65HN/T6458
/183+e/TrkT7NZCpuR6bDDIn1GkZMiz3Z/tpzIJ8gD8JydvDXNpgRqf+EvVXIsWSVy4on47mtoPI
0AKwKLLtcy+Ie0An4JACbWPEAMCokUAjHSolE4AnShr1B0wS4aa19tY+ID8/pVmaoGr68PTfGb0Z
3SAda1yLpNykUAMHPfCwm6jVor0iWxVI89Sr8igvcn22ojVpgq4WSJlbEKLVjV9ggb6PjLS1PXt/
V4N/Zb+kFWPkxuPVzYkbf351brzIKEESQJwUZWRgd2IWzkj48+aP9o8yqlobgnXC/W9tFHXRDMxM
x3mNNyBelPoveIhmZE5edUyxaqBbEzFcQFk4BikW4AbI/DZ99cBL2Br5C9puC8EEefDj/aMkYTQK
DdKSxI9lfExhSpQ943mAwmopnzoWQPEdDhZ1D+a4xWMhdKT2j5QRZQYlbQy+0QnVjo1zLsrF1HlG
202491FDB0IZCBH0FXA1CQg8Ft3ipHeES+feFlQcdSea2kqNUTwvVoTUWRtW8+MbA9qlUmsgartM
gTKt67/xNvvsctOzokqfOUcaAONOOrW9ctN1UVpj4eVXZeYBRmkT0px14RldGVpjltahI4exULOY
kyze3vp/JKPrDQVuDIALMnXrA4HxQRAdJE4sfIGt6gLsebnwSTgE6BNW1efKB5pkDHDjJQCty5Ed
fA6K72+o9uri/H0CbByQhWQeJV46zaSIcQcw8TJxLuDzUu0KNNUALTB5swdGut7/JJHVg0Mmsgdx
qdnRttyXBSrNoiWD3n3D/QyJyS+qeh0Gi1R6eqySVFT4z7dhAlNVJeDNaCKlFl3otSBPZBNH48AR
zmQqj2mhFKLDXAfV4FxNZ7QRd1uB0XTE8ZjLZ2nInr7kxELWpMRJLj3oGOKUiCWYc1TOfrysP/BU
WhBMBq40ZGG8lIrPhD7KxFauU0dGieoTDHcZ84TRHWDpsM/AWSsI+1PlwMTvQLe0ipalbzGlNcAf
fF0uNsZ6lNCIXXNIAKy/8gIwRq2iF34jHjHiCyp6F4XTXy8xh8jwu8PjT6fnxv6O5PrTqSMB20oE
19Gkjiob3SXBBA9YM0kM5HiEU2smXKYFyRbdfi7J/AcEc7dnyjiOK2Bg4w6lJojACuUpsIGurCvg
CCDnCM2brfEEEDwduFu9XYO0nhTfgV05I+MOODBrJAe+AItdbQJx2Ugzx0j3BfyzF1efRPkcdPz5
fnvBJ9WW0Zui2f9YS/nJTuFLv/JfcQHPnVgYb7IxcXZ8fA7ClOXARNv/bAelQj5XK37BDakTLuVD
9PEq/u6Do7KWl8km0Mu1F9q1+YtEob5KToElLXeYcd2jRwR/bvHGXIKSThz+bQXsl4ZZeozx3gFs
sUzW132RZI4IIMxiCbovAPaDHjJ5bVuOfa4D0HUaAiDS8dLng/TUDAn7DJz55DUTtNib8SdTdgNJ
KknArDveIHSc2Pv4GRgYMqep/cFiqywFJX3yVdWsdGpLdm5YfNR5SjWBxwwUH1FAOhNj9vj5VXij
XRQQnldK5mCiXFyqAcdbOVtwhsKAu0kowPEYl7E4o330I2fccqCu47WMjk8RMOxUAofvuYjLmzpz
+NiQJVKGJq5kmS2EY4kmHZvrj6JRbEt5LXALBf0bJYojcwE5HSn/8xGob4mAcVUE4BjdLl3o/Z6X
8iZzmIXMbXmwE4uk2BQAY+wJdh2NjctKNFNQKDUW4EDzL2X5+CJMaR6MKKaRgBuJiiIN1iX6Hq/4
UpE5n3hiFnrynp1rzEoEnzNyJnQKckYgWRFEv3fOIU95YWB9rNRFnwgWWg3nwgcnPbSpiMCFC9IM
kNNxEoBeGdKUnj4MpvQcAXSmkP7T0ca/bUcnGgcwhxH26G7RoOqMPTHF2ZdWna2c1YkxVuLGJwhS
vp9nMoVTNh8TwgCpYQVWBlrfaIuu9Lts/eDiSX3mRASBCUKAdQnSk1SXdqCQbYiSWjlD5kIjqqj4
zxJhTgD7DQhyjEvfCgX/AsM1YAJ1OjbvDKboFcI3nLjIwRdImCztidKCBiz21XOnea49tOxcCY6f
uNi4XDhshB4qe4es33JF6OLm4xtcl325BB7znV4ETTBSUC8CJ6HMgDWPAKo7g2cSJV0tUytl50aS
Bp5St40iI8JoLqjxLrEHovO+acINBtuqyGD7iH9Jc0F8AVUq5uFZv+owH68EHHyGknEbr4tZjWh8
5z+7OS89l2nVotdQYURHaNN8boh4ypdhzhP8mMBixJg03eoXgwi1dLWRLhZ9jbIJPjelBShSRMBw
ozPFJ/+Gz2FWvECyp64AyRGny5/da2HJrq5yOsDSiMzWM+8euu91VAKAJeB7MKCOMJAGiOdBfFk2
Puc5IwePgr6/iEfTo6zYF3CIrTxMpHQgY4sv5iDsHt/3v9fbrVHHvKYEbHo0fQLW+c/yXSl90Xii
GoFf2jFe33szXaJjoF4y5D0j79gIsq8wClboGcqY6hL+nhD9ZPweDvoKQ3zGZgMziNJZTN50fXHA
f4uenE6pfsp1kKqjM2m1WumnuffEvY3ChRHQE4MeVXw77feACpkUgua6Z654A3ccqepl5D/5lxnX
c38tbsVQ2QPfzSS1AcD0GWk204t3FSBEACCEid21ACr3xwdBD1FCB26lUdbHywo4ngjSvM7o9Xyp
EDTe/Oab7XZrgYVi+fPVa+SyuuhkM/xGT3OdFBM341Y+ZYi4ti474FW5Z0O20eu9tT4rHcRDZCk+
Pb2wVk5kBFRgO9KB+T8Tx9w/SG5FU0GeykeqEo2iQVso5r9ctI9Apvp4f+8DyVsZ42Ff6TkobbwE
ZsU9+7FTNAUJ6pmbRKdm/jlASRjhdJAqAbrKrQQGrGbdIGTMOVm4Tz/2ZdWudgC0/EY1ey0Z/Yy+
3OdKsB4JkTHEjZwM1J6xhey1QtkwZ0BnkUu9HKnXepCIFp+1/NJJM5X5yROCbRrdlAIaDP52bS5f
igPTt5AmYeqgshPlWUA7+OMjmohxNBYQXzCCuNwswtpbKf2A+r+aMsw5MyMzsdWNSla/Hrp+55K6
UwYE+yKizx0QFnho3QqS0bynVBeXOV+8xLrkq7ASSFVti/o/D5mxoitB1L4JlZiBGhaCtLTD2w0t
FCILHlmFBOxXHA9zGzhlsa7FURarqhqxckuNOa/BIYnJFP6AblGC9/UXp5upqa/k9cxDeepaISQF
8A7iJQCMUTtZCoUQDyIWGGutKYMsT8K7/bFaTOgeAkBuzA2iwglc79vDyuOqBotu4jmxXL6UQbkB
a21D/CAxH8uZuFGoo4I8BcvBk+Ov/ffKQqhK2IXtUHlOWmUrAOfsXSl61dLgUyh6UiStxfHszLWa
yEppNzKpA7uIF98X1MxzttYeWPsAG8BvF2Tgl8ReEjhbfbVwdzHetKeZaPdvUoly/DeiKXPFlZJc
1R1Ev76y+rNsPnc6+B4XEjEsa6mZ+IRPpMs9gnxDCf63tWjIGODSaxtZwmqxzg3jdyYzO6G9N180
KsLVASiMoIVSXXhOEGgLeQDXuMRuigtnJGWtVxU/s/mT4mBkxlcVSKVkSq9CLlddPvE8JwKpMm8G
jQRMrkVUr/MsmbmYU84V9WVOFDCqjPTnn/O/WhrfRlV9EVXPaVaFqlceNlQgqUowXrqvn1JDcvXK
JTVGtomHWVCXiO4Z8LUfXVGS7M2tZr6HbmUffdXN91DeA2y9gNdmeM/BpDj3ug3RGmGBNu83RNeQ
7s54RqqcdSeMcr1g2JWiFrT2TjXYxbHdsNz6Q0IiSdr2/ynw1D+yADaKGS7UEJB1vNUh5lKzSRHF
vrNOyHYgHGf239/r5xi5qe9uIczBU05FbSgk/CuPyqmHri+1LPrUnS5ctvUakIfR2m8tBYzLLAnc
BfIDwQAs+9iIfcEQxHUb7Dn2NdGWfL1GJxNLcmalpCYYso1LuolcZSbu+XtA0vf8+guprE3vx4PL
tqHvYGYaHIcWih5AiiUIL7+9lb7j3vlxwrk2f877vXXcMOjw1k8H43W7XpzEz2AfGKm+cM1vxehI
RxZz/XHTV+PfHaQ7eFNByQfRj3yHl9YhT+qXCgSwmCOX9VBZAZs6W/UAOebLJW/Eh17eFueKI5eP
+sikeq8ccn8mGT+RcMLduPogyi4gNxIEXYUjlUB34L5xDGdK2kJwc6OrNUfKrAyosQJyT2wJzO5V
lRvg19V+SnULpnoSu3NVsYnXIT4IMAUgDEFWAnD7tzoNEJ9LASBL32F1dSWalT288E+Bzr52RmK4
LgYx2ZkbO+UKryVSbqlPeS2p/cx3lHIhF3pfYWo87d+RmvfncpjT241ChABCixGskLpBDTK8rdRj
uwvREgC/kBjiqdz5mHfUzG4Xk9RQ/H3FohhgD6CNJjHm4M6PPf+0OZTkkQcO5HcICW93uBmZx8EB
iiOv7UEu0f8jrELvo/P0gkd+Nw2XiRrZvKuALb7SpbmS5FTgiyo1gAwB2SbAFVFWS2plUFSnkN/b
Eil+QVAfEjBHc7oeWTN+n26a+bOQ2GzkekA2AHBASr3bAcS4Rdr7DmZtLa96BmN44vpGyx74YB3K
I9+1HoDPk38rcuIxBqvokvI8s+FTMd31R1AqPeTaCFQ3+E6jnBpV19QFh2mFC1Ezoz9E/qHvK4PL
AgC7Wf2SxxNfLvkZH/jXuEEbRvR3grIC5htwbtQ3RPnAxUONb0Ap1Epig6vJG4ZLd+nOcZzEigyM
LZBfmLzD/2bxYyYZ+Mmg86RnyC+VpNYeK8Pi6YmpAGKKwaCL3Zrmh6R/Z5/STOp40kchyPkfedSJ
B5UiFhcJ8poVmlnLc/oUmfVGWWRb2fA/yoWwG1aMvQPrA1izVj5pPjFLps8d+bid9HajgQDoNHiv
SgDHvb1jpVc2fBJXAThcT+C9Dg5KaYLcjfdWirZLoo33zayEOSatySj3Wirl/QJfAm5gC6m+oFuv
71v/q7ErvSLW6Adf8TJPl72uoLNHDswnmcikD1BM2zk78HqRkjin/mXdzGjelHVVMd8OPggo3h22
oAZiYy1RXN8Jctuvz2WzTvk3BcOgl4zM7fpoqeldH40KcnsKB+IJKqYG9WQ+xAKL9F5nBsRb9duA
qGCo3fFEAU/c/8Z3wrCMfLGY5wAS7O0hayUaUIWICZys8UxJ/PIUIvBmfgG2iWY18hOb6QEG3LPf
GhiFmyQ0QOCty6KelHaszT2+R2HU2rG7YMYTVdQP74DcUAYrisDjQ0erbTlecOyhc+1QmgmwJp4R
GBpHJgYCRqBRSsMuQigI4MsOnbZeMYJeC0Zk9v6TOnw/Nhvjv0OtBu0qigilQSSA+PZ2a3mxUdVa
YmInanID3cZAmSViswy2pbAIeI+gy3nm4T2xfwKKiiJGyQAAgafZrcSAa2U/umgx7NS+XvXW7LjR
hHLeCKAscFmFvZs2EJDthnVq8D/5Gr0fiPfQV6ydu0/GeryF0wtCphuRFFpBaFDPIkUIUIuQJ/ak
rV4kZZcOqzD9eCxlopyCxLQsyLDtwFG4Y+nikqTkqyJMHAyGZiWpDYWE53rTbgDGusGbeiDHluTm
UwpUmTQ162cOafLT4vFXjM93Wl2uP4K6+D4anLy2wUeAMd4UMU2VeZ+PJUzsJmqE6B5kEZsKsDC3
6tHxjcJ1VYFGrQsc97AMgIjaFQdvRgsnFgKnISJWAQwrCFvGz7h6OpepG+d9hoWUbfKssLVqcWWZ
m4/XMhWB3UihFgMkJtEXwXnuxNq+bVfCxg1iHew8Mbfts1dhsKsLGBjnYrH74h8qP1dro3xiU4JK
ecj9BJF9pJyk4bcaDmGxS70zV+E9tAy7mVhgwoggwhVhRABxieYSKsNaZoHWplGUOJ1EmjoiYXTs
L29lbV14NA76h7n3+J2OwCBCEECJkTTGy4U6vFbhwSsoZ6kT9CEQcuMcZWMbNEmBHkf8jKLcGWJK
FnWEolomFy6MUoerFCMEMZ/PWglawAOQHDXs12OFudNKCEMQPaYlAUOFxd1qZZYqfaUE6A8CV5Lm
tZ9tWX0/lnD/7BtFjI0PmBNArp8uVeYj7g7HtehTRGOFj5pQ+/rKASpOsrwnfr1m5pTxLibH3AOu
F1osQEcHNlnqrIQcRC0gcchR/obBwtg3A0gyj/zImPoeAPeBYPjxCu+f/pRE6sRQh5cvESPkzjq/
rD/BD2G36Ab+Ca2WgOxMPzTke6FHX0Y2d9snTm9M+sGpAVWQRUcgdXqBG0ShFxQOXjfGu7YGlJBr
EY83PmpbC43ZJvK7a4eFopkCCPFwpBIeG7fyvCCTVffSFY5oZyh2m74FLo4hIvnPZSapeRdbUpJG
l3tlLcNEQ5pRgaQm+I5l49Sw5NT3Mzdtbjnj9l4JkUKGT9tRSELEXk/FhawRR3WNmYfSnBjahclM
xJcuVziFOTYeh0hEa2bkE+5NOgeB9VgZ77s/xp0DVjyKDCoM1p9Xv1oU4kQJ5LdyAfWX39V3K3nX
ql2zBAbqqSNxO6eCd7EPxImo97MYehbBYEAtTq79qs7Rd+mg71Uh6+CjyKxKNF7klGC0UE5mZ5zu
Ey2jxJG2mecRSMKw3J4a64p5BVzr0kF1rScDXnvg7AGhzl5B1gpDBuIZI4aZobh6G59q5hj/DHMR
5X2ihfoGSnPaAExsFRjEHExTNCNwuJEnpPZ1YHSsVhdpRk/HPbyJgShp1B7nitK6hXYpndIChvt6
DpZ0ykLf7ChlMdnKV4VMrkqnCJa418TYWmpB2OrtEhkL4Uk5z3IYjiH3oxVRFhPDcRGfeU3ppNpW
ku32leGhPWFyKNyVVqFtlsylAmfVhopRQiWXolqA2gjZlmOMIUH76Yto5okVfuUYusHIPkD4Ex7d
0mgMJBwT6cIbWmWk2StzFy3hOMcJvZFBEZlQifK5dRehA5FJKofzjgkAotSUKNxqcPUasIndYTDn
auz3HfPwgmBr/uNPwt3/y6Vd2QTE8H0TRG7lXMrXCO1wTvwiISWZjG3q4U4lyjZdgzRtWKmWgETR
Y4s0Ec+AJAr2CPRzIvDpqbvCsq0QxppWOXnzGjZ6a8jtKcmJKs7ImXAZoEIbWwkURDQY8qDsgt8k
KpcltROGx0FYKI5XbqFIHfEvM2gdwnghKPUFLQyHuoyG6gw4T29FISdSgB1QqB3WbJCD+USfkWJ5
q8A5b8MSE9YfKx7ZF6DLAGzM9vaprpvHU/mzxkwtpufmBhSn4g98DnJRYIIDZArdQzEUvSa5nVw7
caP7YP+0ksJMN8FaufziZBcArLQHbR3VS2lY8D7pkG9nDHGn/savZTTjEO7TkdC164+hrrY3BGHb
lWoNp9p+Y5AQsH9ocyUAkkYYhooHIRH60nxTIR0Q6dZzqZtRm+ijkXjoAAJNsOCw1NFwVS63TN43
TimD9cnVhEFPchBaP9ZpfsLtyeh0xKt47DREgHerAWWXCG4DtDWnHEoChiD+OS6XI5EjqRIzBGzn
wgd0k0K8wRQ7u0AzdQX+95C0H2r34qvrUFw3jZ75b4+/6y/rfbt8Dg3NmPcfn5j4nXIVeMyHjZLw
F6fkiHx0wQdtt6UpfAHmaAG2vsGzfZH0ud4Vm4E3uszkhH0ckoRdKKnRRWs0gzd2zxl59e0aoJMW
NfBymu7wHfGD/vhbJ/bw9lupPUziKIs4j704FdlCK5FgeEfVYOwcGOECAvOcrvOdpJ9iHZHE94zw
+6DsVjilpsgyBmpWDBc8Wd9jfdubyFlGoHz4HJOn561G3l8C8vYh2Zzu6LuXjxn5953YI+3ayMyA
x9H4/KKSUowmXlK1kC4I08AyEJnDIkH7YVQaKQgFPEMiHWbsXX1G7L3hupVK3Y5E0GpVlLSLU192
vYT4LK7ApLlIuLnOJOH+Ht5KoqI0HkyUYlBhfVZCrL3x3usXqzEHjIrVaL8w9Q2y1J+AZCSJjfFt
TIyXRGfXOqw1mctT38+iUHs9fuuV+9PS5CIXnHtxkud0I7yIgBEfFscYonzYo0KvoXDetxYS44Cy
AVAxZjwTjZ0CBLXbzaBu5cCh7Yhr8AFe8c3V69QntbiJGpHw6VsU5mPjJyDByYyK39soSOWQlxmJ
vwErTCVJmMADHCjHYNmE+7L809P7kvmql6Elk/zjQ1DQDevu3Z1AYpv1yIhKOfMB9x4ZHwCiVKQj
4fZhkW73XfICjR9Ur3cgvo/JFjO552jlkeOP+G0fl/HJxqwgJo8/xd334hdQvHNF+fvJrXHj0ZoE
tmHMlqD16vYLGCYORTdJeud5/brfButP8O/s9ihVBeSYr23b3pmnnqxWH9Vy56xi0ydo+j0snh9v
xHi8tFG+/grq+Lm45jOXj7EPQEAsX5QqIkCImznuqQuH48SJj9gW6Au/XSpaD3KlrPLeCQbTrRQz
5jTz8TKmjvNaAnWly8rNZL8seqdKADknxUQQcHEj2+MUQ4rw3OxnWZLvY8exfP/voqjz4/rwAozl
rHdy43m7RbEgI+v+8Pq6fff1/bnYnuHijZTTjxeyHMjSXXrkLKyXiW4TYppOxhHHB6Ql2lefFqeQ
rMx0h+FY5zfVv43HmzNlWYWRnQ0jmRgPpTOEIjMWaBNcti4ZyXgP4fCeY6o5UWeOeVIOWqzxdkC7
LPjRbo85dIchTMY7lSMXPqY+VQRXrIwGivr38YqmtHYsrGOEBo1eIHy8lZS7Qt72WtQ7+EsdkSQM
DMp8R1pkQP9Pgu5gdDrsXTxeUi15c/l1zToC9/pYxOSu/buWO+7mrqhAVRv2oKEG8rO3SfAw4KIX
L5+r1c1sGt1g3DaSp8Gb9k4jXvDASnEPU9CRFpG/fLyiqet+dToadRmlOuuZXoEgt8ObSkOdP6v/
F+cC/kuEuDCd40TRrQI0Ki9mbFz2Ths1BhejedTbSeFMupaGkP7zjddSKCfRKeCgLVJIQapok4yP
k9ftnjX31lO+aMnxsj4egRvVmm8fIk8+WGJgPuPxVv7Vy2j7fP0JlOlE70TriiUUMDde1xlRNJiZ
rWXtj3BV9rB7Eg4p2XyAEOa0QB9FrM+Yjqmj/BucETAXiP4G6kr3PCYH//S/uaBJPEuJGr0/XuGU
Vl5LGC37VQBU5aHshRcssIrQs+Absvecc3Mdev+fk8Q0y3+vgzYYUsIrVQwpQbhIyPM2G7sT9suj
hIy4c+yevkTSIfZoAfIAgBV93EvMYMzYx5ml/oViV0tVuhDErio+oh7to/YjObFn/ee7iSIe3n4Y
oAScBHUvuPZSNIrX415gertKJcst1GWhzfWLT7ykUSxETw/QqpDWwKDQ7anFUSgKDd8O6HcB7jV0
8rLE8LmxjLbEBP2Zp5cr5SPXF3PDZRPZzRvBdHUNZG6pDMrPwRFI6dvyRxCtq3f2qWiJi0E5caE9
ZZ+Pt3QqtECQCMZduE/U9CgFZbkyrIWsGpwETUx9aopoCgibI97J71E4k70Zt42+7ZCDWX6MoLJ4
JN9ua9qD5afq+MFR+5Q08anhciMXCPvKhAdNyFdJMTezM/nYuxZJnWRYp1mWVMKAx966B8Y32oV0
b/EO8CrLc0jS6Cn6HuZ6hiZfHci6AcsWFKoYqx6vytVV6Pg0CtVWHZwhsrTYKi4suUSZkQgvAUM6
dtM0JqZVl49PcqL+wCFk+Ffq6IqvpHqNdkm1wh2cFiQPMklbE03Eiqi3zS+na8kTGHIBAZC8uvzi
seTJc70STJnRMm4Lls8hmNeeghUH7pLojc3efMEuV8kcAtpUYHq9SkqJMsWVFC0dhXmHDpTw0k+e
2fHlMNdbQmOH/7nHsbOPhRVQEENSfj7CYK2XCNLgbLeVvraQRVq058JhTBtTjHpgsYbD6V+9ZX4c
EpiIZpHbv6HZrA8zTmpywcAmFjHDjIv699K6OlaucIWg07TBQaZeUK16Ifg6OKDnKiuTh3glht7X
KmtErYeYNN+2+74gHQxBCoQ3VXuuQWDyWGUmU1AyYJ/RGYSAGmgAt8paNRxojXOfdTiyXDLm0TPP
+893CUOj+8/l8rgEuIrlMbN9yfceX0EzG0pmyNGhjErzpxVNkzZNzbQOO/AOI+W6JMxZOeHeEY4y
MFYKVAUEiiylOFnp+UXZhJ2DiAaeWNa1T24NT0zS/fInXXy9gNQc/XOrqianheMSf/GxWgA4RzG8
l5ldvo++bz+F2mV0GORK7EWd8ywQYQ/wD8JZeMChhSixR6I6dmm/vGFGblftT4dirk/1vo8JV/F6
Jyg7qDLA/e0jiFed1/4Xs//6niPWKBzxnbz5ehH3wLbc7Wq9J/77L6r1j9c/fdr/ngRlEYdIrOSo
xknk/UtS7wtlplY+ocW3C6QsX911seKJWGBuAJ/derVEfRinr2qPPJkpyjyblb5YfKvmLDXHqES3
vvRWMnVd1YbtlDKLOwSWFaCnWLxIDc0zEi3SYwC5KNVCi22f25fSU5yuk3x22njuAyjPOtQqO3QR
9lYgr9HuHcUY3zgLi+WSiIZtstYqX51gEeeizInY7GbhdAyo+MMl4ka56xahGXC+Yuv8cwxfAIi/
0n1zwTwtMCz7WI8mkvu3QqmnUsIoYcJnENrpUkMAPPe+/WxP5+hwzlbLpS2ZLzGS1ylhrTcEh6Th
xhJ8R2bx4Sac0u2HUA+mXurSLPizLYU5XufOfH+vzxppxwTNVtbPoXG00zVJNpu3TDJ3sOHkNI7d
APR3xuvP3e6/eOTKMfFaU2RZCuVnFs+vwLsoEFvJurUEjjOg9I8/irkxFUz584RzVgfNOMzc7tkP
GK//1Qc0l7ZPEh+nMoIBAokM0R38BzYhIAB2tPPFE6PoL6a5wg7E24Nvz7yg7z3z7WFQ5q3vVSlp
Gcj3MV7odms1dzhAm7ipHhYz78h7zLlbU/o3O3611lDVmos2mtLCTFDS24rmfgkWlyeTW+10Ho7E
mFP62e2ljJtQ5XnT5BCJrgTJ4oylf/JIO8YFeFce0e602SQGDPcKE/0v3wfhWz7OzfVPpJFvt5gy
c0rkMqDcHW87QA3WY6MCuhXYVbnBQY/g1pd1pCv608sLqCkAIWEKPTHBE5gSd58TtKjj6BeLmWOn
Ab4RGd5+FGX6ojQpvLIdPwpMRXvkGuHbkf482l8Ehi94gs0Htve3sHxshf6eDQ9s/p+OXOnAoPlM
Eo1yIyJuE2LUm62lYNbWNY7Hy3FDmANUAV12eJfOXLUZTf8zyleSXSDruBELyUJRLJGvsvo8Wwe1
p4fRYGUtbz5e6UTbxM0O0+1uZVllfpJDXmm8Fh9bYYN4kNidhRLdE5Z48ixj5lAn3my3IumoTfN5
JoohMjfcrWtLVrByF+LeXfdzdnMmPvxTr6vNjJP/58HGWa3ttt0MGdnvUwD+esTd2E9IuaUyAZ7y
CWo0y2Axd5SU0aq1S5Vp442SE7uubBcT9wmoGIclE83mUcbb+UhhqfgrUt08LzXI6m0jDMgrXFRB
LJSfsNDl8UnRv9TTWwY7Zji/B8AbrGfUVpj8AAWARCCyGdk9qUNV+7gKwxRRkghA/AapzUK3jtH2
qJ6DTgcB1TI6LH2rXgtHVC0yXJ3A0tPD6KwW6jD27M02ck60jEDPrj6JclqFF6hlHeKT+oMYAQhl
C1NOlsqA/lHX+iI7pOhOOt4CM1sxeexXYqljx2hgUiQCjgLwVIas5+pbEuS6W9gJpz++vH9dVHen
fiWKOvVMkbS41eA3gHd8aL/GxzGL4J/XP1NMgeLo8T+3PpfQgiVu9W7HGyj+ZqgAYkrXKp83LwLa
eFmABbXkp6zJkV++NNZbuJNWJkCCjAPGBIDYvZH7uU0a9/7Rl1Mej499/iKKSec0Lr9rItZhOGGu
Pj9REx8VAN28aGFixxrpbdRSuGkRaOoYNiEjpYwRC7JRLm6/Yg47dKRhqsPEDMsiRfFs7X0uitnx
sXtdUFme1WRFQA51HFi9/YKh4KtWqVGwbNjYCOt62bhMqbNusuNVhaSsEhuPVYIb13S7sTcS6UJT
kbZcF/pp7xgMT6KfMAQbtrg+MAaUcUbUvXW9FUVtbw+cqmjwsbhOZ21pv16r+noLLCzELL5RzNyq
+/c1hKFICgsz5r/oDjuuzeqyvWBdrq8HBcG8qzFzmya6J0cRMupAOC3AGFI576DCtF8/oBALeI1x
6P793VsAlmAgL/1ebchOPwyp9XgPJ2wUOucBIgZkfMwXYtzyVkE01OwuYe0N2EMwi6Jh7HN/HBay
UVno882WRHdCsyO/4Sw78oQXRje9iMEIwARhbIGeY3YjvCiYRuqdsFn1nZkrMqCJdlWNli7gvir1
FwAbSJrPJRXv/cSt2PHnVy655XmfDwqIRebUxL/OIMjchJ7OzIRw91gK0q0g6uqFRam0PqbVnWck
2VJjj3xItD4DJw8zf9q60j8rex+ADJBDtnHkZt4vNya/Bv2gA7hh28ksedHaq1Vrg9ToVOv4tcqs
E0tY0mP2dq6RZUq9AXGEdNk4ZQzwkdttketwiHPJHxyuP6XronC0wIo6f0bFJx4a2JQrMaNZvtp9
TqwKreygbvyqORQipji+YmKb5m4sVP2eYlNf1NbitPiIjNh+rOpTphD5QJhiUUW5R6U0nS/yJE+E
dHA819Nrbe8K6EcL14yQYBxSnRE28XAYCYI1/r9I+64d6Y0m2SciQFdk8ZauPXtcj7shxtJ7z6c/
wdHZVXc1t4n9Vx8gCRpokuWysjIjI8DRjJK4SpjXu+aGqEJmqAuke26XgyQPW4DD4+FBNT5Ro3uh
WEWIUh6QPSlXS1ioaWuxPvjcOLOYoluVZRMjwevFa+U5VxDsqMjyir8V3FZZIACpF4kn5vz+uU1m
ZVvN11ovwYCFfY8W3nytqkbAgf+4lPQB1dCXQr2/vaBzHgQNSArk/IDSwFOECXSELo1bKRbak/oC
lw9K48wuZFPWDu3JTTa402/bm5nVC3NMsNOUUOfyer49ydvQRE8cODeFxOCqO89fufUCq8bMbr0w
Nv387KDI8UjquMLYZEPl7CE1i/K1ONbeQp1udg4RGUxIXpRs0Zh8aUdrawUqAXV36vk4vlNIdKBd
Vui+OxCrKUpu04WJoMtgsE4aX1sReViSIhOmncHsVhwU8PiDX21C1DLXOBCqkJmWtPYU9CYfrkg+
MVly2+RFfMg+i0+p05PP2yupzEQOFyaZUSeBIuStC5Myv8rLt+aTEz7lwMiDHZ/qQmEGkR4IG79/
47HMvUnyQ5He5+CxTVe9dojd52Q41oBTEnDe/kQatE7TLYUs6HDI3AcZ/7cWWwqiEiweuR/eQV2g
9LY/mklmVBCxoKs4XTVQin8ctxKqkvV3CNbcbcobRf3ix18K+Uq7B6UxpG5DqspI3L2SW726CbZF
2ILjpDZA7KoMS/o0M5cApgXOCk1N6O0jjN9o+wY1khIlEznfjY+VYHB2Ix+jYWqpyvxt04PI2ZIo
uNnvUrRgv/RLWLSZy/niAxgngsTDEEtpgLRHZ8qDnvwO/i9K1Em7apSFnT/TXwBeBYiBTs0hCLr+
9sjZCZP4vBZrXEYnsbCJnkOmOYd4mx0eW7u001W82VHf8O1xl5xce4yRVpQM107whH1U3/+UscGD
wS3cG3Mx4MVXMU4mznsOCjL4KtBbvhJXPwA2O8FnOeuVA1FfFewaf2XkpwVfOuNuwKnDUwV05QR6
F0ywkii5AjrhuD+lo4ItyhspBM5TpJQLtO2Fr7eP38yBlwQV3bAoyk1kAUwIhgIsjbOu6E9qzQXP
LV6nuqz07sJunikfUEmg4OgD4SVYRNheFaJlvuhSwPRVCNZAx8COXVPrfRNUTXmrl+ppRHkVVXoX
EW5iBhJAEZ0Rd6ohD49Kua0qcNeV3Dr3LUGyb8/ANf8nuN1U6OAC9YcLDCCXS7cbUk8YolHtTyG6
oHq7TPYyyfX7wv8RwYWBYiUYhfGWrkyXM4pi5fH67Q+YeZpefgB71JMwgEMGdDx5BsOX/d5Zr6b3
Gen3v2tUVtbgdS08Q3xreT0ZdvgvSzm4mZMOFoAJMD1J8aLn+3ICxKLFY6vEc6oEdh3ZIrczIa9p
H0edPyrHbh/cVZtwu14Y9cwVfmGV2Xl1N4LPSQRwaVfbMRATeuQUugQlo6eHZPVT6/vO3n+pBmCt
3WbbH07GwgfMvY4vPoA5Z5gLhKfy9DrGPSDYoPRpzf5D9ADRejRvD3ZuhlH4lkEagHZ6kGJezvCQ
8ZziDTwiUPSfERQq+ud0fBqT9aBtVLp02GZuVAm9dgASQwkDe5rx3ApChbTqhfHkJ4b02nxEgFEg
+XanK+bXy4vTWmiPBXXiz2MZYaRL07pkffr5mS9Xfa6gnQrrdXEAByf8poTGH11zR32QjAKhDIhd
orXqG+KTXzhLwtYzeBwwMwFDDckaFRSxLMQhjiIlyusB0CrVLg6+oFPvF0CAnY+XbOzuPXIc27UH
WULe+l8v8oVhduBlp4Kvqcd7KlyLwtZTdJHuVbnVM9Hws4XX20x4gE4aaI0AlIrOdI25m7Qibzha
4llRS/v2U9Z+y/5JUxdGRGauIlmc0gJUJaAMYd9pBV6IQq3hdpD05wGyjuQ1/FZ++71gg+3eIHah
v492a/LGuKer7kOAUtcK0IbRyD9wSxf71tq/oc1ha632e+tj2AiWDNmmzcto7N+2298lHdaZYybL
Ksj4RZA7wJUxjlRNW74LM3E4xfk96Cq1wtQidNrUEJxB0Hx7tWfKQpASOTPGnLISTa28GsDY7nBU
PmITdOsnXX2o11+rlYWuaBBIcuBcF1+6RYc94zovTDM7rdWkBhBMYTiJqwJhUaB/2rvv50OFLrL4
WVttP7gNWfBgc97ywiaz4boqT92awGaiF8+q/hpuDoKTP4cL7mPusS4Dga0qoB5BioDd2LFcV9zY
YlozJMBSMzMUvDlAKc1v8ICtEH+5dm3R18QsjtxGvfsmT6C9eFqS85kphWF1zz6DuRNbN3QHv8Nn
gDBeAI+vU2Nyxe34aslH7tR+oteyR/MeOF83jwL6CcnC9pp2D/MQAwQdfxS0WIBugFli2a0yzAJO
3pD9VKFT0Yfb2/cPTHttAI8LEd3Z1wjUMRxRTO2r/gQ4xzsUKM1xLz/TLbD7CuAEMVTrvVVpRZui
NNXV6RGlEc38nUQCQK7G3bVoYKyhHgStSn3pFM8P/d8vY+5lPIELPunr/hSofLWLPEIdQuPH2+Of
5u/G8P+w3We3VN1ptSTkJYy44psoes1zkSK6RNdSerhtaXY4aHcD1B007Fe5VW9A40JTYKL90H8s
KHrtpaULf8nE5BfPBiORirSh2/Sn52YwEghAYEmPuf2HCdonG7QfKpLxtn1Ejfr22GZPKzkbHLtW
Ys+Nwp/lV3F7sCdB0Wz1EKwQuJuFab2J2B/rX20To6qylFmbXcJ/bbPpciWVaFs0bX9qFbLu+Gde
++SV0bo9wrl79myAKhO58TXXg58Im9HLfmrXVPsXIbBDPzH/AzNoOZmoRdBByNIf9xUIfFqp7095
7hm0/vQku80fKzy9b9uZe+wgXvjXELNVkjECj4o49CcqVFaSolubuKWOHZTpKRq3fQCHowDJtFD8
lULVyMG817YoT7lEtgu133ii/Kz1ycIOnqxencazr2K2kUQAhtd4LOWIIuaTWNHI9uMSQMka+BPf
L6L7oZU/S45KC1DCuQCHEFQ90EOIvk0ynayzk5NAGsQlHLqiq7y+78TAKor7YXwmqbjjtaWM+wws
HtUdtBqIeAGjPZRNRPcph1d/gbysWwEsE5hKqacaEON6BRG98Vuu0dq3jV9qMLmArqP/VRJjlMB8
uJDPnL3LkW5BL8CfoiJ7cghpNQjXAAVc/CbeqyvIZixZWXsIpQ9VtsMeIjpQ1Rm114XNN6X12WWe
SMymohqVUb+7nG3fF1uIPHs8wB68kSFNfOCcXE/u3Bd/IYcyl0sFjSXyZgokDoBBYMKVdOhbLxWT
8WQKLwJITT5XDYrdqV69NAs+cCYYww0KIR4UCQniZMaSFClj6aaoZYSbujF6swICDhrO8cPSywbE
0dfzB/Q0Ol4JWBhkJNov56+JKrmOcgT9GhRLDlo/uopV1UgG26A3FqgeF7XoG8Xoyr0diyr3WfSy
+zpkfcuteJr2iu5ND0M98nEkjEzyCWhkW4XLfnrJr6OnJoWwIXokqOzpvAfwuwEZ8Ch9UBWvAuio
LJCHCOIsj/e0VgPFUnJZy6wsQfb2G+r1Lm9DTY6jSLDSLDCoTPjBLOWWT4+9n5BJcgwdy9bUUpra
aQMkqy5CWJizNIhCSLoXDUNg9p0XKptu7LR7KWlj6ZipWR/v5CETvUPpByVnKj7nSjq0u3N+NWao
o+xArCCGxyStSfmqZmqb3bVhUGqbvgZaclVWsZTjalcCYETHLpZtrY8lYZflw1BuxURxpxqC6CoH
UeALNKd0riTYaVx5T/CBfv+YDEFcHXxCfNUowfkNNTtSgHA2K4MQrzxNBum5pshBfRclXR7aIxBj
zSrJNFqa8pgPaM0YEqjfBS4XgYlHjPnGIq4o+WuhpH0AWqeCj06ZHLfpFyEJkOy6PyJL9pmIuQgt
s8jNON9BfUDO75Wk0+S12oOY/14tGh89ZUMpcbpYi0VmxZUaD5j6sg9Gg3ZJlrynYKxSrAAJg+qr
pqJXfslVk3hgrxorLl03max1W4/jSPgMRhs/tHx0wcZPWRSKUaGXFTrpoGiQhIrTtioJTpBf8NDG
hhoQmui1qM9R7ylbDUl5z2tU6HpXSio8eFnXjGaMfy9qvSAN/p5raXqKNGj4Wl3utd6uKpEY+Y09
IYi7bdXGxHe4plHIG35NDnhEonbtey3VdQ35ulR7isd4GPQeYoaiVTRJnJluAUJmS8RM44u0UO2d
uuSgGd0MoaisvCwOwn0jaj50wkTZjcgeCRou2Lmly6cHLkZCbAUHQvFL0WG+k0a54fSkbbPeGoIs
hSB85lZFYlRlRiKDFugHBv1VlQ7lkwd1QymEcorWpY95nqvjPlULCI7EYh9zhsyhPWotpZEIuWUV
kyToOZIVnYlvqb1NDX3VFGzdaSpYDVdKya7I+BST53c1gVoqohoBrW91RHsdzZIap7dVlxSbJOmE
4g4MBLEKeO9QDMPaDbiKfyS0B2Rm1JSSvnudqoafY1bmZOUNnFKh8KEErdW6sTYYohi0vi0oXiRh
qaRedkYFLEk4G02xFfxBAWlFDoH6VVyVcQrGlkLQvrg0gSAC7zUeMUfovf1oSPH4NlQsPf/ol7nP
OUKZCpEVJ15RWxwN+swWApHPS73luXg0PTSj0N8uTTkLdC3jSw9qHw+qR13/s3DJzFzpoEtGxRdc
aegFYbmf5LGNcAtn4ymoobEdars2PPH8Rg1OqFHqGjn06XtLn4roE3gcvfCD377PTc39CRLwvGq/
C58zc+f9w3wlgcENBW/meiiTMQXQZCp1ezZX6xCtE1ZIJ1NdICYtVretTb+MuWBRVUfyDzUjjJ5t
kk41weXAu8qfUoUmtsTRZ0IDO+Wb0Az5IbFvW5t5duDKg4wVohYwehAmNpbKKQBv0cQ4hKQw0zrw
LOBm3m4bmStJgk4L5QMAYkDV8gc2PAvRpLqhIe+jfTHm0GCO53iTO0KD6auRnCdPZEQjRq3j4VVb
sQdKDa00M0pNZbE/lbnokU4CA9+ZnjoTOkdN1mlSAT11SdCT0VAI3siBaPJfzXewhIxhFvLKFhMQ
80pZlmJKxQNi8XD/0OVAVt+eVybkZi2wMWBVeaOsBBhNjqAFzzSAm7+pBrZGPV/C3i1MHPuGIoEX
E9VXxYNyCBIEfSPEUwZd8oxhjWz77WGxgd8/45qKpsgAImPJMqBIUIqsMhJKhyR07dbfS6UJ6lzb
HTP43m8tcChfmxJY8BbsTrnFs6N3ZXeK3c62qVJ1qZZQ2EUxYdwrqNFDhCJAawrFH+FQHbuXJaAv
27f8j03A01BUAwnaVY2Y8F2cC5EvHbrBStadokPdVjOqL1xZ4A4QDtrbksnZpZQhPoGnEvjgWCq/
CkgquQkj6YDcKo11XjZTogffw1N46sOlpZz8x9WU4lUItlcEveIVV29Q0biBCOmh+QVx4Lpdc47k
9M/RU2QDjnZ7/WYH9t+2wKN2uXxd24yk01JMJdEBERCeFASkT953ZtLP25aY++mfRTuzxHhNzoNS
jNrBEqUGaW2QP/7mBcKGpQ3JPBau7IiXI4rkUhGjyQ6n84fgnYaTOAlYO1sjuhvW5an6VDedqiun
28NbmkgmB1+VvEtHKZEObWKEQWoV0k8CaVIQBvh7LkSc8/J/s8e84H2AWXI3xjDB2I5MBp/baqlH
d+FDueXu/m+mmCPOB1pc9CH2I/cYPYDXyXLBBP808PoSz/HSHE63w5kvcbmWF7w6+xsTfRZeQHMc
BOgzETxDkBY2/vU9AG0CUGH/qT4gWmI2vt+NUQyyZe3Q1xR9Jbwex7kl5scYwFoOavVesbQxrz0l
aHqRBAAbwfQy/8tOnI0uKsKcAsLrHogP6eGytgqXblIB/IhDY6Y4dwDwRGWrc2EECeO7Blo2Aycv
0UddH4/Lr2COR86FjZeNiXtQxZ8hWmUp+lQXorElE8xR4ESQ73BD7B4aWbTDeIN3Vicv9WrNGkH+
CsTfiMXARHC5VwRNGxBftu6h8iq9ze/qYt9oCwiB6/0IMBr+AtOljAQE6xxlMnCQ3Bl9h0Zb8ioc
c8niw+9KO8bomKnKhWQgE1bCcV1aYxzkkEHkDjAh3/EkTzOaJBV0rpJL4/ZhZtE9MENRH1cgUABC
faTCrja+n4S5GoROPaabJHsMZJSHjSzW8awyw/wZz3AdOhqWNurluOkkAPHUXAfT+jFscytUWssd
lhjkpsW6vPEuv4kZeiHmXB0hAeKEsrYt0kep0zZefN+mS7ufrZL/jR6KoyA3AGs2kD/MtombiTwO
jcQODWqzUF/yFFLRCDI939Tued13xEDvfzSy4EJZzpzJLoRoAU0ARR+Q9VdvhjGAvEvWxE4Dpk4U
KyyUTFMztL2VZwkmZ1UmNQHo0stVgsotwLIrBYpOtX0SvulCGpRFnV19C+MCRi2swRfSxk4s6q1/
h36woEZDsdTqabNrhU8hSo30WyKrkKoGhSLBUOtcvAYIUOReayjNvweJSZsdx1ldoZPwJU4fE98U
wlD3jmVhhsVxIHr8LpWbCOkD/kVbVI69PivQGEAECDlMCKNftSmEYzSIRanEThFn32ADRmDUP94+
KNcO5tIEsyf9HGQrdazGjgc8ZtZuesVE1uy2jbnteDEOZilktfVAzQkjaB6B0tNY63xo9elaOoyW
Roym1sXcGpaCvqWhMQ5aagMyiAOsQsQx4ndVYIniwjOLzbVPmwwyThNPMcACSNoybobvPI+4VZU5
XFnYlXonlI9y1BgdgKnpYMZko4FBuauild8smL4ONC8tMwvndn0jjVmdOQl9fJey0qKxMW3fbkmR
bebNdWmJWb1KE5U095rMySNbFUyPWkUI9IPe0VV9GPTOXwghZkcG7VdK0aIzuZLLOy+XkiTU6gwj
k9+4GikmFfnP/A05Qj0QlwKkGZ8MMo1/jTGeku/lJBCSHINrWiMMj1LzoWarErxtC2dgmiXG+cMQ
EL8QbkLpgnXJaliMZdRgvfyuMCpho/hbBO0q2gO48CC4j71yB8CWPx3CBU84v4AUSRYR6rJAzzCp
DW1MGyHjisxxx03pcybkdHi9zNCpelL5u9Ld9+HCRcDWwqZzAWQDOKVRXYXQDJsXAydo3lFfyZ3g
Y7TTu0/O6O5kyBdaFH5f3BnNOj6pywoi1+Hupdlpa50Fn3wVUCSH1dwZmg/5J2kBzXJjxBdWxaEh
eK10lvslhiuZHrrjEGmnlhp9/6ZCI1vxrNsLzhbPr6aAmfW695DQV6Tc4da8IdmhHZ1EcGr3O6hl
xEYdQlNlNEBUY5Wgk+j0AUUZKIla2Yu8qCt8HeFdTsv087NpGYcc8MQcqxFuRjDGAgWCHJeRrtEQ
+qodin24/kVnJHdHLWFzexZmFwTF14nBG/3sPDMJoVhQXk3T3MnyzBgIXqeDZ0S9HYpIDkHIEtQC
/4FBZVLVA6EAuoEYg91Qez7SxrlTkVcQ6xt8dwhdz0R9o8oANVpC9864D3Be460DFXSkpdke/kId
OXdoxNxJBt+J3HTFuYWe4W3caEsR7XSVMA6EyHCIk8wCcjRXDaYSnwhBGRQTLYxrRiskZ/STdxQX
AC1zMdy5HTZy9hTJF8YQdlo7fqqfRrD8C3p45KzCbCE3zlkI5g6oDpiu3Rsfg+49+hZdJwDyQ6Hy
UdssqWvMBEH4Hg3KqESiKvALl5uXV9IQzispnDIPjSwLja5amNo5C3j4QHgILlK6UoYT8ybsiZQW
ThUkwq5XqW+FKsqut3cm2wD65xCA5Zw02SYlJ1ZbRsvyViiLunDyjWhMYOhozVuyRXa9vvcMZT1a
8UNunLoJkRUbS7m9+UH+a5256DKNQ9VfbGCdViWwIblwJ/rBsOD1/uov7C49HySzWjLpkrIpMUhx
mz5xr8EazzteD00Qz8t7agdQ0H1beL/OjkwUMb8qdgiQ/pcbpExbCJiiyOpEIxijkh2qlgtOha1S
/LN0ZyaYkIR4pKB11BeOtha34ReI3Nw3xSytai9Y7k6BMutS49TsDQpOx/8eFbNeYyXIQVZhVP6G
fEmvmNDn0Cw/012wQW1a24YP1PatSZHx9jadixaQ/gWEA/lfZco+X05n4IVB5Ws4/yTNdKkykCxy
TR4KXKvUOwh4JdCwWDiA/4NN8EwTdKxSgQ35SArNngjpZ6eGHLpo2XcxKFW3SzRX83OqIErH+DQN
FbTLocU9evKloStAEq+sonVscxYiId81qr0EeZNmJ31PjP2/4ZIg/dwLiMBt/5flvwk4u4FLULYl
wgjL5NibJYiUyANQD8fR+NDMZqcurOG0HS8OoQxWQ6gYQ5cHERjyf5fjJHnW5BUIdRz0BmVGqfrN
WoGYt1XiJWbe3i4sWxsUbC9tMReu7wpamHpR4ST9UxJ+/wzvPrS5Ta7eDZqnU/lYoVSS37ugYql1
Uh/Dd/xz+Cz7bXvyNtVgx564tJ2Wxs+sc1c2nlBQfJMivYKEWFA3vvDI+W/F6Bu8r0ebNlqFYAZE
T+mwGjtDFRZ8/fW78GJWkLy7XAFJk3pVlPAFdffrrl33N4EiW3Ecpc6sRhvK3dn4LBRLlPbTul6s
+5R1QVkUHaYIRYCSZ6zmfB20StM4wIZYuXLfCltRTY0YCsa193174a/mGOpoKq5lEU4Cegws6WOg
Sk1RKErpFEn8mkeenebQv2ia59tmJjfHDAlldZB7QMsXj0G23p/2pCMxxN+davCsTHoM0LTaZSiJ
LbVczI3n3BDjb6MKU5s0MASs0FOY5QZNtMMoZwvTNjMeNHRMybGJ2wKSzJdLpMpVDghQgPHkTg7x
Uuqf1NzOtKUS88xWwEZAnIEgF+lj1osLgQy+5W4oneFZjnXZKO8K2Wo0+/bqzEzahRXm8OdK19JM
HktH5VOjCu8Ca0TO+LaN67NEsKdBZ4p0Ig9BeFYDCbw+OdAJYeUICoe237aQwPUplK2Jd42ZhUQx
osqNjLyNCkMTvULvKy6y2jpaqgLPzamCA4Z+melvCuNW+KQtu5xIhcOrrR4TecUHX5GcGq4aoBd+
KYl77VkxblwZ4DVCsxMAiMxWCdOwE2Pqlc6Yv43eV1aIqHGbkohCG2rQUpetufwuzvxTn9vae1d7
qxrUcYLj82sitgZqEYraAOsJyqWj1oOW4Pa6sOx5yGVM34f0JJiDUWRit3JURm3Kd7RwmlJb12lq
KF++NMlovAvbsDKip1zVfWnN8ds4CmwqbfL+UPnqirrWIB9KKMHGz7c/Sb52FuioQKoUxBcgp6Li
5eFqmjGqe6oixh2Kl0ILjDqSF4LNmR2vigBloVYiaVBGY/YAuqn8Pu2K2smF0RSDbY9GsEhZcBIz
Gw290hTkGRBTms7w5TiCplKLMapqJ4u2wvhbaJoZhpoh+qOuSvFCdnbGI10YY85wnHmCkipl7ZCS
GmJz9POvNv8JlPfbazP9GsaRY01wLUky6ju4oS7HhApL35Z+1jhK/ckBzUY1tN54EJYTDyJ/IijF
3LZ3/dzCYwAcJEgjSqhIYENcGpQ6L5dkpWscn66kOkT9wUtMUr3WtahLmlNtgBcLVGv4yp74XbTJ
nkBSoEVb7FRH2VXy+vbnXO8bGck3BJ5QORGAjZ227lkAGCfxwMVy0DhJelcrPzTZh2q2cCLnbCC9
CB0u9A6ilsdsf1/OYg68K41TAtMZQKgvQ56p/d/mnTGEKd+BRZy6+dkGzDzllSps8sYZ7RrvA5AH
gqsRfKRLz+Xr/XJpZxrs2YSh3ZwADw07dED2jLdouAqTVTtCIWbhSF97jckSzjTe5oCh/G2kM0u+
1Mk5ikWN00iKb9RCfxTBB7uwNjPDQSpb4BEug6EMDN2Xw6kKzxvRONA6qWlHBlLNuryQ5p328+UB
g9jGmQVm9Rul0EKAmFsHEBdQ8kFybkPt+6V8OdvODq8PjeaJTYAXJ6FA1gEGqpaVjRS2Tiwnh+5J
6RDB1xutRKticEr8+7HJX/k+2QyVu40h/gnex162K0U2oHjvPfmAB6P/Pz5kqSEVj1mQ7ZUxttHT
xLkPt4/czLriS1UEqCI0f67aW+nQCHicFK3j0orb1HEbWG01/Nw2wrbc/P/5+NcKs7B5WfZlPlSt
k4yHxoPsshH7uJ/lD/9OTnqDHL0O3aladtfz6XP+q/h2OFqeGC/4l5nB/ikoQcIDKAHhj2z5bBO3
meLmNK0GB9BoXWsbUPjfHihL8jANFBbgUxFRgk6MxWu1qdTxedIOSEigz116jR7Cp+a539d3oE1Z
KWYMGtHgjvqmP1rVRtS/Fev2F0wnntnghEfQDNgvwkC0OV0eIc6PuoirxMGpoC+hJL4hZLu4qs3b
Vq6vQwwTbZkyOoZw9f5FZWcTqcRZko29OzhC2q8VkEYQ8FSk6Yu4lJC7hihgQkWMZYJ1QPxZnpb0
zFJXpwpfV+XoDMZo9htplz96YB/ujc5MrWGHDuM7z/gNV+Pj7RHOzeO53ennZ3aDJGhSnitG59W8
W3p5T7udXaPz3z3N7tnvlsWwFtFJMjqaLq8+210Nbjti3Ef2Eup0Jjq+nD0mRhpKlQMdAywNxmey
Cs3sQDfyJl2Pq+q1Mj+q9bDibMVBVhrak6XpWtnCiZs5EAjL0WCLagPavuBgLsc60lFNiy4TnX7o
IgP4ft3lXkI+0OUfwluQQUHx0lBd0GQ/ZOJzWdlZ6dtR2h0DF1zySFLmyrhus/04WOKSrtr1dQMM
1qQTiOoEnpl/b6qzdSh9EC+JngD4P+D5RjaiCWwUFX8d9zkIWeREsTmFb1CGl5TV7d01bxkxMtgL
QMfG5iBUmiFDi+SlUwJj0gF7kdJE5/uVt8mq1wAK1LfNXfs9AFwkCNQB64PYn/VKVOVDbgxD2QlK
5UC43AbRzULEMxNJgmWDRzoNATklRGK2mjCoCWqKmuzUvpXfhS6qtpuR6nSV/MROss8dkdMjUe/2
ZWJKsl1DPFC4E+zAFIx2MZN47Z8uP4bZdaEL/c/IpbIz3PMgJVB2AqivEIUFRtBvqmZNIZf8ND5D
rm2o16KtNZvbE36dRIWIE2BVqELxU28Am27PaNEN4JSQnULmAPg0JOEePTdqespDUVeabewfxGYb
0S0RdHWkBo3tkHyCW6r7vP0l15Wqvy/B1QsdF6Sr2awxRwq1UEY0UKpfNAbqW5frh8g7ckZwR4Jj
Ai4SbpUUh2Inbv2t7IT3yrHcxg/jj+Baoi6+COoa0CttLVEDNEDjwkVyHY+BcYlQFME1XMqg/rx0
D1FZiVke4uuG+qsB/WWt3SfS768M/eiCw7P85fZsXNcoMBvn9pj3DgfmuE5JYK9vV+q22zsaZAJO
H87j98LApOmivXTysAQ+Icw5IPhXKC8viScxpog40hFivxQdGnf9aHsPaHUjNrpe41VH9a5/AL6v
zHRvVzxrgi0e2rfxXW0PnD3Klljbo3pPlHXK9UYOWenC5laBvCSocX3VXX4pEzLUUVm3qpIQgGRa
XSmgCT9uibwEdri+9GAF2RBAu+Em0Pp6udKiL/SeWnXEcQcjKkddk/GKeAjQTdb7pS77uiyjhSWK
7KWI6LpFYFpzxLjg9xKmlmPGsobG7iHhWuIExRfZcZN4qJlWZguizWFdB8cBoPCGfxiDhSHPzuuZ
XSZ0IYMrNKSqCTzfcxk8pVjx/D9aOzr15Kh0CjqZhEFZd9wQZSNxmqB2RjVat7ReSaRfeP1Nzvtq
M5+ZYeJ3FAt9Ret74pCYrEgXK4Y65F8lkrKx1iZWEDf5wpU1c0NOFxVy5lg7EYnty+0iJIULNVue
OHH+FpVg/LeriDygVV3vuGDt95x12zPMjRDqTGjZnDhZIV98aS9TIlUaPYU4XZ/qsvdCxG4Vuo8p
2ib7MlkY3Nx9PAFukYJD8AyR2EtjSYDeVNC1Egc8k4rOjWAtytJUXXBBM9EfQK1/ZN8oF+J1x1zJ
fsMRtDOLsqOAXCylYHGOHpL4WSboyZEtBRultzQIxFkdeP9VcFN9RqldaFMPN1rmNOktBNiqBudk
k1iLCYXZgEGhAvjm8EhGNw0zCaQJxkaMFNlJw3hbF1SHaLPJYX3RoOEroo6uY4OAb8513cwYPyBe
gL7TiTRekp48bZ2TFw2q3o+Q8G6bfRwspcaui/RwG2h8najKp/4+FolQDmMtdRRXOPgPdSIZIjR+
y2rtmmDK/HBNQKMb8hDcQcnWHPhTtdTFNbshz8wz09PLSNhhuyM47dGUWfvgpA7CojArDw1kmE1g
I7RBWjgFcxsTyHOIzqkAzwAXfbkxwUGpduqAS8sVq2qFBFcI3kvoCC6ctenbWXcCbSzc+3hFAlbP
uBM1l9AQ3EmIFZ8Q4VuWrD9oxv7B0+13Tbe/VoF+4A3oOtuqw5mGZe23L9aP/rH/OD02O3BNf/tg
qX8Eo9bben2/Xr8+/d4/gjfQ3Jme87rbusbufgkyNbcc55/MXJI57dq6GrBb67E2+vCkDrtOLexW
OAqAa9yen9ko5dwYc2O5iTdWdJBlRwLEPi+3ADyK6klObeGTK2xZtpKTtKX7MN+5IGK/bXzu1jq3
zdxak951FaZYGyl+k5G87EoTXey3bfxpe97aAIx391w+z+telZ0duBZ7e2LsAYEaaJhEEJ2qk56T
FVm9Tk0o7Hjo699WezyPITluLj2R5wJQqoLDDGB8ZITZUx7JjSTFEe4Zb3jP+nX7/zg7z93IkaRr
XxEBevOXLKOSoUyr1er+Q7Qbeu959d9DfcC+VRRRxAwGO5jdxmxUJiMjIyNOnDPf077dTI9hfSdq
hypLN/Z37YjRE4HXiuhPQrTw/bIxS2HmTHBLT7Q1RqiCjR7Cx9tiubkUaYldEi8M3iCXhxhEQQaM
K9HdA/qGzul1sv/qO9X+bewN56+3+/sUOuVOt/cRKI4vN8YpeX9LbRQzXv5sDcKtnfPzX7KIYeY4
qPLUzWvV7kbXU3peYD8AQmy408dHurbixUUHP0MwZgYrTu3xFv7OdwvdgF+1bdnV/fuvw+vJ3P39
0LjZWc7T7/4dkSa7sCkww4p3+DnTeMWH57scCc231tmijVs7UBBeSoiPQCZNofXyc0xlYGZh0cId
AWNHO952yk2edhtetbrTZ0YWOyBoTYWMUK27A7HCBGEJFUoLo2j+8/rJXfXeMzuLC6I2qBY3DYtp
/QHxLaNmUKSMx438aH3LmHWfLyImBuZfcVaYESszs6Zu0F14hHgo3HfjjQS/x/WlrGWYFp8E3LVB
XUSVL41ADNL5QZbp7mgCmXxjJqH4agxMilKcyH9dt7X6ec5sLQK6LMIdVUWp7vrW3fRbjHZFWTlS
vZU0rwUzCFs/Ws7c3h8aEGf7JnVtX+lBqbsFZN6Rcqpr0RmDcjcMzyRTA81Ey3q5vrKVe5HvxPOW
a9wCf7DwbhNWZr9IFN21tHG8M6Wg3DehdJwK/aGmSgQTT7hhccUFEYtFH1uFEmHGE19+N2tUEeQQ
CCpKBa9RRIWnq1+vL2rlc12YWFQJjDCXIYwgnkixaivAelXKJtMhTbc0Y1Yc3WDegEeAOP/HWjh6
MoV+E0sYKss/IEMCpuXHYWOWcMvG/OdnTjE1ouEbFTaa+AdraY0badiAQ6/uF8VMVaPQoZG8XZqw
9LFLmhH3HhI9g99jfNV1nviqAMdXzBjH9a+z5nIMewHc0+DD4OlwaU32sxTZ8F53BTkP9l2Qw1k9
mbHt1QGjU2kYHNs82DjAH/rniyuGMrFhQBvHrCSf69JoW3hBK6UiS4Qg+sGAq/ktOr5Vux7pxxIh
jdJ59G2EJ48vT0/fn8zdiz2iGXcvoRnn9LYMA2Bvb+Uuqxtx9psWG5EKgArhesB7rOa1CQfTic0W
aQYaMQgq251WqPb1rV/zpfNdkC93IapgQWEaTkct6otSvUTyKQk3OrSrJggnUAFxLvjGlyb6bEhh
FJJ0V50ee//LxBhVb26c77UQAsDsfzYWQcvyIVIPG5U4OfW/B6n5LeT1/vpO6fNWfHKYMxuLM9Eo
YtVSyWek4na8fav3vKmdBt/hNc1fsV29ow/V3r4rdnUgCX79mzvC7FhQudoML+TOy9/TC8fnpDMQ
FDpo0yA36QX2wD/OpKRQVZHDfOscpJFE+0bbPf8X99IVCiLQTwBGWZ7qrlbHYcwNPrbmqwfZT6CT
SvP3YtRPciunjzozU7uNXVvZNGqmiD8B/IMEbbFp5Omx1BuJ4WrG1zE58QLKUeyS8/jfJxiM+xuz
ujpz/ZCcXzpZOrZjX0mhQRrDCIOYKfku6ei+97XZbxyZtUP6f6Zoll6aSjKtKjVNwJ/r6kukdm/q
IH8zQqmxoUPXnAAt2cP1TVyqGtGEnkdAQNKA8PqoeV6a9BMTm2FquO8NgsEVD6o3yjm7xIl4ZzHt
5SSPtQ2f1qHZmfveeZf3aGPr1Q3NgOu/ZO0sk1yhs07V9/NgU6Zp5ZColeFawq2gP4viX4vc57qN
1f0FlqIzwk0mt5SKEIxYGzs/N9wymCKHHtgTevKUZjRqysrTFB2vm1tdEio/9LxnbaolvzbApUkO
vcZwoYOzNebRcvNnM329bkReu1DpmlInZxAGAOEishtjoArh2BpuhapP0N/1sGZxb4//DM2TmNid
ebBMhiPFp1KnQqceYexLvLtsqu3sJhRehi626XPYg+Dbo9c/+AHkSYh6tU/iFvT481TC7GwcImCn
AP6YGrt0tn5oqrpqRsP1ghSouHIImrueh55/kpudJjk64xlOLVv/4TsYfAR1nvWi37gI4VWvmLB2
KIYr9ShQG0bzLMDQdvQoNm50Nj86E8tIfm5q9sCzBKrqmRMQIky1TncY+EujWT7C50+5ghElUGQv
2WlABtoiE3gkDRjs2PEhfp+YXUzsJ//419/b9yG7YAeWE9w+P7eO9R+yPAPYB4hOsEfi8tqkgJ5p
CQwibjjpryRBr3pllI43yOLGeftIrz5tB8k+siygR5EIvNyOAGE2qBwtYjQ3VXKK7W4nHcZ9bT/S
xrqRdo+h/bezfyf2fX4qIHmDJIKur7Qn1tks/PpJ+XhfXPs1i5eVNFNWFz6/JtFHW213Flyff4T+
qDVHL7vTUzcKakfRqdlZzOcgrAT8HvmV+jTme7WXYZkdDpAsobIELFu4s5QTuOVdod+N9Y0S3ZkR
z+nYaZoYguB3KbhNh9Bu48e6PdQC1MC8fh3dtEU3RNVMTetdryP24J+0YnT0bmux7Oy1tc5pzZkj
ChGM4NNgEBU6hg0h6mV08/p2rsUdWsX0q+c3HfXZSwt1HBeccd90jeGpmeDsDF9NBQbEduOKWqvY
MLQFqfsMHgKAsThTNC38MMj4bBXnJrff4WTaGeRG9ORsbiVoMSxm/3QHZ3pBsGL/97dp//6t2vqH
okKzd8Tfc/oz2ub+Od5RibB3kbPVQFmpEKAFg4rGrNajK/ripdmVcmMoQWS6iv9THH9mQw2j2c8y
+2lp5V41043b8jMZB6H03N4iK4nKoVSaAnuG+Uv0HzzlUCKYV/euEXBrF6Utlk7a22qys+7CqHes
4eBlp4CkUB+fGzmGh2ZwEmmvjAoOiCg8qHuqpumXutwl0vdRcia0BlPBLsqXpHszuy+xZ2tTfBML
W5MVq9fCvG/zEAeYkCWUc2j73C+11HSTkzl89+DUC2g2ndSbDvF01R02eq1rJXPj3N4yKhmxbgUl
9jqoUqc8/aZZ38Q2cPRHLXd867kwidSQI0zhXo+foS/0tGkj01sKJnzkXee/YRmLAogK5mkEd/Ae
xcDxsi/QjNshOjPSzrKOTH/I6jMZjKMYhymF6HTYG+JPMaxeqgBdJ8+WNqd2Z5dZhgz6tlAj0S4C
iLy4JhsxEKswxqV6vr+rlFSA8t9F4ej6beLflNFG/FgZQ5n77LRQyd6RQZQXLlwikSHkfmG6qEEo
9V570sCeuf7wvXSatLYn+D/y0/WYtdZIPLe57IFTZS883c/ZdhDQUPgcAme4EfaQ99hPpv0tI05A
h7ZD4NJlEHuXbvTGP48tcmzP1rysR4x6WQf1bF8bDk2t33XFAPKyQy1vp9fHYKydpn6EKDfN7lR5
V+dbg6FzrPz8jf+35x9IlLNroR38qNF67JdWcasI76biGOJJVJifDIINH1/1JzJfJMLoD9JduLwg
IjXQRtOrONajZMMe5Vj1LiEjjYw7QX+SldKJt5pF66HkzObi2oO4GppVgLuuouzVY2+gV83m0ggG
+WDrzbfiq+T9c92n1rJ8eu88D2EUYi5isUxTi0qYY3vTDTVx12TvImicPH69bmT1u1GrhasY9kpA
Dpd7OVatpOaVabhRlDqhfOP1yc7w9o1aO8KWsObHy/mTk+AjMKZToePVe2lMFzrw6jWBgOnvXXSK
TiKy6BxI27dVukS+/WpxDwewQNGFm3aC/Ysu2I1+/5Tf97vvM0bKs9PT/dfe/pM4Gakc5Ch0UeTD
1z/Xd2XVw3jLUXhgYz69lwNBl+usJ5BrQeaaHh48xndxu+MVcojH4UdclVC4v183unbTI0sCyhg4
KIiMRToiSnlLPxyjZq3YWUw2cp8eWwvqtZycRNp43q1615m1xbcomyqOSg2H1gmJhfxLlf+MvNau
L2n1DUk+wXgjaqb48cKHRyuNM1kICP3CW9rWdqL/6upT27/6/nvS3CSN3QLsE0Nuo4coc1PpZtAM
yD9ysCC/IuthnIkCWmioxmJfKcW3xm+OVXgszGPR31z/rSsngQwB1h/YxuFA+Si+nkWwWFWmoIce
3vXrEeb876r3wuSgHfdPVbRFeLUyiwAcDzg54DxaS9bypRRbxphbyRzCSPTJS8qbIDhOxs1YqXaE
1Gtm2FMT72KKdJ09TPyPMpTAr1q/cfxX49qMDYSzTKLIttQL9qWpKQuhM13J3wfaPs+P6UtbORqF
hQBotPRSb13Pa25+bnGRDRip6kdRMIe1kLe6Pwnf/Sze517DjNfvKu7fe1KS6592y+TiZLVe3kbJ
iMkxjveTSl7fvA7JY86Usp/0e1XQNib1tgzOf37mSynLm+pumA3eerdpHd7H3p/Sf0GsYZeF3c31
5a1Fq1kikcDKnfipU6m1slJXVHDcFKESobqTzJtesHVQjBDomu+tsJFgrdb2mMCeWdTmob2PPPhs
eX3VZ6AnwKnJQGTM24FXk39TPCkHmAPtH+q+tPXbuSch2a8x5Emd/Vo7k8HTd58lG5929pbFlWJS
orJYNvOtELZc7rTkdyOC49SHceS94f+Si/qmMUw777e4mdbiw7mlxTdNhCKBawNLifejESt7fgtJ
ZrtLYqpjwsYnXV2Wik4r03tc/ssd9rvAR9U4MFyaT2RQ0UGVkWnRc0cSt2rDH0CnT1v4MaIB/oSW
5nxTnH3NuOgmvyxDY0afhNGJQYDJOOn572nXCd/jYR8HxS7+iiJD82uU7sN6dOCBAA7TnpThddSP
crzVkVyLSugpAn2jlkRQXmKzytiqMiGleJz2aO1OXyvpRTX3gf6jENKTkT8pfv6mKN+uH6PVD3xm
dPF6i+kt6EOG0Y6YKwx/QS7umvxvy5wI/cuNm3HOqz5tOhciDVdufCrHl5suCoqehShruGKYyk6S
gCAUknKL82PVjc6sLE5HO4WJ2E0FBTnpdkzpxNEN6piC79HyHrcAE2vvLnhhuNdm+U2QnovLvlcg
A+Tqpgz23oi7XxMq3h6kO9G9+eK/JRsIo9WlsXWcEV74aAJcbuAklVGSRTVl/ei72RDE1V91/U0W
tkAtax9KJyMDODPPQn9KkI0wUbp0NNzBfA0n12w2Us01r5sRth/5MIrzi3VURuc1TEcYLlzMtlZ+
HyCBsLK3EumfXvt53cPnELV0OuZs5u1iFOfTSHyp9FEUMebGROh+kis7l78kEz2Y55ry9VZkXiuv
AR39nzV90XSiH5LI4KcNN6vNk5I/iDnMUtH3SjhJ2c8AUi3PqTQiW5DcRUmwKyoJjp/pdkiqPYLs
9hR/G2r04uuTGbwZQ2p71qPXPwc5AiqOANv9QJE7vItRSxFP8xjwVN/CO3GC69zsOLgvjAjDDmJn
ApMj2T0k1u1oC+mL4Ye2PO6u7+zKFXyx1kXNEupnL4T8wnBrOXjpm6OpCw6QeCap7hj56U+NtNVy
WvNLpDmZ86R0SRxZ7G5P9ojkFd8yNSInysQHUyhO1xe1dsQQbmBgjlNNIWVe9NnFYHltO0JTabhx
rqp2l8iWYygQAYgpFaXC942NS0+ZA8Qn/7RovKI0ANHnEg1liEGcto1nuA/vmr0D6wIU822u8L//
ePgV7X6hym2/83ffpiXtzHV9lb+OeuJ0X68vfWXkkwSdmSkeYzSe4fW+XHsQ9Eyby/wUddgrrZ0a
u1S/i4MbvT2J06kbYqd3mxqm71sRsNsU8G45kLvDkths0Xd8KisCEGM6j9ovs23QjC2fzajpmlUf
TLkrN4BRfcYkE/3kheFNLD+A0nW65gEAuN1KupNKwqPaDnd1qty1TEZc35Vl/OCHEKrgkZmvFLrW
C5+L66AJVL0s3HK6keEM4WWcHy0GyBDwbOFkbV9kIdxI8D7dKrNRZGgJvoqoG9oHucmZF0ZTI031
TIdX5eZN5/8Uyucy/WZ4jxZtFOjotai5Cccvvvxv+/MfhplK14DamDJN7EsXMMccElsJskFJzf5p
DH8faX2FeMMWEn3Or869frbDUJBBAg8TFO3ySzt97MWdZ1qFG8dQ06hJqtv6m5do+sbXW940H3ag
Pza5ManDLqdgo0SMqO3npTtCsIzsoG1OvqP14UFNXpUtgvFlePowRgtnrtKhgrSs+fohBG6hIEGr
BVzjWRKy7OibjbURdteWNCMayZHpjQDFuty6nHKuZ1hwNBWKQ43rxhylYxn5D139tRc385vPa8ID
57YmNWXmBZYxgSWjMgbcyaXvTS1DsGzzdmwR6mwetWOKCt8PD/UxSu2p8SOyttzx81rRXiEiMSU8
H4UlL4ko9vmoK1HhJl1pG/4PWmSOgpS3DtlQuEUesbLUC2OLN0Eb54x0FXHhIuVH84Bmc7HxRP40
2sJcFeV5cHombIJ8wYUJ8OdNanRmzFi4dchvpTv1VP7Vbmr4MOhcQ65s0+kstyovs0dcHrbZKmIX
cIjOgz+LdCs29V6pZKxKYrIfasmJ4YKPau8+NYrn69Hy87m+NLVIh1uKiHPlJ6baWUchtcOXONl6
vG3ZmL/jWXAUqkiAKjBM3KzP9Fl3IkwetDBFditvmrfr61lxwIutW3yw1Ez6FBL62EVbzp7yU5ng
gOadqDAZZW6AObdsLQ52BdoiCw0+k/ic6wdteEOKNzedJDX21xf1aTDz/7vh/znE/EvOdlAbJr2I
Uizp0U0+OUNA+j3T8I1K8CUIql0hfEmj+z4BB+gBaJbMw/UfsLpSblUeu4x3Kcshbavx2gAKDxyy
R+XAr75FdX8Qx8BOfI8s9ut1a8s8dV6twm2G34mMhS9HnRtjRGVQjJFaKKm3PrTFUUXVQbsR4gev
flbFP9fNre7uub1FCmkkMmOvGvZisF7iPts9vvwu7GkPCfFGUWolT7hY2rJ+K091YlVxknDjoBd5
lwbglCifjzA8H/yqoBPIaK9Q2cWwBYlY+4SMJMHeMH9AmFEvXSiuRlNBagkm1EHYhdAsubOUZZX9
jreollaD5rmpxbkI4tJQqxxTw/QNpBma37Ysdwcvpxd/k8fjUYEsc+ptQQYsTpMv9A56Pdg13bHr
X/ZT1ejDk84WvTg3gadOrabnRJ5T6fb7bidIgCb6ffuSPQaP8nf/oX9q9hPaZAh0MOeSDU65Nca0
6s1nv2GZoalx6dMxSVzVf+f+mN4Nz2VKvX1Nf4vZxn21ZWvhyV5CdtabReIa/jEDyhaA9BEOJfpy
f3TjoHVbBaKPbGJ5U9EjI9EAoMLM+OJJSf4me5KBQsvEHP6B0c5B+IVQOJKHN9L0IrR/lNtuegh1
+irpbqr2Y3vQva1DNWf0yx8BaQqFD0g1+A2LH1HTuB8jnR1OS0dWoMRP31PZTj27/DMNtv+vC3+z
V1EDAe8yRw1O0+VRqgQhTo0mSZm4rsBHaKLFKz+LpLBx/KiTWqBNRtnYRtfm/6QRKsp2IopJZpcA
zf7DdUc1kLSRZhy0EIujVkfD0IglDq6p9UFMb2TO9JjcpfnjkGzRVs8R4tM2n9laHKZSjHTf4N9w
teLZr1HYfBK2sHmf327sLHNwsjpnHXzSy52NFb1oW+TtXQsxe3q9Ze7vAtO0x3pXDd/NSNsIEGv2
gLezfzO33yeuNr0R1SnrygQpiwd/LnP+1fWT392N+o/eurkejFavGQb1DWUeNWQcY/EwDYPQzEf0
bV2vfhsj1EntTrLsqBugvZNsUbAzX3eEUtvL0+9R34gMaytFOGOmtgHEjX7D5c7mSpWFQRenrgDe
Jk2DB8E/pAbluzZ2BHNP5/L6atfszY9FQHCkDYh3XNqrfEUJB2lI3SoUbzXhTqrm+fQXX90ZmeU0
bbtVgFgLfQYj0pwDthbZ8UuDatKhxp2qKZd4AU1F4z3/HQP++c2vX32l+Q+OA13TLCmDx36iLRyM
djIRPU+Jex5a5DYSyXYCikxDSbvLvuSB93R9Pz/Ro/LtkLyg18+4mkW9Z+E9BsrXUoUGtztN4bPu
cYflijuWX5X2rlFeO6t/TkzvoVdsKGX34giC6t7vnvxUfCgmRh9KtJjD30J42367/sM+Ybk+fhg9
WU4QyhzGsgtk+QVYOS/JmXSJTmGn3VVN+Uuxij9admNqgd3jcBoIPbUWj6UgOxUP0cD2A9JXUB0H
r9IdsZqehOjYbJEwfyIXmn8bwDq6xvy6Gfp+6RSKDvpZH4TcNfS/kLA9TnJkm9SSYefxhZcsinfV
sz7Fu7ZjXMS7UU1YtuATF7rT5A32tNnGmu0tQigk6tTJeBnTvv9AIpzl8VFaqZ7Q+ykcgp6jqXCB
qEb2EPaRvCv8L9c/zErCd2FrEa4r2HR1b1LnXGAntEc0sJ2Sja+TXWroG1fw1roWhy/1w8SszVkb
Swn2CuJb8hdBbA5Zv/Fa/dRz+/igwCSR1iCukMxeftCImhGMYISxqpePWcy0oZgCK7cArcWi08bi
LkiUw+QFOyPdQiGt3H8cPSquKscPoovFhiJEOEZpF6auD/YgD41TPFZfLUr217/bJ5TcvMYZigIt
IdPvxJfLNUroQBq1V6euEkYPVT3sxbC/b/0vrfEr8a1do9uTru56L7zx6/6nqn5NrC2g3EplBXYy
GLno7urQri0eC2VbKdPkZYQ3XU0c2cwZg7f0vxsLlVdOA5BLBqZmtRTIfC8X2iRDHGgVCw2zf8zE
P6VButcG/c+YDbealTlGaDian91rvfZgigxlDLvrv2DNbbkQuRTp4Kqf5rbkotPUMilTN/ex1qgn
SD1ttOXs2h834vea8+CzEMOKLBcBvsu1ypnCx+qb1A1qUbLN1kIrAim0veQBNr6+qlVTH7cE/TrK
R4urt6YVo4dBO5vK9sOsiTTW9X1I0eA/GZq/4Dz4RtJ2uSZesmUTGj3fT1Ftv/ka9sauif/llON8
GmAvgudWRaaemuKlEUVQgzS3SCQEuTf3nSH/6atcBM2ob7XH1pyeNv48B6Yyurrkm/DSvEAdmAyi
EnqKRc95OGxs2EqOAm4Lck5wv5C4LVtHWteZ1lDmmVtNSNoyIdE0kuNB8HsshLHxToGg8FZGAsqK
dgJMCUcuKnELPL/iHlSiaVcwa2YyObo4daUSjVXQdJkbxeAVqGq2tkVr6LoPrmUFECCD9QHZbDIm
sQjUaZ4Epl4iEofq5Tdr382TLlCUuF+/7UcmN99aVMq2gHwrPSje2f9ndFldsQozVaMUo3Fd7UrL
Kel4jbg/M6tVdGosZ+h2VrT31JsihmjsVhC23kgraS9sVADzGPFiuGi5uV2OPLKqxJkbV6J+MMLA
21eFOthprzMHoRSHimmjw6QUW4X3tVsDKm2UQBi6BiezJNJOwyFHgGkg1THE4mcpNj3wmEF1RDHv
T2Fjzh4lRcdiDEE7p6Xu9JbcO6EUpc+ZLglOomT14boTrG0G2BggWPR/GV6Zw+9ZtjMwCpYUEDy7
pRCbd1VuSfuavOhWLkrx1i8tf1/1xbjT1EB8uW55zcfBQ4C4oqnD95j//MyyGIxdmproxAnadPCK
7iaLnLEUj9etrGRYdI1gQ6WkNjN9L0KTaAXT0EwoS7bevix/yt3Nt177Z7McumaGWQewcQRaiiyL
MCvm6VDnYsU2FjFfMYlIHQfx1E/KY95NGpgEZQtGthKoZtY1WhCkH4SKxemd0mBIszgv0JtRbqXs
USLJQtb1IVeknZbcdEdxU2Fk7fCe21wy+mcFEz1NR9+26b+Y/kMo/ujMlzYRTylVuUR5VBGBqOWn
KVR3afZa+fmx2Kqzr9wAc+sMLQZeM7NIxqXbWJInVPnUofdYTo4w/Kjzrfx1JeVhGhAUOw1q8o3l
HSMmYh9DrElzOr6Ror1o7fqCR+O+69765E0aW9tPXpN432+MZq5kOh9snkTjOfYvqXW6UR88T+H1
2CZyvU/V5qcSt4oTG6Fop4W5RUa95j8zwEqyOHtodi42UhTivE3HMSexaieAlqGIOKOXB89SR/+n
s04lqJBT1UWlHUuCuJFrrcQdklbyOnWmKKSwc/kZcwrbRhQKNCGt2tbqwIkfojg5VAqI02wOxRub
u+I2TOeRBzG+Rdq8RLko3hh3SlHRh2y/SagPR/2/L95QXWVwmzl12HKNRUYXJXoqdxPHMVLU6sYf
i8DOtWF8qiHkcq1cZlRHkP2jWfrGRotrJZDOlSoYsiDo5W+LZKFXBgb9q6lwwbdRr7Ka+64db6Lp
P7RyiTW6DHbNZCBKWbytgPW0Uj8icDVOgxP4OlKe++vBeq38BkwClAwtpbk7vbiNOoYVctkCouFn
wi1gvC8d/HSlsWNIx/a7/CVAZdaOQbr3M8Nikxya9N9KQ5DLMjMKXce8RK7oxU+AFM+32hCwhheH
tNFe6/bv9UWueeK5gcU2djUk4pqWID2Z3Q3ityH37OsG1hpYEPbPEB/2kSRn8TjVCiFQUo8PlSWH
rDtWJ8vbqbu8hhtaS3dSaZtb/ZOV688glSKdogAmk+BcnuaMWcUoHH0U4TxUIgLxwUjvPIaMlN2Q
H66vbm374OMm8DMKh1jhImylUyGaRV4jaWuA84M6R3T8JNw4zGvrITeRABUwGwbR+OV6dDGW87pQ
S1ctKqed5J2Yoz9QR+BQ+2dexBtvjvn/blFy4gkv8b6ddTbATl+aq/poMMcuRyEsofnlD7dGqx4V
IrQdbCxsLVawdzyc5jLzpzYMRWWRV01cuUxRMvVrlY993OZwYm84+doGcn+KM2qHN5S1iElTMrZD
3aoVyV1y6IXAlYrjaPS0+YsXcauZueIS8HHwhAFhBbDgo8J4lknqRRXEEWrzru7lb5M1OFlUbhAS
rJkgywKyg3AMtfLFdRWnPYT/JQ5e1V1iZ4YX7bs22Wp1rPgBEo5EcYXCEpnHwu0sj/iXSACr5Mq8
6wyQ3NNw0vV014XH66doxRLJKmgZwNUfzY5LjxPotzKJmDduChJQDf80+ZsYqXYpbIyTft63eUaP
JyZQMcpUS6iYLKRFpnZoreuTaD4Omtn/8EvKm9dX8zmVwQrtTfA4FOWIC5erEUM56iWfVCYLunu1
z7Kd3HnSTvEb6+RFjY/it1kwDlULe7MZtyQYP+8loZacFCwxAQOimkvrQ9UUOTdm7tY9nO91EmnP
qmckOy8fqJENRrCx2pX4Psd2yqsgPahoLhPFQW4kK1CLwp0FryR7EhrpvhYj004kwbgf6ix6nGpS
AbNKPQ/KEk9/17sCVHjWa1tIzs8HnY9LxOcX4Uh8hsvFh3raB7rHKy6Uxje4oe8V8XuiH9q6dAxj
KyyvPKCxpsNXYzAcIJEmX1pr6jjoK5nUPCZAp7u6LsrvRBgNGgFQxc8Dg1jBXshKzdqB1lbfwT2r
8n1v9nLg9HGV253SCQglDZNRbNy6a15AAWyGtRLCKT9f/rQa5nAjLMXChcNm9J+b6LkKnarfyPXW
thtFcFBGcMbxml1sd1T5WtSlHrleXes3o597R80LwbvHkQbddPhFiMotefDVlVEP5QhbbPzy0deN
YhapEelEg5iJKAipk2vprVFGhVPq9c/rR/nzu2AuvtKxJ/8iUVcWX1hKGy3PZIxBc2/P/RArQitn
dEYP2H1s7al4b1y+a8GDdF032VSqfsuXQU76TA5A0K3jL7L4o5D2gXGrMC98W6t/In0rxn++gVng
mbnFF+zb2hKZIwTqEjVPRiXcDPp3UEVb4mNrjqJT9Jg7u/Mc8ByYz+5EFR7L0sh47/DHxz7xD/Uw
Pgwd7wM5cUVa29c/26o57nueV8T5TzW1dhDCthjxfjOWjmEAlnyy2r+TAvXH+DsotkBDqyGQ59Y8
+qqRsOuLhFOC8LJSValwq/s4/qfdyYfK3MW/69ZGbkb6+vX66ta+GU3duc1CUxeA9eVmxnEr1BDI
FWA9B9uoQcczVAN158Ymrh20WVxZ44nFGObS9wPfKy2jRf/bS1Qnq8ViN2r+d4Z2vwiq/nZ9SSuo
IAYjmEqfhWLnHGA+iGcOItWGFwixjDHqsEgG3wR9fhhkZxLtUHEmjSdecZDHN8P6IsIb2mskb/2j
aDyM4eH6T1nzHaIK9JeAHmbmrctfkjVDriQloqIlqkgwDIZ3dfVq+DeauGFo9fo4t7TwmlhLvNwL
EAuNgd8bTstkafIb/YAssE95b3utHda7aZNJZQ79l+k9Wz3PuMLBQA65BACFzRQXpA+lO4m6I1H0
DRk+TKr+BJGunSCUQiP7a1QkX6diqyqxgvOjfYAaHg/ZGWu+LGZVqZrpSTSV8DXbMo+LLNxV5UNT
fU8N1c6jh0R60eSfYjGBxriL82jXpsLT2G69O1a+MYkRnsY0JtX15b0lh0lJj4idT0cdgq3UkXtO
qrLbSI1WDipBHCQBczbGjMG4dCUjN6Yk8AT0aZlnagAMhvJdEqSv1x125ZxeWFmEgzEvYc1LUemN
kuRW1x3mkGxqL/sm23DY1eVQhmDD5in/5dxU7+ehpoVl5ZpduxfN5LYt5FOjDH+ur2fVjIFeiAS7
4ayec7lrQuuXgzexnkRQrF1FcdSJy6Q5BtQWNkLcymU7vwP+Z2r2k7OoI4iF1vkxcxZBhwPED1rk
O0EkfAkbAeZZZlfjEoIub6upt75CupNQ3s5U8ovnW9gZXqVoUeVaJKnJTfjb23qDrvoEeEM6KPMI
5hIQoHk5aXcZzA/eyGbCYp+T/aqRtY/zjSf8miX6uBJWSJN4JV5uYVvW9ThGVeX6ICvCRN8p8e2U
hYey+XvdLVaAHDx2SSKA5ljAVJYprVVLsjD4feVKudQ+x/lYHaRinH5lmgx5RpFHdiGpd11oTIdJ
lG+bMJc2zvNa2Jjhmx8AB+BBC8+M9KmtpJ5fYMTJTk9jOx9efeEQCuqh3GJxW/ORc1sL19SF1GvT
puOwHTvUeh+N7tf1/Vz7cPS7JN6JdC5INS8/nJAXhufFKKdn8Vc/Oar5D7CZ3hYdyxx8FpcNlUsu
GZVBM/BUi2X4iVb0tSIhId4c8+KoKN+vr2IlQZeA8FI8UGBsoEx7uQrdqgW9iUlSFCFIHwPW+T0V
8lsx4r+VZmjukyYR7TIv9Q1fWPs+FEdI1GfKatZ2adjvamHQewbBknZfWN+14NmsN5oSa9Hp3MTi
aFVd0maBJpIfJHQ90GBALfFYZOOLajV7UXxKxL1cHq/v55qLz6U43nKIZROCL5fV1rNSqMiyOEGd
1u069UcJsVvXOmrlb1RjVk80PDEksTx3gIMszpPY+aHUmXrlVoX8UwhF6QCRku9UqlbumGiSDpIS
N06e+hnKPADe2qS3Nh54a+tlBB4AB+9kGs+Ln2ClnT9EPpXBpr4tQuueB8wXPwyPki89NvpG2W7N
Z9Aso96J/DKuszhyEc2SqgsREwukZM9tkzIN40kbd9rauT43skg6/DoDOCsHjduETGgj3mo9Cb1d
TP8h7sM8TOuTow1CZWFGYLIz8NqChN0axAdZSh3IBG7ryFJ3kMZvTYWvLQq+E9A8oGDUT3QoXpMx
9TFQZscNSruK/h9n57Ejt9G27SMiwBy2JDtM4Ixy2hCyJTPnYjz6/+L8i0/NbjSh1zBswwtVV7HC
E+4wCFco7ejnRnMOTbFnwXvjQ636WNxbb3iXbVVfTi162XnYvbRCsPdMG+m1ospA0MXSzj1yKwug
Se/AgWZTmCRblydO0cLMidteIERZ1xAv/itTgN1JpGv+PC0OnkjmdLQXST/nvawdO7UoX8fYKo9x
EdvgYOth58vemDyNBvQNwPuw1FuLmyax586a0o5XDthZZLva0PumtnPR3Dr8NGhgf6+VFTKRTYXK
Uaemj9u4fzFPTvMY2oekeRJWR2Ptoaqqo2olnPyH+7fbjW3EmGiSk6eTedmbTdtZVgpROO9fUFWw
6TG/5NXPne95Y/WoKyIgRFjJGNsYoQyLiWumG95Cyt74UCuam/ay9/cT+XOUzTXd5VGjtUs7vIyL
W89feuFXyruRTvn9YW5NhvhxhZaSlfOVLvemOqVhLspkfDGrX2P8GOMPJ/69P8SNT0LZmDbdutvI
lDZ3YquElUxvYVzdy9Pkcw2sOszUg1P2h/sDXfliUcOgHA76htL8mpBtou5ulqcxlrrxpU+B389x
/dw2XymMz7GvIcfj5JBuKFNrDhZCyofWetKd70Pk9eqHsv9nNH8s5mtVImnGB2116hTv8vLVHD6b
ieklIygxkeHW3by//6tvLQ+wP9pIjgM0cwuKSwrM5JZQQaY2Sf3S8RvYOp3xOTGTnX17eyA2rcVl
xAu/CaTmGeVp0+rHl65elb6fhkb7ECXVuznKs52hbry5wBKo36Kpw3W+vV2nRZ6mLNPGl/kUpQ+j
aaAm7aXm6La7fO/r8NAw0Lihh0X5zaEtd7mBkyGfJjlFg8AcwMnwXoin1E/ifxvlv1r67/6n0vmz
LkNdBCRs4GN8KjrP21BXGyygl4lKHm5M7sQdPu2JD1wfR7wiwFdhBEOxjFDkcjbt0phRV6zV6LxV
fYpo7qgnOZyIcSdQuY48GUhdfYPpHHAyN8uWdotJ8JdSH8lN4cpxB/zYPsmJCRez8JZcfhlfhyzf
iQdvLCBVIeQzgelz32wr++Fk5d0yk7QqehPkrflDccqdS+BGpRY4B+kjHCNWEUTF5RJOcmebWULI
2U/L4ueLYnmVhd2GiBF+bkTqDXrS+llLp0qN7c6f0BIOkczYOQK3pvoGqEX3gydw65HR13ltVzKl
lCpTDihEH/Twn/u78cYnpNv9pvrI3gcFeDlRGifhEHeUuOq6dotEK+hXDBS62jCodUX4ka3/F6pg
OuU9JsD18SaUpzG2TozihrnO/c+iymAY1Pms9iWJ8rNBYcWMg2gFr2XRs6Z/vD/N62sL7B2aLRr1
NSpT252q6iCiocoOLzPgxodaK3VftePUj4WYHyyt2lPovzE5lhOIIxhHQpetQZbax5VSDBXjVeIM
ZuxrHaq9K3WoY+jz8Khn+vH+BK9vMCb4x4DbM5/NRVSrzfCCoPtZhbOF5ZgFumphh2aheoJNdro/
4mZJeezBwJHQklAjYXGVpSh6pI2T3VVBkyqWCwywfMCV2PZ0JV2ecmHsNaw3t9rbeFSCV59Inn94
HZf7JVZG2wjlqg4sGH46zdOEAn9j/bg/qy2Y622Y1fMOY9UVUL1NNi29s3MahwyTwk1BMdh4VMI+
d0WKZPdijdq/Ys6zD8MYIT4yz9ZTqOiTr5bj+DgnYbFzw2720fprAAutpipkGTitbSJRp6Zfmahq
F0j63B2VJflcWukn00B8xYkKVIPDdty5+26sM88tqAA6YqzztmJRFl20JJrWBRo7GPKxFD+KMR4J
c5Z4Zwttsfxv0+MFpEq8mpKT3Vx+U70qtL5eVBFIsZJZx9lwQrC3PQRWJ0skgvzEzBqAlm37Na6y
wT5ISl32bqVJ0b+hkRnf+m6Q3mf93Npu0S9t6Jr2UmoukiBVe2hbnLkQKi7l2IVhXO/UXbbNqLdf
j5M6vskgQVeM4eWvhwHI89TYXdAqeY21WJQ258haCr+qLMwqugEZUhFG5bHrzeqUSZP8E8ijwIGk
b6Sj1KTlsZSl/jFNnO6LHtYoTtZhu/M5twnU269c+yig1eljXFWgsmyJ57i0usBC1wPhi7R930kR
4LApX7zIzjG07/rcM0x8URRhSm5kl8rOh347NX8EPfyINUmmnvHGoiW1ulyqag5rK6IYFixhZit+
oYZG5KvTshKEQws/j6VKui+c77A/xoAN+2MLNlS45TxF/4y4dgIwG0VDZKYMzatd4NrUGkb6iChL
GdEvsWfk0LDDxCkkjs3yn2SeBuGVeYkxQzhE2icDKhASHFq4LId86sMOvbBJ/nT/8rg+OtixIBWA
sAiuT8CTL2fZJstsZuMsgkpVkHBuOwVaMqnDYDi7Ze410N6uKO8K8TE3MN2PzYr2zZqkyjJjISvu
h1Guap7o0hgyRmj7VRSGnyerAkIpxfO51XoOgrp8zzVYKvcnvQ60/SHcFgi44KRLor75IVHVJrVk
sL8qa3IOCGp9Cs08O5djQqkndRMz7fy/H5GCNFxXBKF4yze3htXpRpvpiwjMpa7cVUvaF4uO90hv
Rgf22XgCCice7g+6CZTedjBVDo3kwEQJYluHSIbIhjyliKAckvY9bcMEWaOy8q2mnw9Eg92pV2Id
q4EZ14nFLP+X4YH2c45XfuoWGSEjoVT0PZ/brM3W041i/F6GDfr/jv4rK7riwcTp0cuGFkV509xD
m2wbsuvsaacQq/Eirmj0TdpnyLS77VAaAlPuko+52eHnoMuL29iTeUqaMjloUzIfpr7qvYjo/diJ
RvIIcz6gHhp6olEbvyrH6Ks1iL3u3Cb0efttZOqgUIHsIdW4OXVyP0HNUsY6iCIqD7aAxTHolkd2
orgNhbv3No20d8gXa979LXHjuNN7XHM5yGEEApudTy+pHmgNtsGQlniot1EH2dORzF4+hToHf2cL
XAdc8IEQ5acQRlGbT3F5uyxWH48pPJKgAgDxPtfhfOk4e3m2UcPuwDUo+Xp/fusfuDnZ0Cy4GaHp
whDa5pFJlMbpkjhtIKnpcpTWjUfte69bdnNaa/GIWgt12y35mabNCAwt6oJ+ChHwFsqgtZlH2aqW
3iVhvhDpSdhWLztZ5I1habmbjLm6dlyFOWaygAFcJ6fOPxQDGBrg70JCxycSOynWjf1JGGWsuxO4
ISXTy+9m1YqDZ2fWBY1ofZEbnmWKgzkDWgCvVVvVCa8F9/6XuxHFEpRQYaAJA0mN4snlmPXYltnQ
90PAzeR8jYz862Tm1aHOC8OPjWw+OJOGbChhq5ulErrapkNjNNGN2p2GcE968cZGMkB0cW/xrxUr
dPlrJnRow65chgA6r/4hnqLlmA/dXjX+xg1NaRBtTgWNR/1KSrimwdAkiToEmV689k54zCzZnyXU
iRCibZEUs7RPox7vROg39hFVI5jKIDxZ7e3FPClLWVpjOwRt1A9uDCBHEcUPuYvPjX7e+aq3ZshT
D3wWDWP4T5sboKjIwrvQGAJZEclHLZR681xI6eB4qQjTVzPtyw9ZaNeOG2vc076MaR6mP21T/NIi
PTuOqFO7Gc/Ya1Qn0zuK398bvIHPxLjdQ5tJyrtBi42dW/LWAq2+62splfBg23qNwIf1Ux2NgYAV
MxrOAOpk+KlNTe3VbX66v0Q3zhqVTlgJ0BFoI2/vyNoctQLtdN6pqR28uV2wx8vzXyJSf8SD8Lsa
UKYu9uK+W6MiEQUdlQK1QcZ/ub/T3uytvk7GoDWNj13xvDT/DvkpC4lDxMGQ4x1W2I1twJ21ltze
GH/bpNAe01qaRDUG3WCep8hCWvRLiS5rnR0crTyVv8Jx3rtQ1ils3gIaFeSEOmyt1Yv2cor2DOMn
k/MxsFab57qY7YchN4djxMtxEro8nBCjrc5RMmd+YdjfiDPFQaHW6RZOfMKwaI8HfmNbrY8g19z6
9xV6XoksDM2KbgxG6jhP6KOK00xl+oSuvvog5cseg+fWeAi6Aurg/PEmrnvgj3LV0k+K1PPMB4q+
+BUoeZeT9zPSqm/EouLvzwzoRqIZSnIr8GyzoQrhCHNJ2ynoo/R7QwnHWf6rjflzZDY70Oytc9ca
PVF7A5NKE4qMfyvAmPIIpbKT9MFsqvMn9DQ/9136XW6G2pfTZXmK1Nzx41azPsFTqbx87NrXSFoy
bNOSJHadxEgL7GnK32Zv4jI6TU79sWNix5AKrhunoeqmVTadUE9RjyNVh50Tv+3XMAHeOJp0K7OA
qWzjh66SLLvtsjFIdStFcUDq8wdSB/tjFCGyPgzpOSpE+z5P7OgcWwg0Kyqo89EsyXQx6D3WMS5d
Mz0VX9A1ObVN6hx7xxDnaijR+c4UcdQlHCXl3P6A25bkx05PngOTzSu4hfyszh+TYQB9Oog9HYwb
XwcrAXotNtEXeIsthneCz+W0hRiDJutrH2BR8jEduuhTQs/tMI5DW7hxp32GWjx7YtHGY2nN00Gd
29Qf+nE59DPw0KkbxCMS2uGjzQXltTS4To4RmadyNkK3lJMczlsjH9K+0nc28vXLz+9fhbtXkQ3u
rDWE/uPUtLKa9aFhjEG41CH0ValGpQlPj/u3/vXZZBQCSB59rkXnrXf+xyg2nHI5K7kLdCEJv8yU
5TlSq/GYWzKWllOv7szq+r6nHA/AZa0REs5s+UGK2WndssRTgMWciuG7NT4jYLWsbsfDwcqq2BfC
rl7G3NiTYbw1MmpTVFGAkYMv20RS2YBscVhzC3VTHZ4SNfqcLki2joOBArSszs9CaKe6m/bq2ddP
Dg0XbSUIU7tRIXxffkez6E282NolGMSJCMxHIWh6b5hYDkinufa6PRW0NXW6fG7W8dAneStEIr9/
OZ5FU2ku02QJxno8qUniakqOp+v7RtG9pdyT97g5O2gAmM0QovDKXY429+uCG/0SoO7Q+63TgONw
JI2TbjiugvmFBIDSn5u16mSay85uurF7KaRDRFqza8qIm7lO1GYAI7K2o3qcp4c0Dob2h/0/DUKW
BdUbgaktjE/UWl6VM4qZrSJ+dErhJ/mP0fwdD3sK0ze+HLPB7owPiKLcVkcL4pqljHK3BNB94vZV
Tl+M/rOczR4KYfdP/Y0kZ8V5MhlWf8XnqpefLZ5CyZRzZw6iltxFA298SGI/zbyOIoTuia9C5G6r
Aow0/J2h13O22Z8mvVsg4eyalSd4OXQYVoNQo2UJ6LQOHmU6MXq8QfaR3WI8OVPcuJKRUJwz4sKf
LQSS4mZIdlKPbZdyffrQR6IUZrIGxNba5a/I9b6dOotfUaq+9jX8ROXDN13Vt10PhPL9Kd/6rn+O
tck9oq6P7UZnrD5ZfExaFqo6yqORxx5vzM6XvXHLkSZTJqK2yXnYSjwuyqROU6XLAXWXZxoA9khc
Z/BvDdE/8U2t252I+rqSs5odgvdYB+Vi3wR31N6nKmtmJUiM/EEia/hUVH3iYqS6B9a8XkZGwqDW
pBeJeM0WHG/ilN11Y6gEHVK26nu7+TWYj7Kgm4WP/f0vdmtSXNbUDInqaOVsJqW2Wms5eaIGpT2K
p7K1Y9ewMYfvayF9vz/U9TOvQWN+ewppMyhbXQzRKK0VGbMWpENZH+j29N602HsTur4owZlRWyfg
Ww/9lhUyWWVZyKOsBv2gf1Tx3pBbx02MxWtz/XR/QtcvAkNxpcDTIssCDnx5ssgsTHNOLDVARe2d
JvuK/Nws8jGa5RNCC6eWqg1s952S1PUHWyGLpHYkWaBqt87f6D6NmSMGDQn7EElTmhkS9hQDOpg7
O2MLJuTiYKRVDZeHgFB4C60p2yXK04Lp1aZQAmMQPwYBma8vzfpYVNE7Ra/BEEmINw2WEvmZ0iwu
10/sLkvz2iTiLwXS3n4PAbxBj5PIhkrg5XJT6htGLZS1oM5Kty1+a+GX+9/zRgH7rU2yxtAs8ZWN
im1ELZ6EihZ0upymrtJrHaomIarh+sz9JXdq+yVpkrH0yTPIazSjzUESg6ATXpdI/XQYezFJXqwa
VezluN7gu9uLYucg3ejWIW1LPgMrHI8S+NKXK+E0U1ynk6kFVt3pbp7l1qnP2uGpipzGnyFyeMbC
rte0sPeUxv6nl/p5ZxveOGaIjLEFaS+tLZ3N2zYamdWPba8Hqf1T61c5rXPpFMciVHdu3RuHDD2k
1YQVevQqYHg51znUojntOx0d/hloy9Dlbm5JptvWeXUy5Do91M2UH6VcxKdh0nbVva9vLbIFyrLo
0Kxx11ZlK5LqtFWGSQ8gLD3pWGilcvpuFt15kpOnKEPAQHvQk5+JktBHQIHbUPy6eDcsvX9/c944
98DOCMsIZ6D6bMEpVmhMPZUHPeC6hiGiFC6mLk8QyT/dH+fWhyULW4m1igFecxMvOXIm2lStjcBB
ANvpltOMCcg4RGjU74x0c0Z/jLS5PtWktavIrowga1vAdF+TInns5J/3p3P9lJJPQrimA0MPhsj2
cvu0dU0TWUxGgEJ54hvjNHoTNRKEdtAU6GG4zUrf/g+fCgkXYM8G4OArpKtehh1xom0E00h5d5wt
oB92rh9r0ez5It34WvRe6DSS2ELC3Lbc8lgzO/6hB1FdvzMd8HSx/Gy0vxq0te8v5HW4RVEPmieg
FzqLpJWXCznXSexUTWMEmC49StZjrSV+LKMqr/yjtb9L9Xh/uBtFjbWICFwJ3iySAFvMGZC7oe7F
bASFsci9PxA5qGx5ZT4p/TK13tTEzlOEGO83uygRMhc0JU+WVELdn/UGRaBRmY2XRnES2R3MIVu8
3NBWQyfogKhwGSL+patFDA7fysfKlaJFfp4tqzZdLbWSf+7P5kYWwmyIwJkSMTjF58vV00LF7LVE
NQIcl9Qmca1wdnMpO9WQoG3ZSxVMVOTXHpD8PE4uM9/5ejeygPWupl7I6PzHtlioa0Rfa2EnsKLU
06vww5jDceu+anH6Ir5a8mPRj64QxzxW9zB8t54rKqKrR6nK7IHXXU5+ajIAdyhDBer0M1kMD9zg
j6x7B8SaViGscy31THWqoZ//fYBGVkUBGMA58fQWDVZkK/fAaMwgHIDahFM0HOJCSOdycDCIUHHQ
tltbwXalntBPp9t1uP/Zb9xwJiVTQsMVcA205XLiDSrGxFcDsSiKxn40VblvACD2mkTrdjKvt7lc
Jps8UYyDaRPs4iuoRxgvhjbHRGvpkh6QrfVT53uThK8ZkM1Q8+a4g6+JLV40HM32U6SvMuPnuTzX
xksd/c7nkxMnroLseEcRBfVUiilHS6BRoT3cX5Rb22GtYlCnBEaNYtNmO4RolPF/cy3Qle9hk/hN
5/yiE+nb6vNac+jr4dhO2rnL9gRBb2Cx1g7jG+EYSwCW6vJ7hEsl2SmBExFtdFa16BSGZ77aN7ue
vDAHFvYsN/lZz4yTpQk/7M9xIs5hOR1bIz7nsfnh/kpcv03rzyHS5FXnR72Fo39UJBPYqUWczyZc
hcNo+9LLizp/rfasEG6Owlmi/kGz67q6amWLESMHG8hGVHn1ggh/lrb6geSVXAXUL5UQ+6+f9lUx
GRDmajnHHb6tlWmpXYdhgmJnt4ynsAtrP1XVwi2GOT3fX8Tr+HDVrSJWxxFTJ4XdRBGtXJtmK3ST
KMLx6lxDm6bzxqJ6WSbtaEc9eZ9JdCHe3R/2+uFlWA1CwBr9csI3R7uOjRgkm2kGUvlpbt/F0795
RL1179W9Obs/htm8G6pU5rMc2WagpdWROv9vBbyKVvav6QhthEgUsUJ/lHZYW3uT25xQDm5Z9IQA
Ae9qdp6swHq091riN7YlC4iaPTErNIdtS2mI+7axTERdm3Yt3MRm9BRPdfOQ52Xh49MqDnaNdub9
r3Z9Ia9f7f8G3Xw1ES+mFWfIVA6wEX3aRJTjh+pb1ITicH+kG7ccQ0HdIG+mBnhVLi5FOBtjxr4s
nZ8J1iOWc+Zm8tRcPpfqU9Y+DvE5rvf2y80J/jGqennDNfVgAGJnVC5zQMPEuoMb7aFi1mvy8qlZ
p7bylfly3OGbVaxxEI6jwjDpbPjKct61rLo9if/78zeb3qx1EEsDfz4pnpuLT5HyxQz3ZH32Btns
cTVvu1Lq15M1KX5rmW6YGs+1/tepAEsFHo8eLQam9raSFzmpiSCdw+XrRNGho3ro9UX5i+rfcLy/
4W5+FKINAky2HSnr5ZePhnpqVCm2gtQAWGkqaePVgDX+h1HQVly7jRQfIOFfjmI3cputSkLBWCrV
gz0qNIBt4rf7c7nONZCypWFP5L/CGLXNBsvMBaBxKOyglAu004tG9nInt3H3crpHpHYWd6yaf3Lk
bnbC5FsDAxmli7o+yM62qoEzyTxL8mQH4bjgXWYW5hFOYYGhcLIcptTKz4pQu5ORldXh/pS3XnFU
t1Z2GVJkhASERlvRIk0bQaBLox0Y9adF/oKL8LFIxvNSoMmY/JhA5GbKWTekw2A8DmtdhwYpdHc3
1WfX6aozBKNH7LdPiZw8Wt0KatztM6+v9ubc42HzFrJRW0UZ7/LjR0We1lYice5Fnv5GwqX+1Ety
SOAWNq+6pFee3WiZTxlFP9XmQjEUoxDEOGMPyULJt2OtPzbKaLzSB5W9NtXtz6kzmmBBzcbvFemf
qViyD4ksjTu79sYrCicE/UySH9Iga3Mr1n2t2/nMrWgtipfOhi+XfjV8jeWHpfpXNO8U4/v9r3nj
MBKREALRrIOcscUBz8ns1HNYoihlSP1Bya0foQBUd3+QG6AGcnGO+uo1zTnZSgpbzVChFhuaQT43
QeUcCuuJQr7Ax8TNFjdy4uMy/2OGv8s0dov4NYJoFIqnyHzRaLsp5XhM7PGpIx1q3Ww8tPan3j43
6nPVQQ49ZDEN1cFsd+KmNyOszSZiUUCRAD2EFbgVOZd0Whsht2IgL0rF3s7b8KNits6nRJii8KZM
k09qbw0FBmw6B1xXYycCG1zO//V6AvOyoc+3HJErS4A1xE31PWydJHItNZSR+rbyEpTziBxUbGWq
8NUCyaTYKMS/02IsmJyNWaL5Srbo/6YAOGJf1ZJS9jri8A4t0nCAsFeJPj9IBsqofh2nfQHONF2t
fcrZ+WE0nWW7hlQ0wepHnQHoDVERUHMD7Q5Rq0tOQ3juHokZww9YISrf9DgLKUF0KvWLysiUnrss
lCy3z5Us9ZBFdU65Pepfo0VrR9eZjPaziAs5dduhK7/m+MIIN+qqiKTFcHqEMKM688FuAugIVSny
JCfhceyKuev9eUQP79EcLPLLtqVIezD6ykxOKDqZ9UMnuv6HPEiKepBQtNFPpjE3Pypq4d/NaCjK
I0sURp7Vl8t4xkrW0tx8UY36gJ5q+VHuaRXt3LdvnNk/dwOEXapytIFB6dPO2KLU6KJpksTFgi1o
ugjXzKI2d8MOtLKnqqkyuVlPJVVDQmlyJYkWrR47+TtLwp3YjRdnfqoa+L7yYqtHbQDy5iqDMv5y
2jz6UhRVt9NL3casEDcwgUFhgRd95QhuApOksxyxdBKFvUSuT5WCBqtST6nvVEP4lIyqOISx/LeB
8v8fFGAsxSMcoK1NgiO3SiJXQ2IGc3buv9iV7i/VQemOIvnbcsU6EpLGPO48RfCANtNr5RhGnVaT
0ziaG8bmF6fpH6gL/WV2QTecq5G8Ce7syqfexBBFUuu1XMiUgyQOrOGrITpj40nT9iggV0WvdSSu
GJ4TclGYwJt7Py/rcBkGYQRz+mvqulctbU7j8JyUhSsG43WytZNcvheZ8zMb91Qqt28OYwM5A2S6
7hVmuhnbaJxFWkIiv3Be5cbSI51WtyyNRyttXQWKp4JQX78TOK1f6PI4XQ662SsaeK0shygYaPHP
OP8sYX2X/G0OtU6M3c+yoh3Kf2zGyB2zywADmkHfpG4sUr+FUxJhMrPzum2jDcZB5gk4KWUQaghb
4Ebfx6GitoodKFVpn/LOhigOetyDlqYc1V6ofpSbkYf0Rwccxl6+dWZXH+3B+ZZZav80F6MSzCGR
Ut4iDTwbQgskE2tGSWTpgz6grh8apXkMlXhPxXhrlggLEx0sOsKo26GzwN67DJSSBXNEvUvDIMkj
V8uW0o2l4vMQyUc5fA7tU6M/Oa3lyatCSSg9j3N7KOsZkF3v1YVvSB+tMTq0keK2YEJSe+/3XVWj
Kf9SJkSXkZ8GZmlLXBdtFsnU08NAUX7HfMS0OSrd++ygN5Ffygu+OBTDNN42pXuu2r0vuw2O1tEB
+2EEtBZujK2pgyow/NG6PAwKKG9ulUiyG4fmTgR2c46IbtI7WM/glVOApMRWjaQwccbY/KdZAA5S
9Rz+lkJPk4Ik7D4Z0Xg0IuWI6DC+uXto7216ySSxH9GwJqMyhRj5JoWJK5XmD6FsYOulG8nFUYZI
3sFZuX9K9obZXNmaGcaRPcxSoCazK4yTVP9SsK27P8hVLWOdzMpdwAWBbJag83I/dznOEVnoSEFr
Zyd1HFzEds0R+IHxvR0QBs+70LNr4eVzvvPiXpF/16FXJyUSQWgBcK4vhy5SIUFASaOXUEGXz/Il
3TozumG+CxWBdHLrLprxT64NH6VevMOB9d8RfWOhE6JNj2ppUsB+l+SePX+4vyZXwffbDwPWRQGf
xaFHfPnDYkrkmdkU0cvQHZAfwb3D0xABaqpjbjxYcN2hCUXlhwKTcXwCBPqPavVhNRHChc1XirMC
KrdPP6fVwXE+9O1RTctDPZ3TdKAO3XpJ/Wh3+o6Z3fWbRLpAksmryFpeKZgAR0u1UK35zdJxBs/N
SLS++gRJx9TybJmlq22IVBCl76/W9bu0DrzK5RBW0L7eLlac6gYM7ujFSdSX0RrdGTEJTBkPWRE/
/O1Qb31eRNhUSvygjS6/S65YkZJjNfzShLbtCys9drqyHKLyB0SP41+PxYyA+EK4XCvBG6BtTuVC
KfQlxxoLWAL9vXNUho/0+lbu5c6Gu/52qKj8MdampG6ped1AasLqfM5XBns4+tU8+w5SBMcytr+l
kr4cYzlLHiI57c7/w0QdgjXwxLRntoFvE7KdqFzkL1L6LEdHs3rO28R3+r0u1o2IDUTvWixTIG2A
6tvcZ1Sz28Ip0uKF3MzrI3R828+1/h+Fh8NCpzcf3DE+NaXkG5W1E5ZeP0sGnhFvdJk1p95qNWv2
lIeOwByXXyY+IuqrPBVGpr2/v5LbChMJDyr65DzYmyIavGUBNUht2NaEg6wxhMnjRIfOA15bAyia
1ITJydrngjoiTvZtG+5s11tjr3rJnD/8f+hIbo4G6ljlJGF4GiIWOGL/pTeZF0vo1CBZlana+1qr
v/39dAETU9Zi76wGUpdDNkqvSk6vYVqLu3KysGe1k5V+Y52PWSegIn+5P951hgZmhY4rBB7OPyL7
l+PZ6lyV2mQUL+UA8Z2yxxhHkl9X01i+a6cqVU9OZi/tGbRRZv+6P/atDbTKXWEly+6lgng5tpir
vOm6BdfaAh7hMgu6p5pe+n8/ygpChWLEhQBl4nIUFW8zMEkyRuOiLLjbZOXVqZV5pxx5I3wCuwKw
Fq4ioHPeisthomKUi0yExQudRdcyYk+MUKeGswyHII6no2REB2G6cWF/lMI+yO29yOZGEA33B3Av
QeqqO7zdrbJFi8ExZuxdoWm4spmKY2MVL7JV/FSNPjwiuhS7WWVxHU0i9Ep9+Wk14py28nwMsZA4
lSL/hDhY4WUkY+6KUfQiofYHSyv0Y0Lr9e9fHtAxlOBJ1EF7bzmMzYLHfYbEzotwpCPCUK8TL3zX
vmt3FZlvvQUI3HOMobQBzdzsgUZ2MqfR16Vpj6by2J2iQzI+prD6DnjT3t9v6417mVIaMCzslR+M
vgw4hsuNAJdK7WV5KF7UPsy+4Bwc+riMTu/G3NHZeYa6s/NunWCyZc4w0kEq6oqX41m95pRmwSmS
89+Ok7lgfwoe8/GxjPacit8cQK/mBnyXdI1c9kovwUT5ErS6xDpi1/c+GxCwUSNFPhuRUzzH8PX9
QUBnkwupPTiFxC2Niq4P3iw9pWZbHTWtcJ6J9FMPwLHmWWMy+HnUSu+LKIJsr3T2eXaE5XddbDxF
RpOdaN++Rk0tHfS0rE9jqkWPsjYCxxfN8Fu345n0tMo9/DYbZFa19mFWOxLdyrKPVPVCqJOZ2Hnb
b70KlOBgt3OfEMpuPvCQg2elpIg3o7T8Jvj/FMuhqyjZkTPk6V3kzTKY3v9hU9H6XXk0KHZu6+OF
ZIdqO7XlC0oBT60yY/TzrMdlYInv9we63k3cYNzH5JpwGNm/l7spEyKRsAbCYpugCUv4Qsl9weWR
LdZrMSyf7o92fS551JF6hSNEyQfVn8vRwoWc0jHr8kUz/x2s88oQKlq3Hf/To/wJrPoH3NLvj/iG
Mb/cwgyJfhjgBzCy2NhcDhlNIhllBTMUI8b9DMjyLCo3kxLnl0AMaXEr6LUkaprTVh41BzgEI05s
r1o8VV/lrDI+q4gTza411EvvWpWp9W4tZ9rDIkr1e9WH9UcnNpqfESiSwZeLIoIGadTGjw5Hz6MO
gHNnQrc+GNQAUDdveJXt8zZEZQMubixfJAGHq5Zd6uHg1OZPmT16Rp/uqZLe+mRkcfT6WEL+2lw3
Uxx1GalXBZjCfJjhZgdROR9z/GXjUD47WgbNs9zZ/dcnjksTXChSbHhGcOYuv9k8mHiJz1H5YiIZ
VjvH0vzR2NUjsIQujg8OyfT9TXIjqmbAlXUOd2UFb26iartQEwuENpbssiToRaAP8K0AoP8YjXX4
Gb6LPXiFltkfY9DmJjFaTjl0Girk4WJjAvN8//fcnD9iHhwQqF/QCy7nvyy5Q52/KXlSsszTU7qE
cTlgqDhkJS1Ep3of6ah7YYfr7Iy83mXb00JNlmwFS8c1Dr4cuadLIssZB9SedH8wJS/LTlos/3Wa
zTIT6NOIYul4Vy5HCZUJh8BwLl9G5YyagpunHwZaPWO1eJY8wgvJDpQ1dgD519HnOijKGcgdAYXa
FpxUJxtyeV64e0Z0SvRXsuOdyPPW4iFVuPIfYbZT27ycVlNGThg5q308IhEVsd//I+28diNXliz6
RQTozStZRiWpi1JLbV+ItvTe8+tnUYOZq2IRRfTMOQe3BTSugpkZmRkZsWPv+EOyWfpf2//KjNYG
YAA0cPmkDgxPUojZsrOPBnJMj0UpfBy8Fw8kkj99vO2H16HNzJAAZ9HcRMETfhHjNv5QKuOgMGVK
sp86lQC3dZRs2stdvcUYOK/50vPAg8HCxfNx3oeLyQvHqglmQfpYyB88/0UsPomqrfrouBDa/BjN
77W1xeq25hKg03BCegCR1VjYpO24Bg2JQDiVTO9QG9q0iyAHOdyexZXsIIlByBDZUtAeELNfDm3s
aC9U5Do/S0GBugpV46cgKx1vfM3uEIPfFaZmx1sRxJoz0tfJFqb5hOt2caR1ShMbk0z/tGo8FOlr
ot1X4lY2Yu2cem9jcTeQx8m6oENAvo5GiGtPU0EzPJzi0McpNDRueOOa57+3Nn/NOzQoNLmVoVQ+
smZasm9j2cmMwlaKz1Hd3GnKltTKmm8ArwEsBFs2d8NiM4t9G0VCx/tO0wCLRA1xHvTsWxW4lR1G
fxzkwRZBCnC6xZiSQSqbKYuLs69n2b6eDKUE+t7Kx3FIw7sMeqqNSVwZFmPidUyDIb0ry5a8yYqS
Ikva4owkSXDwqXvbsP38o1w09R3qUcCH53eDCYphsbEG0wyj0URPRR1kz+1aqJrMQjB2GxtrxSPm
Xnqa+GHGwdLCjACoPUapYFZVISvbvxZD8BiLr2rV88AtnhIqz40ynuY/4eDaK7CbBMjXoEBh52l3
IJW/8wJ1I032BiS7OMnIMpLNId/HR9EKv1hT3p2dVjPmc2e0w7dkjMPIKSI6nXf9qOZ3TamEotNS
Foh2ShgLuy7S9KOq0EK3k9q01Gyk4I0fMdiIH83ooQzil41s44VV7YzRqD5DJ1bRo1BZwd5DbsjY
q03QD05Z0cVM8Fk2NEhAGvxbaGXVPwg0k+sOhc/+T9Saw3BIdK9vP+aZ3vR3VVHFil3CX1TbRm/J
4d43ujlzmXkxP/qjDp6igHR3Y+XmI+9qjkixke7G6a/EuuTYKnqrCHSi2FI56Wlx8sSUrHfdi6cM
VKNjTI0x2mEQ1LJdV3CQdJY4Cwv24aOJqMAGf8t1AMitPXcjAbkBWEfa5PJsQb2JtyiomzPL1Nh5
opzytNkp1lFKFOhr/XvIqw8TzV5+HD1PvbcREF0d1m/mSXbxvAQRuyQ6DrNEMlsj0c997R+yUpd4
p4RO4OXhRqR7dWLPhsgazHqeVN6WvAJlGbVRNxX6OTczwDBwziQVL4jUrhqa7pvH3tvYoxsGl7Rt
VmkpwLxy/Uynh93C52nBCVwXO0lTbSP+I1ifNzxrjkkWnsWFDgIbyDmX7bLsFJpG0PQiuw9geLfn
pMoflFD9O7X0ddBMgHhjmE/qa13SsdBlSn4o+l4/CrPyz+0vWVtTUNssKmchdhYuhdy22qGbBZis
knatdVSlPcm6jfVcNwL0hUUlqF2GFgRoqQ6ppH5uADbWVDipiXPub2zXLSuLV0FqkbLxvQwr9X1D
UtPIjqq2EQBeOwquTyKcQiH5Dn683IEQvMLtkKvK2aNllF5AWbrz4hPcZo6SfJZCc8Mv3yoyl37C
TqO9hCrKvBuWiY9ARLGn0iL1TAiVOuCAJ5ipR03cp+GzHD+N6jdR/iySohbVzGnIW1XdeEDJ+oOv
0j6UbN2Ya8N/9znLJ1Gj+4Pi13yOojyqHjSf+mNjfW7kwxA99NlGjeU6IgWmRNABjGCWu2C2Lycb
348jQxMMJMBF/XGIM8P2C+CQHtHcAbRpdZZTn7uAK+W504rRKVE9P9zeH1eRCN+ABhMcJ1QBIbRb
JGZkJYhBhhrGOeF+pNK1i9Ov/26BCgB3MFg0KMDmOX8XMJozlZU11ea5EAXVidnsOzEpttRhVlaO
FAXwUvIxcDQtj9Q6r9scsVuO1LY/CMofAMCPQvhBPSF8ueOZ/s/HChkRKigAN4C6KUtOny5EuLUT
YqbNFO81mRR6hl6rmutbirTXm54qHw8X/hfkLBjay9lDiLmQZEQNUAzuHrK6CanPh8+SZ23sxKsQ
GOz/ezvLjS/XFCpE7MT9ZJswocThZ8DI+2JLP3vlkp8tATmh+MBPbyWdd/4Q4uJmNxMRZRwKB7Ot
FVv0/cRuwSLvvMQTTl0zeXeQEsNs5g3CoW0zjeMnM/e3HfOKR4HntIqMHu8LTZmD8EXgKkI0KRi+
h+DtKNg9smtp+jmQ91mqvnq0m5ZHY9qVxeBGWvZSDMMr9cEZ8JrE5caXXGX35s4wLss59OAQXDZF
6H4JIraWrTNvFOrJUlafysTo70Yli/cE3h3Np550KBvfOHmjLJ1uT8SaeRrBYf5lRRTSDJc+Fuhl
EVkZ5oXeglLVr3eFQRiYRQZa8tZpgmxcz9Cu1TaGffVweMNVcQSS2JwRaIvzr65yUYtgLTm3P8rY
BoHiPQyqnW5knFZHx5z+j5XFtRmy+UN/tiI+i0731H7qIoc6yZ9yq04zb8XFXQZM7D+G5qP2nWND
9NOo6YQhJbdJFX5O/txepuvpojjAM5gEBhBbqH0uf3/ExUy7h9ae1dH1wq8aSclw+mNmJ0/beDxd
T5lKfg5qG6BvkDEtgXfeKMQwiFXDebKg0xVadFQGR/C+kGIte5Xcp+DAnb0R3lyfQBidkVvo3SEC
v2xqGXsl6DVfHs6S9hG8GNEHLP9PmT5uBGsr08hbeLaFZhEcjfPfv1umuhWRxQqM4VzSfQnbj92a
GW36QPOlFyksNwKqt0Pk0itUclskOkl4Up9eltuhz/JiShXjudtxmn4zS3swOcOdUrVb1Y51B14a
+/jt00v7pToK98l3UPjNMTwEg138Gf4Uz8V95my9/K5dlY/CkaBFIc93lVYpfLGtvT4azzQoPfYg
OgoBYapsi2p9barJXdLPo1IpuXrPDWZUCZQmx3Nd073ePwUB2P3MbuDe/nfqgPm9/97Y4gZrTRow
EG4Zz8YU4J6OmFc7S/Q/KEn6N1N/VPVjJxSPeXEXChsetTabBB0zh8YM/1u2EYuCqHZe3IznQD+F
hnDKYlsHgfTPux8sxX+MLHb/lOX0EIvleCZ7ezTU0E768aF99IP9JGyt28pWBH3Nf+TD5r7vRcg2
0NdoGXE1nZUI0Gv4TallRxR/GspG0LESAcObQRSA5ghoLWAil3uxMth3md5OZ6GiPcI4ml/Fhn62
XU6MD734Pks24rZrwAiE2u8tLu66uJdjOEKwaLTTwVTzj+3TBBmbQz4K7eQhfxzM4i4bbLnbsPz2
CFwcBDO7Plh/qHevH4n04rShKPfT+evXD6F9+PD8kNvf3dB2LTu1Szu0Pww7Qnw7cErH35/ifTz/
YAeHnz9Lu7Ylm16p/dPHL4+v+VfHtLv9N8/+FNijLdvVkQf0MdiT17bDnWw/37HddsbuZW9/PD4+
3v99fgjsv7//3vbIt/7GWyNa3KyVZQ5G3TMizc5t9/Dw0B3k/bgHQOxYB+RRHoC5uNbee9R31vf6
EbZNzQnd5tm56+17oO/2nWJvXPbr6/tulheXcBRXg6778ze5Xpbuq+KYkso6kNvX4x/VM7C8evq4
FWLMv3QxESgbqXNTKzwCV/EbrPP9WEpIxEUROfFQ2MdFvHElv+25pQ3YKOhjBpZHm8hiYLSZirGn
5eJZsnPnJ6JC/Iuun5PYXz79CGzRPqsfN9Z35RigM/A/Judz791NmYZqN/UWJlXlm+7Ed8lOcBo7
dV6/zg77HR4Ouz6kXxWm+Oz8Nc/KCbyere9baBvFA/wcem5zt8iHb/0Wp+pKhHLxaYvDXhqjODQk
Pk1MlL0mFDz7UH0Pq6YmTgn39RielRreFFXcOIZX5wRYMkpPCm0fS/SURNVfGpVKPBtd+9Tld1l6
qs2fsdp+uz351wN8E3GkF3Q+HtEBuJx7YJfVWEW+dIb1t24eraKz0wLF790od04mKXuj/n3b4sph
TC+zoiAJwxlJe9ViO6eTmjRSrEtn2NnUKbWjWnLk6G+fwOGVPejtfdz1J2imnzbszkO59Oy5h5oe
HbLQM0XmwrMVrTV5N2vSOXsUzLtJlUjII78y/oJdnw7YJnsp9WwvGfvbdq+Dk9ks8Q+AMYpzy9Jc
lLSc1a0pnSMEYLz4IRa+N2gsh24obGRArnMTl5YWEWdXyI0UDQZr2UR2+0P0X2Xxc1bGu+Deg5nz
9rDWlxEsHNEQqCU62C49R+yMBh5zxlWP+8m1iBTgjPE0pEYjCRZQDyqs3z7X7G2za2NkvihQUzpW
eVZfWg0tuNc0NZPPpkFPp3UImicD6VzPacMfgrgxoWtjxEWpvc+KIHDkLE6mSgzjKTJz+ZzSgdn3
u7C2VZoqS3OfcpOWH4QuthNktG6P8Xrvz/3+M2sRiVGFK/xyjEUT6OMUJfK5FD+AM23jep+Nr37b
b8STK3OJnXl4RERUjReHW+klSljqlXweitox8x8BmoRRWIC+48C3tHtkV24P7ErSjAzIhcXF6iXZ
0E2aUbN6eWzHCdIfuZ11XwHWCIpTDuWxE3ZqbaEPathk+mwhsOgV2eX82Ay/aq188Kxjk9p9iW4T
blaHxjHz9WMiG46m0OQSHG5/8aoHgPLkuJiJJfG6y7XIo1Ru9baUz4VwiDyyB1G1yw4A0qUSZtPS
9gza/Le4fFdyV7DAEKqSI+GoBBp1aTUYpQJUS4ffBdpvdMqcwQr3orIreCOLv3m8oiFQ2a0BRX1q
3d0e8vy7F8ckVwLeTnmMBodlP6qkVf3UVq1MUG5qUAjV+WHyknhjYlfuHSTfCFDhQIPvxlrcO31V
TmYaeHhClL14w3QuJ8XJw3Yn6BnUCCLLqZANrzcO47WZnRmoSckBgWQ5F+upB1VfCWTKz3n3C2rS
HgujgNa9rRAVm3aY2cqfWpB3t+d01ezMN/W2zUAMyYsF7Uq5qCuB+gM92mN1qIVxN+ipbQ4nXfpa
xMUnXTjI4SN0kxuR6tpyvre8uG1zWihiI/a1cz6UFf3/PZFLgwrZ7QGuLSfXAEwhqLyhjbuYViUJ
lSzyAu0ceVTgYxr3m79jeRIQR/C7bt8/l5FxvG1ybWsCd5nZAy1iNFA9l3MqThpVYrbs2a9tcd+M
LzK8s2V07PNPYmIc+im2pY0Y4noyeTwSzM3p+JlvdjGZIywIAlou0zmRI2XftqF+qgWjOt0e2ZoV
sCiERjPZ49UOHAN1UvKgmM7yRHw/hkjDQRr/rwJTxCNco6RMKC7Q37GM/CoP+Ye4LKezLkzpwQwh
6zIHJdw4Ta7vsksrC8fPU0sH7MI7qUMv/NFAH22P5CvRvWwKJ8tT+425W7HHvUnKCZQIvZJLwOxg
TXLixbF09iJF/55r1niQOpPwQPOCygZVFG1s7TkEuDwuiWPfmE3/O6JdHGSzBGjFs4ygC5gMTRZe
E9BwCY+jkJdNt7HN5m10aQzGfhPJaVqq2WbLclCQDSBF0a48V6loGyOv9oF3efRR8/9M5oMSbWyx
68m8NLfY1UMp9KkFNhyIY+Royeiw4Zxa+1T9OyDj0tB8vLx7AcpUntTGFw3ga/mvpEgegzCa7Fa2
ZSOwBeNBELSZOrp1Ve9bjwjb7f02Rx1XszrXQ6Cy4Km1JPIxzEK3YuLcc0r//O/RP+nfiuRPDGnk
bTvX+5rM2tz8Rfs1vVhL30zqMCgFtFzPU+X/TOmP4aLz0o0b7tofMUKr58xWDtZmWVmXUBQdzDw1
z1aShg7AXsZErZnWoKb/v4znnalFNKenmakXEFFRPjYz21CLbB8OcFH/H2btnZWFE/b+FHX5yIBM
Lz00zYTs7RZN3JoDvJ+zhftB819nnc/CpMYuE4rMSUECtMarqSfwMkWfbg9obVe9s7YsB850QLnu
MW2SltQHq/XanT81L6PlP8bVOG34w0phAIegZg1PBWnBK7pZdaqrsFNK8zyO2U6GH9Fr6g+1Je3F
yNxN3b3VtEc0UE+q3DrifTwmdthKRylvv1uR97X4GHfGHyv2bGU6KhKPH0qFQSy5qaLbo7czoDzD
C44jzTi5andxR0j68faEXS/P7Mcy6SgCC27ExR0yVSF886Dp4LAcJrCz3O3yrhl2qnfKVHPrjF1J
7ZkGdyI1SuJSHuwLt1aHpLA0mj4Ivr9E1h0d6GmOPJdgBxXkuGE7Ot7Q/FWEpyCV7TYV/pkQgq7i
mRyYoIZQg4LO5WFYCzPkXCiUcwfb7I4auWKrkbiFDVsJn+i4MLFF7DCz5y9iGb8UBHr0Qv1cKoWd
1Yge73nzGZ/Roa1eezcLqo1j9trvqYPBJmfCYgKd+lv72btD3srp+PK9CohUhzSEYJZfipSkkxh/
E0qr2wh7r6mUgOXztIB1gso7s7g4NtQ2hlAr1MEcxvK+zCYq+3J2BPjF+9aSfwKejJA8NyFZ6pJT
6rEvmiY+atTCvPCkyIUCUUpS3atSN96PlfbztkuvAJLoGkAMh8gL9Czx5OUim61EU50XGGfflB56
QX+sGu8FBgU7tz7LPIPQZN/pdXvn1ckBnuJUfdSU+1oy91Lnylvo8be49fIGnL9mbhQGAT+jhC6/
pheG3vI8YCby54HAwoQK4ZsFebpDq6nW/gx/Sb1jPRnt3e1ZuNrYUCcCy2K+uV2hiFmcu60eyzVc
YtZ56rL9GHxF2t4R8idjeoX++rapa3e/tLU8dUtgnJRjsKVArvfZ+1u5Q76rd4F8LE17q8Vodq6L
+ZyN0bZFuR/kCaiPy/mkiUJNs6jBmKLv6/wFFQxbQHQ9obaSf91KoF9trIW1+e/fbSxF6vyC09s6
Z/rfZqxtOjxhRPg2qwDfnsSr2AJDCJzS0jv37eO3l4akSh+FxAq8c6KPdsk1LAffrXaLBW1tOHPW
CwvMHGYurei9H6E9EXpnQ97F1g4ofho8mMVG8LLqEKBjQVW9cWAvIf8Vw+sTAzMTaIPn6a6pbD91
IkpaXeL4L/8+c2T0AFiBEAdVsfB0MWrVqBAij2dJBb3OTsp+KunGmTLP/sLpaFJnPGCs55auxXtY
pv9DFwtfOGt6Wu96LRdspZfT0+2RvHEUXJmZwSEyZEngeBbL00SJGrdBIpy9T9WT9KpKFL2c9s/k
2+N4uNc/at2ehmB47Tfszp+/sAvCl6zfG5oZgpGFWxhaJWSKKJzF6jGiwj9qml3H35G/7prMVr2d
XADAkzZc/vqI4g1pclDzwKaRYsnOjq6dEGqF4rt0udvd9NtqartrfxrSV6TKNmxdnxrUX8j5cmAw
ufjK5QjLqItiIZsCt8/+DKH0arYfxLjdgcaDzlHd9VvayG/Az8spxRbZMP7fAOHpALw02FZBXU2I
drkq51Na/2idWHTRXKMJC2KV6bHRfvWQUrbtR7qlEKWle0RoHuAaO4ZzmegrsktGAY25xYapqKJs
EfSsTD6wRxI8czTGe3fhatM46Z4V9qFreo9x4ZMg0w5C/afwviJYunEeXDHOEnGR4cWv6Oxn+yzb
3zqNErOHjIebdS9R9s3rP03j4whhtKfX+17Co3+Xgh3y/qAhPfuVVa4MHaf6pSsUqKYm0VYQoWnm
/gp/C5F9vbOJBvH7mYqXG0NdOIbY0HE1pkrkSiFw6Tojc54MnrWxw640E5gBXByZGyodQMyXue5p
9Ej0QoLiajKbuWl2iRif5ldkATmfLzw1eXlqC3FnfPGG3CaTIgcgUMDZpj6lu+QL/dCOwPtiLPZj
dGjewNwDfEraLg239uV8YC5cF+T4LN0BMwKcU4v4CdSmZwSjGLtt4NTZi5pXh3LWc9B/tnJ/56XI
PW0cfCvOCP6WhyiFJ+qxy96GIJOlZDLM2K2s+6B6ldqn0L9v6kdA+RvnwPULhLrP/A9gRURsCSQu
9yVs4iUkz17mBnl3ADZth/FoV4y0lzW78CuXJAJu6O3i8bPkZR/KofvnwTK3kB9QggK1TRfJ5Re0
YWwUvVdqZ0GwnHAEbFFDZ0bVQ06O5gZi5Xpioe2d6130Uc3vgsVS+voYV7IZcm9lWnMIUwGwyaDJ
j14u0cml1qqrtpsCIetGYd0kAgBJcSVNnQRTGpqxcA4LCTkQNehNJ7N8aT8lIP/Fsa6dhnamz7cv
sesTHhAcuVagFWznqx0m5XonFfIgkAEyq8nJilDTHZ7vZsUJn9eeXY+eRfU0FGtxD94r3VLhXXEt
yEzpeSKJCAoYQaHLhSU/lapSP/EFnh/k9pDAAAPwN3jMKA04XcZG7ZI02wnQ+dpZGsMbq1d3hLLy
UWtgQ7s9H9cBpQkAE+kE8IqUIZePtD4Is8wwxcQNxEHaZ4I8ONgEElC0W/HDiimSprTHAjog573s
+cp6MtxVYMVuPSjKLp6xpUNFq1s5jFsEgddcPYwJViuA1ugBcKjOzvcuIM8FQKZhG6VugX5kQ0+Z
WdYwyFZO96ATq3BuyMMn9vEjh0g37rLKuGuS9FjUB0PL7aoaDmNa/qzpGpY39tr1S2/WxCG2gPWO
0PdqxiWlS4KgSVNX9CzEsLnqpWM3pjuvoA/mu1S1jqEdFJQLm2NjPCSp8M8rDuudObejogDF+bLY
7JyuaiPnRup64r2aqey5ZJdulYauNjcNJpClwmFjzirnb6H/u/n31ZY9gPgVcY16H6iy09bPFrQ0
reZSgT7c9uHrh8TC2mJImiq0rT/6uTuZ3ckse1v0TsWw+xTBdwqBjXaWla1I8ToIn21CCDU/kFhE
Y2GTcKzurKHK3Rq2GjuQunwfydkzfaY/KnWsD1xW4UPUhTDMt+m4U8Y6uocAAkZm0cp3hRcJP4JM
2Kpbr807WXRYuOC/g7ZkcW/5nTI2YzfmLpUzvCg0aBJvOoOeh+h70CflflK3KTFlNtNFJMBU8ByB
RJWEGUH6wmhlRnrd13ruZj0CTVqtyidfpVe87FOfVFbt35m+z+0lCMJOj1PvARX7b7lklKe+bMy/
G84wh6RXX0MaZQZtQem6fLyKZt/T8CjnrvZi3CkPUUFaye7s4a8Cl7sdnvLGpvdyC0h7XV+eJ4HB
66TzKE2+ZcPeeXwhQhRvlGruDlN+V0q67T9XY7Gru9q2kGKM9fvWQsxsh2Dd7QGvLvn8PoIvRkRx
a3GfWOEIscnkF67YNp/qdoz2XgkLhqxN6jHKRANi1Cn7edvm1VHOYGFfZIeTCDWv+mc1AcycME25
G5IZpgkrQmK0aAWnogNsf9vUVeQ9m6LADAyP2I9HyOVJrk9jTawlFa7hfVfkT7r16fbvvwoIFr9/
sY8lIdD0LFILVzZ23ueoQcfCrkonS444ym1T8z5YeCbdcXMDEK9Mym2LlUpQS4+8xCjc+G9xKp7i
2DZ3Zeu0r4H6/7Q0r987Z+wl9MESSylczXIN85R3uyZ2hvrj+CJoO6nZOH9XPPBiXPOOfGctlCe9
T+ZxqcmLFu4l7Tn44aevmwmIlaWaG/+IkLjR5z8v7ZQIycWaObJUyNrDudv/LYmYRP8FKlInHsrd
7eVa8bwLc/Ow3w3LtISRIBBzE4qy0Wu7BWVYcwdQe8BooC0gCFMuf78lmGYWkvp3E7myhfpVH+9j
769XnqTS0dGH7uBiuT2i69iDtAbPeV6YpPegTF+YhKmxa/wYZ6d1eSo+hEjywKv0SLL5t/cKlUhu
niIYCLYaftZmEvUkGDdJ9cGHuTArk7Sk4RAHMbOHQPD3KmJ2t0e2ZWH++3drVQcihHEmFugoFPZp
7MM5NpLEv21lzQH/mwgI1AbR2+KsIFoC1qJgBa5J6TVRT0pNj+BdNB7bdmNPzb68PCsohesQthM/
kZK6HJAeJaMVh3np+vohgHI+eZbTzB6MDZDz2ry9N7NYmQ7Wu7yuZzM4QpPdB/Ld7SlbM0DrFZ0l
cCihYz1P6buFGRp9LHjwlK5p1o6Ufsi2Y/15KhZTxQ4CjWHyigRttDgWEsRWNfJUlWu090ih0Gul
n/pdTIivGAcxfJLku250hv1wZ9WfwkDdy3YU271TtTtNOlBWSbearlYW7+KLlidHFpVpPRgUOITm
TozF2RftLPjbif9cDyBPBu0Cw4dbgr7Ohd/7Qk6gJxm1Oxwi81PSPxZbNcOVw/3CwuIqidK2QcYE
C0o/OmL3VzcfQuJZKfKRrnm+7Szz71qsJM2pPMspUcKNuJScGkQ9KYu0aNwWgRWHXGPAuyFK7pII
DMW/m8Ip6eKEbIhy6CKs6PWOyDGoG3fqJUeVP0gRiYfxeNvIih9ARTFH4lT92cQL58fuaE5G07gp
5NhxChtOHP8w8vG+7IuNKPA6rTBnTK1ZxohsFXnUxdkU9TVHLCoULkJdD1J9HA2cX31RjBeD1sNU
jQ4xNOCeoN7Vgn4Mki0u5+uxwi9Adp4mQECdcFxebnQVamrERMra5UPA4/5J5FdP2A0I1t+e02sf
4d0MMveNkhWXX/gjKhxhhOJz7UoCUhRZDiG3fBTyrQzg9VEPMo8Bkf2bldaXZL8NSg1y1k2Nm6mR
3UuveXTSJ2dU0IcYM1o6T7dHtWKODBhto+Dp+WdZhx0aRWn6WGkIqPXPQnsApNfVjti+Vs5Uilul
2Os9DS/ff6xdVWIH4L5BJDVu+dd/htTfCA6fuiTZijbmJb/czpdmFi4pQUCNZsjYuHr2a4zoijUe
qvKbhNiltwtDQg1PtZvo9+2ZXPFDBZkNcln8wZ6Yx/7uwunzerCEVG1c9QiT0Mf2cQs8dB22Map3
BhabGsZOq40jDEAa5uiOZOs75ZjvwsPtcaz4+YWZ+TPejcOLkyqtUEV2Q0Ry1e5hzkV5xcZmWnGE
GYPNSxlCFrrAF2ORkrQoxtxr3KSAPgOymZ4EqJeB7n/2jGLjdF9ZmVlkBc1JMCikfxbGmo48rxn2
rTtG2e8JvqUIUFw1STut33oTrwS6kKG9wWpBEM3ZicvZa0ZR71Vfbt3g5J+LU/dLvEdj+tjcx4/N
X+9rtzGPKxmoS3uLU0lMPWGIRKl1m0NzIvJ4VU/Fnn61E/y2/+wXFyObZ/mdX0i9GBWNImJJ/WT5
5c/Jir8P/r/jUcgegfMiR06Ci1ztwkyr6UlOGNO6ffTBi1xN8V8qbS8I93r1V++h7vEpOVrSXTSl
kMrnHzP/7vY43zp7FqcHqduZApr7Ez22xRdMogcHdpu3rmUmEAHbvajYgf8g5wdPe5qm3ZRkTmXY
YwAJ9lNDDq6wHrdwqbNL3vqGxWEiy7k3TkPXcguQqm0eWyV5NJv6rq5KumOmb5O4pS+zsu1hYtBJ
poHK4SJYnJl5K9c9aO3Wlce7YPyTFYFd5IeNqV05mC+MLB4XXQZ/vhkPrZv0D50BwlJyBg0yGPGj
MhwT/1TpX8KX2zbn1bqaSUC3+BSAsKsgPZejVE/hocVtQ0dBnRNxv+yLp22VV1btQC4MjyTZSKC+
l9tj0q0gTXSldcPI+tEjoWgGws80+jKqWwxSq2cMohn/a2pxxrSTkfSgplu3OBAWNLvGtIvqkOeH
treDZEd7UNXshm9b0icrkR5bU1fmlh2Aqii6LIbYRdIkFgzRivLHMP7QtNm+hLCDUs4OPM2+nyiH
8w1S50G2NnwSs9q9vZjzyK4W890XLPxHqIdKDxFPdZOueork5pMWbK3j6j54Z2Kxjm1kWn0GpMpF
a2FfS4FtdY+qvjGOtwD81kAWS5i25QgjJFaUu/B7DcP975+BZId7GaL50k4BIj10dwnpY7KoXynJ
13fFn/xnNjg6/RNoXFIDHpzozyYOZWuCF9eJ4gVh7re41ihnu07aG/3W/K57L7SZtLgB6EW34dKL
JPgBDUThEG6XbTWmxXwIdtXplzwc2s6OfsQn+eNtp1ndme8Mzn//7uIKFdiOQn0e031yGg6i0ysb
b7rrqt98ab0zsTiu2z4U0US25itDfU3KD6EP5YuD4GDR3JO6P2mJfp+FjkpfFL1S59jUHn3dt7Wh
PokFdX21s1VhtDWEH81+I9OyEjZefNsi+klK4rneZPjlvmhK0hPP+rMUf6J/0h70p7GSN14Uq8cE
aF9SLgaAFUlc+HZQx22tCH7nts1HcQQYY4UfvHBGaMkfpuFjRuJ+IgeYivWx0sS7ISi2SD/WVpz4
AVgrfR0ELYsnoQ7326jLU+8KfWUr/rGWe1upfqlbyixrZ8Us1Yo8DA1H2hJHmNVQAMWW1BOlkGYh
tf5zKseNsGstEkDMEeYXmJJmHr9L71XQUalkIxrccir3kfhoyPuheRoGb1cM+y0h5TVfoS2YtlMe
aZTUFudrarWCJ+vp4Apx5/RBdNToz+VEL5vsoYsMu4QlXhx3t/fn2lvgvdHFiVsJlOGTNB54rf0J
4oNhgKn6qucnHm63Db3VORanLkElImUzmhDo58Iz+w5G/VzHkpH7ThXWTmZWd63YvNI+v/Pin2r2
LWvsMqzdkNZXVLmPuvStCH/kQvddD83jBImbXmX7QUqcQvEOJQK77UtTIqwjpluR/YoTgxEnGQAS
xzCuXhKSFgRo+rAWqXjX5jv9KxKR/rC3xsRJk5/NPv0V0gP/B866wfsVlHa3kdiZJ2M5We/tL85p
OLCHGtAZvhDJp9IQXswh3wq1Z+e9sgHfiMjxSYFqmUE1qlBKtLIc3IlLAIXS76Zy1rXmQ5q7wWTa
Nf1eefsXuPzemLStCZ6deWkcUvi5YA1cm2zc5c5KWq1VFa8f3aS1ekc2xzsRBVU6yRXvVQi7n6IC
eZXfCMewlMt9IKKH3RrRbpikfmMeVva4BqkTcHGy7uT5FzdUJ/DqadKIL1HFb2X+R7TaJ5SJnV6g
8+27aG01SKycW6AdqdJTGyHts3x9Q4CsqX3TjZQeC0fyhzu12HdG7wxBYk8BxKj+PdC+sfiRql+q
0nKrH63v3SfRFnPZdSsEQwbujbzBXJW80hwxs9pM/Hoa3SZzI7jg2sCWlQejO5rGfmwOnWEdCzio
YCA/zT29YngQ4aaV/mSav+Hta7cWzaPgRqiho1wlLo6+zpQNvxXH0a3zh7Ygtip2VmdPAC/Pcrc3
PkzmV8PfYtxZc0HqNlQPiOeBDCz2mCdMI6SQ6eQWyLIOKAcHLVo5KD1NlAoAV5okGGU79ie7QAze
M6ythNzKCtCAMfO0IdLKCizz+HqYD5WhKZNbRl/gNX2sfzBFD2VklU7ZwxTlFY4gOsVo0y5TCXd+
C02U/7vLst9B/PP28Xx94MA6SP4Y1lPWgZbZy/1oKiMK57I4ue0AnFYvpxPMIlsVwetT9dLIIlKT
4kwLkH+Y3KS5z2FuKqhw7TfJsNesgFWHOAKuGS7txZUWdL2mVE0lulrkO7kh2xDc/E2613+fMFqd
WTcwwtzX87HyLrA1I/RDNaEUXX0cH3rZCG0lNZ9v21hJMNH2zq3Je5O+LWu5L4QKCCU9kaIbtPfe
cIfIWih8aKJz4tVUcpWdYvlOoG61Ba/5Anp6VKgB0s358MuhyUWEUI+HVWQwRxtOynhvABTfiNvX
lgmSWMgu6Bab+RovrQSxoSWcTKKb8/ur2DsC33tB0PtHEYT72/O4OqB3phYDmqwsEZtEE11Jnfbd
+F+kfdly47iy7RcxgvPwCpDULFG27LL9wqihzXme+fV30ffeUxakFmKf3fXSURWhJBKJRCKHtQ6g
M+Ashidh+ffv1gD+Y6WqVEgQJ7QWVgWxlJQT299eHMihfDXKo3IFm2MC6zCOZKPWMnHpiUlA5idW
h0KaOQu509G0SPm/Y8yYhmSjgqjos640cHryHlB1Ft5EHVG2sp1v20P+UXLE3eoNKSkVKQ1gUqHj
h+3zMcKml7Ao+RSAl6GtVylYiR/v/a3W8NOIM5DRRLcF2lCvd8ZqBKGJm1Q5iTN69dLaGTDhl6E/
67GYW2tGJIUH11Lwxg3GFiDGGinaop3V01QCYUfctJhumrVtlPD6ae8Igi/AvNGCH4FnCeNDDSGT
+yGR1FPeVm6sR17pm59Kg1mSNvvxeE13NgePOBDCASIWgypstRTvtzwDbYpxwk1JQvGjhCN9LOGO
taGBDT3RKB+i9gsygevdaSdVy+e2ME8G+vSyfVtN58aX4LUHizRxl2MIRPipRQM6LsaDBf4gzgfc
ahPdKfBAGHdZfBFbgYswBjnOamSdwubQdSLYPQ56jRRexOn/5chha2/j1AdN2IfWSQhj6kcx6dHr
K1ubPv31WKO30eyyIHB/Qpsop7PR5TiJcj31iXUqrcMkb5EoID4Ad7v8pxRIGwykPz2Wdzvvu5jH
8gDHkAZmxAxmBwtdyxMA7AgnLWyBdyuvG2krFoNXmyKGtHsKIBzghWFm/GDN5zkNSSP8KQcFgQzQ
Y9BCG/3nYd31By1b8c0VW2YrG6loCif5XKVEeNNasvFbGlzybX+oD4L7WAF3FI5uLiDwoAoPSgxW
4QrwxZfieOgZhWDPws+kU9a1UDmRD2KVAS143FbuG1uCIEw0IiRA6Aj+1SWP8G2BpjYEvhxUC9nH
szWBQEUIkHLuDeFzAHP649Xdl7X4NDyNYFDytay27uosNAf92JnatI2a5sVswBZYV7XhxpqScpS5
OK+rV+EC6YIhAfTKIy7Ga+BaXF2CE7etNaDh93bZgVJAX/V1/6zq/qveJzxpNwmXZVZ4mQlBaRLt
rCLjSoOyVNsGKDXHznjTjR99Fey0mrRGBWh0pK5Uk6odT6G3K4RMxFY4oaivYR+vV5jWfoF0DCAv
6n4GDm7VeogtV3XvI/GcThrVLAyZPd7D2yO6rBOHYhkwQ22J9eNDkktll7TmsaoBAQ2Z68LQm1UR
iNIavR07pfPjfZgI7Sop8vcCKQcKGLqSaOGsPxdWBVrIxkM3kn/y9Tm1q54LD3ZzSaso9eEuW/Yd
uIZsy4wxCFYE9B3zGAstpoEBSRZ0GWAKsmeOKpQbA4MgoJAjsoW7ApzEtfozQepBghoAif+A9b7O
7Qp41T0YddsXjMSQ6Fn5nDbIKaotL+Nxc5liiQvuGh64mBQGIsO15Ka21LDvSoDwx+ngSjUGFzH1
Z3JixNsBBYjBUxrhId4NUCcT7mhWUPp1qlpHQ6z1jynocNdIoWq9GfLc/KraDE56GgLrbQZCRUU6
P0oCIsDXlO44DUAm6aLQSNfhXPSrrDYHHo/HPTWAQAd03uAKQTpw+ffvzitoxKxbqJ3qOZj34L4q
SChPw4qzz3fE6LgBMZeApmEUOhg16AVwKBrZx5C50Za7GcG/RaQ6QV8NuGSJPuvFKjEm01GTQTtK
Clqlc70MaDtknSOYseGUnZyCbDnhYT/e+Bw0di5A2Et2ccFrYzxcU41lIsZJdspkOT2rUSitAj9t
z34gNTSMMOuIySBgeJrVhLksIGM8VszNQfsSD7bThWcS7ces+kNgVHdliDEkI7PsvBcjJ5n9CEnN
6j9uh9ThbUxEjhqKvzKoYa53eqqiFFBgZuiBHGb4k2YI8PtIqtdTk4oYnwm7n4+XdvtYhsBFucvY
wPJsZV7kiZ5rXRoFkac3v9XxMoBjGQCbbvRSyiBsCyvXF6ig8nDIbm5IUB7DZcHIMI0BD8tYWhCC
yK1KzMjLFbVey5UcuPXcqk6iNyWJppzHQnETbzDymBt5AKNciWc7VmnsquEJvKQJhkA05GhpBlK1
xzr9eupfXciQhqgGTc+Y7QC6Aeu12jZMG2SivYGCHG5tOand2wDwtU07tYETChBzgboDiqLv8u/M
6ySq5XTgtUUvUpivWKAxRYSzmMoFCfy1KQkSyCc7DEh7mYakXA563rgHTIqq/QKW6q8kDExOHHJn
UxHSGctkzzJIyB4TuVNVoerS1FOivTSDsnv2XqaGBzh0z2KvxDDOQKoaFUxDWQrihGCFqTAjD3ZS
EK2KxCkCn6aofneKuS4lk/PsvvFCCOe+r4+JQsAMlo5GIiSeCHJ5bdzF6akagaTnoQZFAMqvx6Xz
2JLubeF3iYwhDULSqjicqVdPR8GqbZCJBgehdGtwzT+WdGfvkNEGkzxS+gYer4xSDQEskHIkZ55a
I6HeR6sselWy4TjLjf1Y0p39wyUDaNEFSAgxFgtSYdax1c5yUnhTYQC7TKPQYzRSUHzFWQyGI5pj
mkiLMRTHEbwY/PWBQBcz+rRQs8CwG9zP9YEY6iKSB2MGZE/TflQjnWbSIG1vuXLotNlGSitSiysp
Stc6F03vVr/XspmdtNIWaGCiBNnjcwiYwDRfZ11Apx+cNd60K2HiBw/YxVA1VAxZnOs8LlozTqrC
EySv0QBS2wSr0d/H1g4ZY+REgZTgacLvx1K/HuK3mv0rdTk53+KTaYpGIy+Kwuvh4JKX+ln7lZzj
U79TbaDU0mKFrup94Yo7jO6epn15jJ10NXvik/w0rVpX2/CO6q2/v1LDlw1++6BsSR20XVN4UivY
AnB5tFGlWb2RRBCtzDUFy+j7Yx3cOodricyNVodjHIgzFN8350CEm58PeeNWkR0NR/ATYtRi9Vjg
TVCCKA29KDhES8IeMCDXOm+zMu8RsRQesIFoLwl2YMrrLOcw9dyTgssDf3CnIRO4PA2+KdJqKtOq
irn0FJ8gyhI+uP07t9msJdyEvYIkEukstDBei/CDMcdzPaw8wQd6EooQvT2AUJUoSqM4bYW/a8ZE
tIsR1KupMmY/MO+T0SYwys1jjd45o6hoAsQCs95fj6rrD8knP0LUopVepA54ry1sp1vMkgAingdY
cUeryA6gfgzgbNTJTWbvihKFWqTlSq/oJpKLo1ejDy3G4MjjBS2aY44l3k7oFMZ9jJQHOyNiqVmi
zX1WeWae9m4VigCq7mYeh/gdy8fAKYqywK1DTpCV0oRzldTRVHkoW7uaP2wBVXGOd0I0vUuC+XNK
51UVcE7bbe0TQcZ3octHfbPLcAimrjCbypuEYpPEr1WNrFi9zYSe5PVIDK1DI/hmLGkuCC9BHXmP
NXtvAzFkC5NFTQE97syx6GVjDLNeqjy/1dxubGnfd04rFJy78q6YJceC1DiKVuyN5c/IaVmlWnmh
gIJuhT47oTXdqdT/PF7OHXeJzuW/cpjbyQwjbUC/Q+VpxkauagzDX6QckO37Ij1hLp/T3rX8GmuW
5gI1twynYt6N2bug67Ik1OraG5u8PatFrL92RWJRVA1BR1XIpRNLMQ/k7p6bQdMEHhzLpOAtfJSR
ItVaqVntaXG4Flsc7opo0m/kVhPlCehceF91c74SUh525R3lAu8bZVU0KKHyqTHKldCiYJZARfJm
rQCPonnpK7Owxzw5axhojVrToJaASujjLb09+0txQIZQvEOQQ1lM69sBSdCEkKVC03iTUaNjQkrD
10bX4/NjKXeCuYUmFQGdhuwEUrmMJ8urTBSiTMXisilZN+Gkb7XKimxF0AJA8YjNU1EN42ssdJjf
1jvBTfD+XXM+Yrlbrw0KH4H8EIjrwAGAytj1WvXEbJNUshpPqSuZgPscObfa+ikBTngzT+hsNPoF
P8TXMlqkXeGkQW0hGxv/xwOcSwoJ2Um8plGbQcvW9XcUDaDqkTRpvA6ZCAfNI+16jrOKc/Hf29nv
UphIozdrFK0iJBcBQTs4eLMAdG1qWuexUm8P6bIWXLwL5xmAGhgpPqa5myiDTqWu2imtHwPKSf8d
y+EqCAKNhnrHafG59XUQCEAMiETHNs7LtfLkKsoUwYJATZzAbR5Kv2XJLzCyXhscr3p7z+NBrOMN
IKNxaelGuJaEDKeBEca69Zr6Tz++KiDazF5qn+NT7yjwSsryGvl2AHNkfkelKloPqTswlAChkISg
KgbKIYB4czXBWEhu8ABrWNtAOIKiMEpLuI+BKM9m8KYaE39Wp9Ue+mYGWpZVjQR5qHIewje+lBXD
rE1uy3weKxMN7WYDLCiAIYEXe/jHB4mo3JyN8J9pajaYdCn+Qxth5TLX7jyUY4pUce1Z+usQr9rp
ZYxfH9v94iu++5IvEYsOEYmi1MA6tEBFZThtgsYzkg+5Afk82knBxe5gnAVY3piuUTUC3maOt/5i
lGbFwnOgWWXBOEDK+9paqjmry9Kf4K5VNz5FL/K7fokO/dbf558GDbYFMkZgpafNJg228chxKayt
yhjMgNtChRzJoqWscy19Atug7/soq0Qp0X7nQ7iJTd2uJM3WVYsTOt10nrPCGG9dpqEcZoHUelaK
JJIrAikAVH75hLGzHmRbZBaSaTuO8E5rNR8N3RHkvAlp29XACNUMzY9WvmT1y/R6Kadrv2oMk6ZJ
hOk4PQJht132jTivZT1Fn49S6k1Kq7mfPx/bCetEsAo0gGKn0NWIqgiLmoV3ZaC36dx7ytTHKwHl
n1UyhTsMIcVrf6pz3h13Z4uWg42rFsk8dDAwRy4qi0HJ0nTwMBkoH6KsFV6aKTM2ejSEji/0DdxL
OSOxKDY9VZJSsMtSAY6vHvcUzzuZFrO8jssSuUZBkDcxhCH0yrgTN2wCAnpZABl1TNkjyoIrvzal
QJjUEdDFgxd3vkV0udhpVt28p7NU71MlVsiINKFT6UW0wdCOtK1BUMJpjLw9wkv311JeR/sXblnG
v+dDrpRFIQ9eNKjDFmmfowAohTe1LlsnEsbi1EX+ixEoR6nseXjsX6XI64O8lJDg+ZFNx6uWbX5P
5SlFHV0ZvTiQq1Od+qOrycqE8lE4U8QoopsoGAnsJKHfWzPIdvWsD9do8y6dLCiHn3Ea58ekVWQa
DwLgOVNtQAIDjG/K2BgkGUDfmIYV/GxZG1uQ5FVAbeqTI+APB9paqk/wIALIbOFrVBenJz2aLbcX
+2At9PpzXVQ9xcCnIyA+JEPWgoUqzwvOs/PO9YBqLOB7Ad28xPhsA14eJHUaitHohdavrpDtYAIZ
a/gKGq21mcje6KMbS3YRCD7jCx8fyzvH5Eo0c0OgSAw+mgmsurmsHbXEf6516W20kmPTbxMBKffH
4m7i38XcUXpf5t5REQc2/bW5NyWw70YxHT0pjsFKptoxQH3RIUtTWSGF0FKlLTZCibaVQHU5sm8v
+2vZjJ2red8ZtZGPXm9MYBerMJgzy3afrjrhZ+YbVLZ8e8qB36E2yWqIXEM0KVqmlZTX+nhP6V+v
G6DRYrKEDd2sWJz7aqyx33FHMIUqIg7oMdM3NZ/ouOAEH/dWjSsKH4sMAIrSjMaNyWqUpp9xwGIB
tUdfk9ZabdX/uR0B5nHJ0Sh4P2FW5npfTSXMLDM2R0/PtHMfgnlXxYDgH9UC9MsLZx/vqA9FOBVN
nfBX8J3Lv3+LFAsjaFFE0icvaqt1FGqkNl+raaNiMGcaBCJZ81ZrrFMODsEQdWesdbJCUhjrxvid
o/E7r9PV409iY3H4bjxUkXRAEQuJOVbH01j7WllFsxf4Kl6n3dgANRftx9GEi/ixqNvtXPolMU+B
xePyZl/HFug8lXzOZg88rgOJEPw7fqHk9mMpd4IOXEVwR8C+QaM8kgCMjnstF4Kolrwk6FsnTaN2
U4pqQUpTHVbDJMjnCYV7gEIHgRtUimFjJt6wga5r2lo/9ysp9Y19YhW5G4RZdWiLVFoZ4mDQsO7A
HhlKnXK2AOTLCXjvxIVIlMC1aEj1YsqCxdboy3QyezNWvCnIbGQsVCe0O+tT7Yheuhrg1yYaE3AM
AgYjsgGwmL/Ny7mrSclLJt5xddefsuzkNzNFXdwQtAyfom91mruh7dU/wS7rVrxQZwllrq9QcH0g
jkZTxsJ5z8KjKNaQDJKSKx6uP5I51VayY/e3svV3OU2eHxvGHUuHLLz44EoBdcuOM8xdIQa6BFkt
4vu8fAWham3x2pduY8Uv8pKlpRbmh+aga80BIrUPmzhTvDp5AX6fG0+Nkw4glAx5qlvc0o3qEM5p
4A5figKMpEhRKrPVC8VL33VhbTjVaopXee0ipyZs54IOa00iGQ9s+s4ZRh5UxkASesKWdOj1+uIh
gpFGs+bVmr6dqkmlmpZYzn+8U/DDC/vn0qVjsojnijxE6pjUptdKfW0bSZuSqa73cxvxSOXv2ATs
7ovRBpBHiGSvl6PKfSqPgWx6sSZEtmZEra12amZbBWBtHi/qjuYwcSqiYR9QbxgnYy4zUWnaLIwN
0xMqVQeViWyCrXPkMaPdXdDiywFBiQ46VoohNEpbjoLpZY1Sb3pEoRFukS7+0YLS5Px4RTeyEPcu
3CzoN0AaBeWNa+UZQlCmZZRaXiOLxTnxg0JxBRmc6KTGcB4XSvRWHJplUNNVAF+8GAUTA0UYfzNL
wxAQ66fEAl2O5X8YygBq39XQZURJZm+qXBVz2npdkaD2V/grpxdQlgw43co3bR8mHDT6sZFWAmIg
Ekys3ZgS4t5eki8JsQ+HflORX5vLhlQ2Kcn7UaN0LdhnzsV245VZoYtH+OaVBbBcWXIBoeGmte1o
W39u17s/j/eU9V+sjMWKv8kYAcwdA2NBvtgfP3gei3X27G8vG/ztt6XWiBI/xW+7h3FzCjYx2dK1
73DE3PAlsGKYZ2kvyH6DS1a+vB40UpDTSDar396e0OP6eW1z9HVDVcFKYw5B6891bSybsrPfJPfj
MDydNk+/V46wOrZ0XK0pzwxk9hywEs1rNU5moifVokb7ILn1ZrY/QrrZbEi5dgh6NR2FvsTk+dPa
cJZ689ZjBTO+f1bFKRHrRXBv9z9mGPmw5q5uOcXfr7VrIZg6vF6dr///1e3SfUZs90LG9Sa2n7zf
PyaXUuH9j/3Y4u/vIEAIljHmBR2FOctmM3ZzrQvy5a21D25DTk+h/bT6TRxwylGfbM/2K68n/r6N
fpPJHOVuGnLfj335km/EeXWc9u8mOTrgfTpt6UCen0XyvH59vM6bLucvzX6TyRztKB1GBaR+2L5w
cyh7OhP1j7Qt/sBY1oF9PvP6G+/7q28CmfOOxgsofbbky0ADlci2vfbpn5hzrd49Dd+EMKcdT4oB
1waEqFT0/Kf/VmnM8TYKoCCj71++lDascblPLuOvKd6v09X6hdYv55TyRC7n9+YEfFsRc75RNBCi
FiOBlwklLNLNb78pzQ/G5rze0rp0z1xrXNbwSCBzrhMLfDtyFCgXW/+z/nyVNhzD42zRzQzbPNWq
GMHwdgeBNLTAn9W7bG9DsrZ55nCDXcNYOVvMqpNAxCsOp3nBMj1k5HA6nS6bJ33zj+cR6vz8CbHb
gdh/EvJ4mbwzzcaSoRACWESC5N3baB9C6m42Htmb5D2glP7hWMnNK5ddJ+NBpKZrRk3EpoX7nf3x
0dCAjMTTL6iUELo+/wl+cVV71zX/NUy2YbmulaLoUf6+7HYu7tX+ObWbVWjLaKD/xBjsbp08TySw
4xX3UuBZEONJarNQUrym5Evrvh4OoXdI1q4bkM2Taq/2xmpPJSrbNV3/4US4nJPBNmUESaIXSYaj
+OsSkYC0nOw1dxMZ76JG4CLKl6vnYI+2687kaeURx3G2z5/cSOWmj4a1GMavGCaQE/IBFrP7aM4W
LTw7sNecGOFfDgGiRKR6AG7DDijNEfo5FClRsKIPN7VnGOXGw126RVGZntfnMxdvbLm2br3XX4nM
BSA17ShNi8RduvnoN2pOEXj1h4mszx3nrvmXUOGvLGa/6qgLRglUWpeMvNofkn1xn+BZfq8ITZ2X
5/P5D0edX6WlR4tj9sxXpRxp1Riu2f7VPZ1mkoGTlwD9YCQz2RB5Q/ZkdH5Gb9v1M9AOP9Ftel6e
Hmsk2QjuKE6O6v7V9Hf9zE1hDaUqJQ3WbyfraSDZJnu207fHfvRf7PR/hLBP2LbK/axvsWbUEMof
Wu2S9ct2/dqR/24xX6b87Tliyp3RzgUWgw7WCwUTO+EBFt2gif3fI/d3KUxoWap1AAqyULm82ic9
dgZ7u7UHsu4HwjGU+7E5CjH/79yxkARZmodzmUNpKPPgz9vg4I0lDbbNuXe4u7Mcx29aA7ZGG4cl
BO2E5/DZ7xyfrIPncySSHUfUv1zlf9fEeH00AMhJFC/Gf3gTKTAtKZZVkA/R+che0l1wOZcIlilN
j+/0Oeb5Zo5fYSsdQ2dmvthEy9F7cz/czeXLl60IcfBsfcF9hz82x/Tv33N/V8z4l94A3IyxyOzo
q75tVPu4RbgieLs/YP98LOtf7p6/shjXUkxdFSclbHO3m+jBFYjrblY9WTl4QG7xUH4sjuM52Dny
AXAtU2xBmh2iu/jcvq4/eSvimSY7Q45+sU4OxGVFGhm2h8Fp6KXcpTVacHi+gyuLSUZphQjOb2k5
2QdXBxc7hf91hQvvDcW7TxXGg0ytr5f61y69AVZ5dfj4RS7E+/H+Ptg/8QDn7BJ3WUxUaU15FurJ
YvQSQjwTb0Ma2Sm1OXGVfD+w+h/jY3tgOitMc/HrInk7lJuPXwLBGx8BHTGcFTEJig0vQHilE0HI
wHH7d0Uvs8VoYgbZFlvu0xT4YxDdK3ggNM58tnec31/uwJsr+9vvL37lm4PUlVHJmilFYG7hBaIR
YLaJf6YNb6eWPMgjMYxzVOGDgZOFZbwiGDYOR2d5XD8+szdYw1/X17elMKFVb0Z+k1hYCmASXTiJ
gxsB+tOM7OQSH8JVaY/efymRcYAjeNiDPMuXzZFXrf1mESshI8WLZs27Xm4mgdnVMQ4w6loDFN+Z
cqnd2l52atzXqf3yvD5/8rKqX60wj3aLCZzMOcgGVYUmO8ixUVDT9w6O75m3KI7xfaVkvhkfyrvq
rOpYE/i9msvz50CCX5wt4hgem4bXytwYMHi+GJ5Kq5eepBOtTJfrzZdz8kBlX67q+1KSajDjAHKm
1e5NX31kW2Ek+XG9rnhKux88/bXzrzDumyjLrDM00WB3DodYJKWDqAKokrhyuXk/nvIY55D6QpV1
JiRVzpt9ct2RPOW73ylxEOHS3SsPwvD+9fFtZYyXmBvMFfQllKiQjLwhvbl5ejKo1xJv/75OqUm5
27ZcSI+2jfEZSTWPrZ9CYvSqC6uROuv12bpkPxLyv7sbvy2OcRZFGgQxQBgXZ4GI1yBY3Wb1pC5V
GIdu4TE4t5Z0N4j5JpDxGFXhR5OgQ6C40j92h5O7QQvjsflN15/n8/9Ck8t0H5ApwO274AsttvTN
KtHH7mvo/0Y4kyXr2TWIel4aVOVtm9nmD86pvnUc18KYeGZAP2YvJRVO9e4N6SskdjarlXVGzQT/
cW7IO5noa2FMUGMJfZWhPw3CkOIk874OSWhviHNsuqUkxBO3mNy1SV6LY4IaDBEDS2SAuKbet/ZE
5W1FClrZxmEfUfmijXjDUM79zJPJHPRAzackjmrlYkn7LHcKVSKD+FxZHDFcVTIHPMyjLB0lrM1+
w8toACey04DtPnee1+tZ4Ia9t/7rWpXM6ZZiwZKGDsvavR1EneQ/xT0O2mNb5Jkic6zzuo+CIe/g
IwfbfQup6okdbSknl3Pn+r9eCnOYp3os0BWFpQx0J9IEexSQjE7gdEbHJgIOnhUuVvbICpkQwDDj
VhcayLOV06G+JAKZD8iHcb0Ux/LYV9A0g2e5lr+2KPunfuEZ3K0PvFIb2/RaIsSY9Qq7A+bvNxgB
DjAip99vva06WfjEG+BYNvuB1tj3D6ZE5LlctHZ4jX6GLpo9eU6dsy8sGmYfJA3Qf7Cg6fy2iy+Y
B9UFN30tkVjYcSz7TkB9rTzGKwhaZGSzCVmvB1sgB+JvevR00eeB8FLmd4pv16IYx2CEcqubPhQn
WCRuSeeFkMPLBt3JT15LYfxBmBUqwOkg5fXw1r1+TI4F2M1tZ9f68nB8dqhO3lNCjsL77rATToed
TasT6sao/Py39yXbpg+w2MEAlTZ8U6STbvVPskGfl7Pm92HwLIbxHImYmt084WIeKGqCQ7xB36RB
c53Y1OYcN44vZNutOvDJNS3oiy8a2WHYgZj76XfyzHNNnEPG9oDODaAihmExS40cbHNlkY+P04Ws
VmC9DMnrY/fOOwQqE2rktR8mooh9ehsDBx2wexvQ4QDydZbu2wO/7rEcqgcuhB2naGRQoYUFdHiw
T2G13aOaalAbUB52x0vg3SkQXJ0HdTGdbzGbWMmNmC6axKXifyDkLoh72qCsE2yizR69QdzbkneP
qYxPMTq/DaoBy7Phjk8Hkh2GDeWGvjwTYdxJ0FSm386Q0lFMfU8ESa82I0R40VbwlCg08NwyJ9JQ
Gc/STJOV9gqsZD69mucKpaqOmwq68/C73i4m1KjDovWHoVkC+jd7RsZrtP3VIQmdxybPUx7jMOZc
DtrBWrxkRuZdzvl1nqtnZ2KzMqzFvscqstdCJ+Y2KmljbtSIFK71bvHuMM7GsAhxedNMllZ/6ay3
xVdAqvzpZAJYyzWv4MwzbXa6JzZTA7PAEGUfENxKtisegLPxjpuMlxT8Aix64CRYBKVuqiNMzUOU
jp6BN70G84tFTqhyNQTEZeLzwquwqnB8P7nPIZ7TYBu/q1xvlAnsZRcFZY6DKzvo5wJvkZ0dDMda
oZ+RyuSFdrS08wPHGXPuF5YjRM6TLsmWqyxtHXWmF4Gm6IKfea8h7k4y7kPyEZJ2NeRMy0ELbTy/
Uhc5S4RYnBXdSbVdnWmWok0CYH+mjKWCjp1XIOKS7kk7zh9ItgUovXETbndKfNfiGBci9yNes8sD
DE0Rh/KXSZZgbsetci/u7pF9Mi7ENNQsEzWIGejrm3FybdkZOgfFqNlx1gBWeuyw7mQ6rlfFPFZq
GZjj+vJkfkUTOWKPuSTiaqD2KDlJvaYkJuu1YfOgfHj+mB2xClI16yd5UWbYk9KnFBzB9mfg8qLj
+w4ZFDwKZrrQY8ikVpJijOshmRAcdzQViXBWG8oLqpYw5nbH/spgwpzekropbIfFee3GHw5SHOST
V0e5mRkxgXENKJb/WQiTSanMrB5nH0Leli7Qhm4yiqajIzqOtvlq/b98v/wVx4Q3RjIoYjMhCtgd
3g7ZgTY2fUYakaO6xRk80hwT0eh6ruhzhUW9liLxA24AepuivFYa44z6VjYTqcbvJ+T1oNjS8Yg3
2JrboXX/yP5V1vLv32LBquhBKDt+GQB4K9x5d3DxH5pM2z8WzY9VRIY9BZ0hoaZLP3l8rP8SFfwV
zzimych8te4g3j256IB2OpubXeZtFOOUorzSQ1VbVviGCxqNyKfLBU1vwcpBEzzaSreflv3JMY77
DhfwUYD4x/G9Qd4QEnVoW2PGkygk8T45pu/iP+qp2+ROUhD/GbByG44zvBPxYEQaSIfArMDgkMUs
c9QyK/D7WbxMfjM7yG0H70HSgoIyLkXU+OZI3hemNa0jSw7sAlOyR8RINWfk4I6uMVSk68vg3EK6
xJx09IlJyzS3eCmbc5wGRMkds/jxeKV3XkpLC8lCKmGBNptFADMAyS0WTSVfxuQCfFQSdTw4iS8s
GuZsQ4SJOQ5RB7rrVyz07VCYGiYMADskI6xPyFu6Qdb+I6jpKUWNMTieNtLuSaCrfL3/oZPBLglW
KrvdvtkfnZd+9cwxprsLBp4aKMcV+IQbRNQCZOoYq0TzcIiUgVLZWqOSxzq9F49oIiY+FwgwMJGz
+OdpBiymoA0Q3bX0bbZjcDYaZCgx302QqN2ih36Mbf3IA0G6Yy9ABQSKM9CUDUPRmBs8MDGF3NUy
xKqYTu7X/djQjhuh30mFYG4W8z8Y4LPEGyaUduzToCoseIBT9dH/8PfCdvupxETzbI4aeZKYSyEB
qPtchpBUuzuDxBfLSSQ7sde7jpi0dh9Lu/ccwITIwgKJWUcJdL/XvrtIKxUBAjwbuCrIocqdXiZz
gMSIgi6Zp56qmLRo5qNwGHXSr15Q4rI5pnkvs4+OFbA1A60ae8Ru4BSMY636AkLmrXz8Na7biERr
BOiGuMo2NHJzas+ngfe6u3M3QirwTTFCi+mmmyeXJrbzJGbqBdNjsbXuBp2K+6Sh8VO5svR9N9HO
IPJ/THOBOAa6xrgabHVB7mL0LQ5JJhiA+rggMe70O1C6bUC29ePM8+VffUaM/wHUBIbjgEsKEDt2
Zi0TYj0fKwWC7GmidvVTXPoL6teUnPRNgKZKgWQ/e/yfcpBC+iOOUCdStsDSJGvTIJLHu0PvRdpX
H8RcLrFk5W0qyNalcYLjIXWjbUM/AOFAjCOo53vAZxYhOfM6E5dffaQGRt/+EPpaAIyYS4rxwKdk
j4P0zDGlOzH2t4XpbIwtdSrAEkA8c5mAHR7aUbobd+om0l4fH9V7/vVKDhNnm50F/OUAcnbxpnMm
i/aDax1V0lyok+Y2VSqyjQvOA2nRz7/rD+xT1/4hbtUs6DASeYHM2bE60gO10v/Zjugj1S6cFT7e
LGBtXAsDxoamVqW+2Ky8HX4q9tCQ2M2oppPjVqGO/lbY3DQtTyjjb8MhFUBiDrWC/lZwRnrMacDx
6XcOI0CQLEUHzR9QXFR2ihKQdUJaDL51AVEXyVf5PhvteTXT4EU4tZv+h7ZqXmK8PDWAPB6ChOq5
myRgPqDdZn4qP0Cz0ZIkvQTayv/nsc5vVw/SRRG8JDrchA64u2uVi+0YZEUY+pe5svVm3xrZplCB
kN+jTThNXUPnqOLWniAPhBmgNQXUEObGr+WNuSi3RZX4lzfRuVxCAHeQN95lrS9bdm2010KYF4GO
lk+rBJHY5fXt9I/r7ky6Q67LlWypJ9m6WB1ce3fAGMJpg5nWYB2evPft1gmPP4/Ho7LNPLzGzzG6
87bbyKXb7TP9yUvefJXzHn3isi/fwsMgmgPdB5bLxUaH/a9fFrLnvV2gnflQkcvquEXT1LzdSnR2
1mgVALcbL1q7vf+gIw23kbmwgYB/8/oD5ijQ5Lr2fVQDZxeQQdp6Xg/v5UTSdXES3nk9LHe35K84
NuGRAW4mmWvLv6gmWB31t/9D2nftOIzs2n6RAOXwWqVgObbddqcXoaNyzvr6s9QXOGOrdaw9+w5m
BhMAU1VFsljk4qKULzwbZtzjzYKmvfQguKjStoGEwkxsDCx8ywkLnoWcatTbu68Z6Z4KusSO+AuO
np4jWPcwPFICUc6fsTh+nqldkibi2BWbgtpBpAefmCdiAXe0hTpdgJhZUp4ZRDNiCMSiAMED24l4
/vbs3DJyghJEUGc8KjgdgFLAc3KwUO/fW5IatQFOJfL4ft9R/CJVJyu9ETqxXDnxHE6sILTQYTUl
QVuS/+3otrl72Xxp+tdXutLbZoWBd+v1OqH0KMcEgzKP//4avF38xLhVDG5hqhzfISIRZKbrSPeP
7tF5sEn/khjys/jBnO8vfcZH3qx8YqvjYMY+yGvxnPjkLROIbBeuuRQFz9jjjZCJPboBX0YpRuGe
de3wJn+fhoh0Fopox/tr+Rus3OzeFGvllYnSFXwjnlXLO5wehDXzdV/AknJOu016P1McVoOE4cC+
VUgECTo6CmyLiPq2W7cvEaGXdsGbzXRQYFmywGPaBzi3MRLv1iLCPk6ZIeqxe2gVRw+Da5zL3Zkw
Y7Pg5mQp1KISfWQ3mMSVkJ/jElnIDMz7Vv7EIhmxA/8f+NhhHDEAiGMVx8zpGcHLzg7pw/PYY72/
PHprz0DWfOFMZ5Kjt9InpokILfGDEKtvXvx3eQ3L7FYAXMKpGw/P29Teg6jBW4IhzLm+mz2fGCLe
+vjf456PDai6eZBWZ1tm0Ad3UgwDoJL1T/8x7rir64tVrFlruTrviUkKfSkjnQHZgGO4KAU+RY82
GY6GET+8i9sAKWiq/Td4iNt9ntioKCiNMig45dIwE/0M52eJgGC+Kkv6PPMmhiSk4ECFj4wKSFRu
9VnW/CBxMWri3MB8PriNbUVkCyICA/UIX+/JEvpohufjVuAk9E59V6m4AQI3+u4NpUDo0EnVT7Ju
AWIKblcroUhALFZ7Zl3r1TondpsCrgBwP8QCX7LLTE60oz2//VLOm2P0NjY9LRVE5gKvm52dWKoC
ekJF6yCxphvdDFe51ay655Rqp2+gh6wKlab3y6XYhdhlzT5KB8VWjcgQ9wsOf958rpY+MVq+8iTO
i/EhIRAvOxPE7g5BY4jlb7dbYZ2RdaoDWcT+B3XYuVDpZg8mlpsHcsxJmBwKcPYT8Gzoq0gtzPdV
Cbs6LvZfzUT8N8Impio6QtOBvHRcZ/DQJOc6pRKIc1jMRTrI4cJzdSZpfqvHExPlGYFJs2yUNtAm
gR9kH1/XJWCOx7Eqqt+/65Y2cjqIV/IkxnWcAVazw/NCJQ0qbOjoGft5wBiy4OZnMO43a1O5W6eg
FipGKhRweuouX4PlhRAL3URoZkPbMU0MX1fshfX9LQjcSpy4odQLQz/EaFagsp52b6YV2qsFCbPx
yD9WoE78TjlUsRq1kJDpprRyCbc3jP0azx1EPkvJzvl78krYxNv4glQImDILr6qr65LwVD//xgcP
qm4xVrSKTQxW0bMFLZkPTq7ETlyOp8UBz4UQG5PNbodmEsRDpq3qhHySbavjqbdeuebXaqkZZ8nF
qBMXE2EqW9SnEPz0skFIYpocPEx6YQxifW4NvCrXj4ye0IgGdElXx3P781q4WvPExQRVVIKoFqIx
1e9BphxBxwIuky1gksa7QR+R6juq/8UT8NrVTAkR4x6z2MNRKDu2VOFszzE92ZZjWnseqKoF1V1a
4sTVBF4YaWINV7PZyC0tUCAeK9H/TXvEjRFqkxp+JYFO2FN58ey9eo/8l4waKvPaks1xSVF/4Y93
Dk2bOJhO4xiZDQXoi7eVDiDgNXa7+qnYcvqHndOuIqcT7sftnkcr/l4mCOe3hmK9OpiSPDJ/hB//
fzs8TZsFbssN9WivvMERHCcJqbVF165niKf7omagSbebPPFDVQLW9K7GJsNCGcK+m3ZHCMY8QV0v
nYUezePPkoksOFdt4o0a4L0iNpHwZsnM6CBVe9YGnmFFGV3T280jeHdcXXtltiBsv7/YX6TkvXOe
OKQgcKUiqrDYsCC6QliKgVInE8nJ2sodAnwvcMtjPQgoWdjRRt88rh7p6+szQpOBvu4BMbr/QTNI
2dvdnzgqT8wLL2NxC8i73Phg8HKxOasxKLInNfm6L2wpApxWRlQ2w0iPEvse/qSkNpBwM8GFZfsW
FxP+83VsV1S2SGboK/qOfDAc5f0PGHf33u5PAiLZC+ukD0Rcqh+fYbJwtjPIotutnHilUkiF1m1x
tgHMloCfzdi/G/cXsPBY4KYVjw78lB07wPNJ7sbMSTgQDC6kaCthUDZkSFtbeIRVp4AYubZiSXJZ
MJ1xh/7sINh1ZbA/YiDMdNgF69QuRkJoMNZkK32In2CNWpAwG5ZcSeBvQ62iFypgAiAh9I58vG1q
vWdAMk+e7u/kfAB5JWfidpjGUTxhgC6yFPVHw3p4fuboCL5ErLr0YJ9XjSthE4cTVyCQH59b5wqT
YrKD+tPEFw5Tj7vEKM/9pgagll1Qx9Fw753UxNNoat8kJYd99H9eyugpZda1unBU82/lq2VNnEfh
BaXDxSoqueRlpMEa+StOl8tIkrRwXEt6Nwlq2K5y5bLHBm78RB8wCHBQdX0xSl3SvYl/SPgwiDxO
GcPFF/QadSyJPjoD9Bi+/tOuNJAZPS3iEedlYngtOP7HIfUTr8EGGq4i0ZPQs6VHBzhCXEQ/7QaP
mNXXYsF/NJ6/SvG/wqaNW4XUMGkbBhJeFfpOj1RkBlVCwV2xKGn2itX+kcTdmnGu9hzvur6E1wUa
kTSSvizyOM6/OK9kTFxFX4C0WOKd3xTGW+MRgCcsnqxBThRZC/o3w1oB534la+Iu0qHi1N6BLG21
0wXgskze7oz4dV8vtYoL85b7z9ZNnAUgIUnO8gw8IA5pLE29HXa1kdl6Sc3z6XSyNJoZW2v7Wm/3
YLFY//yAIXCxz2QG3He74okD6TTHc50CiqmZydhF7thmbfObJRDhDNforZyJEwl9sa4Dx4UBbBod
I+nwQBtZOpIN8kGoHa3pY0KPR32JaGs+8rk60YlL4domcoQe63t62b0oZr0bjvvLqD508XU0571G
mA9GX2HUyp+ZlE3d5ILTRtK5XKMcmhK5R3qEefJt8QWBFoLNr41+/3obdWRq6Jg6qYDDEblRzE++
NT+XzbOiiAXpLMop4SWfdEswntEvTSUImgyUIOpvYNKeqIeUuE6qsOOaSMaRgtB37nvpDpsNd66F
THSjqb2IUZtUQn860d/K93DP0pdN/LN78YGTQqpH77f/Af3tnJu8FjtRDVFMZScbRrG7Svf8sfG/
RNezc65IqVsggzIquoZSft0/tNksybXcyf0jpvXAYNDe6DQVrPeXLAmcklvjAl67paBkTimvhU0v
nlStqiLOpPNQUzXfx856ePciS9OXGClmLe0fSX+C1qqUGofnx+18ARZaeA636+YC9sGlFc2m6a4F
TS6dBgNKvXoUFKISBAZhE/l0sPtaD+hiwISYZS6j8Qf/byMAju/WzAJRrcR6PLCQgIkQKG/687XM
QrG4gZPLp9CyJirxYIWYQn9RLQXlbgUwrmzjndyA6PrSTv42fd5b2OQOGgK3lgQeEpGrf9lJSFW/
MCs2J4Omy59UXz2NXLX9Gn9ZR3TaXi5rY6DPSQRQNgW9zdL3zF711yc78TYYRNA1vYDvQdXJjI3U
6k6NsRLaxWfB3IlijDh4m1AB0jAg4PZEC/DB1V3cQhCTkJ32woNO1nRRH3hcMva5wO9a0uRQRbDG
a0ENScMjwmcmogrBbCV4GsBA4U7HRDaBMi24mDmrv5Y6OViNx5SvLu+kc6CRPtRji62QOhseUO8Z
2bB4ZH+/luot429OlQmDg1UAkyXwuk+RTk2N/tGil6TzywsHuqUUgEfCEc+UND1b5YXuEENCJvZI
61XsgC+0txYWvfQBk0NtRAdhIi9KZ+Axnfc4M/lzs2I96sbvIkuBr03RSdDnluAvSJ69wK6XPjnk
oOgYBkMGpXNS6vkTKrTsq0a32xqpZ4QaRLGeKQtcpHccFmdJzYWR16InJ42ErCtHHkRnn7zRFWeR
t2VA3WsHOLhW51/VV02jrLMJgRaP1il6yhZ2fU7BlRFVjEPnMDxksnZWS7DwwVOQiAap12H3lJ7c
oxeRy6V99lDX/LovbxYJcC1vsuA4Rj9HrUAeZpghPvc4KusNcdAImD0Dzoz8d29uwcusbSUwl6aG
Z/Vo/VoJ/0VnmwbIIebq8bKkjVHYrQ9xWzYcyfuUc4S+JVYknnJsTWldjbWVftV+HI/iQADcWbKz
Gdu+kTsJH+JC8Rx0tyl4joOXGqQZLzlaWs8fA2ztJNri+TMB8+96eFtXuxVj/yiLvWJLXzCJKfKK
B70fjy9wV9Iz2pA/0NN6fHoR1y+bcv3lmv1q4dDn0jhjZwDGk0qYwoyendu97jPwasSAiZ3b8ME/
8zoKOv0mNsc0zrHceJb0el/Lfrk6Js7sRuBkiX2U+G7UMNAyYLu5mHr00On+im0M5hLb7+tHZ/+4
Noj39FtfAmgAkIEKhNUheggWPmW89CafIvJIR2CkLsakYU7g7drLVFE7rS2Zs+qaYRcTUTmrHwVj
Ff6DhD4lLlu3wms6KERqf+LUDOtj0Oq+1hGfzUjGv+fZTgoKEsAFRmACXYXBtvVJnBwalTadzUQ1
5dVzwey9wchB+/sdL+FF557V10v4rYtcgTH7LO2rTC6YM/dY/giVzWseKH9rbedwRnZk7NyhTX2+
v29zYeKN0EmY2A8y16pxzpwZVi8QO5nBF8MZ0mZAOGNSoh4ot2PPFxZYluMSGnPuWX0jfHIXRV6s
eJGGFSc1wMaPYcTq7oMsnPpMT3MM2mJOfLKQ9p5pAICJ/KMoU8qIXFBzsVMz5izxNC9NR6UcT7T6
u9l8gDJY+M4Lu/50yKeCYbQifGIecEuXwYKuihPnPEQMOt947Pk4ipKn36fDWJrMjI4x0EaKeRSr
hUMe9/HGOMZB0wJartAxhO6rKdxOrVWWYYvOObsqNXfpPnsUjcBUFBKhXrg3aGMA0UPjw4JR/mrs
PbkT5SoyNZA8HnJLzq6ei407QktOJRVWSKTo5x2LglpkEqs0rXOim5ZrBQifA89+jAxNBngzsSIq
PNzfjb8J6N/dQLcNNgLkTFM3KbFpJ8sO75zzJ8wcVMuQNB8oPn3ksV5ojww7DoBbiH3+avpE5sQ9
qU3lJJ4oAGitfAob7SjR9WWJ8upvSelWyJ+MZgruUHTeOWckyeIVLj2FvGwyvfEM+SG00GyjPiiO
IfWEBS2QiRsYRb4f0Ejww7/W8PFLAK3H+EGMrMW/3HpjLe8x6CuRsVzBQcH/8HEYCaWDUk8cdNis
vW5B0/5m3ycCJ/vL5lLhxY3knLtiVVUAWzdf9U7ZDUax38dnuGzTR3aQXy3I/Rtn3cqdztpImixx
sOPOeRP+bF7CfYqpel5CwjfHfA79ESwHlMH4etEejo/R8fG4oMuzlv3PRisTC1MjTEsUStU5pxJh
S1KxpDKYY/yAqAYO+76wv/0j42LRrypyGP7AKVMgR+3WWsWKHnPeiJZzDB6SrWP0JDCAaaLiGjTh
wJliKIZrDegHeo2bsT6PXq7Hn/vf8TfOmXzHJKbk0FGXphzjgE7ACnOM6zT4LQ11X/fNn8CocvKz
kY37Mv820k5kTjRa9RiO41WXOetRCkbZbmtGn2fTD8nZ3pH2TRTIu2yu+M26fz6uVpGhvL/3+vsF
Ue5SZDuq8tSpKhjOCrg/N74nJreH5uZuiXHmDPiVzCcXScDh3By8l3gv0nCtWu2u5cg6Mko8JcWV
tq7egnVB1zlH9KWutlmvdv0pk0xEL3QF49T4lDJaSdVzx1JJ2LSPLkeCDt32jH3/ELhxaZOlY0oh
uocxvZKT0Ohw61Yyta0wfghWjjil3sOPGh0GXaAm5aFA9HVf2J8Xm4YxQ7gtFQzchtBpQBmzSpxq
MpRMqmgPfrpkw6johdpr5/ty/iY6fwWhQxKj7QSc6mRRGLJYF7kSICAhenyq35oQ6VX5IP2883pk
NJcVUv7KIpnA3yzSrdgpaLAJlRQpz5BBflUPsZdiQLa5KZsI2pdGLM05Do3HGEsNY4UxZ31KCRZ2
rZYGKWQ1I7bj2KxMYdVewrfz6C8IwDwY/WU8is/pAfUqwGo+YDbtpqZL+OK5q//mQ4RbBUrVXKnT
BB+Sy0TcB9padgyeduqxVj4rGtckaxfmGvzNHo77fLX2ibmGWc92QwiRT5tdp2dfpvn2tttsNqsM
bHblIYEVy/TQf5/LnNQXIz5zY1Ygf8X1nCwnaWctCOU0URIElJp+3dzVG4Pj0hAFGIk5R65RZ+Cv
2rDuIauIp5m1ZqkRlbu9/6p1tG2sUjMXVH10kn/sF1cI0qUATaD/+Hb7MU9R9Oq6hRNViLNL0KPk
UzfQW5MHp+9XOs4EWaI4n10wjgDzK8GCIPy6lKsFJwEThmmtMOeUOzTYWjZdGpT5t9UEPy9p42B6
FfkNSZ54QS5z3K6va+/Cq3uADGgc2EJ4zJgXWQT5bWIyNDZk0AE47lMivKobYaDY4D5bS/xGCoxB
cxaizVl7Qz+5IqCzHJQEvy7natEYQV2kPjAdl4E5epXd5UexvXTdc4nsXoZZ6pTPn/i+IkL50vB6
MChGM5DhKWjfFYU26FFW3FQXBpJF30xLfc2nQ2q28k4R9AYYQ79aihf/5OfGE9IkjOpGbyrmEk/C
GFfJHDHyG/cimIqDWQjRi6ggYKwSMtRETKkqGElh5S7t8USLHyJ3IaT4DUinmglCBUnGHGEQREwx
h0rVxmWUS94lTlDDe1DBwK8jjkvs9r0S9fZ9APO0Xj4N2Y7LX6sMRBkymOWVjzSlgK4EeaBLZgyW
AlOtaC2MuU3RSJn34ZRfYo1yLmHlk6gR32h6g5WMWDFZgXKWs9VUqpldaMvP2UCHvW/XDkEHOqfp
6dqTTQcd6l8OEhHnaudQjBwKMHmVIbWve+8tZn85X/dNdNZdaYImqoA0jVo9ia28snYk1pG9CxNQ
75CT4IWn6tqjkW6CEZ7CgHQDeMSEPBxEPVqFupGd1qH5rryvFFvSK1Nbte5iemfmksSQXRYsJuOb
DVwmE8cd856ouL0IGxt2XEb8gWYPtcISqXBXeb5rdn5MmYikj2qqJ8xKch6LjjSnSqa1uGRdf10K
voXHFEKEwcjiT8PgHlWuZOgD/1KhMzmze06P3nHC+bcUmH3YkSw8Fy7lOZ2R1mMc1JIyaEiPkoLr
G3xkMrYm0SQ0uOa5ZZaiwz9YE4wGHv+ALSFuQTX61sXGWZCHaRv7F89mXjwzdR7KYMX+lHh6752c
ZGiqTknIfA7fcfgWsDstQLMAu+L/NQh6/A5xnK6OqfB4BE7i5bTr5KJqC/8S9Q/aI8xH2sYXlBnq
/sjUPlh8zOJbRgZ+0FnVyh+VZuHenXmZgWgGFRZuvOYwGW2yET4TDwXnMcElB8CgoeVAU4Wm36Xz
nBpMv2lzMIpsG1LUe4SrTHHqUjN3jVYl6Yd7CKWdwyDsM8vgEJyqgkoLSYi/Qfzt1406duWhi84r
B2H8ugrtuh4NfFxMcMHDTktPDkuaSr9v1zMPZAU3AioQAiYpjxwytwLzYqj7avDiS8BvM8zDeGcd
ow70nN2kO8cx4WL8M1usOIF4lzSgAyY6LyEY/iY4McOcFYCNl1hUwLhpGOgkRcA2QphcaivBtJsH
5xUQL3hXvX2u7ejCLg2HnzHUG3kTFYjlrOqcAPIS9kfDdQfk5P1d/RvPjAsSEbsjkpKladtIFyec
4mpJcgF7pYuBwD/tx3/Qnfb3jX8rZaIrnIOuStktkkuj2vWx2whmtdHWSFa7xSrVxQ1TL9jOqAu3
lyF4PjVVwRAEIFr4aVIBeI+KEQQvvTjFT+WZXfXUpNv7OzfzdLyVMQkFU3+cjZtDRma/VDxhg418
Zix2U/SoSt2XNXdKIh5XcNeKKClThLujxS5fNVV6QSxR9wayXQl4x0uDe2IWOwnnzupa1sTMsiYP
Imko04vy2RbwO4TdeN42DJ6Y6iC/lDUtGzNKjfsLnMmzIvBEfCuj8x+30i8TxZU3CepcSDRfyS5e
Q5sBAYTyEiZ2w5gYO+wJ26bU49BgH4SfPBoI8tlVeHbrFXN0tS0jvflcQHiO5O5KBRyrJVKg8zGN
kpWivFTMU13aQ2mopd34yLase0QmaNHrEScGNK0fnaVc6V/tQ44Sl9doVginp+/hLBEaz2/b/OL5
uiS9pclOrBceIn+9L0Qgh4AMgszjxT2Go1f7FSWlwzjakF/A9k267rEAzMA/sa206u3kKJ/uH8/f
koOmguBNkMEuhbgBmYtbcUDDCT3LlvkFydCmJgpHG9srLK/ey3apFyfuJKExWwtDxJtfcm4xS8Y2
Orpbg8YHwJo1ZO8Qr0xpL4IgbmPO77DeDmA7UKK5SP8DOdySZueUVHuoV5m4cOP85fQaV30ldBLT
K13LAr0JobvuzF8+zI/gMRr0aMOBcWZdobHDNKhigeTkUbJp0Kzub/rcEWvjawJ2j7ljU6PPysYR
uLbKL9KgZw5pO9UKO6CKNU1P3v2KSiVL70v8ZWL+s8syj0WD0YQDb+DtMUeaUDl53WNGky50Zoq6
YpJwhOMN9Sd/qkFVlBPNSBjqsHqUGJxv1ilpRTqcgLMh/qaXaYLK23seIIfL9zoiswitRgWGBnm0
iOjg0vKh+04y2gEyUtsZ2G99Wg+7zlsV8Ur+4EvaMKs8MzK8TRaZs/7OHsBDciSdw8IUkLRNlYjr
eF8dGqm4eAJhq4hGxXMQUzc3i7CnQvvmpxbrPGmeGb720qkTdbF9FL5RZJIkkPbTRAODmymohhav
ApR3SgCuC7sBjIrXWTxFUQpTVlqne8qm5vRUM/EfJeSz7x/Sb/Pd5JBuVjHRSi6PMpmV5OKClnZf
0xUAjpSdAFauYVv+DB9AS6AE5FjJN2aBu6+DageBySmW01NFXZUBDYc1z1q93st6UK3axNKGh4jd
ioyRZmbhUO8kCYf0QXnzT0Jm+MKz22KiJArLveEexM/KMZR0ixmJznPHbApLkNeydlTwqPvOA6uI
dcZ/CjWrDA8hZw7MyglNXqLFPsWbO9v3QWaETU5FjwwWGiU8/Iq3ZiQSyFSA+G2ZG2xhcg3t2wfv
o/b0XOORysGfDy2wr560sJ1/ezsnSjHeh1ee1K9KQS5Usbjw68DeMS+H2opzEiGXZrE6yDs9IiO0
JcN3hpG9eL0aiVVYvrlU/pfGY5seq4ymAUSXIELhfl8DV9+RN4wHYjK1uAiH9kf5TPf5vrI9kwMJ
hHuOt2aCWTOHng5muHeJspOsYI8JqkjPXyLyTMF2iZFELGaQodeQpU+Y5XtZSRZv+odg4fU4k4JU
uesvnTyM+iIVwpJRigurlDQpf8Z2bfkxOUkWTjU0vSV5f6OfW3mT9HKedYJQuNgZ7lCYJeo148Ta
AbQgqu6Zju2Y3F48RJhdXC944JkyzY3kaTlSSFg5hs+AbhzDJ3fTSKfhVdy1Ki1LItevQ28j7kj1
IFynElSDf7xv6vzMrXe908LE1NtQdqD+2GltxVPfpR2SzkADvbiwBOKbqMnpgp1uEiq9OrRcp0a6
EewRnHL/O/4P3ZRBJotmMBDzTU5AQiW0jePxOzb5u3wsabdJ9GIweRmvzw3MhR3nPUZ2lpD6h33O
Hrpcz5Fo2VdfbEC1T2UVxzGR1rmVNkYQEocwJdFyyoDZqDZHrQkP7ZnhrHbYOrTSY73ZuzypP4Jj
AyeyDnVHWVjTTPiOs1UEYAqApuCV31L0lb1xbR9pseKXl77VvQ7B44+calRNolXNb1k2p0HO7Avl
X7+aIRUxFHIKqobky+REVbaJJV9yoMui4USkfuo6jyhv3sZtHuUlRteZatMoTUGaWsWjWfn1fVdr
zEUekBwmKC8esjvlt1fxplztivQZwCAxWw3Bp9T4pBIsHxMLappE/EJEMWu6Vx8wycUFXu21bBqW
FzG0I4BEEXbbVWir5aZb8BIzab/btU68kjwkhSeoWCu73jGH4DyY7PsB1EEyjVfV2MqGjF81tu3T
5xpUPrGNtxqJaEIr4z0jufkT2StMTsBVRV1z6VU18yK4OYiJAaFjUOhjcfy40OayVRyIRO5O9610
JouPmA3pRTwI0Jvyx0rlREbas3J/NTooX3PpHEkr6RCH4F9VLnK/yWuLyUwFTEIMEBO7vEKe1qi6
1w68iL3F+of7HzSTsRk/SMGbDp+Dis2Y6btWP9WN+kbG6Su4wmtv35kt4j5ETRVmgDLbASN8JJaq
GkA8hHEeIip9RetkCcA5p4N4WoKVEaybiKQnyQegleUslyroIDj769x0vKch/XRKAAycbuGdMicL
fbSKoozjgsVp7jLPwrBtZa+6AI9dfSKQYZDhRrIQ9Qdkvhe2l5+JGNQRmQqQioKgdvIG9JSy6dIh
ry5Cu1G5F/WHAeewooD8h4SuJUglVV0jL8M1Hy6kV+beg9y16Ildc3IWZ36SVZfik/sIBYEKvS5K
NK1UkEf5tCS1qKePsmR1+1L0aQKUQVps1KWH9kwJGIiwqy2YGH2atCmGGpfVBZOF7XPwKMHNvSrW
o4pk8UHR+QUTm3Wo1/ImdtyImZuxHOQ57BrDBkN+l2PGbBag4nKsWlutKRcSlqNKs1LOWrPgTWcj
L40TRtz97wUyOXFNGJyUqerqUscoqGSbTDTEnDrdLqsko9ACWnJoA8iJI58XdG385Wl0ei15cuB9
UstciRajS1C2pE4QFCsxjQfDZVEJ/A5Lfajek/wz7h/LesNrtts/xxXtXu9/xl8GmLEUiAhZgE9h
WeE3YLryKCHndVKkYAN6BMEPYEEXdT6h+a4PiHbJ3n7U/VFCDcc3OXqR7HijGoFRk3Il2fySCYwr
/rMjKLOJyASPrJWjdV59ihf6tZCncOlN+NbvmtxAmlEdMyN9i2GawzuTbkLRVjzqv3AHtdXTbHV/
M36jvz9fANZRJAhU3O7K5Ez4cew6X8blhXtJDemhRUKw4iMisgbrb/BOAcSptIAXLjuz34BbxHIi
lOSD7wqvrXVRoA7mv2Dg7s5zqdRRxbcAH2za4/2vnPOIyOn970dOLDRzcl4LJGxTkZI+pz5u13iT
ZyjTuhRR431hf1urRv3QeBXNKSzUdZr3lbgY803LAlcgBUGWTOwB/QJ4aOr9S3jubc9A6m+hXjVr
GVciJ3pQK0kI9qqyvFQhsol4uHrOPgn0QFl4DMwUEG/XNj4WrhSuqIMUs8d/16aBaiTb1miLE3Rk
7Q30RdhgLt0KIDqLjASU0vf3dfYQR0Tvb0s7iCFvRUdJ1ChZ3ZQXdc0dWjeixQApQX2IlIULdLyM
/+j0laRJfMwNbaZFHiRVCYjk24SRTLfMn+8vZ6aMM27lP+uZnJkrBFwjgkztgpTahfmQf4J8lQDD
IWzlhLCp7e1KZyGZOBMBgqte5DiZ0yQeczlut7BufVdUGgn01JVnBPCNYfYqCQs68vsgnWzfjZSJ
S6idTvVBklVe2nVPRaP+zkcu7EyvV7lR6dGDuxE+OiTlOMqaDfXxd4G2dmOwdoc+2G4fPi4h5GdU
B1oDQt+xWqaiB+923VohIXMbMOUlap99BaO2m2ODtlTfFPCGbpvuv9nmK3ET/Wl9L8oHxikvefJd
pxiuon5kob9gDrNnKaIhaDxOGZMIbteECDwYKozmvdQaDZ2fWEA3RbgECJ4TwqkqbhaWQ4Jfmhxl
xnU10wdBfXEdwxUxMbcC2flSW9mswgD2g3YulF94dXqHMIUsMogU60uhR3anc7r47YGDdEBbaoE2
SUO1fRrb6iG08WT0TmAZB70hFQ6AVhjiitcL8nPfNmeQP4D4I8/PItWAKu80D6a1jqrlaVpfuITk
Vn7hPthadw2NlmaFHJdCkZRGw7HIgsZDl7YbNF4ppkg3DRrDOpJvoqWLfk6Drz9octpKOGh1Iib1
ReFOvkzTaMO0az/0dTUgrugSwNGQzjBjlfBCux5eeEvGsI0nuV9wjXMXAAYYadqIWwYCbfqQ6biu
UJumqC+bGIV2cIfZzWFYKaf+0KMbGsn1yIhJs9WzNbcrFq7xGb98I3vU1qvLxxFytQlZnEqHovrA
7aouXbi7R32eui6MTBphVJheoigTn9wPYpnFQ11fhBhAs25XZRunXkXlg+iYCyo2OoFrUdqIw0EP
I2ocQPHhH24X4zecqtSi217cVq9eAGcCJMsCsCIB+eMOjZz91gUbjUpbfYXC4n3hf/JOqD+I6NsA
MmkcZ6RMUatDl4pDFuXNOQ3slwEmVn04B5B9t9t04TaYKu6vJBlVQgxlQQ5oOuWziWonjQK+PtcR
4dt4nbXszgswScyrjkFvAzm7sLFTJfl/AkFWOMJm0Lw3cVmyz/JBVaj1meGRD0bfYCOWC/59VsSI
G0d5H5icKSgHo8SjJNT85hzFqPTyHppf/qVz/10Emg8BP5I0FMInTzxZ85gk9ovmzA2yyWgPuRAS
180X1vGn7DCKAYQERzP2ObKacKuDtVxzzTCKKXTZKraqpa7Vdfukrt0Vpyc6YyiG/z+cfddy60iy
7RchAt68FhxBI4kiIWnrBSGzBe89vv4saO45TRZxiZieno7uiB3NRLmsrMyVa0HTpnQ4XbNzp3ho
nWDDkx7+bmVD0hfN/CVAy4msiLIYWL+pAXOTWk8IlrozCi3hBi8qFXQEJGUgl7QL2A2753On/cx3
Naof/71pVUNeBiIWSMzgO6hJYJNIrbR4OMuoJITmeMihDh89tM+xeJLqs9g6HX+Q+ScpM6MHMO2t
2KddDkY+iwghPSrgEod2EWVeK4IyysvhHIaBXjLAPaouqlG16NTKystVmNfz2ufMtgQ0dgDHAXwo
td5qLzK977ewpbAEV6sWHcXuIKJYx6CnGf4c1S+lS40ILzhZsVMx0Lvm26tNWajIWL0G9TYuXvp6
l6DXXdjFnJ1npheRotFlbgsY7olrtnJucjHQjqW4dvfcuszrz6dWSqq8nqkUTFWjODx6YDmCip//
HGs/SUw0gSSanrz/m93BAVQrAkyBDUptzDAQvTgIuuEcq0ZTb2pTaHfFrtvyolm85txpBE+S5nTx
g/SnBTrw31iHygwe14hENDpwRa9/o7BTM5zb6lkcWr1C//HoERxn4gH2KHCELzaZWiEP4zCRyeV6
3r9w6rDyHfPEXu8bDb3QuBLhJRBtitQelYGYwcNyYM9sETN6wYspYs0xW3EC8+vjygoQHABag/Gf
RZ8IqpDXJ6HMeWYc0JJ9TtSYCMlhHK2efeIi8/6k3vTq4rTBDmrwv3bgxa/tYBt5cYg/Pg+P2imv
SL0dnFpHOfjs7VWGVD7ptul+/6d3xl2wDbkV335zI/6aV3DxAkg1p0yvzXdKB2W9HOalvT8cwt4s
wj8dh3IiNwNyp5XR3pQPf0crIoqFf5VEIDivzY2tPOA1AnNccS65jVJu6sxMBegwRSSsFb2Zik0A
EeU6LQ5R236EZf0B/Ss9Gu1yzc0vrjBwk7KMjYSHPDXzwhRnOTd/y1CBvHhI7Ck6VMxTLKyOep5E
ei8BHinIPPrs4N6pSZ6kUkThNOTOUm2K4zE7i5muMs/pMz/X9wO8YarR8NvHgeEIQExGHKcrIfvS
MqMRCdgZHrkK0Alcz7useoXSFwl3TvqfSbOb5Mi3MMmCfT45SyW7EvbcZCXndca8qmgKgc6AfHON
5WMWD57CgmgQfCjkZQcFm/fHR+fsdKCm3r+2BsDe5BSgiXJzfLl/pJbW9dI2NdupUPOaH8wnd3ho
65dqVwL030z2fSs3+LzfIaoSYG0I7uYa0/WUtlEa9o2ScecDxgZ2SNHGOwfydsTKdRtk/7YdgyHa
OXMkNicCNjtXMPH/j7nrfiQ/qxRCNw/X/3wQYiiw+mCpaXRUp3hRUsoeezY6UCrn+vn98P72doj1
SW+t3i6N5KGyd5vT6eHhCLat1/vzcVN4mM3Dh0GVVFMhfXjTNdsDjDzENXdWarN2U9A1JHKlC8i/
R1kJuUOB8Iggj930J1Wyrfa0Yn7pjClA5OFSBFnbDQdXOnY+QsuKOwtIaSaAd1ebKkiAVzpq3fvQ
p2hUdgdeMhsJYoWxIfTnMp2V0O5/xuwz6JM+c8fy8G6CCGDA9aZQ0JYUB+LAnXnZyhOz7FHV/ihe
+NjqejdEMHPf3G9JnrYHKD6cGFooUc2jfFjVSmpdxBx3lvOHmIMKqj0NGm7jB+jDNz06ACZpIyTG
4FmaZ9SFG72IULyTY3uQz0JKZH8vS/oA8aFoMtlOhz5cWn0C25U4+XCY6oyMqVmsCf/d1IzmrYLg
EosFj4T3O389S+PQgNmjwtFBrBC8TbsQRTFxw4Fh6/QDJsT7c7SwMRRUAoF9Rg6cuyFQAe4tThho
0p6FNyDTwUH99/7vLyz51e9TSzDJfpkJYQMO9W+kPyT06jrdTpXszX0zN5H5XEP9Zxh0PKKhtBJ1
I4bxjjeIMRrtyvldmSYaWJMqo1+WDH6fMzxDO3B/7n/+TaEOa371/dSaN9LYsXKH35/5IRX83T+I
284hQajnK7YWLoArU9TDQhP6Qik0mPIOn6EpHaLj/bGsTdUcoF5kforQk4Rx/n3+J7BQq1/ts1kz
MP/5hYFwjNtWmrdUTNCPRqa9inYjo92j7/5n5h1YZ4Vb2cS/lK0XFicvyHpg10TID9VQedPII0fw
AgM45AtYOnO0hofNzxqIaiEouVqnectfGEWLolClKYYJ8QpZZz426vP3/ZVaupTgY5BeQnoQLyb6
jRkzch0Ps3jWgT1kJ07Ptx1pnyKIyO36larXwgG9MkXtiigMB0XMRki5/Yl3iimGhN+tEa2u2aA2
htYhWxEIsMGWeq2T4KFdm7D5gqIuFBWvKzwI0PmCNzl1doJEYRsm4eatB0SdDtCADYrakazZuXk9
zy1kF3ao2YISBC8yuEbPPsrW4ofjO4IdPwFC+7DG8jD/0r0RUXPGxIVXZSFGBDZ+b+UpurgeF6Og
YkA8kKQ8jvDbaU2Aje33q/mgtXmizoiYS1VRz3pKZ+i6PgM6LloC+gqy57XDuOABrhZkPqwXh1EG
rL2aAhja+c/WZ6wLZm+sBEcL5/3KxPwJFyZ8Cd0KEQNuf3l78Hee0Zm9w65ckwu+/9IGDbCKwI4q
R6BCPIfPrZ28aMaaLOeiAYTYoBpCjK3QYa4S+bwHYBXCCcIZPoDP9z3W2s9TD2RoFhW5mOLn65/o
KbenEdLo9y0sRV/Anv0zAuomVj2Obzw4gLlhPyfYVc8D+bvV7NMmWVnwtcFQzkQZ86wbkOk8GxKy
J62en1eGsng6IDCLyiP6QW6SNEmcBl3Lgc8eHK45Ccnf2uBXdd0WbuM5+f1/RqglabKx7JIeRgKj
MLX/Oo04O8KLX6dWg1VKqRxb/HqOlzKvW6DbkSBStRYF3xT4EX9d2aHWwo/CLq4z8LsbUAU+vmSO
ZHEbrl8lQ170IxfjoRx7Pwk9nBbGM8cuKRThz4VtrCz7otu9sEG5dKwHm4cRxvLygrQ8kB+IV6Dl
3fiE3x+PxzWo6g22j567eZ9fOC5NDhtvwO1+DjfOQXnW3RM0knZvD8be/bk/tEUXeTEyyt3nU1H1
YawhtDwmlujsJ3C4rQ1nbfYoTy8GcR6pDUYTOTUJ99uf4/0xLIX6V1uN8vMj2pIho4vlOez8h8w5
n58b8D2QFTPLG00D+RmoIXng8K8XZYrVrGokaVYmzdAd+ReNMW6+xrK3ZISTUFbDJQ9WORpd14Fl
JFLzAMS6umqPJoeXEVgASLUSRyw5yksz9KEp0GE2tlBEUO1wg7e67a8Aj5f21aUB6sR4ta8wzQQD
QMH8lC7/9hVtx7VjueSNL41Qx8TL+2YcWBhhE+gx1kQ45o78yG19o97k/+Kev7RFHZSoBNeRPMAW
b3N7b5M7a+H88pKgBqigFgbkBeX1wXsEVucB+h6Thj5SIjrRhJho5aQsbS8QX0jIICKDo/225104
lkbuorjyBAEvoDfBqF6zHbIxeqEjJwovtoMs6su/sYiciwrsOdLvdL5/Yv2xySGrcA5JfiD+Nh/s
Yds96BsgD4+S8c1YrT48rq3WjQbG7EHB1PN/ZqmtMeZe5DGRKkCLwpBYEp0ytL6B3c74OYLf7ecH
nYf4q96owKZK4DRbi25/s7H0K+DyA6j9wkITtVNyfABmerJwBb68NEZ8UEzy9PT8zD2cfgIzMH82
3/fnm5+v7xu7M0QFXbNz1wl1srPO61O2iObrEJbRW5m6MjhzC1Azbx90k8Nye+cI9TpgiMnqqJde
c78glf9nnTr2UseHUcPD+ssLrO8sLtY9R3Z8+88WbXIncN6GRmavAdwWY41Ls9RqQ9WCa+QaZj3Q
gqnf2RaCpbOCy/25XTw8F1NLLekQFiLrV7DCysbjzEI6EDwjuWAliF3MIVyOhrovlbppmaSDnXoL
TsScHPrn9iAlBrBVx+8VHyouXc6XxqhbLW7ihpESGBMPc6KsT4iw8Z60508wjL33ZvTqGQjX547v
ASPudqn8lHMzB3OhhwVEnBrCPGV/QQHqG6efrfvhotSwcvFKc6h4s6dRf0UZGAUeSaZcY+P1shSr
/X9CvLe3xFGQpFKIas98oMNmXoqz44hPIwcIOqvHqUm+vmKQlUMGuNoUZgO4ZW1Eportv918/8wJ
Ld/K9J/C/vn5XvV5y84HyX9AGiQgOmgQjsD7ST6mSALVJn8s9gPEcM65HVjBa+VYtV0T3/G+MlvQ
t+Ej+BWN3EDLtnN/s97gsH894MVHULsoGtI8nhJ8hPCY7AU0syan9BC72qGENd8KduXTGrXi7Ftu
1gkgBdQc0e2GJ9J1hFT2SiUU5YSUbtEV+kwMpSOQKlaO4WK4J3ACixgMclSgA7w2U/Rqjia+EspR
b2h+dSanFwHPMACuMld23mIgfmmKcix8zwhyquTiGRC1yZFeMyfQudLW3n+UCCBMnoBm50e1fENe
oT5aip8uDVO+plNByCpMhXiu9qGJ06fLaBhYc2i3QDgocOGS4gFO01hgoag3WlVHIbBHynQu6pJI
42vUnMbILkXJfh0SQJO5iojZWslqYWhoF0L9GwA8/JOG7maDOEZd07HnnSaZte19gTYof1xj6F64
ia6sUH4tEZui4/FuO0fSj//BtHoHlZfJSobv8bsBXYUSrFaZbq9enPa5FwWsxZLEK9SJi9MuUQQ8
R88F5Ea8RLC06aUOUGtHu52f6UVXnQC2rkXdk9yAt1bO++2Ar61TAy6ash3KjuvPbGdM6H4oG8Hy
8pAUolM0oi4rmyrmd6BkWrF7e4HAriqBykwAGyMrUgFHn4ytOqo5YEmjlXRbRqnJlE9AbRamGD8E
40+lWZEP+rBhJ0nQ7NCUZ0B57SbXve67aVfus4VQAJ8DEsC5oxg41t+75CLCFX2fV2KtGs7KVy0e
p+pYTpucee9+5A60Cyfcoe1mjR5ywU1cG6XmIBQR93IioFkM25gqV5tVS7phXyoQp4w24/jGNKAJ
ctS8/8yNMXrsOdASMiGZso9RPDSZu7Im84V47Yivv4fykGzZ9SF2/3CeSmPMdkqMizE35QzNnkef
exoJH+XGKk7qN7a8NQuSGtAnIMVEt15OSZ+XXNcPZ3bL+7oiPiv1YPu8ZNfFe6T+ERSrlNOHKAEn
/0lDP+KQH4raiSdH6A5Coqfl08D1pAnOwmjL4qMaliuh1Tzuex9IrVMXoKWtZoEAjHrhrdCYwA7b
YMdk/LRyGm8agYGMxTb8ZyqoFVDiMWBA5zmc/eol9k4K+J6RBUUfflxYjHxW0Dw4GgJgT5iCdFuV
Ou8dmPo54o5VcuJ4i/X/rOyJJe+kAMaHhgkUw9Gwdn1rSuFUqILPDWctCdXBzNIi1n0xFj+0UZ2s
TCr/NsCGP1ZS6ZksN+yYCChJlLE/+kRNV5KQt9AReAzMEIuWB9RdQDB6/TFJGab50HiTKz2CT8vz
THU75SQ5JftuM70xpV2/qI5scLtU1eVDfYhEexgMqCl4vq2ibRjaH4X5Elgp+uiO7eb+VN1cUPPH
oZkPMFFBAV0N5cf9fGAV8IiyrlcCUNJ3ZYGmslgmRREwBEIEBVSCW/Q+DExp3rd860hmT4pFmsnt
ALD4fd1deC+wScVZz/Wsi2uDP07q81Dz5GP8VLZVbGucFYr68DPYfaELgd48hOcgXAk8bo7I/AVo
ZBRAkA1/ThdmRb6s4hgAWTeRkt6YuhTOouTQ8uF1wVqIOh+3q+MIWwLS6PgHALmAEF3vAlYq22Co
c9Y1ANaCss5ba77Xbyj/rTUp38LDKEvU5q9bNKMJbMq66M4wJLx7QbGPf2vNwfA3sq0RUWf1Eq18
VtiRLXhJJRst4+15NH7+xQpfjpmKKMNEyeRGwpcAxDV/xIEjjv1EgEA09lsQHOkrVeKblpWZXfTS
IBVJFo1fNpnwH4MNKjBG1xGj1OfxdaYPrXswJ67FBEub6NImdYKi2ucFv8XC7g7W56f2YCMlp4Oj
a43G/vapTA2OCnrCXoGPLWdDnQUV4wIpbB0dtAdj7SGwtFXnjBmSZzzwlDR1rBSlhdoh4eLmxA/1
96Ayq9fpOUYDBDh/RhK0xnf09/5WWXJDIJxm4QZAJ3FDoptEXs5X9cC6lsTo3DMDwrMjvyaysWaE
WimZ73AKExhJHI0Mew2nQmczkNrcH8sND8W8Cy8HQy1UojD1wHPwqaVo5a/JH9FRXyLtOJMDl4qZ
7HJgdEI9gfCCagYKEddOwU0KYbYPfkNotwoaSneUA+hzrRLSsedcVKMaj8TogsSjMbHUtwdXj4UV
z7a0WwBCVZC/h0gtYtFrxyaXpar2nji6TM45eb3j0lXA69IRuzRBDahU5FSaGGF0p5MXk5f4490C
EtSpdh2ZUP5IiAbGQ/CtPJibzRGkqN/3F/Q2z4gJvbRP+THw8KNxMsIQVVeq0PRmvJ9DqEiqBvgd
+60My3AuIOLvCcRikGO5b35tgimnhvikTxNVGt0CmFtVzjctUycrNuYR0LfT5Qipo1EXOJZ9pYwu
j2xJ3Zgs66hFadVeeb4/mEVDyNTK6EtW0KBMnQ2IzkjiJESTywVuJBCt+cknSxRX9uQtdBMrhpoy
sgqAEkAnglqxMAmRElK90X0RCO4B7m3U36o34w3Iq/MAZjPwEz33f0LdBNwDJAXj7uTWT/qay17a
t5dfQa1cGStpVEXM6CrFMZAOjLwDrd9/P5+XJqiFS0IuLdMMCyeyYKlWZl7BkVTtfuKFFUu3qah5
TiURfSFzKuqmJtiA/SEHmnVyI0d6SzfcrmpI9Jk6KbjdRRJ+3h/YYth8YY7GgkhlrwZQgRjdDiS0
OqQgAmMwrMxwgABX9D0QNKb7x3t8/ULAZpofJ4itrSqN3OQZrodMd26CFdxPxSmYXH48lEpHguLI
qoaP/qm+5fBg+Ahbk1nt975t5IC3QbIKISmeVRp6Rq9dKpqU/Tjm1MlNH+QXv9Q5q90q1S63osnx
AEwDA3mva/sYnVprfUi371rYBuR+Fj2b26BoKKySJIkclS3rdv7HwJ/y5BVYSZxTIk4fadjYE3gS
wfEToGWuCTsnAvVjqWZEeWslUoNnQA03pWekzQeoig3J/5GmibArrVpLDnmmoUXIjtcdWhopLzJN
MhhAxWFyxcPhDfTs7zvcC8PXYOG9kiBWySsje5hryfrJN44v93fmbSYRU3Rh/ffPLx4uow9lmjob
J3eot+1zD5SE8soy1iAcw9rA6Vsjzb7N88AgLldZQtMiXpEK5c2yHH3YHSdPrjeQUYn0wddML4SU
FBTNGdKJwQEd3Fv0g/AmD+D5ynAXvJiMNgx02EKWRcR2vN6NkcwicdAwk9tua/NtsIx8tBPG1CGA
dwKBC7RQ7xtcXN1Lg5TbnCAWMKiSz7pDCTIJwScNKkMd+M9jY/hsY6iygREkQy9i9+UDQVk8MNwj
Ixgy3jey3YtQsDQ1iGAMGkiwVpzgbJq6JyELiPYqFmz0YDGgIhE5z5iGSRt8GkfeVbROftTxSr5g
0QTAb/Oag8uM7hKtGi/Sqg4HMCUMquMbzR1eEndlihdCYRmX7/8ZodY0ToK2kXkYkaAJzqOfJdym
NhyrPJMxWMUeCKY99Et0nzewoRobLqA8BVt2lx3Awru5/zXL+xuNNUgh8biwaTcroITCQ9GEdX1F
/AJ/mcnXTtXHJpP8iN5Z7q2I+duGloKEWSYZK8YXomVgl+fGGvSVgJmRWlIlz4ZImErW7QeGDO0b
2FdbVmdlEifbdpgIUgMkyDgrDybCFC9J9LTyAUsLPjN7IJmOziqI0FyfrzaZUjULsBZedGrlt6I4
ynb7ovp6EFgoVZ6EYSQiyJdHVNNAY5sZTfsoMGuOf3aZ9M4G6FJQFDTWgASEv/4KvGkKOUxk1gXJ
psA+lS+VZoROHRhiZYBi/v6Y5zm9NYZ8kzB3gaKAdm1MQQu42Cc+53Lo/wxxjgSRtPXKO2jew/eM
UJfEWJb8EHUwotX2IL+A/h9qRmn3dn8oi7cB3MH/joW+MMEuXANtzWD/jFDg0f403UsagcP+qEqH
ZDA70AhzK+Ht4vTxaBIWwN8rgizkevryQeGYBHhiV+BN7aHzV37+t3Z5M3P//D49pCYuu6Flc94V
fF8eSc2K4RFJ8IK3fFZOMhL6UzZCEyCbPri+Sk8MRC1F4nd+VhoRnooDEbUON5Poh6Fm9WORmJHk
gfax1/D+NrM21vaDkNe4wSKuBptU0+JFM3GI5QmrouOHFB6kN8y0Z+LvIU3a9wByVT0Zqgk3AlJK
EwRz+qQT9GxqQCOQ+WM8t7j2XGZzUtc3eoFXRk4mBi9hPStS6ZHtEJygGTYRX3IuU0VjBOtbTcCO
2uR2MU6BFcmTlBBPKpm3qq+Gwfo3++RiUqnCft3lqZYCvOGiuRz5B3DU2kiMd5MOnZvMvm/stiqP
2wPJ1f/dIb/vo4sQBTzyY8l0EedWe86wQHOOprPJCjfqX4vXm8fpmSfNw7hXLdYIdu0ZxOkrPbG3
RQHqC2a3e/EFLSuOslTOe5R9UhmTgURL/SgJ+zIxi+nJZ82h2KiZaiSVxZZv6Ls0OjkzRO84gg+9
6cxMfdLQ639/XpauvctpmZ/aFx8V5BJf5jJcQgJ9BjAnTnrivfJgsb5vZsmjX5qhrpSxRqf1WMCM
D7FPYa8EZqfZAlJNab1yVBfDddQj585jcNjc8Hpok9xlCYeFlogEhi2kdXfhS+eAVBweNQJHG5jW
NwHhN8k2OvafIBUv55Tzahb0pgr3u9z/fAc1s3ERZDnrpZybdkbz1IAfc6fus4mYulq93p/dW7TH
bAuRP3Y4Yv+bXlw2SIYW6HfOZUdTtv1kAxa8HOjRo/+29b7qR+iCpWtY1cUY5dIotabeVKbjKOfc
LBMFYn6SyfMUVyAANdTHzq0KK4nN+wNdvMAEUHIpHLRlEIBf71beDzxJbQoOaS9+m2dGC4jNWg/M
4om4sEEFH75fgA2Agw1G0NmjnJls5uazXsk4rsS1i5cWSnG4rvBgA//K9WiwZplUg8zHVRMwQ35K
EFLMV8KK+d67ubd+wZdzvg5SJdcmmnzqhQHvRTfPTfCBo64U+ftCJuyTNDjhGupozRo1dWPgt4mQ
w1rl2QM4jwFvQh4kbvRT8S9eHegYA6j0P+OaF/HCbYEWJPb5DpbUBI3HJAueysjsus9oDeCwtBvA
263M4FWgc2VqSHw1+kGDuMkNf2KfgLw7JFz0J2cHwsn/5j68tEUNKkdqrM/ainenRxbRBITFGe5L
6BVdA7XJY7Ut/lsaPYSwiK//Gdy8nhezKLehpIwaDMZih7b5jSC9JX/vn9ilLXFhgs5ZqRPX5YIH
E60upua0f+922YvKGcFKAmTRG10aooKJoh+6UfJhSConh4FIfTC9eHxPKuguhhAmehjEUwsIKuRB
Q9m5P8jFiPfSOPVUUIfc75I8491A206egcVDLzuHNPgxA05y5UyvDpUKJDxtqOuOx1DryoJMRp44
fvHE1NtiH+bPEwsiycYK201drHjfxWsGZRQZ3G1IwaEP4nq/iLVYpnxS824a6NOc3jFUxfDFTVU8
DufEkjJnaMBYWBgJagDW1K89TOcrk/ZmECQFQ46MxwUoLa/t83XOeDijyMQ1etWcIGMzGoMumUK+
5SKblfcgjoJojPakhSsvp6X0ObQK/jFNHRWGH6umwYvVlb6seCNZk4PjWe0ZSHomFuRZPZAgg1EU
eGflKG6gvpmAEopnoRLBE8ZmbBEy7m2AvMH9nbd0If7zWTc0FJFUp/2ss+OicECQf4XK830DS+cX
an+aCC71WQ2WimJ8BuIfXl9xbo/Uqg3Vv74gQ6D7Z2RdVwLkpXIuYL4s1NWQhgGAiFreMZeaxBcH
xKIG9+kZDw3guoxx9FbZdJcGhcsD5TnQrkHgkTpAw1glsd9znAvoSR93G0/LjYGvzb6LjaoqSdg8
JcUaC/5tIyS8rYpZBOYRlzqU1q53bwF+mm4sVLy+NymZggdtNOsn6cUj6ZMZn3Zgq16J7ZfqEzJy
1+DeR9kTJR/KYicI3TTGGufGZFftD72dKNBZ0H1DfL6/SxY9A0YHjo1Z7UKiU3TlUIEorPQ4Nxzf
e+Yvozi9/y3XTmYWdhXpfGCwrFlVevgn6ncltzLQxfW8sE6NkxHrUfPy2bq8a3Nb/Cj911h1Kv9R
Qlp4Tf9p6YUB6krkhWZdMATbVNw2gDlKkceQd0c7nnQofKAhsJzeBAhyeeA6j5EoMqtDFm/SL4gp
ncTEzJExA/245HCMMfg/mQ+kx/Tn/hosOEdgdmaQPKohEKmmLsB6gnJ1rnKjq+EVP5WhpSVrddel
E3plg7rn2jHtZD6DDTB3WD2TWiIj7mWQHQNVWR0i/zBAex1qY0XeW3n5yAEIeX+Qq19AHd2sGvl2
ilH4zkczrDu7mvBSr0VzQHTGMbvGg0hQKZDca0jdD5aopU5Zr4CkFmca+lDQ4lFEvEWo7Qae5Xpo
B3Z0RwFcP56iM1G0spg3wkMIzUC0848NKu5UlbxQygkzPdqjHe0DJ3Bq8/2378QH29PwjOySIz7K
5M/2NPcw3Z/mpYIDzIMWEzXj33N97auiVuKGZECF/e3w/ulDsgUC5HaziXUblX0X9y56KOpNYB/X
VLjmuaOu+EvDdKFvbADUkDUAC9rJruUHpf3os7dEXnl5rVmhzoqaT3nfVdhFTQrRZ61sn+pUhRoP
cm5su0bK+v+ZTLDNchogIcClX09mEfzvZLZQVjocHjN0gYQg6XommM0/Kmmd0jodv4uVRVzapngg
AZYE+kQwFs9e8yK6B2UhSHAkFOU4eRv7zzyY1e/vkltOMmzSCwt0cM8JQ1Qhq4WqLOnRsXqQ7Q5Y
vsczNidaMl+0g3YY9IZ8pfrcPRSSzODNAT0UZ9RV/r4SZtvYks6huUHQIaMKze/733fDZD0fosvv
o5aZSRrJz0J8H9B2yC8i65dYkZXbkCt+8pxUt80HNzJjq7JTK4GsWab3hEFnEIKO+1+ydBNffQm1
BVK114B7mCYXgENRh1bge2bkhwlqfNZ9S4ub7XLMlIOUlYqrSw2F4JkKDw3X0JOPLNUJDDDhYbf5
KFKeECX2u8xe41/4DQbpw3tpe96RFzsuhjdJNfnX9jsEn/DsAsQxcFKCsINg0Qfy9NVas1pCs/m7
fy3Q2AxOvkxPDujZ3a3ChBYvC1Rw0O6Kyr2AHpfr74HckCB4wTRiLqpzHm/yo2r01YMonFKOg0ZJ
1qoEwpOKc38Nlp6DYOr7xy71TspkqVWbBHZ5OwXSpv7raURPrc3KAV+1Q11EXdgLvR/DTgzxN3Zr
SBPR3X4N7LUEvgBiHGrbqAWikE/zSUIFNeRLuWdhRvp6fDyXtuNDbdmYXvIM98DGe1h5bS0el0uL
1MAmH2l8rofFsnjKJAhriHqfIJ0IZZluHxw06cFbgw0tTiYiOuDRwSEJlVvqxgVRjFyKA7CQh85A
6u89jG3f0WTSxrq69pCeI0T6oFzaol46IfLCKh+PeLa15PDWq9BIUaaDYUrdiiVhdnE3ljAiXsUp
gJQt5Q5UMOZqZc8BZM2qemuXyl7DKeS2qWOTZx+UW1Zt6T/ZQfVJYh936JgWH0Bjk9dwhWurunQh
gaMT/VFQgIUkGRU3R/U0ZZyIUR+iN/+o6NxWb+yZk/MHh//7/hm8kZqdff+lMcr390ri9X41L+du
sj7frffW7kHxbWHrPj9rOvTPdk/nv+ar+VHqr5U9uIm+gaSs4Z/W35tLKGw0gyKwQc/b3JRJOYR+
UONEY1ALaDox241xalRaomLNJ9msAa3fSjz4JDRQ0z+yDLQlNW9UdnEm5y+hnLGOhNKcHbGT8tDl
YYL/rOhtYRKVxxr/I2HraysebPEWASE3MB0COC3w2deek5nCoICKx5xXMDwbrSBiP2sORxsDd6Pm
HPPPH8bY7CSnRR/kGtxlPmn0ngUNuqCgggO4B422LrNCDfocGfh6MifuU+DOI2MFaOAf9fubZM0Q
dT+oEYRDPCT73U5x38UWPc3dscCEFmu0x4vh/OWQqPmMZCHHkJBGUTJivM30tJAE6M3qDwQZJRM5
FQltCU/qDoJ8DPnevNwf51LqATzAPN7mqJvcLmdadZqfpDBfVBCpUA6S8FeECmgbhrrI/HhMpbOM
LnYlKo6khnqFb8bidL7/EYt7CvkBjhdQtgZ6lnLqTVZ4ILduODfz7Xg3Ee3jtbbsBjJitmn6fx62
26MCXoIdqKDvW166wLT57KGADcJ57Knr3aymjKBMFdCD7TYmB6RdehNMV+B/Q4LpKDy1ZCXcW1pu
DUkXpF3mSQcf4LXBIVYTMZzneycEJB/Ia/WTocmjIA8EpZBM14wSmrGC87LZ3B/qPBLq6IBNY35o
ILMPmSPK3ZcD/I9Q8awLMSUtey/9r6bfJyyBTLgiRAa6Alfmdh7JPYPUEZL4TFIHJNrc6IvLDwoH
MQXQiN8f1MIxxUObA8sZntYyHNL1bKY8y8h5CRtpdxg70LaGk5E1K5Q1Sz0KV1ao7SnKeV0EIaxM
te5vH8NjvGFNsK59gd4ZXfryBnfiJu1f2GK1z3yepJtJFBWk6EANzuOauB5gKAdiqHXwtiqocX31
pHH7PDXT2ASypBxao2JKMvxVZDIyelK7+ef9+V0YOpwDB6jXTNbNIadF2S9ELu2mhgd4lD8qXzMU
IzZtTnlg39CdvQEKoTY9c3q6b3YBEHFtllrXSYTQh5rDbFYd5dGHkCBQdQfNUvtN1RE1RKeoYmkG
PiENPqRnFnkOyRD33YsWG2W1Ep3My3u9BvgY0ElDO0VCIV2lTk7n93WMtyyP8M+B0NJurWgz//f3
fp+aY6TQhT5pJwyWaaAv4YhQvEBqUZemXVadRJnR2fqgoXF7dPLp0HQrLmkhQ3s9PmqykYQYunQe
H8Qj8tfhqZbOHlSd0+fY+5g+YvlR6XXlGxKBBADW+wu9EFpf26aOVqGMnVBKGHsC0p3K6uqCMPnT
8FrWmwpAaVOs10oJcwB9M9viHAOiExytuFQw3/LNGEslcu1C3CSAa0L1GZwhbYIOSqWXxVPs8eyp
rcPOKLtpkqBzF0jQ0KhiWSZiyQJb2KVg3bWGUg13UxoXBRmDfviMp378yNl0+s4Vv0zN+xN16+gw
TxdfTT0LpjFMoMsFhFAFRW62ljcCgNtxsJOGWo/UZMXavOLUHKFrYQbuzmDP/2Huy5YkxbUtf6Ws
3qkLAjFcu+eYtQAfItxj9ozhBYsREDNIYvj6XmSdIYL0Du9T/dL1VJkRyUZCwx7WXguanvj5p2jd
METtVuiWOqT03mq2Lr8r5Or7Af16HUGtHCwowC7bEKBcdkLJ3O3NclQzBqYAnDH3x6bbakkWOPUP
8IT3eeFX1akUyK+nKdJdQK9Cl5aiL2NZJXQ8CS4tywJIJGv5Oiny50El2gnX8YhPASvgIAHDN84L
fcmlVfZWEUdpQg52B3x/fta1LLX2MiFAyUYrpRrOunYKXLlKi4c2X8viugAxPeWvp7BVx7Y2AjuT
QrQLGWm0EX39kHGXSTtTBTlEe8hc+E1Aw216Vp93QQg1YMiQMvPu++96pASN0c+Qb7Qt4dJYpgS0
xB2lTlGqG68r1iE3XPhWYFwM/kUW0L/gvyELjY5sVCChXoIP+3WACJocJ+1zgAhy3ESAMdZv+jPx
C+gnupCwSJh8sPGXN/09X58Y6LEVjKANKGADDKzoE/5qOh1tLdLgfBySiqGONTIQ5m3FuXMBxYXy
XIRn780WuPsDQsft96aPHGE4Cv5l+eft+Wl7oi+zyGNSmwdDZb5Wr/WeFT2gm+GUB1Fy4iw4EqGi
6vrJ2sIF0cjUV5qGceofddBcmME2Pit8tINGl21ooT8M/LmoXmcJa07V045upc+2ydc5Fu5kFVEG
2/XVIJhclwFUMtF05+tJ6GtgKjvH/PrF/V9I+Xwd9OLOF/DgZebAsFMH2bPl55d02FFfv4ODkfMT
DsaxWxB5JdPBiTt3izmLpVQKJNdcbwBCZTgflK889hbTVe0FAEf3yfPUnYLEHDvgPxlcCt2RyfCm
RClcu0Dwj2wgjMCP3aHHnZ71u+fo/ixHDHIqej9ldbGSkOgeRDPA6lDs9NLv5Fraf2lk4I2wZ/0w
ilzS1xWj9URCk8kE3ob8EJq1NY0pEFAKpOTQmMzVtoXuPhnlRxetcrIifKNFm/6UTt2RowHKoDPU
FLeoAQ6lry+Rg9i01tPSPPT+sM1f5DZeYT5P+U7z4l/c0p+tLD9iXQ05GhBhZWZos56GQK6Np+ah
2qKMfyqBfyRuxX2PwHXuc4fo1jJEHwWumdz+OaSg2Fhi1vYebty71/7VfT0Q5hnMPif76RIdv8nK
rJl1U56K9o6ce1/eYeG6Dd1Es4riHTL033h+ml6ZZxGo6V5OUzYd8RS+mFosozTXuSPn4V5OzH5b
x2t2z8yzjyr0NiflzI5sC7SQADQ1T+2cjv26WrR2jPgw29rT8O3kKjn+dMRwEGUBUPEnZOHTZSGJ
HVeeWZmHdlXegda52Nyk6y7QV2H1iGUSfH81GUeCmZme9l/m5tf5ZK7NHBdA3PkbsXbVffRrAKtx
HeqXcncrN+qkZOfRTQAZKQepeaoDMPvVHmREmzorpXmICs76M2WGxN3zl/QaHC7MulLtjT7turI6
Nc6jaxG6MeirnGnef9Infhqn5Eim9VlPDsEDOZsQqnD/ImHDob+dOSZP4XWOgMzmHBVuAUvHf4Y1
r9dP5oSbyTERNYAlkMHRg8zzIwk9cchmETML49wNyijHHOzqOmV9XbHEvDYcOGBJH6rxYOTnyXSW
V8Tvqo0ACKTeZSRwktve8K3Wt5/MBOFloKu3HHWU/JSrdGyyDFQZvLnMjSz3YuMmNVDTPZXk8COA
Nq7abDMfSok4HBHhNWg/vSHnQQfeRh+MOt+vxyMEL5i4T6YXG5n3Dc2KGHfOeE2uUewLRAAu0MBj
NGXmvd6G4SNybz5EMh4f1xdqvylPdrYfc4nnQAAagdD+IQgNvn68IUZXl0dwvZuMI4sDgjODCR8N
odf9X4jlv5hazLQdpcAJTzD1IwgerLMGEsgaM/Y6HLTNxjqBdvmp6Lq8gUBNALlXYqMVbhlLI/vm
xG2Gq5U+dM/6D+d8CNSdeZGFd46/3hngkElYct0ebm/Nw6FlLLwvNzuGfO7tdbw6sSOPZGno53dZ
fGhnGM3S1FzAsdFpCk6mFbXwua1TGYtjSxn8cWjtB3YOSnqL0FjRBhRe7mQeBL3hHivKdRwOcA3L
MM0O36/dY543aDD/bWtxMYzaQKKx0nF0B2iO8W4tf3pJDxpEcHbls8vOzja1/+GfsHos9/bF6uJE
Vah2dLwn5mEuAYwMpNZn9pm6Y3ZwFe52LSOr52nykw31u7fvB3zsqgKhDbICEMlCOnoxt2kkyklm
NiIN11cqZv0t7x+/N3FslUAJEAlNyExC/XF5PU2pkZIOg8tHgHK9lplyx4uz5IRHf6SnbA5bwKaB
vPScZVqsRiJi1yk0DKVHO9n4I75H7/BVB0YGtWGs2L1igSIkflXsXQtfzI4l49o4MZv2sen8/A4L
L7SjVhIbqWseKlppaGvKupyuS3Py7r0maQ4iq8a72KDOux15tgwqGaFd3NISZz/EE3oBvUaJIhT9
WBroEGlGkNJlcDGYXWf6CykgTs8qhaISm+W6qG/GWoLtzqMSjbcGz5Gnimn5mttWka/sqHDCVpMv
E1pOLsZE1or1oOd/BB5fbidjkE1QeBo9OKSz76q6zK9I1SqkLASpG78cQebkm6VtxmEHRFOM/0/G
R145LXKlRl1vNKuAYyYcD4DzhLv7jJr5ps6daZPUdvxGKGq+vrRo5eelKKEpVShx5pZE2+Z16aQs
N2pHQcM1lyX65XO9D8sWfZgMXAKATpdJ+6znfaszu+9l5KNTN3spMFUdQ15CV+z7VXr0xvj3pwN7
5tcbAySN6Ox0sHz4XeMC5ExvvRF8axXTtsl5FHrxKk5OJOSOVAI/L1k4i19tjq7djSVKrodkZ/vJ
7SUP4mtjbYAYIg/zNT2xEY/U/GAOFWR0UGO3/9IxgJbU0uNlhNUZJrtArfb7bNMAmAQJS3oJCrTn
qvatJrBz39eqdXDitjg+Wqit4hBHBhItgV9HS600Gu2hsA6WCpR2PVXX2Q8LjUIt07dYU44JxqJu
L4eL8RQ2bn7y8tKEAOs/LS9vkLgiRT3R1Dp4D6T2Ienbrkm1q9S6U1cn3IGjJwB8C9Dd40ylS4gH
ekKLNh5KCwH3gzfupQJo4ET14vhJ98mG9XUii3okKdVho13tz8EuAtKgJLh5j1bxTvksPNvcfmyc
7Q/3ZPx7dHCATIJDFbUxaBd8NayZkzYa8WQdzlOY+X4Dzm7SL9/o07MXHptE6tgx52ePhxAE9QAA
fv/84xv8k4GFn+bQgdteDQMu30TrBMDCh0qhpGehnOfUUBy/rqQNbtZdL044bT+9ze/GtriaGqfA
AgQZNzbefv90uQJai/UN8D6gG9ztmu3FxRlhwS14rOPg1LV4zHuaYa7//GaLXTfEvOZxoltz28F+
/HhCPMKsEA1C25v8fF1/3D8WdxdnByBIrjfIIfylTf9v80tUqmbUutlzDF09GLvLOQAAib3jj5e3
AujHNT+xio4eMgjY4PcjPAXIfjHVw1R1hpHiSJ01F/ajX9BAhOPdGYh23qJThI7H5vazscXcekPP
42mkSCNYYXbm+PnN5j/XzpxJrYDR8KATDlE+utgXpcpiEcncQqpiVZ/rK+iDvG3kqZjtWA4BIT2u
IJAjU/CBf93ZCvvCpQ5OyLT1o4/VS8NmXR324p1fbh9VmNy4bXDhmxk7qEMW3H6/NY95iAD6oaNJ
BxE93uCr8dyRhdkoYh24/dKMz2N1V2jPIwm/t3IEEIuZ/GRmMUbNNMvc7kycXg/zqZn46ooDMdWw
l7uYJdgPFmM77dpl/c4Xvg05XKBSR6YFXgDyLomKw/cvdHT1ABsCdCpkylAj+zrsOiGNTkbHOuhP
2mXer225rUiADgr76q8YsmeZc4SN+LxfDTmkMbzKTehBBK69Ml/0aFOWoco2tffxvaWfEpHLkw60
Dg6d+b7R4bzworQ41uqigKkKWqIO026n1WT6+fZpvwL9+S2adt/jOTmVM+M6/whLlt2BS7O4Qldy
GoDb7/D9+xyrZqDeDCIkx0SiD8SyX4ceFZpnxAmWVrDv/X27g4KHx/32Pj8vdvQssX3pn9qxP/XU
l3Pw2ebienZplGgih004Gsh+zCplYNQdbldYZmz9ynahaPxwM3OwXgc/Tgz42EZG0xHgK0A7AT67
OC46Yc1MBzhvtds691Zm/uAmNyZ4goYyBPEZH2rfbdZwvzSs7lNJ+KN37GfrizvWStVUWe44D30f
tFfevaOj9Ze53P8A/d3mxFjnxfTLRCMdOOOEZ42dxURPbjQYWmpbhwLtMGLbrOPWLxMnyLhCX7gb
DDwQyev3Ro/e5XBF/mV04QPJdCy7Gu4tfPYfDxGUBx22v+zY9r2/urq6r3Y704ei0sb/ceq4OOIg
gTMA+AD47yBasxe7OGt4xO2uoAfyAZKSHmneAGQ1g7b+foDz+y8m9YuZxY6prDjPxFDjsKBTvZ64
iznVUu6PESoQ35s6lm0BtBueLHgEwa67DNljO6vppBp6QC6SzZSpN+urtQ9dcHYLPOuJrTGvhi8D
w+UGa9gX+oyv+glz/5TPzSa96XMa94fSzeMgkRiY7BN54pb5lTZ8NuPoAJSj+o+DfbEBe2TiaRu7
6jBcZhdGYG6KPdLi7+DrWqc+3d+L0Aq6wFPXJ4bn/bIbFoYXe4+mlIM5PukPsX0RtefardiaxTaF
1I3LlHh2yFsx+olv79B0U62yZPXiPedWWCA89x5J1zERFDdNkO6bwyi3WXoPfoqc+PkuWbcR6xS6
M7qgg9scxnfVZZX7aucdDH7vFn4SFDFr88uhXlOIE0MxrdvUt3Zz1RqCtWhQ0xjflM8NOFA6bxUT
xLnWpkab71kKECjfFUbQk6DwM9QoWQmEH3XD3gQchQiWXQxz9/6+oQVDYxCK7UK7B5sJ8gJWmOyt
F96dbG2ft9IvS+XTN1w4kV6UohjtOupA0dD/o2t8U4APeWeAzQ8v41xTLeyS0L35fjv84g/8/ICo
SRkohEPbcHGcuVkyKmf+gMYquXSQq4piCGT8v9lYnF4K+rJRW8PGubVG91t9Tk7t6ePL8N+jWKz/
YahHt4mxzcBWH5SXAlCFHxmWCGvOo+fvB/Mr1mYxY4sl349NSZUx22JoFqTVxsxDen0RsZoZfrPq
zw3/1jslmHD0MwECgxgYzhv43LF4Pp0jxWg3ndAzGBWdXMkoz9loZENY9du2AOJoEMOPMtFPMVb9
igudB4tiBnqdcYwBS7WwW/HCKRU+HedP+oR+NYJumAuoW8944k5nJignh7X9lpJd/a5ftm4AXQFm
yavvJ/2XXMriNRZzDtzkWOol7+dqf7nSUAZvMeQoTFHPaS4Lx1x9b+9ntfSXzfhp3IvNyGk1WYPA
fFvNSiSMepAMSPm2tQLxWlHmTFAQgP5v7NtXbhoW28zZVK/Gu+qDBCF2qL8ZQBFW99+/1cmvsXDe
uySVlZPm89Kr8k0mb6jhJy9xfef5RQXFSPnQp7sMU1Kyzg4y7TwdTxwXv9bZ8CUcsDPA1YNyB4qr
XxdESYpOFjXtD519ntrIEV+VV57piwpH7iONSsix0ZLl24ZCXAEtI5x5N0Z6P5ir0cXJHg5ofqHI
5fbM5Guz39vWlp7E2Rw7Sud7cGawhBO+zP6PqI5ZpLTxki2zz/iAD2hfl9bWFut4WOfpWUafOu+K
mrcnPtCx6x4UCDNThunoiHy+zo6JqLLTbDFAvmNnpDfdNPjTAP7pJr3i5tNg66D0OWvJyoh4qKV4
Oe+plSeQr8tQAE2OEChw0asHYS8d4e1i7WZa5HRUosnqwVo/YIW4UCp7RGC5rtYF9G58INXGTbZC
G8g+ugGyKrD3JaAkswomPXEwz8fDp230y6ss5kMDpAxo/kk/6IC1m1nPMv0CYO6oODHmZQywNGQs
zkcTFAwq02CoBcNharwN0ZXb1AzcdiFt6UpABvPclAJkOU+jLE+cFovT6Rfji1RCnE7KqjpdP4jq
rnqOittJP0vVJjUCQ6xs7URybXEV/GJtXvyfrgJD11yhjfi8GYo59l3a99DNkUHRXhbZqd6Ok/O6
2O5R7ulDRdGGWW71MO5Wjb4podcKwh3uC5z+GxoOJ+k1fn6t5bIB3gLECoYNrpSfAf/nIabt6EwE
XxPlUMi2QZ9lxcGnDbkIoC+Nl1MMN0dHOVMa4aiA8g5gnl+nVHIdrKiA4h+4FdLcp2LDt565acYr
OJFJ/tF56xY3rhG9njgvjn1LXK860oZgowF+96vhKWscHo1oPzNlEv2w5divB4KKWlXGhJlFMj6N
qSp+aK7Jt4bujJtCG9GGl1ePxdR+ZEbRrzvHqq5zYOEup4oAt6TT53rkp/R0j21kFMLRyWQS2/pF
N3go9KTKI7xo2q0kbsPEWFeB6Zb+9xOyTJf9XNyzpwEEiT1jpRbuqFJR16OcAULQNkCdyOdXYOm8
Kq7tkL/1awGeey2k4c5ZpVu67oNiq68alMpAbnqdBd4WqgXw19OVduIc+xmnLVfk5/darpDKIFBN
xns55N0u8o1aiQ66jEjrxPGTA82ywCz9f5ye//U6/Hf8Xl39+fzu7/+DP79W9dimIJJb/PHv/0t2
on3O0+fyNybb92f5W/Xx2614Fmkn0tfuf+aH/esf//3rH/Gsf9gKnsXzlz+EpUjFeC3f2/HmvZO5
+PkWeKv5N/9vf/jb+8+n3I31+99+f61kKeanxWlV/v6PH23f/vb77EL81+fH/+NnF88F/hl7L9Nf
fv39uRN/+938A3BvgInmsATUGSBO+v23/n3+if4HSkGAncMNQfIW6oNzEF9WrUj+9rtB/jA9INJx
CSNxgZYDnI9dJecf2X8QE6V6lKptVANBMOX+/s/3+vIx/v1xfitlcVWlpejwOouoG9lx3POOTqA1
CEocF8XNr7uXjFmkXA1wtLm1Jl0r2roWwkazMcrVNBJ7BZKYvvFVMjV2xozect0Q8szVe69NucGy
vhtercLoIR/Ud6MTmHVbSZ8OUdaxzs3TyM81XqJJomy8xG+mhtCwdV2I+ZWFAZ4dUrrGnRiofZGY
rZaEWR9PuV/nbkPO26G10VgtZVbus96aLAbDtePrPR65mRIATnza5+hRcEDmXZ0DO5CColi2sdw6
XUqSK95AxYHVgiOQUnacQWsXoP/aB19lck+SOJN+5xW2e9b1/eCxuu0QEvSipTEowdVqMOo2D6Dn
h5aHCJKf50PcoQWkIjbPfIOn6UfjpPxGcjqiA7rvrc6XDZHUh0QdT1aNaTV3Vml4NYplbXSIki4F
WwQdAEBtcgr/n3Rtd0s8q9b8MRZjzqy60yJGwTz0nDZtCwrbyGjNcND1EhW3acrNILU64wNlq1aG
ypWxCb4EnjfrRCusKhy4FieYAjm4l0UJ/WXfoJFbsz6iXK46sPG8eBkBkXOZdWgDaLOR54Dly/qH
aMyiWg/S0MEla6kYt8ikqovSItz1Y48mNNAsBQGnuAcUwXfyMRpD0nYdWRN3zNKVqaEas/LAJPQE
nYl+n3Ii35VekvyctrwRl2lT8c4fSJtLfAaaj1ugNhyxkaqAV2NOfQtd7UjXAYB20eLFuEycMTAk
JO7WpSujjzECymg9YEYfRhIJep2qpHiqKO3Bj+spXrqs1hsHwMahy6CWzB0zXQsieOxPqSOyVZZ2
YFwoVNoiaWOpAvShTlSGSeXxRyz2TjEnQzMOk4nqESB1wnyqxtp55uCrpethMpsrQKgV+PCETRPG
PXeCNJCs44I1blYVQZEqe+cqWueB3qkYEkYky6Gj6lpTy7wmqxy/0+I8BpTHMaPLuIhG5UNSEpgR
4TKbNO6rHpXFgfJe3kplVh5Cjix2WFVksmD5MLhvXHXWPe+rHqRdrTN7ovWYvOiG1C6aGO2Xvifj
ARl0pQbie8ooHxREYx6QBgXkJW80V99r9WBuhJFGH32cJ+eWyuO3shnJjaAueRbKhOpGX5bRi9BK
8yPN6/aRSNWcdWlrgW3OLh91c+yajTnTsGPXJPG4qmhDeNh65XCm2502xj708oqGQW58dAOhHLgE
FvYjkJRxlT46lY12eIJENELQliR14MY6AsBKKTlABqXwMsBVuA0uwm7G57iai2bn2G6k8lGnrEfW
eLxeO3He+MBumE7AqZFfpW1pqqA34XcEtWEnL1XiqgfTTcUBCNj4NpFeWgRN0qKFOEL3z7v981ML
A/RaMUgIr/B1SywdQ2yLpG5fgKsRRUAGq33ReINBtSnvDSwNE40Pba9pnu92Dn2PR1OUIA2rsMGT
evA6lqnUeBJmJc4F6ZosgLAK+vESN44cvHDseKvMoJCYmdXf7lJdFJFva50Z7cqhReKxayblBQbn
UG/EkYXwz9KEGC9dMZjFtBpwLOShNCyexL7qHODLSzSwrTVeZZedbqeSOXk3IpWTdO0L+GfRdqvR
urMCreJZu5riuNh7UrPANhnj4a1Vt2AnsUuD36SNVxkrsDWoem1XiSa3ZjPhdCxAZmCGfGxIw32Z
V0jdWF2JdnuB6uGqVYRnYRQb9qEw6srDa3HDbg4uCJb1AMls8CunaTLsm055ybpOXTdZY/23xn2t
EWN8HZHKeDSbFp3JJMfptoE8UnXlAV/VsswtOsevhBZNfpbk8hJAqSlBXlVpNS4FDWT2pUYaoL48
ZGzjWCdlONHGLPHDiMQM93cC37/P6kOKNu+nOOLRD5Lb0RWWOjZLRIzio3fG5AJXLrgppkE5xo4k
iv6JaPiP3KF9+tpWXfUhvno6X32ov1/W7+WtaN/fxf65Xv7mF4/p/xMXac70/J99pNv6eeEjzb//
p5Nk/WECbwwHaG5ARDVjxu7+6SRphvuHgeK2qyMZAUg2fu1fTpJlwoMCSQBKdmg58n5SBf7DSSLO
HyB2nUkcodcH0QtUN/8DJ2lRbUGPEwDDUM5wZ55NqIrqiwind+FRJE1aQjJEFS0rY62fNo4GhJ8v
68JeT3GGre31o9EyR2lodR9sNckgzsaoDQUynS2DlD3+hkTUQyNaXsRdKIvUbcOUJo7lV2Mb1UGl
O0UdeEWfnMqQg2Xga5iGQSA2Q9Zr7imFqjfIZ786evWod2mWqw9w4rnqGkahbt95vdCDQXhdz5xi
MhJmj+MUGsAr7aKUTmu3JxZon0geP0ZlJM213Ram9Cucxdl9PFP7BR0pcdZm4wSPCFSd8lkiSS9Z
2xgAAoCcrrJ9Wjvt4KucSntlpBNpb2sNXFLcAs32FWDZhrkeitRWoRws2q0nFeURGyDdohixGz2H
GkRhg+Au1xwachtM9GkxuY2fGnVzpREIIvsJAcAq0BuOlvtER+8Wm3gkraCJau2Q2Mh3+3GRRu1a
uLT8MMsuMdG/TnhzAZBt8wgaI9s4F8PoraOkRZ+y3ZceCL9EPpdrIl6jOVOmkwRZo0PyoK40nYR4
yC5qY4uA4KAfb3q9LiJmIo3/qJFKj4OhUxJ1/CaushWnyrPPxqHvxzDPeHqXGnYdxnae9kBU4fZg
lYskODgSsjIJOjE0wxP+NeS1ZT2o/i7xKlu79pqhlqs2ojp07ZNKv+FFY9C9gprZuDJF12eBmjxI
yDQQ+HsUSC1KX1MdECmokLRvTZFEzm1SQkmVgf20njau1NXg837oH2mZ5jlKXsCp+fUQJ9OVNI0m
W7lwoXtGGyMGz1JqeABaCwNUP70SwHaUjnMR62Zj3jhTo9Ig4ilGITipHyvZJN42w/l73RsuwKwV
QsezWkxTHFpKJcNq9EZcOnBahuZCJCa606O+s0Z4Ah6a0k2q9Gab2zaS1JC9nc4Ax0hNVui5+yA7
oCQDpawoD0wqk/ukdCIHNO11Br816kv0Z8fd0DM4hUXz2KcF/6jqBI5XVVqx8VbRdrhyRDLhIlOV
NqSMlNaz0SCGO0MhoY9WUScg2yzcMQXRSid5E7TYU0moVzRODjXN+hdScUkQDOgCOymf9ClIs6gW
Po0iSS6nFumBsxjBQ7Sy0qobDdaOJfZ9k2ptIVmDgWF21WRH59XQ4ABprN41VqXnDVel1+hG0Di9
0m5zS7hQGtUMbDYB8TgFZ7DAQ+Vo5ElgQNHkaiB6Nlr+n1tRiFalcE65wiNqWnbD01BFFGoR2jhx
zqrEBNG3D9ckKd6szMzhwwpPDlrLECyhkZ3VNPG8H0NS2aChTsGEZwSTN9SPbpcJcgmgpopWfy7X
iTQRfZCGxEcvtAxHw5+Lru2TAgwYtdJVQLqpLHdJ1pvYHTZq5D7v3GfHihVoMFKtwaJXMX0grVvZ
29LqOWHx6Jh+TXl3jTkBzWCajNajJqJsR3NHXEIyBlQiOU+sl0HrLQHIVfXGs1zfEJNAoifGqas6
AlqnDmwndlmLPIhdojZxUX7EcmiDqUSrGdKaRXbh5AT9UFamo+DLq1YiWxcJE21HOgWumkf6/aAM
cHbkGQn5xMfHoXadi8qBnoKnXEj1lXFcPfW57p3nY5qaqNmWSe/LTBJflhE4sqoq/6FHtYd6Ql/t
kdUe0QMd1/zK7EUt/ZG75iY2kEpkw+gkBxCW3rrJ0Br4UimqM5auhLh2CeLgwMMTbIhTOJxgfjrI
QspSpuCepBomuso9MBBGJIWT5MUpYSNtGrjBzgiRXwTXAQGT5pVtFNXOcGt8A1OTd3LwUHmOOno2
OgOHqoeLELgWPQ1i2qY3Y51kA+bQHS+nUja7uK+yEFwCI45jccgcwS9GMn7ovG/vXaOqKPyuSOM+
+BRKbauKKrofMn4rpzbeika2O4w+DxC4ysfB63OWqjTaZl6fIeYH6XGdYekqUZtdgMi6PJsg7h4i
zIM6gja4hl/VXm36oIfCzuWGakCBBH8Qp1mefMhqLG5xYqOkXqNLoGS87pq17sUg1a2dIrmESpGX
hX3TtCsad4WH88KeGj/BnUB83hR8N3kWpOXcpJOvbpKnnE1OWgPH1qjouZqQTjWKkjzJogU1uqUh
mE5TzdbDKNLH26Zv7LWexo3GckrQe+2MQrhgR+EkrGLbvphyUP/poGhd4ySRu6LPHL/srPgMidVm
k5fO9KTGUvixJLJYNXBxTRbrvHrB1cjhAzci3fCKiw0ccXTZQCcqZ8JFgH6Wwn1xNnnBtYopiS+G
wmKm3rRqsOYA5yPSp3Yf51UcCHhTh9HyokdXz5wnzR36NLC6+kWUfVkzPiJh0+qRW7DYUSCXxLqA
qcxzzjngsN65nqvmxrLGKHANd0hBANfX76Muug+Xd83VT5UJ5mLvXVDTFq9g53BuEU2D/KeHtBUI
jSdnJ0trqoM2J+gzjoh7XQPL91y0Y3PNNTu9wYFZhB2kqO4zo6fnwk2g0ebW0d7Ns+m10yfjXsLj
WpGuE9cUdT6/HoXHSn2sgsKuY/UoIvQz+7Xjtd1FQZLpbipq5PrrzJ3dsa6t1SYD3N97rOBUxowg
Q5WEPDNKJLjS1gWsnqtxn1SR/ZhloKurCGIx4Jxp2YdIcpDW9yAR8uGK3rIY7+vuh9vauPtxHEDB
ME2nCfdJBIKHJBVkVSaFkj4RFi5j3mMRQWKmRMzfpxxiVLgNsvvMFspeiWxS5xYtlRPUupevO9G5
SJk5ipZ+1VRCvx4rt9sIUdD3gsfV2ZTgcGfUNAfbzw07n9aJ4RgQNSBjWoSofkoLOhH4Bu5BecbY
MRepQqRXcqfCMRdz6j6QBi/tg2OX06Cgg21tIgIgU6B1KgGTfIllXFnYXIFhlOjxr6JSeyeOTPRV
78ZpFMT56CmfIvYKlDeIVT9EMRquapUiPB5rnN2G5niK6ZIUOtwST+5qWqEdNIuQawu6htjaTe+k
RhegP8eB7ALuTch32UZuPFWpZTzJ/03dmS3XqWTr+omoAJL2FmajvrVlWTeEZcv0XQJJJk+/v+lV
55Slqr0cdXdORF24vGxrNpCM8bciNPpuiY2dtsbzEMqUjEI8A2xwmG5VY7GXmxqWu4BJqbxyQBRq
7n/jzhe5vxATCVIk6qu4iqfn0njDPU/kSF145dpTUMbUQelqU/LkMnIYfixm9puj3aNgONbaW/pD
qAWPjyZ2BHDH2ubHSs0ECRZxOKRqi4i4WVc/sJJJ2EytHlIzBJqjBzZKGJa689cQEKQunOG4iDq+
bIcljvYuA960W7rVPjOnvYPDhNB3kw2+nZa1rs5EllcP7qJ5rnqD5/9kOLoJ2sqhaXxyx/DCEZPO
kjDYOpXEQzxpLsmSJHMr08Qw1L24bKdo8I72kpH82RCu4l32reb6t+xI1UlsgbZRfxiPX8MhzyJa
YNfxpuYZ6qdK9/deVrTVjsLEuEjEYDN0aCU0flSLUYxd2zMijWqq+JKG1W3PPsOwvjEGfJNdPj82
CNcZwSdZX0tnCd5yJ5wOxipMmvlMW8CUgXVTN+3wgsoUZ1tVNPz9bFwCJwENXVvKCxTRfrXpFnBk
iAc3ybaSNb+YAOhQ4fYLpixVCoIH27WrD629jeORgl1XJMvmWwiiqmjcbYtvORcsPnOQDmIpn4AJ
8X/lcRc9rxhOdqXvGZmsRRk9kc1WUGkwcfakM46H80oV4sIdIgDjuA25fSUxluwXonefoqHqrgC7
+PyBfvw6DZcqvArUab/L7cX7LPCsffWaQR3rOa5evFIwzDtNr3+4oE330djXhndcZEgeMN+dd66Y
1nO7sbs69ZfFfsmmvJlAv09LQNE42r0ydf1U5SLKgNm2cTsoqOnobI7WAfu4RQ4Zq0oGcLk62U8B
KHppl7Y+5/kfnWP+m69ivOVVOlrNMuzaQmxit8QWwjGmvwm1qSu2L4Ujt6fFMYu3d4JlewyVDKd9
EbfisgGt+uGKrCfIFhzybo24wpKu8ZzUPh0WPkA1jaOeIg7LzeUj47ei+sfCK23W8mzITgth0edw
DS3XBRKhnhpKS+6HMCzOi6H44QfzQHdbqc+56XB7N1GuklraLV/ybAVnRZnVBysainsPzd6b9Frv
56J866GNS/kS6yJ+zE2W7+E7xM4NrdZK/W5DOmDLLrwLuH3fMspAyeBkZXmel5zqFdo/C7HryOUZ
jyOU7VdH9iCIwUTUiHX66KPVCfj/fTSaW+XCYbhFPx+iOiSQKG56CSirrBqPn1BnSPG7CzOX+sjD
ck0MO2XUhOGcZhgOhySw9Z3N5HGkCPZLGYb5Z8dySaKQHocFFapnW6vPmN7MrWeN7rM/rMOWtONa
XDr9tIk9w4k8Bsbt7lxLSNgD6qRz8HC9nGvTTIcCyO6zbpwQWJQBfrTFoW99dTvNLqUt2STiq60h
HU071pbUWWFzi8Zbe0leX3U2E50XoJxb6iqNSze6KHvtnvP0eSvWnBYMa1RnpgAAjDhUu13cW8EV
wRNS7JBzln06+1XspHMzFw+cks11Gy0tkaBlzBExcHXyrI87gG8Rn5ojq+C5L8EIlymvdmJwGG1t
EaUti186VkretWUJMC9Wdb1uzZs/87eUma1zGYjm0qss90xlQVryQPP2o2O1b1E1iH0ZTuNt3EzB
xoTXI5qoZKv8Y1F38w3yhum+y7L6GA6OdSGR3Df7Kc6YLJewCBO2EBvn6zwOhAjHmzg0FrrPJZua
gtiyvrqw50zdu1P3bcsHfcF4QZOACeRVs5AsGyFLvEVY1DyptlDjXkcSLooAkPDLWmlzLPxsYrxw
Zzp/orhcEZgTnedyfZ5ngyzFme7W+NXr6D7qJnvmyxeZOkHrzXzprE1mJZAcdryf3Ur9bOTI4uIw
1XBOxqQZyYGc5xMM+hquXnM7DcOwXIC/q7sptLiJCnfjuLe2Sv6wdSEZmOt5Y5idxRc5sxMCt1Kx
WYehfs1qGLmkYurg7jV5byUt1P0Zl/HGTC693E5WXS6PHnmk5wzjU5UWtp+lYsh7DMSsTfsBw6u3
nxZPHcbM/eqNo3PZVX2Zth1iEn9cq+CgLevF1nZ4dFXYwaVV+rLIrPxcs3/QtWYNe2YUnq2ymglR
rJ3sfDQFu4Ezd+ZMIoL4rGdkZCnngl/vg5nXrAMHLDnqsjmddayBo+L6Ltf9+EJ+ftCwnU/9J6Oz
T3LK59tGB6E8X6XFjRPW3lJ9kh1peQnBa/acLkG13pXwXdmt8RUWb7Jnnzq7kXsCodejmQgsP+h8
9QK2FdvsRl01D8yD28FZBdxC6PjytfY7+W2pcwliNqrvep1ruVvEtjel1RxV23jg9YUVJVG8ehda
jcN+apV1wwNwfF0cq74rfFriZaZ6VrBtda9dVv/+aIEWnq9Ns56jpKvuW6UOYdhE2y7MTfO6lfNg
CCis43OnaC9rEWGMl1lx5ngtB8WyFWdhD4ayMqwvaRcs0ZtcbTOl8NARpq/QQGCqwJLzUdvBdh9u
ankefWPO+sWd5jsDaUhp8vzC47h9RNOiqdxsETiY4hyqNj8u1sKNHgX18uatwepfbNWMmiinHXjd
j622Xjbpj89RO98MldvuqdoLUi3C8rnMO/tByqolT5LMDz3Z5de4nnBM5wt4YWg99pmnE6T1rTlj
Zo4NMAYpzwl7Mn7jNWivFL0q56yT3VHILHixWhRMdS6K64pvae5VgLUhyJROio2iL7CeebfChJ4v
hWc9wBjyHqDruRXEgwMzcwHodypstuRBWpZ3jZbfXPUlLPLe3WZo4XgSYZ1sNNYwAvhLeWPL2Pma
LUx269TLbL/UVn8Z90qDzQ3dS1gIZrjG/HRavR5GtynhIcTCYJWVuzn2qwsdF/K6zrfgxg2bz5vF
9N+p7kfYR/Ynf4KZOkzt1N02yA89iM6n2euK8sqKuvlp8nzrYuyi+WvU2TCDvqh7965ijtAvJNzm
gLDhYtM1mC3VsmMfol0+Wsvc2ZIBj7w8APV14125tYCpYcOTZ1fY4/QpbAMmQCFZXxJzQoIyr7Sh
nIUCuBxFzpQaz71tJWVDX7IZvYVAymJokrxQ3qXV2fwBFvvgznhr+4knrlSHoCuZpfq1z32EoDnw
gGIZaXdQ7uNwOc99Vuz6gqEqKaJ6LffE9OnhisnklC46S44Z7YUsXXynEeBT0dZ/crb/J8QcYYbP
QInvARLgPWI+9l5GtET8RveWuYjaxfbPDGmvdWr6fE49Mgh6AH1pbsLaGp5/I0f+KdT4XZjxXo53
QutpK0OaiqsvsMPolz3rN/VYFKhpdPrtW9RP3XUZi+WYGwf3K6DrrnTG5awXzfJgZbXXptVi2X9Q
A/475YFOH8WK6xG0jNTkY2RQEfqFpQOQ5M12Cgqb7S4EQIzL0nzPWs9XnwZMY9CZdsxXoC3bfq2q
ypsOMgTd3K9yAZ9h5h+rnfFLXZ9ni2UaWq3yzD36hdtaO6+eRn3Xbwi2EsdUwvpDOc4HQysfIXMH
6Y6wSuhnKQD6QHhYBV0QxvGaxHWyOjgWsgAHt7rOJRVVgc7t59pxGkYljOdsQhFkTN44J6rG0uuT
N9WYozZpabVzfrE21mgFzR804f/pRZLGSBZUTGaqw+t8f40JwWEbZnSaBoOs1DETZERftirndfHg
vp+LtXyLqU0e0gofzutfLFLcxyxy7pi7wb6o8hK4h2wJovGMv8XJ31+IJ1buN/mrf6oopB0MvT5i
3FMM6QeBEMB2MWQjKpp5aWL18NdNN7lTpY/OAEZ1w7nhT4egBK/fhb00wXlO+llzE3eFphp8NLPD
dqxrxodm7LhcJi24UrJRO+ayLUfKP5J5nYPoD3raX3UE/9K7nV45yhnhcxe5ZBUS7/n+sx0qf2vi
YqwT12u4ekVtmuilycdB7S3Djf2tHfm+d6tVePV17rpIGTgui+ompw+YuFpc9f5Z0wwZPJZblM0B
CmzKd6s/eVviS+x5Q3Vig0ACCrJ3Z+M++X4WIPSQTTCAglW1dxiZm/WubVk1mKXH6GhFPc4hyS3w
k42peqAJHqy1HOFMUr1F1jdMJtF6v05F8CnWgupyMc9D/4e744Mb7/TheGSsEtGF/oxffYy52iAm
2hBSJ1F8TcWNVUasNstcbllaMjP1+87vPXE9SbrI9rIsXXO5xSioLshP4NceS9st6P9UHuMOijbt
HN8bzjhE6+rSDkzkHdrA9q0EZteddmO9QN1Ebc5fdXXUo9cJOzted5EknezbELT1dg7qUj0D8Nvm
099fw+8P079iADlGvNPFYHMsfbiEi9UxxquzKqHAqDtN0Hlal7ohXrEdLoJSggfYyFHS2ZvdvbHi
dvrDTfTBisEr4EPGbOnbyPpODt/To+a343wrKCHrqgk8uSin/kBTuccQuUVgCn9ROnzMoXceZ17x
XFr9rJOmkKeT1cnd70ivBtqFBnI4di7gbJa6DVjloRXr8tJVPATZPrPs3FJrNu5xDHpHf6kbAlBZ
dmlO8jerVUnrZshOPYDK499/ur/s1v+6z0LCxgW6QppZCFyhoOvfYu2KILezYP7BZjJeg7R0Teou
Da8ehCC+ZotcMhTPIfmHYV18G9DXFLswlHW2JxczE/s17mYn6e0gvjUgoztlqurR1Xo2cEoOcTKL
qS6DpeNMsTO/q1LYm07ubHt1rksdoQfcHGDzyIiq3g1dRwOG4Ujat/EgH7yMZegPCt8PStpf7xip
QuDSm8ehjWzh/dfZWH3Y+H3zYxYnXk3AerBDoJ5nbkaV0OFWiEaF2kz3143KkVX6PbgrMzlrDTq7
Qu///iv4QO6fXtDJC4pXAnqfuJaP3snW80qGCHM6SHmcn/fLYD1WVdyFSb442bjTIjCf1agcmNy5
ycr96psou4rjjuAsf8GPlawQ1VXi5H78syuiat5XrU1znaiFc1iGuv0pSx+q0h/GlnCWbmwe7TXS
7FcngpODZvjqDqSx+wt4fWJQ8bHtnn7XQg0HWG8ri/CKXJFVnlv0yBymzOIS6Wdi32w1sb75U18j
4Dm54HemdaYhXaGx8zTbRFke215PXNGqA61rGMoL/snVI6aCU2R+jruef6z5xUCS9iTysy5c0KcF
nnOIoP1ZJP1syfZ9xEYLzZn1GvV/M/a7Lmxj77wzFXfKYrn1lWlQiE+xARH2e3afpK5k2CSqja8b
ewictHOdJt6LuWV89ZvmFNnMp2vhZVugm359sf+VXOhT3/K/jwqgd5Lp/1VR9P+gTihiwPjfZULH
b6/vldenP/6XSsjx/gFthscTagbhz69Y179UQtE/QPROifME0IUhs9S/REIIqRmviBohl8qjPY35
6p8aIUv84xSszpTIqOtSX0+W6X8hEjo9Q347BAVhyLi1ON5DQhPpRvpwwk9oKNuYYlqYx/4Rsji6
Vr07/iEP5zQN/uuHYLE4ebCROhEQwUJCiP77c2emgiBrWbkihxL1cGSe1Wg790PBOPjbp/4f9o/3
b+efP0kwQfOuKE3+aAKLyoJFnS4BlzrcnVsB5ktt9O7vf8h/eDtItPi6iOoNEMl/OEZzP5KjDE/x
luF4lsd9fjvRT32IQFj/lL3q/2q+ePfZkfGOP4ZwKY7Kk4zr/WeXiaFYcqCiE+UIRcDBk12DNpb1
ftQNZd8IpOE68m0K9k2uxHKJGCybkrHchEqWLGjpulV6dnnC5NOYRPk8wl+uaNQTBvR+4zEFhrvP
jGhVWtGi7t7kxVTfontwkR3ZIv8+Olmc731/0afmiLD/EvuZaRFU6865scaV/+jmY/Cz7LbKx5kK
cXgQvfJ/llvJ6ck/4VX3ph35wU5pOT88qBS0NMLta8CP1fep7m7i6CKrQnSziyvkemPTv/V5ASrJ
98Le6oHwY/CiRMo5/B7ygEDe5GZkTus6buK0rkMEDnA5zwXRdQDB1enslI2qZsjDDlnVHIr2QhWA
eAeaoKe3rl7bbN/Y2rxCPugvem3bn21T+tcQHCuYoyiWB+iCrTrUuQsUafUnoiKeSh8EqPcGnua9
9TotY/g589r6M7puoO3Sy5wocRcHDXUbt9XyHFVV49o7IK35mTluud0YpFXaRfXwwmOaXFZ5Ela7
84otHl1hna5eCDQ0T/H8LLkjX7upLF+5a5ZvhQFoSaoNY1+a9e4APync6VvosLekG1m0X+gvY0Zt
8rbNd5EwKKDceVy/Eo2KELyNDHDZForoaw7ufwNzE99LmauKD1PMvIhR1V+0G5kRw6C+peiM1Odt
mevHbkF5nHZ16z05Cgw0cRaDiiCO5y86a9anEedjlICsld8Bb6bHKQrc5uCaeb2W9arZ8XSAg79m
fr8ihT3Idw4HD5mMg7bf7HWtvqu8b4j4Z/j2ebDK/N7N3XHZLV43WXgPIP+OWVc5FyMWGOrW59K6
golHNl6XHY1hOp6BNdbW7+5nmwaKtCFeMdstNBaHidPn8F3RtrXbvd7W/A4Ph3qp1xADr9R5SNhR
mT8vQRniWp8RmqVyROaLJGZZYY0WJjZ+3+23vRrrgN1jlhkm6MoZvk/jhD5oLcPl2RnafoHcWMX3
ukeXkI5B0RBtnemR6vmQLQGC3qpvsEoqjwkimHpImK196ESEIq/2CnTvWG6QjUVTiwwEovJFVaC5
yN8dbn62KuwB9HhxlzX8xIbGazn8cAomuIRttqLNc0FYtEMH0n9mL98+E9EYxUjAguLH4jVrDA9Z
hF9JXwruXSkcFJxNyILBiyGXspOxvId59V0oXb/Aa1A79bBvtM31zwwRe7thE6jTYq/1v06TVX6P
pqC9M8NS9TsD23nCFXNLp2Vlgy6Sb9W6qQiQJiZbr9Xz1q6wcCv333fNBfQgKvcZTIBvq56X9WZy
tHmLENZQyjtmNWY7om3YU+ss2td53y276DSFs+0CHSGR1B5d31H4IjMrYkBcxEqahRXKluLIrPtW
tiZngw8YdonJNLI65P1EMrDIBI7Yohiq9uRBkB5ZAsJc9+0IZG971nrL32s/C3ql6Q9FlEnYgF3o
dpfnhfi5OVwqwPQCd3UfTMyoJeQyfGIMl1g2prl3N8arvev160POG6gPqra3NBpOdBzqkXrnZflI
HW7grRl9U32lD4IwD5rJ8ExERzX5FYBn5Yo1CfBlXIrAWb86nT9ADbQlr4nJfsVrNMwuhxl69js/
cyzvzLWROMXlYEc7r8GsgLpIthdz09hYFXpHDjt07AgrRo2WrRGcz2FGWIMYz80SYdZRTtjRK71q
eH3HjP6dRAaFTQMK5rvH1VomcMkxidhF1LS7ql6EQhu54u/AnVB8bYa8NBe68/O30jG+t8/9St2h
Ga4YnatmcNPInvXjEnhNz1vwRrNvK7bfs/okHUSA2qPRLIWZi7R21PQ9U9lSgNQtot2JZuDwnazZ
OYOMc+OECOYSiRi8zpfO63KcD2GodkVp2W/Am6PHVOtB+KuQFp/IFJjlw5OQw9tmcWax/5/XXhfF
KWLf4krJwk8WkXmXgFrNJ5uyyFdr9OULSiGYbM+a8mm3yjm/9ttoupmFPYgj/H+vmMvBgVK/QPCG
CbgpP1vhYL+u2LkeiC6XbUqis1Ufe/yEd22XQTdiEJLfh3p1voAxG83iY2HtySisqZITgVhD4aDP
sjnb9s0SiW63uFn/2q3Net9LW+w8iu3ueCyEN9MgyffGWnRwrTD8vvLvw5hMhXIxRMyLPKujNbo1
a3C6znPJQ2asfMRSa9hNn7KpLR5ipDPmIFnMftRe5gapMzQBCLp00bqKkPMr8cC1LyxAsjDNScHJ
U7OSNQoONEeUSzuFPJ+5+F4RC6s5jQOnZ+Wg7u8sdMuA5rD85I2KJ/9WO1CE+2KZbDIKACYTVcTj
Y67CEMPYiEki29R6PXgB0TOW5864nOeKbIfcnY4Y3WhCsMtq+8K16Xzr49Gzkg0kaMJsZer5KJDU
mb3dtQ341VDNuKLqvN4ZU3IClFJN+CxiT9+G3uy1Vz14I88U12AzG0akJD4XX30It765N1EU/Sxs
MdwsPCi4jrj7cuxIefnizqf7o/LEEuwcO5dhGgai+8ICW74E1QQYtUHqn3kDvSKlaLNpZ0mxeqku
IygFO1Y8HVaUup8pO/PmFGh6oanbeDOBYVIvwwEGy20RwBre18o0GSfzlqM8lEL1sJmi7DmJAtvh
M51nnsp7NW8xW2u+2uq+Y7Ov7x0UPOpycsaxFudj7nv3bjjiUrfdie9OcEYhePBRPxHv5I+vZA2y
fW6WkwAjOzylt0b1u1oVpU5X243qy06JNSCtlXOLC6eHR59JzoWbcd3+uESTsC5Rn5+Ue2toAWaM
+bYmJKnITwPWfDgv/goyiHqY7+a17Yp91EbybOhcXe91G0wTYs+q6hK54DTkaqv1a0fBSLAz9KNe
VNaIS3It6hb5dr0U4lZU3HE8SCwXSpsI6EOvKlbrSSMtvZvdgJlognGd0GO40ZUc7FAdyjmogl2V
U3F4U4RDY3YGpLc6LBrx2U07BvqbrPrRhXca4Vtr+iqLXVVF6od0vYwJspg1SqNZzG5SeKiZeMif
XvNi8ojcxFgFRZpvM+Is3U8/lk0ZKKygP/l/cstpU0fCjyf5JKc1lbENKG5NQYClcOYMtntjn0hR
S+5aanOjxAI2G+83raeJIjpRxft4ygS2K99WZxg5iogEaFyelOQoGKDEwccPfe5MIdSeRHZKcADa
ZWamqRK3JcF0B+Qy7nbeGlVzYxQBTyDI1u5CUBYD61FDHGPczrLS4chxFVq6gAjKYTflMYEDp5DW
FkprWoJvTsH4n2QZSwjPZRt6+nUaQgFcXsDL0KqD5NK7HiPP4nVlzfBM2Ebu7I09VfYTJliN26as
4vEOU9kY3g2uR7GTPeQ8g5nrgvrtv4ch/leM4R0S8f+ba4lgs9921pNx/J2z+/pNl9/7353gv/7C
X4CEFQX/AHoTAYkCCMs998Si/R/fEsYlEbJrkvWLucE/EWj/NHcL9x+AdJ7NCuoDPdAl+38xiRPE
IQQsC2SFI4gVDf8bSOIDfwla4Aq6hWzWXs917Y/MDaedU3ZdMV4Xa1yGu7F3jXNbe2PtfrckTylO
LBF6lzN4hsX8I6vt6bfP6j+ACB9wUorVeN+CVrPgZG8nZ+cDXlGuJfVC86Cu+mkc3Z2rZEAzQC6c
5dz4cTFcUITg+neZxHJD0hnNMt5F04q5Zyl25OkEJLcvo3z2D6/rRP39CwvgdUWCNxXhrAdU/vfX
5WIZmxHV4PBb52baYTxA8ifLaFVpXdUnvUy1yeDmL6KqbmHkWQJbTqNmUmV1NyLEW1OPPTa88Ptp
cf4AvvzK9vn99bGd+MT+s4vgX3O5WN5jFXgyPHcQ/nDFsx/XmE2vgrkUgxXdWRrO4qeuhw1ZECLm
6aBcWa4JtFwXvZq6WJBrx758wOUdqcvcnTGLNpiPyru1U6X/J/7yBNH89kodGyzFJssLEIfjEfjr
/St1euZDJifncrN1o89VNw8oddCi6CQfQUv2BcDJWw+Rf1/XCEd2lJxM/tlIMFX5h0yZ049691JA
8HxGdkx/XHj84v1L6coi00xd66WbhcxQI1NNc72uyLaTrV6q4WsZsJPmf/iu3nNLpy7mE4JFX1FI
wjDdKB8wrG5DB9dVZr7sbQcCFJ/DCKAV1DZy5RkL6qcN87sN7+yhCiROnd83Fo/Eh7+/pN9DaaeX
wUJLGT0QZ0AY/8crpmV4x+e1jpe2rlw0IEIRissjlvzScejLP9GH7+HBXz+Ou8fh6kQigNvi9Kn8
xmcJMzRFMQ4t2sW+rlHJDT0qr2Q8cb7Hv39nVJF9uF0dzlfn5PAE3wUkdH5R1L/9NEITdNbzpD5O
vWX6fW5N5ucsNqPORB6jPuaa67u0ituNsaAiZqVBddKykPv7bEC2KcJZJqr24nMzmGYXjqi22rKP
LjNZuvvVBWKQs6bmQjJ7NF4rvoxxsJ6NFDY/rHFQplpSKyGW+UYTUfuosnAdmDjjbIwtBPy6rL0L
29r0bL2pppngecblJziKfB2WSR2YXZpz5Lb+jeza1xZu5uijv7tGzxLh4rGxEwDBnTVbhPzMHd3o
UtbOfIy2OPpkaT+6Lfu4S9u89xI99OHBLob2SqJrY0m3cUETr0GtksVoz4H/mTlbPhQhY6ZRbX3o
FyRFQdfnR7xIn9eh3u7V6up9sPVyh7EpO+L+DM7yqYeaW+af4byR8LV69YihFSwDc/WGrWKujyyX
mPV8hHBHPgY29cIbbmZE5kj8K6yjw+CczaIaoVrs4Slz1nbvBrqOECcig5MoLo6Z8ck68LP+Uz5O
0X4j62DHo8N5jVYXsZ9BgLtHXGOuPb++m+iZvvcjXIZzMDv3UVfUD6q31U9V+RqKzY+7C/p+SNc0
/trdw1F6ScgrIcI2Z1BC+hvY2DZJA3phrwevIL11vHJZWi40LkS2zWw+EtwR0+w3PFZtJy76IiCO
0Btxw/ZjhuyLP4YAfR73gRUzobv5tF2BZiyfMkInv1aqa7Idxubqtp5N8OjAZt6Sv6GeWg9JVV+o
eD+i/7ocA/Ys1hcTpyb2cAmPbeQc1Yh3wWraU+4cpc0B2aam+l5r/9J1JjSsu4g9sYoPocW+2T6O
ucXFdYPc118u+sx8953BT3UwOVjhDIbHLteXCrL/Wa0W2lMI5ArPn7XACpbEbPS2fHJzu/khjO+c
D4jxjpVAHVEEjboZQ/ivYa0O4E1lutjj9UIkBb4pDIT4hbYSByDfkPK2kC7CktbSE6tXLaBTLrkZ
qVzNdu1lRGBwXqi947pZe/IRPobSuSI+g87csP8RjD0Y35CfOwPSQccvvhAASVQCdOMhZMcDbdD2
V3pgjspvCeTLl+HK5ItN5dVym/VqpX1ig7nDQXumc632pVtjO7YyADOSadaDcqwpXVW13azUqxxd
txrOaBDo7zryKh6DLWtvyrHM78osN1dI6ce9pJn80hoCiyQYNK8i3RAvjUjiHe7LwaXaZ+/DsGPs
hhikR7Qo9JsYStdP+6UGP3F0c+0UBMxcRgXbx3NRZ431tVQGPnKOoxX9honDqrjGuNZVP5jjnZ8j
35z7tHVCPnSnGpNTOM4830QVRb1f4lCW2ZMceNTggtjKqrxQxEzVP6NTNEZquWYKHgOegT8k8BHK
pWqR253yUPcd3TKa7J3IJ6c5/DU0dBbEOeqiiPbZc83ShfwGsdVerzaOR0CP1aN9dlKSwHZLgRPV
VcHEMS2Lbg5xhRzmfJ2aLMKh3vIvKGGBQVqmrK8LJ/dCvCLDEl0h29ywn+quRB9i+AgwLNW6l1fa
IUrmJuQk9pBp99HJa+pIzpWnBVshTQOZi3a6s5d4S8UvV7zHORqkbEerd0WMil9fk0YxbneePRr8
8zjvs7fNcH9ct3h9v7l4Xf2LwUzb5y7mEqMawZGMbkGQnzj5scSeqpG56OMUcXYAfTXzxeb2g8h3
IgtsTlygWDWBCGizNVt2EM4cqoe2HdG6LEUwbHdzp6PgE+BJD1As4jWGGW6B/ZJxxUWZ8MVCKXFL
e1v3hkihIF+ELPn+0iUupTgHrxhyQmesqFyDw2bzDRX7sCtjKQ9lGHTXwYzK8NBNo3gQDOpVeTXa
nfGC1GpY2ttrp5maOr/0lxa+LkXToTi7OOXtk+Jhtflyl27sDgig4u5Y2r3CE1aoSNj7LgJ03QG1
10OA8mTDH7xzajv8AaESYXXpHRNWORzibKx9WE0qPKI3bg59WeAw3XkKqOCI6GNlmRZF1OO+der8
ItbEDDzFOlrlW4vzfdmRKTMo5F1FUfG0RN7NrMNqhApin/dzWV25XVcvL/MK2sjh12PhPj2est57
81obt2citsyfBRkuHHk/Q0fI4X5jbtrOOSS96SHPODDTrmOkPOuL/2HvvLrrVrI7/1X8OPMAL+Tw
ingyc5BesCgG5Jzx6ecHyTPWZfdcjkPb08tuNsUrkYcHQFXt2rX3P1AgfaBo2+kXClIrTyqWGiX8
VsKvJmSFCCuEtw2YiYWKtN7kqmFPJPzIWuVL3KQfScPaLuHUoF0iOEWowq1zIWjLZDBLOYMEF9Cq
ejKiVELgMgSLY1rNGKAp1Owp/4WbyFOoUr/U5u/Qq8MHaRmtQ10iij8hSeCacPEeSRmfmi5K9txe
6U8l+bltUQIC65oddZCluU8/ZEFxt6j6a+jXLzhYoc/TqkkQgh85C5siDAgH5hnAir0+h8KdCP8u
WGVYITA7sUJUjYq3nMWbmrjiWp1lXCXGiBtWYlFaG2INJdcG3jmoHc0OLWPwUJVBwlrQrMMiC4NX
WxEuA/pMYDErEMrrKPb5LUjh3DWFFXa7wDFpdpHayQ+xaeY0TrWmOhtUvkBZr6q4hxoZ7pIik3aK
NMKi3JjpSTw9SkuRYL9lRZ1jlXpji6BGj+PcLgc11ZqjXFBMY0zy41gyq7WeZx3XlW7aZVlrP+So
zgMlpbyZA1i3u2Io931pNjfgRWe4FtWyb9ekQ4IhfVfXor2lRIdeLIhtt1pDrAnmKr6tUn5dJ0XG
g5YPkumUqlmfWoS0FHuJa+MqnVqLLEHRoKEAIXKstpc2LuMwPqxT3RZe0ldI44yjAm8NePooem0/
SR8WbZJTuqjKoxxyULNzmitOVwtYSltimvgDsneQ4WhjNl4ch9pjJsmL5htWVJjf1NaK0ssIAwY6
JsGXExH1JVLALo5dMNqlbNelSdN1kQcoGyvpQWOnMLbuEjbrQwSt+4cSVSG4/kney3NebR7M0Rgo
NUBT29RkdFH7aBHgnVsp3htjOxzmqJ+eqr6trmmuklBx9+Zt31QSez6IvfuySKvZXaJRfkpkxXxI
jHQ+xG1X3fZJqOzj7dDpqhT79mIzcwxuW4QD1wxMO2xXTfVFva51bxmnPnQGkHZv/bBYjxrKGqYD
LRO+JPBfXkfxwaJEKcyI+zYmJat8gM7MLzapqY9igi96ryLNORs9oKN2wLzbUpBlQ84Jdm1KfdSR
kxb5V3Woh9OStO330UyyOymfwxB9rWF9UpRIZ0Op8xRE1mwpF4RGRTTyRXhUTt5W6VnLWPYH01y6
h57D6A0BHX0pSczTq5Ye7I4OWu3Os5gvfjeNIM+jtKFJJeRjTtdB1AffKpb5HCl61O3ADEwTz3dB
z9maMwCPIYpqR5nOlyfF6/xSUJn35jaR7sahs5xRWUsnzrTI79pZQx8+qkBCFcl9VuYvUpXRfQKP
SD+oa5UnHi0SxMtad3D7QdC5IhBMH8GTJQBaUB7prUqBog+R2ygGtIK5zePxYpEfXjeJOD3Qh51K
wnE4PcxKiYVc2mSnbMiKc10WZwFk7uvU9OFZzxvzSoZk79PG13YqxOfCViajDaj7H9DtSal/ZCpd
VbBQp1VMmWIggDlTib2wA7zZXqE1LbyYHFRm9P7W9ZXFKheuqCAVlidL/aKp5RSog/kmlySY3M5g
Dp6wKjAFlGjicJVY6U4FZuoVrSk0Ls3B98ZM9YMwsS5axLqDFChysIxSy/mq7M5yDxlH0uofFPAn
059NLXMFbZTu8EaQ3REU2U5YhtorF+1dg/TnSl1xjIwh8psptG7EUBbve84AB5Es1pEhsl96GhUO
sAK4pvraIzuQGs8a0ggXIaUCbwp9HFRqJtuGWht7qsh1UKid5tFMFN3cxJtEUBuUFSRYkIDbnWbG
rLuvZF6a6fmhmkLWSFNK39QpFf0aJtU+L1XR6ZM8cUaY3SirKWRjY20pdDLJqLbOCfi1InRXMXtt
Kac7aS5Y3jgKwP6lftmVOgXkRd8aIEIWAXkElhLMkjK9LpP6UKttdsg6PTpoaYUmvrXe6rlifHDG
qu5GzpGXlJNH5y36kpXeZArTLcyOJnHNbqivaHWUxhkoXo4gmxyZx7iYxYTuZWtqA2piPfggoVr0
66TUhHuN45UZmGOYpLu0NFLIa2Yffif3kVyzt9YIOmRxKyqi/Ly0TReglKbTEqDQzTOTskd6hIoL
+RrN1DLUbsVMm6jbWPk+qeRvwzTWt1OMPkXRhON1WTfTYVnhD1qtIR1DfYFiSZ5wF0JuBnxTlG5C
V8sGwWQ+NXprOp2SC1coEj6mvSTv9HihQCXmsU5TLT/D7OAxg4g5NrHKRYx18Uoo66CvCPMTYMox
c1R6Cvu1JF4vPVkQvCld8HJznC9zaywn1jZA7VG1ToAUkOsOsx8cjdObjGOIM8PmRLob6gYKTQNM
P2Q1IzEiKWOexBQgmmwPvjH1FjlP7lKrHi+AmMR6N4qL7CAMUnxXGygmddM0FxUVT/qLBYoRSSO8
UNQjiK956TOjjWxnysLqU05dFydSQumjnWiRrdDDvFpVIy+nZOt1VovsuZS1CoiODF/IuiYyempV
jkzGuHC6rHqK+za73tQLb3VdgbirwBpHQWbzmRBg7ybkZmI5dbu6Ht8SNWt7Z2w6vQq6MlGQ2wCV
sxqpSu884YBasm8z/+ah8ciGX4Bf0NNNFiT4U1G6lrqqwhydvVZs5O6oqI15nuHSXih5KTcdwnIl
HpgGlM84PBZlpDZOBZEVjRFUgzb4iBIAY5lmD5B1fxdDSbtCuyh5QaGEBZis4kdMQYPMHgAy5MU6
cqnDhXeq2IuXSh9lgPfkhCeUNHq/TepRRGGw1A91KBpet1pTEKlImYg1HUL4TX4EzpUGYi8hSMoR
vX+nvaxtp8nRLeexCvIKfsCqpvr3LhPll5VaDNabA3GMfJ8HhmCg35KyejyA91y1nuooExwgQdat
ukq1J6GHYAP0y3fS1EgOIkxdMDVtuo/UtkGrdwYG1HbSchJy9NLIozXtSZSb/gbRupGSiKZxCcaR
I632gGH7/EJ3sPSpTkKVnZV25RRl1N+KaFrQF182mqdA/xrEybqinq7Lg730Wf49X/Op+7YsrHKy
I2v0wZxzY2Vbqa9WEc3vbJajkzCwp24UYPFWlkiHclrUuwG2O1qaplid0OyaiJjIR9aOYkaTm1Rj
lhwpGYXRKdTN0O0yKkc/xCmqDTAGSQFWKda1J8D000OegWGjM7vGllDCAJT0vjmheRoO4KV0aZwa
HagYoKsm2YD0fV0o4Eg6iCekhvN0XqRYekqhbdMcU59adtqz2GbFO7USUo46Ekb1OuulBoEkFz56
ho+nrnBth/HnGaalP6hfyqzhLBmPPXxNKjA9IAjkENkaDNKkY4OlZOfLdV2X5yYD0WivtIRRO+hi
xDLIG7W1YYWJRjvmdluJ1mUdjGR1y2ZUx/vI6tVzjsymfq6xbNW/D6UiZ+d1mpbQC/XcNNDBEfsy
KHNTYAWu9ATH+6XJKSLGSZNZJ6thwG8XmdZ74cC0SxkTLowzQlIrsRrUP4/PBO5wfhVioIo9fUet
CR/aTO8UX6JI3fnmFJnFe2J1/YqQlwhhm5hicsTMdIA9AcIObXw012hNj5G6jsa1IvTIoBRKnFD9
rRY55osqNZsghEgzl2CI3LYR7dHPGtLd5glzyekKr9cgG8Pk+1oVaE0X4crhcViUDrxYJXeGeehh
ds9XAOo4+GcGqLxjU0szaC0lR+AWRaOuojxRQ33i+GuFSnE9rUIt+pWhdlRBMnLpfTPkC6R2IaIn
Czoc6s9ApKHuPobR/KRF6MQiizuWXeVRwg7VwJR6uQ9ITSkWRNksSvslQd4GNGTb46mjaktxECkv
DC5wYrhCUzlX6QfeBzWHIOB3PRoLZSP56yDqSClTY+4X8E1miwSMEa2m/gFoGeUeZx465pMkxVs7
5ydrQPlJngppfY+3GmAVzqW9vkKP0kO1S0459Mv0WEjQxECqk9o+E4xp0JMLpS0ZMkISqD5JL1kM
lbCx0WHOW87wSjt7ScTRmJVTU73HZGRMYeWgPdbjU2xNrQYnQ7EE/aPpBGm8nzJLYejy0RT5YgD0
Z7Joi6rpdq9JFclTsSnNrnWI1G0ckmLedxJKL6giL4hAGOuUHmQQcSridClBSmr7VbkZohXDJCT4
5NInTV5ST53lEohdhG7J9S/CYAzqn8LiKqdxecihoj6DXu0B9HTRpMXkcXRwHJ2psWMLnBAwINUV
vK0po57LtVORcW3UVb6J1Q5hhwmMCtdXIP7ULSa9flRze79Bv4RrWgzrKLUoI9tgO7bKWRYxmGBi
pNILezIC0Cb6VNC4wesXVrCUxc7U1ORWBL65OZQjmCFbNUbDJOejH4RqtLmaB5gFZbwn4xnH1fvV
sVN/DmurzK10J+eDhagBEKpmH7aa2DhLJozrSehyfdNyq/vRX4bClD0L6E55mYBC5vjNDcKRySVY
l6FVK2ynCwM2SwqQ8MXqJEFwF0PPAgrZaX3gqLlxsixzMFA8MPVylyMhJd7G2GaXLoFQW12UPsb0
0qxQTikrSNBKEVK2XK0r6tBfSfbJYUtEyU8cjBpkL8RsLkCWCwRDrZcTirsqqhWjBfzK3ky8qK5J
Sg9keHMOfVXhuuWupI7ND8Bf43VUMES7RZba7g1tdDUjKa2Y1kMEddsFpy8/GVCEtOeqrjlMgZOq
3xSG+oUaUabsemuuFl+fLROKbVKFigtBQw69bYURok0O9QhmbVOjT/Plx6/F2bcSc9SEgN3sxH41
ANO0codUZzlKYFViXaYwWAzV2h3ktNAmH6mwEtmllkoiTSGwNF4GR+sojVE52InyU9FXjOblgOZG
G10pIoi4YyrguG2Tig49tVSQ6pwr+wRNTcktp5X6ow4p30uZuIZvIM4wOGgopMdxsZpob4hS/WF0
4hR/KNDeVyrPcgglXVJVKjuNAILssAlAF88oMrDmE/T1AJa00OMmG2AvDnfOqnBz17I8MgS1oeZZ
IK/IEk0yqitul4+9iWhIlDX4YAOWXQ6c2Gld2jIRN/1A84m6JtuAnp3RNUirxYW0Nrc+rUkq64JW
66WP0Nfy2CzlckIenoYtjYiW+GkpEtFrBmbIXbZTA4vOMvTigP64iMOQmuDrYENVlMNHAMBaE+CR
jmwhhXIybeJ0EU5XuUpN7Mqak7jyTewq2Dn7PkH/E7xU48baPCBFk3fYoNhFjaJgYSNJmOcHVNME
w51ELIhX2Uq0nYQwRrrnuGE9IBOMChMruF6Q+RN71itCfnDC1w4A4Jhw7MboQNJ8iZLYc9uY4QT7
GDS582uPENKFh4zUUp56VZJKd1qiV9GZh6RVNxVaZ5Qs+In+EZ3tXr/8iphGI2fSw9iKVYpMvJho
DjxXFHQA3SljHAjdwO+EewI/TI1VaYvAYhnv5HVe073MUO7rMVZxBxyUvnvTW1Sq3JEdj+ij560e
LORhD5mKGr8LVLf7VkuGOHrjYqLC5xhVPcm9E88DrNmZQRbJ2aImFaA99UwLaQnJiQVpqOprUPAb
NWrpMTzEwWa2rgQqnzDyqmiADquZWn5W50x/pczQLCewoarqpmyL4z0ZkTbeRmS+63Uoj8p4b0RD
w/Kdq3GPBos+nvIyEtfbFhb5eK8DewHEajGTkn0otLH6mpb6Ikp+IrJJHpV1XZp39pM8Y0MRkyLJ
berXq3ABd40+1pTmIqhGtdsKwsIgq5rlcoQO58mJx6jRYZ63UWabSPRVJ7PVCkT4CFPS6qJpVa3I
BcyyEEIRsGgoTMeyQbsdipZZYU7QFNAyPH1kp/++ScJMbjjpG8CE5oBFiyCxwEjYEmVz8uHWiMvx
roP2UN9wmFiSgH6sZp6MfACGmKZyUSBnVKTfshZSPlMU2O9Ww57pcuzQGzWlC/WnAhGYUu6VQ0TT
lGJ7C4P78Z9yJA00LlnXEgHbRZa3ZOsCMWD0rOKiWFFURb1PShYigKBLmKI6CO6G9fdWk3uVWsA0
5ucoFer5zqzrBBGraGCelWgBjvdiamnVntJFjWyGIODsmWtzNuDnQ06zE3NOPbtxNYRHGk3dbprE
Be/6Pi3TUzhqI44KkQ6eFliJEL0bBr3PF86sQvkcwXL9YQhI5r6KC5yrkpNUrBvA0Jt4JgegZxmL
md0XcvTDGrspfp6suQlftCVkboSUN60PGixzswOZHI77dkkTF1/0bKWGHdOKOCplpmRntFkk0wtH
vRPvFupZtR1tD3andInQn8qCCsolBEJV+2vRy9kThGHU6lukjbXKRqtA73IfDqSs0j4k6XoDU6yP
JsqDlamDDG9oKeZpx4mqk5BON9fiWmmA49CfXK0xWLhkWCuDkqXrTY3+w3KsgD12PwqYG9jWqNGU
gCehCzUc21quq10L/kvamizJelrbHtpPTaW8tAUjH5cFgQuOZ6G9Qupdnistb9BwLEttOoOSL9Xb
EbqbugOKTGxuOKFn59Sa9PUwjnkJVqUWe9OYHSFbumSPeUFlXaehoRoXc+3R+aT4DzqNokgtbase
LZTlyJlhGDxRoibyZGhCAuwxHYqh8/K0Ejs0SSetpVYItQVe6NBTetmcCSodMaQCTIVQXynC2EvW
WaiUBCdLJD0SrCZW3hYF7D/Hdmycq98hO2h6b/gmdCZM6g7A3v4II2nCSDcjVZ6xsqRW59a/4DFS
rCNfZ3RwBwBMqOt+6SsmwL/wrVWksE0ZkzPUARS+/PGtBdDzikWmc9AFCSkDUy8mV6ZyqF9VCXRt
hHm2TaGJBg4Rf/7On6E6BAEiIXe+kYV0Wf+EGBLEBQSrUtaHLqIR5TTIOXb+L6hZrNPN+QI/8wkF
uJVINKyyDVVToUdy13+8UY1zS6uP7RyMVaErd726WN1TmaKU/DIjLzRvCHyOTmvOKniGA8YW//N+
/0Uc1v838GjwXm2GOn9hCPQHhOlfp8P+f0h0VRmJ/zvR1aleq+4f/sfx/T1Pyuh//sO+y1/Kt+53
qOn2C34hTS39HzEDgmFkbY1dDLkhuP4CmvIdE3NL4II6kFKm8v+BmQqS9I+mLPMajqo0f1Ve87+p
r/gLgQflBZRkNQMU+b8IZ6r/EQNnwhFlHakSqDNss0WW1R+nGKWuNKfVIgc65jjaeEyjXdIeTfmq
KPZ96+r4opR3eSna1LxtVdzRxGWFb5JCC724Jj6UqwunMQEbgmsHtfB1ByFD0Q+t6auDh10tB/aN
/d3djRguCoEQ7trMK+kbNqdChrVukt37Rnpoy70yUVbaT7FHG1DLXewSi/lYr5SR/RA/u+W+aAe7
O8dH47G7L97mF+1jfikDQb0sxU2SflvUfRF+AU38aTH6z4HuL5/QJ7wciVSEApcqByYGuN+Xd+Op
+t58hyhC5e59jG3jB31j40f1vfo+vJckA1R6fsC2jO9Awm5S3+9L4tKXgLxWDS5+rVN6HNJXHcL8
2gTpeu7QnU79pdoD1JKinTZ8y4WPJZNszASokF5PyxfcXWWLzX9yS+anMGbkNYS9iEGfjOe6vTHz
nWgeNeGhlq9V3b6sH8INOu2n4n59zL4p4Jzs7FufcA5GzZ8NxxE3QX+bqn5IrROwktN2tsILf1tU
17+u53cdpS8vk1XwO1LxP+kyv5og5qed8O9ggnwVFX4Ssn9Dbf7Xiwp/BCz/DAoWMl9AtazNy03Z
sqPfHhB9tQZbC10JkrIx7REtIidV4HCH2N4uvflF2vHVu30K0v/Gd5O3dfUpPIBIxqcOfJCiUzf6
48216lpF6pioweBwmHUmj4OTm2JVbjmWR4h3Vj40J3EjP3I349Y/X/eS/sUFGJ/iU4FYOGc0CuBq
MHmih8TWCm4AhlNuD1hePyP3cwI81avOeG++zG9hY8sPckOTyuZPobeh3mSH+s5CtjqClhS0pq38
SA7FDPGV46vdPBTvKHRJHNgp8TjZg3BRDLs/Jg8ixsCGzZ/ZO0wjDKZ//kWtkenCENOeYNvTDMO1
zsuAfoZe1nnw68FO6PfRqf8AQCY8COf0loMI1GYOkNfRt/Wlnt1BdagPupzJVQw0nVNoD6f2Ud/8
8uyTgRXvs/TYvaE4fLU8TcfIxZbe1tHYvwXNq0Le1ex7xZ8roPkORPcKBFvK2ctfv+HMGbscQpMP
QBnRR/1avtavLYyxaPu/gnTt5U28KGy7o7dIXDBynw+57qCkRP2pEpxWc2d804DvfJePiduZ9lSC
srGHuz6AAYVQZ3wEjZt/pcTz5TB/iu//Pcx/j8P8VTQxPm2P/97R5I/n1F+RWtPgucDYkilXf2K5
oOAmmfFC+6+Wo/dJVq8pE6AsYXTrzmoRvRYocNt/HsC+estPm8O/x1t+omv9020ikqtzrxwZtU9b
RKbJWWMppRqACHFmt3Pun1YvvjjDF/f25Rt92hz+1W/0SeXu1x2hWcihhHO+ytHkj7tQIlexbHaN
GqBNgkoapUAbaErlyGoK0Ar7hQ6ro50BA2KTUFt9tGQx6NQzdKDbxUTSHCiSXC7FflFgq8UCaB01
QeYf87nG1xcib3tBT3BrSRCSQX2UbpjdzwgO+jA88i+e22dX9O2gxU76z7fzaYDKLkOtLknVALf6
womhI+PNzqkJkg9oUNOhHx+Vbo4NU2MjwSDYIpVNZ26u2ThQkwYBa8zn8iXH2cqtkJn/YtP9q8v0
9+v7NK5RgQtOWnB9C5k9dn/8EebgI530rr0yn/WduZOfa84G5tX0YzzPQXtOrv583Xw15Nqnff/v
fMi1T/vbf/SQbzPuc5r324hrnwIzFlKlKAukec0LQm5U5+sXtOTi81em2l9NLW3jiP2WLP8tptZX
9/qpkvavvtdPorC/opYBsw4eqrj971PU6kY6UeuUqcHzs+hcXcHfsb99e7i7+6Iq8XNwPg/e7+/z
KZxEZqmPkLxYrofott/jNWOLhzCIdv3+R71v9xiCerpDgrzv7NkOhAC1JBthCHs61ZfSfnk5uJ4Q
eAeYczbo/EttP6k26Fv70juI23yZ1MvbbPqzC/4cX9rZ3EyE1aDCv+CW+Ic84HBj+fG1hHO001SO
CC7cKROnvKkPzVUrOqKKUJodPhj7L+LMF9cifYoz6B39za7lqwnzc7/9bXH8ayfMX923f5sw0qfV
rsURpciCCYN1PJvgofu+Z5OpAhWMdg6n6Ivs/qvxlj4t+iltOlFsGe/enV+L2bWu8nuQXprsKiiT
o6AzOvTd0P3AMCehP32fAYZfnQZNI4gDLq3kPx/0r1bMz4H47UH/p6+YL0dsa0b8dsH/1hH7OQP+
ZIV+1i3v9MEC3scMKQunwkfJyZxwR0MZx3Jg73ZBr/bfPEs+hcu/+Sz58iF8iqv/Hg/hrxUQLbJD
Wj1sG5aufAqNSN9K69TVauC63yv7e+1Pwfl7Yffus5+69nvk2Z2L0sHVN+em8xR7d3d3wcHJXtzd
cXGed+7uIbV3f75aQPT8tXj9zxelfoqR+dCb4PW4KDHAX8Vlo3H0G82e/fheDzanRTfGWMrvDtWx
O7CQn/Vz64s3WCe/8pPIu+wWlj7e8Paj4L+h5/pNcwfH2oVOs8vsxjMf4JvYN6F384gk4jXw+gP1
kt1ecATHdPU9hTRn3pkuLvC24fDp9XZwHdlANo6x/746o7c6nVt77+1RxUPp/prSlOCRO79X59BV
r3v7XXCCPZYxHno4rm473rfezvj1mWO+me57zm7nOa196NzQRwXP7n9EQecn/FYQ1kHivF5rZ7s4
XZuu4Wne3mKHMhxUgG3dzW2v83tb3I8O4o57lZ/ofMuB/3UqnxLeUne1W+OylcukQNw/pR/9YfCf
Rmc+cD+vmfOqu6dvk/t0Me0nylvO0/Vt4QQqb1fa1X5ySzbj4IlvndAc0w4Hz7T5ceWQb7U3MJP7
0j5c7m5uQDDY+LLYunfsvO3jeXIy+/g2X9FY97G9cjuvd4+D8/YoE/oLe2BzT503jdcVvKp1yxMa
Yf7zcbDP+V5j1rFBuJPzfD6m+9ZFlNqdr+LTsTxtvwzvPx9a6WF8bj6QHKore3KWQ3pK9wNOXA6d
H3s4pI7gz9cy5cP0tByUq+1ttysMHXCxziP+9nxk9tvlmxaEV6b9svsY7MdH8SYBOmeLtt2c0J7n
GeOp4orP3rds33uYtXjV/hvOa+7krofJN848ZsGZ7X1kB4u92LvS2U3c3xcrYUsN/yIs/rYQPmXx
NaYrOorGCHPbNOK5U27g7O+rILGvzrO7+uVp8txrI8ht6fCt23vSgUv0F99z3C+yvq8ihfppE/8P
iRRfPZ9PG33bN00/tz+fzzapwrNxNXlnRAftxvmO+6yL+7xzeFlOjqcErIHSBoZ/fToc7m6+eDxf
B61Paf5/B63/Dlr/NYPWp9zxb7kov4oPnwqwf8v4KW+Yir8I5rS1AErLpFv6576doPbhGlcEq20z
w4cg2PbHzhv90R88kFL+ytficfZnn96Ts30PFC67ZP/z57aO1Pa9xVn96qXcSz4a9QdYOY7kaj6K
SU7hZR4QYlfwxp1xO+7GneCgBuKiEMLXhIxau6Hjg3mE0frl4+DiDmafBtcbPe0wei+Ra7mmt+2k
epDu8ay9W9hF8bHxJ/61dgqXPg1ndjIGBD9doukltWP74UVxXmr+fTvikzQE74VjXlfsjrdZcH2r
uj2J0WjfVs5JxqPtZF2aVyVYnRM7bWmfrk9P33SKArG9y0kfHisbz9yfuzbb9NvxUSNXoJ5h2GSA
i6PZN4P9tj2bj+2C7j7Yvvn+xPe3pOLt7Y1u6MFJvcyP/DwoSF4RkfQHv/a2xxK73UPjAhH3C7cO
tqTAdAw3D/5832Y8vxjrT6l8Ys5xGcF4CmpGb+DpQZTncxt5ha18G8kjcrQkttswqofJq/fYigX1
Hj61p/girUeZIkpNFo6H1S73Iw+fcf4GLp+BxheLAVdcw48Z/u3fsNXyBYoZqZ94QKH5Pj/tVw6E
610RZHx33mVnzrzY8YpXBYbPnugjfGRnfnNangXkOSApXEkBNkx+t8dsziXTDz3Zln0Yck5ENl2T
g3EzfGDxzFQLuQ2dz8Uje3MNMu7GG5zi2HjKlR5IvkghKN+PPirpDq+kcNwywRAX8ntH3tWOU4Kn
8eKd3dyL+/Wi3FSnZi+f+sCJvcjFv8zB+YTLkQ7lLrFt0nOvCUq/8Pxp31/6i+iLbnngN51v3ME2
nfhQ8KrqaDKFt9Szd0UnJ5EkMXSSx5G/517lzvzGkW5ybyNqyTzuvZ5HcaTuRAIqB5VnejqfMKhc
kvZt8VAY2Bkn65T4O8sZbf1+uRp8O9lHewcZpSD+avp8GSo+ncr+O1T83YYKSdxCwecc/7dt4fNh
NxxUIUtMQsXo45zNvNWDkYA/++HN/E8bQ8hakokR23e05zDY4oPkit7CCgwDGGqgJEo39YtAcF7h
4m6T1tsnilM9o5zsD+7qFW7CfDZYhLmTBwe3PPfnaa8/o3Rtq3ZIHXY9LFfADlxWReSVvkL2zPmC
1YuIhT/zK9Ur0b7Iz/Et6tUHa98HfcDi85UA9NU+vlR7mvqO+XPlEO2+gqEYX2yfGy7x95JUOwKp
j6dWDRRKAtuKHhxO8mdYNDytwdNeMTZ2a7ZFPFyf4VwTlTCPdRV3i5PbB/LKtu4MQe4WPL3OUT10
I4LUj3luMJzdiEgZeaEbujNfI68KokPi4TgTNIH0Y4u9GZG1JL6mbhXEd9vroNPzushLbhI2XyB1
bnPmdcRe6cf2G6Rd6mMQHMAqCQSvcEIXs2V7PBbB9lO/frJ7336i4iP2tz+jQ+4nB2nXBHzlHROv
cRBh5roTxgX9Fyfnz4wryzyoVj7XxD2W7AK5P3AFW9QP3Zj7KAI+z0Ww3c9WuYgOWAHuqu16/O0r
18mdVPzU9s4/P6+2fWJ7HcH2Mu4KQu4WdiFNU2ZAH9y5hnNOznBanS1/yG3rBj7bPr9Nb9Xnak/4
Zm/tL929dJjc2TcDCjY/k5yZk/2WzEAVdiV3CEpGQXUQjmKXQ1+G2hKaH14eVD9jdOX2l9Ujujvb
7iIzXtFum48zYyCySkKvdnDEdUQ3tNNbzUFxJ8hcZNGuEz/zYy/23PQGnV5bcAW2923ratgQWj/0
ll0eRGxpi49PFN/rfSoJW0Khcq2jv23VcbDVKUzml+GmXnm7uJJzMv36QyOxQN/tHJI0LLZ2TW/3
ELl3iOoLQU6VpwzM2zRIXLb5kH0tdEhK0AR3vJYnp/EkaclYVIEqRzgjmuRYQbPvTt3JCO7ODVsl
Nq/2eWIPRUHHbZ3MfZZ8jZvueECdVzPtt/UFKQjwE8R0JwIIddwdrf1kP253aPJguGQu390NO/q5
bLlYhbHuF7f1ELmhtFV7xo3FFViB5dlsfaNtG1QNVudhF7LPk5ftKIXvu71y6E5SID+rr/pr5y6v
ETOzc7OTeRp3e87VWFNsB21bdki/CvtIKcc9r/6zj0/emaEl84wCUGrXwmEOcs/5wIzM+fjInZs3
2unO3cPlJbUfHib7jawvZMCcYZc+6Bf3uGV7UFDt263E0tn327s0/EfFe1mkhwgz8YZvb4/WrnUp
g7jbNGu8aWddR4ywyZNqyKcXptY2pJqLQzQVKepNwbSrjhUDs8XC7Wnhic72XjCaiUtfiKznBPCK
8h5Oy4d4d2Akt3S84vGj9c5kolvOFAodTE74b7QXmK8FAbYhz3SMoNobgcSD+1/sfWlz3Mh25V9x
+DteJHZgwp6ISWy1F4urqC8IUhSxJpZM7L9+TpY805xqmRVv3Hb3CyvYLYlbFYDMvMu5596jb6wv
CqChKsJteQfNR6cIHszOg54u4D0auFGgB+yYHN/roEAQATGUCO3a2JryFqSh1vFVF0to+5BrxMso
VyAL80x/+cz1XEA6RuNgasEkUCc5o3VtoJ1zEnlgZYQqDwUqKOf8ZPoicw95oOsDnE+YrLTADBef
36M/zkdf9E6Fge0PydbG592aYDQLTVaGJ8+u5e1lmGrumvBVpf0DrJhfHc+RKqyatGOIWMMqxOS0
qIW9Q/R6mh/6iN+Vfr8XEQQW8TVpDWGJt3UEOw3LnMMCo+0IFhsctKAAtllIliA+kGa46E46Tift
TrvLdv2zejD3xS5Zm4fhqY4wlwS/hQ4XWDQgqzcucgNpC6UdxlRE/2xl4RmKCIOKYPkUuFT52go+
S3YG5ciYDMSw2DarJHRwyOQqSYARsfVWDSYvfRxD/BTgXLTVe+PN4FnraQvLHJV3SSCvsVsBsPUB
3HUBItjqIfFLxNjApZ/GJx5BCBdxZwb7VuD1sQuCPMIkqijHIZ7htBfsphfueQirObYn1gkrmEbi
tURS0/jaCXkczr9MgfJIXQMNxS4EXCqjW/w9hHKlOaBW6TqlaZbouvwXYEa4/BZEHoz5xGcYTYvf
LKPsiKExOABJWEUlzo0D84iPIIfRbrGBpVPu8TBS7GoV+HiPsJrAwrrRiHSreT+ACxnaOwnS2mcz
liB2x7d8jUK6BOcHU5PwK2jrh1eRQGsXTMGCXMFFzgF5N5w1eVxdGGwXaWqCJ1LimUNK6YY9wcyt
Y48hncFaYScwmDaZ8CLxBGNUFjA6vL5Md/o1oR4sOI6TfXZF5yezUvCS9vO4VdYpDvP5Iyw3QwRJ
hXV1ICBLVo/DxtxjuSToTtMX5QRHHsR3FooD2EqH2HfW+P+8FR3QVX841Ik2TwUuQSYR5sHxMVbq
7JQhV7RWbuGYt+xhWE1b6ZgRPITyFSByhFeUQQWCkhATaVYyGVxwiF6ReYu1QPtDRuGH8CFXI4fR
1sKdFtrBN7mRMwQFY5QiBUTQgUfAdsu+PzbRKgsrzyu/9wCqHaxuj0JIi/Vz/QxbuYsgXtNS7w37
GA9IPm3jNo3krpYZcvsknza8IpId7PV76YaUe/mz8quYk7OS/zbXeaTdSs8ps8E0QhqFbBA/7WHb
XQkIr+bYxgX4+yvH/pVj9+ymzqpO/Os/q9fSiQu4HoqzHQbVAI3LEfxK4y4Q5L1IM6ntr5EyMUb1
SpInv/+hnv4refmVvPxKXn4lL7+Sl+l/JN/rmx9JyscGPYmAfpa6XFR2VAUKi64036AaAJNeRzZi
4itNgNfe44Ig9P/1HteTsItSwa8k7FcS9isJQ9z1Kwn785Owq1H0RaHqPxRF21fs8WWLBiFtwTDg
SxbHjXPdo1nLwnm104+ysCqZY6g/UoAVqO6a5xoipqojQ0Vp3TcCSKECTC2CBTiMxLd/oEbg6Tn+
t+8Sly287zUmPr49LRvA2+iXDMxoBGzQA8SZQHqs/QT0NwnISMzjB866lfnxNd7X1Tu9qHX8497p
1fLXuZL+ITP6b1r+Us/K6b8LeCzd1FWIvJnGJYV85IOmakMnNz/QOuB1EnN7fHx7nL1XgKoQqKSP
+ELjA03fgiY44k9dQusS7wMOtV7819uFHlv8KKSG6P29Qo+gEmyqY3UUkXPTPWk3+kHfTyfjvgka
ANotmCOQ6qAY2RfQm5ubbyVKhTdANUt6Ayhq2SwbsgYndbNErW8C6u/DGuhoGmJ223oGmRUKsaCE
TEiu05DitzHdfvNcUvv0/n6X0juUAXCtiv+W+ad31AB03EOBwh4Dz+NR0jaVcPu4BfC962nsvb3l
HrgfqPwB/X/k/iNKG8AFTXnDoHCCFdLLv+V35N2fHvEszs8Ir9yF+AM/IUkFp7fPyR4/R9E/rMxF
bl9mhVs4RW+Aqyw/tij5eF/HYPJr+sWm4T0acZ4GmtDbid6fe9kjkJdpsKPgv+zAoHlAj0wA/Qkf
gzKpLNsNKK6EEJoAyJehMIF7yYG5Pr6BajOfn9o7uC958D5foZueS6if7bGLoHrSZ8WcNNQDrK/N
l/g7aNbRuLHvshfrRE7aaboRAeQophSTgKGQ4UGneFI9jNyz984dmgMNDSNDZDfN9Fp/s1Dk8xVw
sXNPQGa5wGxzTztZwTDS4fnzFdAl0vfZdV8E6m4PCZ4mxtmYD2qGOu13WQJl3jcVNSM/odkeMn0P
LGRhGSh+cVfcpXsoiaJyB3HcSGLakh/8+TWdG+w+u6aLsL7jiaEXjaytoEJleKhEoRSih93OAY9L
1vNAiKFideaaeBiu26lBDSaQ+jSGG3CX0DGFyiaqgOJclNGx53NcKjgxqBGNKGGWe9SMEDVVkfmM
FtUrWwGzgK480wvPnlcpsTMF1y+rBQ6uVxZpUTfYS8oPlNvw7x/1oQrEpTFIbiV9aUAlLn5E7Qd8
tO4o2WjiocTfsrwti8wYSL+S5XRJZ5Llb0myl/s9g0xZgFEJTZAYvn5K7rm7bQ3IE9AKwPO8woDF
tUAFU/jZbgJK92Idl2AlKT9QQoO7R+EXq+igcCpQ9xvCczkNILS84nI9nWlJrl+Av2YcJV9hCPQN
QYhQoVD8jgmC27e3OHh/f9h9Z9HtTVVATYTi/MFGZT7+wIBYevfu+gIMNYmOS8xb+n355wjkG3Vr
FAr6lfxcVoEkVo7yIsB1fq4no2T7H9xe2kWLRA9F23jWseUZJWcOAvp1V/Lxjg/6Cno0qJ5BY92D
BLQHw7vZwGLcNd5MG++B0AfmPzzc1T4Lz3cIm3h6e4Piw9lGfn4Ofh4h/mYdzw2aH/w7gbjToPe4
0Pa2PBrQ3PHBNIuGqJYssIhjkZad9nTlTa95y3OH2Id3/eUt/6u85dX9cFG1+UP2wzVjrF2A/X/e
ablmds/MwA8b95fZ/WuZ3YsI6S/m1a8FSudBER92139FoHQt6NQuAqW/StB5LezXLgKkv27Yb0s0
4Xehqm1rcqKYicaEC+to1tAshJ41BA1OXwcwd471tFofqzuxV1cgefvfwaQISvq92CeI5MA98PsH
0Oi9bIPwYsU24PZQkH2Q3n2bPDMS4JJhZlUE1cJ9DSQmpyDqDfvizKuoPNllkD64iLwzyMOcmqiu
aH7iLT2VyPTQrHkllL16exf52T/Y7Vk/LS07xFZViJLb6OPF6n440w4TLOtkgEVmr7rvQZExnmz/
i6RuSS7s5CMY9/g90g8kIMUKKoJnrmjr9XvJA81D2SaC4dWQbJhpb4NoBd6ebB7w8yNIViHbQzgK
+BfIM6iQS8IlqDyejjVNvCmC/jn0IOloRaYaun3weSB39eYuooV/qJvTf8r8/rByF+duJkVSaVDL
jAATmHR7egSu8fgFeTS4d5jnTqPoxgDiMnhndPImujk1aJdRPeQjV9IJ6bZ+ZwE+XMnFEWljTDKC
2rsRHcP15u7zNbx6mxc+8z/xNk35RD+7zwugwNTrzOo5oJo2kFzS4rAApAkzWK9XCb68rg8afXne
RZAVhHVbHwDZYDoNvnN8BdkRP1Z7wNAkrDAHX/VIrI2Q3Wg7a2VtnRW7Szparz5/evKKPrviC++4
QH2zdiZcMWbbhlsAep+/vPHTNP/Dyl94sa6ojVqzYT24i2FQ0MT2isdX2Uym7gyP4O8KDExzJRma
kokOrY5VqG4lbVxm8GmY+reCefo7R1c+EItxB5ExGAeoxHjl7RJwCnIaHcYgvv38wq88F/cy/50s
okBxGPnv6RmtY6drCfbPvcZvD8a9gOCbdko7vcUbbDt0ES9ghWJallcD2wOEqtB7uTMW5N6vwFXD
NY3QyQa1MWqGrwvQve/47/sNZt08cPrcIKblFFeJhjaJEKbIwjec3sIXosHpDjjeO6EEtLz3K6ur
y6fwye65HJSuNIuSkxQ3AasCvSX6xaVfWgDAEi3+updfGfxW0lnh4Ltg9ywXT4k49T9frGvnzr0w
43/9c+dKS/LBq/695+7a9r0wuP0fvn0vjO4/5va9MNf/Wdv3ind0L2zw3+UdrxngM5L1YaP9ZQzw
TwfmOQ4KUTYxdEx+vLDAVaGowrRGI3pN0Z4EYU4M7gHY+ARb590hRHmAvfPRSyGLVFc6F1QiDcbv
Ddtvb35hncul02pFn9BfC4msA4SQ0ARio+Fjf57sdWSBvqpAtpd0fhfNVBOGTYHneWeiEep1y+8S
Tp2WQqVCIJlp0dMlLTxmauirwY+fQUkPDweC+9D89xx3MUTOlqD8m1OGrpza1707gn/O6ymSrUY5
APssJKsc80MSdJGgSCOB1jzQVgXyHxbmAQPFGt9E94eGAFrzia/5LzKOhgDSlVgOczevPJyLjGBu
IXA8x1gZ30Yn9YxmGmnxtxCVgxPADEd8QmD691+hzYRuGtlbg25jfMWmX/5PFUt2YU/oLddD6SNq
KnsDvrr4TcgF41n/6MSR/Yjy1b62FN/78ZHeyJ/B/GAkhfdoAQOJX9L8GxQzUDIMNBQHHXRELd6E
9i5ZZcfILfk56P7oSEJbuI2OASgWocFixG+hdwoC6NEP9r66gawlftG5kiL+O/7pt+104Z9YokLf
q8B2IsiSWvqa0HXr3d4nCPUQGgpa+aH8gtwjLKjWX78+zf6T7mFyXYOg5+XlDRNs4MNz+nZ632TY
9Y0HUVJskWtre3XjX/il/04b/6djoz5apAun2vK4ggQvVvEczkukQn7IRZPhWx7er+/RQ4ReIjSQ
n4P+DOt7//raIjA7vT8+YvTA9+8OZj8VyIfjtYzw0E+727y/v6OX8G7lvUM9D8uK6E2j8jx7d2jR
y9Ci06APr4rQ4CbrtfnmLg1mesXmXb27C4/+j3V3143Wha//ZbSuGq2LsORPM1pXI4WLHPMPjRR+
Gmi7KoFYlAsdvTM48SG8gjR6Vs4TfCG8lMBxT5DCw1vVMAmbFysktNxcsdE/HTnrfHjLi9vNNKWz
cg1vmdrq20QcTKVwOARYulcjRfvpoA4Ry1XolReMhdAipRPU3WhsFNQlxpdxxKD9llXCU0hzwwbt
tUlbb6ggp2vaEIR2R+hMf56e/XyBfrti4yKUY3lRmLGA4cQkkgF9uKDkpF6z1um8Bz7YobF3BaG2
8OFFkhI2hwTz+a944DPK/7uA7sMlXAR0jNvGbBm4BCTW0kTfQpQelAE5zq6kciyM7BtMwBM6Ibq6
ey/BhbjyEGRU9NkVXERNDCK7RdriCvYyO3477eVAxGOImX6dnGrzsMnp6cpb/jRQ+3DTl2HHH//c
z5PMP7vri3hCNH03KgruWg1bRHLghbUesC9AHS1oBW204LzIwQiY5DPQ0T+gj0+GhoyeKrAJMh8E
iXmFJZHRrwnYHygHSErvj58/qZ/bug9P6sK1T86gKFqFy3yEt36VESaiMoSdgDRkSPvFjwYP84ga
eiOHLH6DlCc67e0gOnCZh8jG7tXqXkYC8tJHicd4aER/fHy/e//8Sq9u5As3/cdv5KtLeuFJ/6Ql
vWYmpWrZR4TlzzeT107rhV2HNq4+Fg32IKP7m93q831z5cUvuc1/34ufhSY+OeVnfsQHL5hPukni
ES4Jp0XgAKsYU4LBJB5kI586upNd8JlXHmpQqnqMHMN8DYz7augBwxkk4+lNVhyeg8/v+NqZvmT+
/nlnWr0SRFwOkf8jgogr3uj88D6s2B/gja5ukgsbC/Vdy2643CTEwyixBEReREvwAMKTo2+lT1Do
18lHzh+ZINHNAECKMD6AixiBy3iH3nzvSmRy9Zourelf4Zou7OsfeZj+LrHM/9WLjr+U2Uv1T7Tn
31/6f6rf/+mue+ky0WXffqeO+ReUvlRVOIF/X/ty3b2U80ely/PP/5C6VJ2/Ga7tQpoS/AXIyFs4
UD+kLq2/Wapp2a5tEJeYtiVPd1XzLv3Xfzbsv4HxoBFbUyWECSXZ/6t1qZt/MxzdxUhsVNWhK48C
wP/8FwiK/tadKC4+/9it+P8aEKizgwBpGSbkZMDd1+wzB+bDaa5N1i6d64B0nHXjNrfJi+WOqld2
mg5d8lx4qamm+w/P5uaHdf/4nqqqy6D5N7NvE02zoY+rGqama+gOuKTWaAYruKF2QCziTiwPzejk
1ZopTgMCa5y76GsZRG7t6nhumkOeO7V9XMZYRW+BYVSQrK8Uk2/0WCt5qA/c0YNY2ComhpElW9ZG
PHIIDdvam5poauznRcIhDsZTtw7z0p7Js1PWRF81Lm+bDREZq31Tz5sqsKFShOyniPVtUzDMmM6h
iPyUJP38pgy53nqLIJhdUhAXaZEthi9DkaeYzGRkCzgMLoaA3eQzae6sPC/AHh6bxdqoroU8xRRl
rK/LxTW+mEq/JJHiWOmMS5tG6Ka5jmHrgYAe/eRVeaZqtC2sIfd06PXoKXXnYsy9qZgzzHtaeGZv
02GweOl3dskLqnFuYOxgzCZ2K9ws1vw6GdyIqX1/ylNVPWpJ4qQegZ7QM2PkqKCCKHxlScZ9k4kq
TCGna1FLh+4lq5gwqFkLo76JR7sGMb2sJ+VO6PqsB92o9+WOLDGBcKeVTxjgkqrF86hW1tNElDio
NG4Zntmw5tlpHH4klTO+9sLIBDXNwsEEs2zBjdZjhik4qj1r7JXUgkFLrzVx06WeAvl2FAgse53C
NKh7A8vXKNdT1+8V1pg0a0kB7HhORhDRNf1uiAvbDPWq1BsvtpIuSBqjC5Z+LHUUQwu37W+gOj5A
/Jw5eM/YYu0zMevUs9p5rjxdSKGrZLKXTZ519aEQQjE2Ts2ye9uoJWU/EWMVzCLOvxHWtegZyVoT
E9WUUsN8Sb1rMKRpWQzS0JlVBY+WQSuX1FucRY+PPFeG8c3R+aTqG9dtcwiFGslCmg307RlYxobo
mde3WS5uGKmbZzLk+GehGFj7wWgNTFPPSi0DgcnO6vqIt57bPORxXBWBYrsxvymEqhc3LXjMRRTP
bGoqT5uqNI+6Tsf+Uk1GxGlquZI0tJ7rqh/9UdP08Ya0fZU/sEZLy52JbY9dCJUo/DSFqHavE/pv
X3QWNcMgGFfLMcWMuHjleJlsu/B54VgQaS2bxFnAPBhjc1j8zK2Sfm0WsW19NRIlgSdOmCXCxrZS
5Ym3KZ7akg7YzXq2NM9DNlhQUm1Hxuk89rjrShf4ZtI0zqlqqgz5/CBa8TybkwElKiurfZyU2vRH
x+6moJ8TF40Hg4HfV3rekai2J7V4GEqOo0Kaac49o6/L/NHuUl7cjJbRsPsuq5kIOMtgNzrhYEPm
rpthzLqVi/vMaJVs3c55PvvtjGHb3yBCnYNJjyycRJXdVt87oWTvJVfdW9R6GvM5rZyF5n2tYuS8
qm6KQuWhkizOo54bhRuOpjDukzazD3Wvkn07l6s0YbQlGZ1gKL205bmvDbNBc9WOMmGvS61HnpjE
OaoMVh8uifmgz8WwMhOsVVcNVG/LxOuG3r5xk7q8aU2ieD1zMgIdr2za6oUaPw6L0/OggJaRfbK0
6r7S2XtbxyOYINlkRqTsMH1pGSqXVlmPx5/phxTWuPRa1xjvKhWWsIT21JvGYky5moh1Kmu2KqaM
h3ZiPg25m6EZITX8flEfG6f+zrDQe7vtWj811JUyjSKa2yZe21X/WnXsqBPTCbQOisgkVu6U3IUa
o7AxiEmujDu3tFOcdsNn12+V6WHMuqjpSBqKNEs9Jxvt/SDiDvthiHoeU2XO1MAVakatvj7YVQXL
CtHwZqJ9kh3cPH10mB5kxrJ4ZaJ1AcgqMS3yrPmiJqruFcVjZcyQdNbRLaQmm37BpDaStpvOwvgp
qzDWs9uGJY93C4TlqGHAGej9sk1qUYbMXHLaxy5Ka+0E2Qa92+pdCSvW57dwYaPPa5zZxGAbrYEd
zRcnhK0ynxZ7vtdLy6EdRKZWqdAYjbUFskREXyfgOdKsXnZxPHwFO6L2eGWC7dMaHdUsC5lRMaKv
w+WcJj0a2jKLLi7mNkE9OdH0N8hmrxW1XFWZhpGCgs3PcYFIw4tTrFI6EkIHUoWNquy0PLnXXfQh
mWyh3J1R/Zo4CHaxw9DYMmd5WnjjkvYhGXTn1BJXManetXsjsTZJUbmHPjZPpBlGL2XYTLHbPw2D
fSJ5qtBeZLvONVeDUwEPLJKDlsWw3JML0Wcjj5JmzgO90Ob1PJc3pgJdUFVgmLBl6MnGVQqzhZ+E
p1KKKlsrjfuaD2IaqdFleeUZg0VAa4GBpDhc48l1JpWqMD6BOZYnlYNQ4icdAWmkEx1ogc5cvYzd
AtukNDZT/GYayiBbTOi35e2ALierHKNBrczVWFn5w4w0lOFSEwePmo9ZRg0r+eLOS4KjsYieKmqf
NX6q9cWGx1NzX3W2+uK2LPnqKk2DLiqbu0Wgzs0OpmM+ctFUfl2azhfbqdSNsRTVSxoLroYsnRe/
B7SJ0V8NntnEoRdrm8UqsYoY0wBzvcEwtVZz7gGYKJhjnY8pinmLAaXt0a0hA95m+zQpShjHZEl8
Mg3iGZwgdcVJan9tLA0csrrMTgXCR/iJYhhCa5qtY6+6L8Rsy8BJFEOnbVZD6lRVk9p6NQu3U3du
h1+jTp8kqBBKsXVqO0MTNdaAzsauhyrsoqTHVk2md7fNNN+ta+iw1rOSPZlOs3iFFueW1/K6SPxe
NQX0ZuNWywIj1i1MjrXiNKUaKefRwzI6TyQvuwPLkrH3Ki0lTliRgpwS1k2jr5AKN62NMdqncqEc
GPQmEHM13I76ARrrYuDpkaHQH8XaaL+6ZChWCxnJxikK23PtRA+46DBWOUnz0rMmNsMv5lNDy6xE
EZhYLUIM1zzZjSmg69ovmMIqlKLdq5oLwCEd7JbWhWhCkxftXdvOy0rDV9FsHdfqmmST5jeqKOD2
k2T4pjrmHOkiV7+0japjNOBSQpKkMqa0pVXZp6sEGl9fRG8NQcH6TguTQXEFZW1GHu0RszZdM6cZ
a7tVbHC2JoxMOeUKbE4tYtMzk9HYq3lrbxKN1XfOZD9lJSe+EINaUjKIVdE31SEzHOJ1lRUJ2MXI
TLRC87muqPdcxFoAH1t5bVw13tJOY+Qiaj9lpZGtDBjQVddqOeby1mUYI3KHOcxM2sAfbu1W4VHV
6y6inXJYd7yvqJ4V1mlAsH0CZRETM5PW2nam+T6RqVw3pTTCrTPEaHjveR3kzEbzulsn6j4verKx
RL8cUi0roQrs5hkJkpixb60jBAtyMaBbzx2qwzK5YV/zOLILXoGOvfQCR1vvCvu2UzhCrMTKMX1Y
WTrfqXPldS5F+oVwwZGxuE25tlXdjVf2oLr+1JQOdRVWegu3IMxjM+JNzZh+h08VKnW6bozsceKb
OUVWATU719MBSVE2m+MJpqeHanGamVFKmhmBb8r71aIOZTQoS48uP5Ghw1+3QccQ2bSJy0IJc23p
HjpdVwavyBV0CQqSb7sk70Kmjfqzi0yn/m7UsYWqfme5/XawFnQlCnd8bIhqGGHDLIvT0lAazNSz
4+7OGVpnr3NbRTxTDrdIKSE+vCj2GJF4QJbmTAkw8rKHsZ6hVF3RkojpfiTqMOBAO+m7xQi2dM5m
7Wtiq6YnuIXWVzJDeLM1eINZzEqpQsZ6JG7UVInTU2tyHH9oGWTo9GF+bUatyUO3SIfU45Y2Ha1R
cfRNkTgZX1mdWY7osU1qeysW81R2S4rBjYVb84gP3N6kqs7udcPF9NWSiU1f6NOmYiV4LrWTB6Wd
f2vaTm39pVOHnVm7CoYNouhxUqZ53ORmFVPo0paBlnUVLUBPVmiZjGCRGyIuPH2AUa+VVgX5I5tz
9IDGQ2IEA8Kd5Jhi+SH63FiON+fI06mpQbdLN1qWRVpvg/WCnbnSbfNFDPV8m1ldWYTjmAvTRyzW
eUbXlPsxrpQ1BF2SXZ/2qdcP2WNspdkWVl3dOmzB9M6Mq5TDakau02rh0Jvx3oAVP5pjZQeakymI
AZLswRzbCgJ+SxrUs5buB+TYvsh145vTL82TaRGxm3g5nJSYFFFVOw+5XrZrMuvFzjRZ9cCnVoRL
M2VBRxIRKUaFobGaxtFkas7oK696CIMzYoEA4mjjvug0OOrZJXVQZxki/QW7ubdHGKd2ul2GCfT4
iiDQyOo25X5axqLfmsgog3RuB183VLWhGVx+NGktWjCqQYfKeBoroYQ7NhBc7CAcZVnKqmVjHeq8
mqij4+3xphkixMZt6szT+9p8tIQD0dYKiXee4NT2ZqfBiS9CppUqJHJK3HDRqclNPFlQQTA0bV+2
lf2YxPPynruKzWlHyHJkhB+RQQpMv8fVBm45gA8MsfmBFq0CeaxO6d1tnCNWVKyuJlvHqXI4HMfA
ajWZxzO+3HY8N/2uQmgflaNS3Fh2PbhUMZICP9o1MGCJ6Sao7OlquunLsZ48bk8gCbU5lCDjMntr
62UOWG804ZxmBrppmZJ2YdVa+gAdck1uSOSZ29EebYU2yC13SlfZ61mwmLaW1PmrceQNjRiv1tyb
d/M4L5tSCKugpEdf+pD1xhyQOdc0miDDQM8sdwa0P9Sk8CdNT570pGifzTLpaMUN/VbVe8hSzUm8
1hw721QN0bEhRcnu+1Go0NlAkQoKHUXtvpswRfdQ6fzOkgled0gQBKeaGHQIEXIXik7AEJ7mxOEZ
1fJG/8ZJh9GoHRwcwoASCeiUop1+6Ipmmy5asRY8G0KFpy2mJJQOWnFaknhKlmcjTURXh3hnjNPO
VOZrXZxQg/e6r5i9eIJzY2sxcv3QL1O34kpbg8aCPaN501iVd26eFPtSL7N7Zs3FwYBKNR2absHT
d7Y2lmUT5xwyEfo8qUFsFb1AAsQRKHBS5G+lKEU4lH2mf5t7vYBKsMKwsLP9mnXztGnMponyqqrX
hLuZGdguz0GgL4oM5UOWjKeOxzajZWqzad0Pqnm32KOGgrPWVU/dgEX3atix3VgQCAMjnc6QBSKY
2hZzS8pwKTuX+D20AyOtTSHyOHdFdso15ERBXGjW11JNSoyUmBjD2IKlEUlO57wrV7ZWLGpYdsJ+
HRtnbHeFOS6258zLpK9TkULuuJrbF6Kw5WEi/VLQqVZcjmOEuBRPL1X4fjSqOfEGFPKNbVHMY8hy
J31KrQbBD3woWVYcEec7gjOBjWqnWk2VTMn2miBJ76Mmw4+TztRnwFMEEnDmiOnJmR4/tcy+h/8m
8ByjqN/G3iaox1dui/HcxSxeCsOFHEBaIR+PzwCXWQ74NyNN9Q1+YYBKmqLYJ0dXB8wHZhZ/yIo+
B4SV6jnUWoG5rCBEvXCvw/znjeIsbZCqZLzPOgVD3pnJET+6avrUN065yUuVqR6PzeSla2ogC6YS
q8iU4kEB2DCNjV6ue92pngZLY2aYLirgNaWzAQ0UczolgWoLgfE6nV6m/pQ5+LOFUQdOkRqAsTqm
Zl8no4SD4X0NKCJ1K4BRDku1ydO4qTabWLhd49Vjyr/htxH0mwNCDbUom+cuVeJtJZp4ROqQF00R
IHfDizQmXJSvJC3BAIDGNhDZz6IMDMGMB0cViwfPhB/DmdSxed1hwRnSWc6kx8LX8zPwZErwRMuY
vnacZJMkVTJTN7e0cp3FJmElLUYOb02tmPUEajQAHpZVKbSpyDxgg019ZEmOh6Gp+UJmmi7Wwral
O4y2Rpt5BO6k242yhDarC8ihTiwRN9biAp+Z3al5rgwTz6rRXbzE6MT4U82ZxrYArUn9oGuV0Byk
v3r5wNUZy8+7xulWXdrDCyl5OeMCp7HVi72AIlH7yiobGAyLAbH+G5YDAAsPSetyYEE941m5S3Ml
M/2qteM6cJk+5isyKgQyQWafT6cpbptnxdTxApqZ4zH9AHf0BvHyVlFSU4SjIFgDq0lwc5Y+4Wfc
emzRPWImKsZGmEsLzGvkLh5UX3DcUid0vH6HdQL02jRVfVRA5tEokDYVQjK8ZeK5RO8bzHMTL/UD
0fpyOsFcJnkkiGsUe8Xg2JQp0vViz+bJyDFp3cn74qDC9LDd0Bf9EwJ/0T1W1hTzB1WQBTKXtV1L
h5bEXdRDAL71uNPg1ZhYcKF8rM3y4J5v1XHc3loDB1RAFGbd7MGli+qQcwGLMuAapi3UfmrMRrZ0
4Hbor4whgKw0VR9kVo1bnEoDl69p/f+m7lub69TVNP/Kqfk87BJCAqlqZqqadfPy/ZLEdr5QTmKD
AEkgBAh+/TwrOX068elO+sy3qb0rtbdjmwVI7+W5vJoDCiRXHtTILXIG05dRungcGR/YJxUEhqqM
oj7TMNI1Jlv1B1ZMc5r/T0IrA7yNcUiICp7lhizFimRXD90Nm01sj8IO/Pn37MGvfHRGiZCUCSaw
0WmKffhOF1LPJZVEJVi1NOlvTEhUDDxlSgNESplT+yQe9Z+Uy+90SLgofhbHV6c8RiFISfpOEoBi
2o4exVOeZlH3DPgOUqcCq+HVob3b0nHl52wZ+j6HHMSU6HtMFO0XQC25n5v+rp113W3kRPiupmbM
TSB6vyQ9/9zPws9bXs1ojfu1Q7JffGIMGhcvPrI0mh6yPq72Mu7jc28jiLNkWjud//6Znj7+T3TM
6fakSFImhCA0ARn0q+JhjWgXI30sOXpghbVt3bGsmn47JDzcgnidr5JsxplHtuw//P7K//Q2ZZwk
BOo3wAnJiYv69co9ttqkzLLmU01RWDZtegRsXL1WvEMDIUFB1X9gbuOTdunXm0XRKiQ8xShRY8Le
scnOqGGcNGAkp9viemUTpovzSJ6HeuVdDk+FuNRNn91EfOrOjXAyB4A/YMDaKIZoH3k7x3lVJTis
7PeP4nTdXz+XiIEng/QDXSho9u5RmN7RpkdCz9uChluhdbitK4dy0ZEatcHvL3Z6o+8vxkgGfBPH
62I3vXvjcilSa4d4zCep0VxVbZfgHNpQsuPvr/P+pmKagWjLYoCkhEo89l/f7zKtdY09BWUWGQC3
E2BF7c7ZasI0a22RG35/ufcLGZfDGfMpTUCRggiQ7xhws8TKIB7ZvPueeFRQIB+WBSDQQRQNgn47
LCcQCokByPKKGmv7+w8Qf1cH/fxkQXYSsLqUcXCq6Y+//4lRVTNVoQExlKO+78fHamjXaFcz5lNQ
kFF5g5qD4RySoexAF1RD81ysrY2A8fQjAL3MEYCDpARi4sEqXg9lZaFtNJnAODPapGWeiFrVm8In
zG5YKCaAbB7xY9OXs0KPsdL1LCT1DPdDVC04bwchus0XYik568ouqrZ89Ij9P3gZPnkkWhAJpxqU
JeCYKLBpB0qAuXqjozB8FuXC1IVBIUuvwUSk3TZq02U5c60n/radA16iHEJsP6K3QEIFdQN6sK8D
kq6fCH6xMARPfhgLo/eBqFPqnQv8aafINrvGFvyiz5LsrpQLvtrzjPPczUk25gwRLz7MhJ8ycV2h
GqCTxocHiY4TkBOPV4m4Vr6UXeiKvapjca7dACCY+Wy8rEUj30hSIYHjGSvUAAVohvPRp0XxaGTR
ojKpqurT6vx6l0WLRzKlDB+BtwVoKQr8vb1UrkNCb7MJRYgXUVjPKr4s4ytvGapoK6sxegh1Uvjj
Yiek+2HkEuBEl9Tx1q5C6b1NBH5PooAk7ejamyVnEiXVZnEVqqgmEXhQwGnUIQo1nmUBNmc9K4Yy
8kevAxK0XpwCofe9HuF9I+EasiwKe5V4QKmDCYGc+Xgm+iJks4ZbXvWAr0e5dJgy9f03jIrhIiMI
Gvhjh7nP8lAqJc9A7n1/CBluOgMPDsd8ZPFhV9T49WbWUzXc+iC752GtPcibLhRAmmcYl7jMHmni
sGpqAp5jieb+uvDe6F3RNQVo/Ui8FE24GmoDbiE1NQagpQwNZDvUS3T+o0oLcz1ZvNiJ5VE/6S0D
svkW24beLWUTs7wUGcMJJtqs7TnaJvOntPdO/EDjFKECJZRE2MXxlzGUGT8L/WTaNF0SG5qrQaGm
L0Eq3uEeEacEKyKyifvquhYjXsHvg8T74BunGUOazXB9jLag76sJOqM/LMQMwruViO9lBGh5a9Hd
3v7+Oqfg+ksoklCXINlhdkYWE0gufr0/4Kps8rXF6YlJlH2qZKxfa5K4/qyqJdc5NRka13YlRFwU
a2yfPDbF2+8/wj89YilZmiKZsUQiqX1Pxj9Fw1UuNDI6BXEzi3BrF5TxgJqyu5jGUEUkfPmmywXP
4PdXfV9V4I4hjxH4M8GzFu9vHBxcJSlg09wwUV8kMfobRK0T390a9zyVaor/EPf/Kc/hPiGggA4e
sh3oE96pxGfs3aAb8MBrpeRNgMmt25YheZWLQyj5/d29Xz6UYNYmfAMEcp00hoTo19dqoFqRPtR9
Xkq0Ijm6+ia6s75bzZffX+g/e3kcT1LwGAKUODtVUj+9vGosDXMsg218tc0XzgvV56xq8QU52S7P
nAjffig6fn9d7Px3K5cSyqCH4oIlqE3Z+xNpkfRMOhTxjNrHtzeEDMP5woizGAPQmm5HmU2/qawJ
b1zZ+BuP/NRuaC2Gl6FKlN9FYum/UVs7uoNYhV80YBDh9Ctke5fpKfnYmUxfygB0M1fQWnySIKNf
tKLEb20hBNpsoHtItdMCIFOpbt7ScpqgcBMnzY6S4Zxj8dktneXykvBpgACxjvr6EtEZFFOf2i+z
LyKI1GMajhBnGHEb4gzpalGuVE9WCu39pmK9kEmeRplODtn3/npEYRBtOhBpGJ836aw4emBi46uk
HmFoKMTanc92ZRnoNDNFZ1DcIGpXrPZj7sZIWVDVJ5xAug5fN9/BpShBX3Gl0euLWzYt+A1l2ymc
HuRtcd9kZQwad5090edjWtRiNwjfQT40ao2elw44kZWZylIkTrnelkOyQlciGNQqa4crteAXr/rJ
abFXK0MgM3Md3QzQBzzgqNnThysdXG7gbL/V3pwQNiXJzcC1x41ApwPMeUGRIGsRDrxpWb9JDIQ9
sZne2jbhBrKUqUTiXwTBpIcM+/5y4DUQa94wv+1cN7Iz25kFCGfEi0dVGQO/rR7lWVjL5Gno1PyJ
C1QWWxGlvDuPbMIvjCtZuVmqWuDkQimGg6tPkclDjncGulqkG2ULpMClZp5tRJgndzE0K9Rp3cwv
fuQEDnTQIa4VEU6e+w4K1UyZ4bmr5tOrkgI1QVcq1GM/vh9MkCgviOKZuFTeCXaZAbJ8CtzitFyR
hu7ML6tMt007RM8R+JkPDDoboEeMFOtn6GKaCxNHFp6XLuqBmqPMPfBF8v28yNnvWxkKvSHrOBZX
tQEAvXfaDzh5b3RaX6l5WDAeN6QMp51B4RNtoDvEYv6hf1ndgo9sjC+7Q6oFEOt2QeoE/N1VcBtj
j+DcqO8vt3YqwRCl1Fl5YZcQDt93/r+kFv1gNf79X7+oQL8rGr/aDpVOWfn/c6W+OjvYN//+u375
Iegg/37h7Yt/+eV/dsYD470bX91y/zqMrf93yeTpO/+7f/m31++/5cPSvf7v//HVjsaffluprPlZ
CsoRVf9r5SjOn37926dX9+31/c/8UI9GlP6VpshgMgHXkAp5ald/yEcjyv9KUiBJOKOVphR94z/k
o3H2F2SFJ8gCIktOAMT9Qz4as78ESWiMHhOJKiNQ3P/7vd/+qB1+Jx99NyON4+fRsWI/0JOOlaOs
+TVFQNxFZ86GElKmiB8bpvGfQEXTZ95ZWLaaNfncof+im9YldAfDmN8o2STJHhSjfrFxfV4VY9rv
osim21ADo8x1S9qbtPPshQlLL0ZBNIY1q1mAI1opMBhqFvFUyDi6AZg2w+W6WP0oAbReRgFHpNo2
y3vMpE7OINGKHkdwBRbQxXLAuBH+BeVq9ML0kqBIjSHZIc264emaoBablmNGxLxtUqo+/vRS//7c
fpa80tNz+I9SDM8J0AowqxPDmaApfD/JDIVP2zcmeUNzQz8mBIz20J5oeA4t04aV7SlYxxpCAW56
UD3p+BVbW8LkgLwMbL4swwMIlRhO7oxOn0ja6CV3U3CbOqqubGu7dldHBM2gd67EobnjiMDWsPXy
/+E+gE4wLtHOQ4P8rvZIpgFSldm+9V1V3euieK2SZjm0XQ3YAvF3Az3aNwcryiYzZXIopyq9lzos
G78MEZjs7tS5lvGXoi2m84J7lktNLqd6pkdRVu6igZbvNgH8eyxjq85//+F/rQq/vwOJflxSQF2A
fU6S7p/LGZeQNhlk+WZ0oS8NQQAWZenBy0z0Mm4S+4eSMP51xs3pehL1GZd4p3irWfwO+1jnVi0o
Q1/HpH2CuOlj1a7xjnc1oHBr2gvYXkgOYgHjbTuc/Y36cf/7+32nsv7xAbKUoMGA8JxR8e5lAeMK
zgf7qtaWxGAhuJ4h0ar7b7Yw9G1tix4o5jAd08hD09pPZPkC2rWCQkTx5WVG+zPtNBL7ZRvAY5uM
AAde2/7zVEBKBb4nq7YMbCnNVw3YcBI0NRgVnUWfrMKR9ilp+L5Ek+7z0iX3Kzj98Uy3rnw0xpT3
USFKzEdvRfcHP/o7oxtuG2p6ITjnqUQjwMm722bJbMuq8l+hDJ/6HMTQgv40m59Anc8QTRCFCb+J
Im8VCRRnTBeBnWJBMVy3ok0fqhSYQH5Se0L2ONvlGtVbLXK3dONjGhF/XaUQFe4DF3epGPgncKHz
Nb4E4UnV48DqebRH01XuKuZWfYCG4i7LWPYHWO2fljIsw1jBENJLdLFA6X9dytgcoHEc/9KBMssh
aVt3kJ1UkMPFsBrWBcv/sJL+s+vhkvApI59gOb9rb/oaIF+y9F9QAoYnXpR8t4DY3JrW6/o4aklf
kkZmZ1DEXFS+6DCrqxju6WQ6l1MwGTnNyunSdi7S20ya9GyIDTRijjGcTqxldoyI6DHiKRMeh3oC
4disCx3ulOinD5MeIwKx2jzninJys7Rkp9tq7XNis8Tlk/GYIhglE87ilO5cJmp8w/aPb3gKQjuq
nUz/8DR+BRlP6ysG8ADAOpUSPd/3eQg/tUWaKRaCXr/Ospi28BaQ7YJHBvWLqy4gCMvBn/xpAD6S
/K/p43TJlCCXC5ES4OW/vu9KqczzLnwlrRNH2fh1S9us3EJoLf8UtX61Zny/u1OUxHuW9LR7Tk3h
T3eHXK0j6oavi5yeUOb1Zd75oX2ODU4WXiVm5aflDNdtygVeiMjaz8rVzdXC0jn84aPQX5H600f5
vuJgTCEnxid991EaqTNRUfnFskCem2XVkP9K5m5p7QzURlPXTJsqLNnHuphJcpJvRE+VGeYnWqfN
xrRzfxPpGiKrJZLFQ1TyFx+mxe3kpBB6fNV9NbFBc1KupjewkEiPYaFjz3AtDbXJ7/cQ++c9hBMy
sF+llACms+8lwk8PlqhV9G2UvrQNtWWeohb/Rga3bhw2+c20eG9zIwzqGyiE412HffManJDolxgT
26ykOMHAxY0EwdbM16sNfherSoktx128zKpc3pZ0Qjyg0RpQQ6z0gUEBcd0AwH2CdmD6BD0UvUEU
niik5mfQZkIjWoFVyrNFTBq4DKDlnHjow3JXWHNGl3F5biDii3dsaT+SzvOLlFfrBevseBm3mdZ5
PNUB6j5eg3gvY1bfxRriL/CFKjqqEqKsPzzGd+7c06JIQBhgtBOeAgPaf4IOfnqMyeSHeSjpi4Nk
9JmNLjWbuGLzkJNKQ6w7YB5Bto1l0BepTcMxq0K0adYacgHtSsCfhNb3UHrhVOxihQ6w6qaHsqIU
em1kxTefqGFLnG70iQ0ZMWfFD/bu+0r4l5qc/7KDgZPrP/qcm+7VPHj3+uqvXrr/D3odEIk/bYpT
L/X3Hun6RaNHegBJWv3t396c+vryc7vz/cd+9DuJ+OsU3hI0vCQGwHXaJT/anTj9C5AQxJcICoBr
/9HrnDqkE+1DER0TQcTJEPe3Ex0LG13E0r+kQKeTEciZEnr6df9Ct4Nwi8v/HIiB8KGQj4lAppGA
cE/3+/Pqg5OJCz6BplVprOm2JDPIQ9oOWZezzI/PNLAUAycjM2SXVUJW6KOTPmRVjpw5dNcnKJJd
pnrsMa+rc8FC7sEWnEQCCcp6zVg9ijsoI2Qpc776EvAMY266NDVp+11C4Fg7W3VaHxrOyvKczqBt
MaPKjPBHqZTN00O6EgoR+WJgpNlkEV1hD/A9lDltHEO9lLealrHYhiIq78w4rGGLpLmkn8nQAPTZ
oOSn5aGpA8qrfO2LJdwkMgkdppIYkP67GTvDf5yzLs02PWUSGgLoktobUHmtOzSmF/UDoRFv7ikk
KvrLEA3ZHS9NSu74iFR6ntp+wODfYDOzpXHQ015PXW/PWtRq4sO4ZJbjKI1J2GYLOYppv+jSd/WZ
F3Je2Uk+ZvWxTtUkrybrHd0m05ply9UJ4K/XrdcZXCZ5aNe5vI5Fjyi0we3Z5Zl7Ga3nc+h995qI
SkIk6Sc7qJe2goZ9K1c998C51lgWXc4XKFjOID+Nm7surmr3ueKZGq5VGokoT9Jujo4aDI94E3C+
jmfxaNcBamK0amiEk0YxAoH6nER02xIRtzhBPfUG9sHKQXgStj5dLVChEq8Emuk2hdLUrDEEoja2
eG29ZiwJuY87Wd6YmYE83yxJnQLE9lMRhSqHKswqPAjVFuPp+1073LTjZJPrSRq5PkEB6VWyCUGN
oThObRoPn1mIh+JppVXoP/V+tvYWXqbd3EqglIOCJYRDKjYnzaeya/yxnNF8Qmz9hOEn3TdwMgWk
U9P0RETZbYsSer7Twr2rmgYsZBrKbWXneYWivYwg90K7igcRQnt7UgQnkCqyYnzuadPOJ3Gpz4FZ
qBkCdkVgcBBjx0ZkOAj7eUBfLPWHNlhT5zWr4dic1vWuiHy3x0uNpjxC2Q5jQoT+bpvIqs0HAIHV
JsSqKTdS1elzXyRxfZRcOZjDtJwVuW5C48jtjDKgLDalSCO3JalSEFvGHVvGS7UoRQ4qomH9gnK7
8MWOh4bT66aWdr1padfQx6wQI9LhQnc9i9S4sX4BbmshQN1jhxXP+FZ6qLsx6cDd0h666RL/XMkW
BstzEisrN4S4yd9jfGSTQk/mKwoFNLENNu5p3GL0pKZlmL4sGq3/N8GAIR5JqiN+FnXtrGAdg8zt
zRHS2H0cjao4T+e+rncVWcYRNh64M/3JeGL92RoN+h4wRN2g9e6LGEuvbxKU1cPJETc4nNyOUiFs
WDZB4D0ukX2Opqqv4EiF/SQHq0nXa7B463mcpYrBa4SHms8iEmErm0acZWbl2V6yLNoxq/sUngtv
5Q72GczVlWML2RLMK5fNQuqTd2loEnBMXq9gKi2r8hL1BQbRwTxId3S2+gllPnL4Ag/NRZS4CVSR
jtptUtcpztLqGMxRJzD4aaR6fS0sSy/iVK2baVTzN0vFtCvtnN7rSjytBV/ui4Gz5Khw02jiTmrl
mQ7NQTcRzlMi8GhuQo/4iQ8SiXzNiD1mvYoPq8U8YJUqfDIdDTDVyJDCcorm9mtZzNGjYVN54/E7
ARENGDm8JMs9N6I9dFCaHPpiXC4NheC2rPV8N5gmoedwCaMbST14XWXYvo8g3OtQRn+ss1ks0BrH
9A1YVdvljqcoYReR5W5V2bzTwscfymRdRc4h0X0j8Bg8ZbCdthtMXQaMtoR059B/tYDtXbYplOCf
TlX4eliLGDMkdQsTCbW0ufQgEqAIo0V/U0FHvUvnQsCqRBxUymZIwuvopo8eLmCwwPNknpgh/QdE
AOrymEWF22kdNccRCNc30U7yWg2s3Apuyi2g+uWqhb/kMwRMa3zZWj/vprF1cB3Qub7J+jq7w2MO
x1TL5jMMTTG6VCvGPSxiUwnrCGFuC/3ihFOCAFtuTA/BOSS2qXuckexL2LZo2h+yibH7Fp5pRMWs
ejIkm67KSURwP8TsQ1oN7tmRedzHkKLv55Cp+44lw65vQY1PWXS+CPjgqqT7QJrQX88MAoQbIFLN
masXTIXu9DxtZseXC58i2CadP1MUyvmcFGBLx8WQ8wQqBMgZ1RcGIvo8DuVlU0ke5+3M/ae46xhW
PWFXGRtvmkW0Hzo4z7ZLPLnNCLcKUEnrN5MqLj3wiA0kGO5ubEd7IddTKQCCRj8reNjPoUGL7oHV
N1CnQ41BigYUexOVz1JN7gD57bTrCY/e2pVCEwFL8djmXWTZXSAQXxy7xQYYQPAUNkOYyn1EanXZ
ruNbqeobmamj6fviuYjpbTY3wwPre2hTlGOPML3CDa2666z1Vy7ux2NddSrKI6vJW9GgO3Dobpkb
Tqw4qz5FEUQevhy2wWh2lOWEcgEkXS/Rq2sCnxRiD8FAs4AyHTKuufgQpOV7ZL5vNCnUtIHiHqNI
9XiQTW0vutnsjXF1D91iy7tjR13T5n1HpnxU/sYMLFygyBFnCKjyUq91dMAxy/wTyqAo/dxbN5Xf
QrrEOCSzNf1900L2kUPsvG6linBk1skO8Ni2hhRblyqJQwGhTNTbKSrGrkNv5aTPBUe1dobhdbDR
x/CSZc+tjKcvldDQvEA2tJypejTb2acEx8fFb105qmWPKKdfG+T8azGmj1Dy1M/aVYjPtl83KiPw
d0PL0V8k3aTOCi/j7YROEJptaH+e4boG7ZKR/qoNsC7wVHX7TOLMtbCE5lJ3wLmxNaIF2G7CDzZJ
RkyArdpyb1FrfgrthCarBahewW5XZulmjNXo95lblq+hikYNnlZZuAxY0R9K1/VfeTAURhAHI0A8
twDyariiPIE7r0ihBIPnjMp9PWTDrl4YdOpddwMFHiT9QEGAU1e23EZ9uwB7jiESLbzC54GtCRLo
9ZIXc1/udWfM5VLwkEuzmIOlYIrBzGXxPornCcp3jMvKUTpDiM4GBNQ8nct5H1Y67oYpwZT2QrhN
p0LHclc28zdZN+bBNMo8i4Y3T0s0sadQVP4+gIDF1Lxs7fcALsWjgN/vbJoasw+j/bbqjJz1NWYk
lDURV11s9JVNZxwYKdb2m54pLLQNgwm3gZC1l6NDpEz0jZsIBFJpPW6HclD3E3T0m6GK4j3Mofoj
5WI955THj1XWfWwVaVEjC5jO63V6pbzvoKjNXi1Ww2GS7bCBPgHejyqDf7+Z7lEnDMimimEwMAx/
m3ToxS01RXWs16y8cjLDmoWPC8mWFFeNHV5Vy2sYu5WXW4jN+nuHt5mcwyOit8M46keWwNdqDYEV
zbbVlxml5Fm1COy4gcIFP3DTHiAsN9d2HtnnGaDzh6HWLMBl24U2j0KUHfzJHrXNzFJBsuuA4sd1
Awk94CYgKL7hMHUSaVCcBTh+eU3fjOIjBlmgwMiHQLLdnGnq4O7I4hMl65H9m7kdoRWa02MH/ieG
PcWgaIC06ugS7eqd0RC6533piuhciBXK2CKI8TD4gn7UsB9LLM4OTLwoxyIPBWVPAKT4G0+X9gvt
x/lKSY9ycWXu80IN3a56KGCXrkla534w3UtChT6PDeyT6VqM0LphQMOuTIoOznLXT3e6BRW/ndO1
RE033LZ0ZtcQSrlDTBoJcFH7eyga+bUnMdY2EAWel62dDLBiWFpGOp5AGvg9zlO6Etj0IEyI88Rl
JtsGD07qqq+hDh07PWziMGfwD0RTBOOgbviW0bbdFlm1XjIOlOPKYm23W7NQh1sCC5vkpE/QCmLF
ztdyzJoPYZ0RtqKlKrqLwOvsrOpFct9HZDnrbcPq8wkTQYqtBw33ce4Ieo+5xumXy8AWvhmzuAIZ
XTVxeByH5cpRAz1hHME9jEqbVGdLZZIdahh+m8A3cehLln7l9ASntY0dbwXi8JEtTX0JxLP8kmGM
xnAsSUkzCPes282MLxinvaQIWo2yFOxeDUu8rVu3XnDLoRhJBriDZDY2z1EtUAW2qftQhgFb0aJw
zCsIdd+Y8HoHWV59BD2fPJYjV1+mOlY7C3XYE7hgczMyxKc4dX0Ozz6AJ7jbo5txHcsbQE0GzjJq
5SOgt1MJOy/A/NAg3EQQpm+rOoPumlcWxvs4IdcqabJradn8EqOm3C19yr5O1iqL2SuYRpa3deFu
WgTFoyt6kEQsxfQEIc1zJkrU0xgwAklE6Hx333WS7HvTthcL8eRz2pTDztRFeiTeRSchyFp8Yx0m
IsS6mB8wCGS+I2uLiSNMygXHb1JeYm+Cexk9wSDQFQpQRHP5sZksIAEMDzk7CRkfWSPcHiui+8zJ
SI4LK5qvi8kgN1FCnAOgmg9dhPkRMzH8vE8FBBqY+POI0S/F0flpeViKqH5NPZzQ8HuOFz2Ul/lI
fPGVl+kAe89QXac6NPcxAiOSj4KpV6JlugP42mKRheHFyk7eqYIUexrksEtjcYRXcbxsU12eG8kb
+GjxCDbGtP2DYLr47H2vr2jn0HXPo7qstEIyj6pmueZYySC3z9rCFAgiKqnDBt6e5DMvCqB20QAL
fVLGuz6xD8OKyiUPcWz3MqlVukcMXwTkpYs6zG2hzuNybDew5nOHsta1n9g6zAmM6kjSmWntNoOL
B2RrpeM7WdLhERaSAWZ9u8yo4seyYZu4KFf8xJzKu7JMbYdk261ZDhYSHTYgFFTW4PzzIEh65lE6
YYAjaHe5zVyYXqCVZ09jGOaPXbxqDkUu53RX9rH4FBtoy7Gkgjz6kXfyYlkx6eXLajMpz+oehf4s
dZMcGYPse0/Q6A0H1MuwrU3ZtiDDfDvBaDPnUy/eiKin50HBh3ARMNejvrGgaU44QFhB+bYLZhq4
5svAXQgf6qnB5g1UwSnbzyWY8QWES2DDA9CP4tCrkEabmZaEHxPISbMNceVyBv8zZznRXEUbDUUB
vHrlku5EvThzHnEGS/Hcy/nSjIbUuxUwXHNwK4h8WQxiC/co/5aWpD8Uja3nXVuhJN9kqKg2cwYP
P+blkNcUmqotJi/RXZCZhnI1hkFtjx51nXfQucfs2KXzhG0h6HIJdAcaavikIBZBymw3hk8RZjHA
Ho1RFl3/MTimRG6gWcTUGZifM630V0ib+flQTSAKsvRBFeO0hUM9+kpgiUHzmwAPWJPwAHsRu0SV
mmwBUmWboCm5jiCrvovb1RzonCS5cCa7GiMWHjJvcBxPkqAbi3TznCLcD9uuXNwGRhuNvYwJPNeL
iCpwpWu3Q26F7QPeHAwnhVL4qoeAK8slsMZiY2ul9ty6+j61Bc5AHUwrYbSFC3SDvqu9TSPVDJtQ
WE6u4qwAPAiB35KgIAhJBlN+tZJ7B58WwLfeL+0FII8SY8EVreqNCiMfcxQRUfLgusGWt1HRjWje
sLJmDSdnA1fbK9PraL6Mpa5x4Dx3vccQKeE6lbu0X+0nMG6pgAGqqUDoQzEfiifPR+EwPqRPi+hA
IQke5bZD814e2jpr+C2mmKzsWGSYZ7GppxndjJdgxi4qjLRZd4IoXLXyPLvkoRNvc+1r+TkIOD8x
ucAjOO3skKTucip0dov2gdUfGzmnPmdLrYYjAych9tUIWd5Vgea2uONFUlhY54AXHNcZgXK/+gZX
VaXm3yA6WGEiF3Wd2xjZOVeJ0fUEZhHtbQA1ykq5XWDPhV30/1J3Hktuq2uWfZceF27gh8egJyBI
0KQ3SkkThEwK3ns8fS3qVp+Twkkm47JHNVSGAiCA3397r02JBtsJXkf1PsSek25j0Uvdmnu3GwM1
nlgHXd8etCFso82QMdU8VIPZz5soUTLfk+lNOkwaq50PNR5LbUs1Tg23HBJl5iEtNNF56jhzLOnM
IHL8B8nSuXkjyZLlWjxo4HFcOPW7wG6y9m6SWqqGqpWEkxdblNo3SSjn2bZtFEm6g1tjZx56Nh+5
4NQoxdbWRsO/SkktZaHMXkp+NmRhMOzmcUc4cR1rZJgj35Hu7HnkvnM7c1r7XwB3rEoeTd9BHzVd
ScOcs0LWvtkhdsZG9u0ZVZwdzK7lN8WVKfxxXmVhP1kbQ2GDtZIGwt4wR2fGXTNmwxXiHc6Zcba7
YUX3ZIeSbmfN94AD1CySWgMvYjNnHsIYZdUmNmsPOEHfAQMG676W/WfOMlAiy7W56zhC3GWJIg7G
BBTH7/zE9RW28kmvS+tQqX8YrRKtrK77jD0CuWOkVNccwppPOhjr2z5lieH0vtmjmmH7dju2+c/K
H59HtJbcy/pcw8dyqGHuo7LZK22LydpIOL5HzLpm5UUKfAgNCcAYgoaEalvYcqyFRv+lnll19HFp
Qo6RmtUAgAJ215ytqzAIvXBspK3Z1+yHNZZheWs7STJ4jWoa69aqslWpz8PGzzBaCrvt1pyOizu9
qfxVr2DtXEd9Gfo7vekptSJBJQtaZwCfNM1eQ46JvjVqaG30kVE2gfaFztEMe1W+nus53iLGPUho
craxWmRrDcfHplLSh8bSv0VGSiR6xhB/H+DR9Ho5SHakojS7cCqVpzYxyl8THt2bho1Z7TAQpnfp
bDF3VYgrLSp816iIqi+aLEgUaPCWss6XY6fkdl8H+BMYIXLVzehThyCqxl9WblPB1Bs6thElveeX
wvgexv1VP4/pp7RvgxeUi4bLjsP8ofqx+V3OIs4tebGfzYZ1Rw9l4xGxGOEHo+hvhEindU2diCB3
2HyZ2nPe1Pf2ypKCeiMXlrbB7PxiFPaEO0IceVp1hUVkUmzUJZ1RbhsjetWS3NhF1XSrcqroJL35
LCDLuCKRGKrhr3AaCiID7eQvDSzZToSZ9b3QLcwvnJBXSvZzKlWDg2atdOdZf+kMNXYEwmwX2J/l
Sm3lH3qzLu8wiX9jWS9RdsbTcDyjcQo9Ce4ia7JcQ3Am65pmd88a7Dt0F1Qavs3sM8Z3KTUch0XK
sBFzmH9GaV3na4yZ7bqMyuoR6fKQO1E8pg9zMd2LboZ9NXbyepaGcpd1geRqKdCFAjuiO6WRAKGW
PMZhJuEkseva9emyXhI25bc+kR/mVn2Y2ul5SpKtgUMTuFLxGbRCcYgzYxsJOdhWCe0qVocvuRjn
66ib9v7Yz2twDz7q71LzfJG3B7RnxXWWW+Ne6Jz5DKxtd5Uisfcpw9ERkS48e86DmwhpalBZ4rWC
LvTY4Eg7ngNbtWNURrdDwPEjqqlhVZx07c0Kt6s1FtsCeh9kFDsFsMV6K9Zsr6ey5ga9GN0eAcJK
aYzPjKH9l64c9lra+7soqfuV2sUwdijhm5QI4mbb2sV+ShUJh2WZcsSYqZib4EgOq1bp1Vt0l4nm
hmqrZ+yitHzP7i0PUTcjPfcwAUUHFcTujWrQbEvIaltbzSZ37tOXUo6ZU2tfPMu40Cn4TZlLjSnf
m2HGKiWrdYxM0DoC4zMCEbjxUQtPTYVcZJjiJVNmbcXHOu7a4hHuVzpxJBY1qJHZxb6IVPwojLBy
k8xgm6YZAOdH+jdOSf1Kyzvpp+2PkiMU0BollMbVHBbPJdzK7dhR81oJDvOcCi3lHogk8LKmCl7m
JGXth6xpEwHQY4CLgamHRvYFSqVY19I08nYzcDYxFTc2j7F+rzbN4LXRcSBXcVgxEUzBTzajrDWU
VEB3YWxkHCxpx0WALJ0DYFz/+VWHsuCTqEuxMqHgObEPLIJZB1OriALmCFMiYSfQjW0XdB7cFJBT
YdtqLlXCaVjn2NhwKnV7TggZw8NuNeZpcw+QTz/wDfNXbY59DhlAGTr4yp61rmuuhjhNnsKCxYYz
E/1EPlI+/DgeEP/CGmDieeqKZ2WC3dmxl+LchPKRi4hoWM2y2vG4Qhq067qkxe6wHH0dOUfeSaBL
NCa8tIGtgMfqureLamNQO3TxoH0PFcnGqifVfrzGDh2psB4IRkCdqhmFN6CXwlFaty8+B6lIpZkm
cQ+U9xS381UClI/FOQdpKzkaMJhCHfjG8QXLZ+mI5CrEtQJR7nn242mjzjnNtYp+WpMeuBxJ3Yvc
vm+lBNIAa0RjBVtsduMKFJjQZM6xgTA4Why2RKcOCdF/XUWsU2n9iOJWcjKqEf66iYwqYJ1UQ7Cq
tDRWV0pZYvieAs6DkXisdApprGcz5ban9MrxD7Z5kCScCSEkcdrCMCgy12CDpllh9IlTpd8g9J02
oZzKW2w3FPJskb52c76PzTHl4F2eDlGDaJeRGsP9xKTMMlVya8uXn7APQcWfhv4ManahmzKOSFtb
1fBbabKGXGShm4LONkhqPhlOAriDvdkmmTpBfXcyz8hSjqqTv/W9lrBUXFKKIOpWM2ztH+Zdf9CH
xPSzeFWrkHX2mYGh7ABVQMhnRFF/is8sHsNA/iK0owVIN5GG/ylA8K1piMssj+DopYO5LnqzhfOQ
2f6XvmDV6GL8aFA06Xb4JAJD7703go27fz/RWyHzwj39+/4omFTl6FwzTDzjf95/qCzbLww7Wke5
pKWOzyEsCsQI3YIWmmq+seARlJ+RT8T9tdyl4g6XCGcMWqX7LvV0KbwK7FK2r0XbNfrqPxfW/P+4
B/7Q3nivxVG18r+CTn1Uxp32GFx/S79NSBneSm6wxfHPb037f/8P/sB/oU7GL40o2kLbzSf9t+TG
tv91VDni4DZxSprCorH9D6Da/BeNUBeyjLEbewGwuL9EN/K/EIcowsaAoCDMkdE+/yeiG+XPrgXs
V0NsaWEe/7Ol5b2JYJot1Q7LfbSd8skEAChJ2YM5dcOhtScdtKWmSC8GSkAXcRcoS72kCDYHlrgf
QWjuVbZ9V1KsWju0gDprOjUbMbu3rXLN6tT6VnbNsAtl6klr8JfkhohaA9E7RG20G1COnem7C2Xy
34+yiLGxswZ1hdZxwJFODYS22CpfGzZXhHnpHDGscWqo0cpAX9JhCG70q4BiDQdPlgiBPYVd+Qq8
y/qE9KciB6EamdTj+IhSym0lvfYzXfkCjM26scfJ+sq3Tr2Qje+xkDlm38Dzomkbe8jH09Bam45h
4qXrkb/PYWKe0dgf9U9/j4N/PeHS5z8MLfASbFk7qqL4LzRrbn8oWg5pL44V6Tvbk/RFn2dAAHVg
W5OT+aU5nBmD/xzs/773Ykgc9bytBquYd6o6s91lw/KlstG69CPlzTP3+FPE+fc9FlJUXypH3WiG
mcaljj9Mdcq/R7UkP5qTHh5siLrpv8eyP0Dtbwfahc7x7zsdf8EbfWMem2oU90f1Am/vFzUh66H2
a5n6vGI1q6k3py1uCzVzDQg49ylHabcJ25fC0etAfrbsSn4WfWd9H/qw31pVUnJM2Go2M1OpUBGU
5GZCsWGJn6wS2b+PHPOfeUcnOqx1/D5vfnkhh6GGtbb1sA94yJD2mpDPaPtPXfr49zeX7uqhVsDA
td4E2AAc2lYk5ZmWe+rSiyVC0ta5xgl1C0i0uhVy+CCj+nwz3L4zaZ66tPLnr7bDCqqVWvGrm8TN
pgpaL4P0XwP5f3DlxdhIJFXQAERtvSSNAFvNCP7q9WWXXo5VRqppWla0niKRvQkZLpU796JLmwvx
ZKKMymxaQ4vPU2YlFh9Pl890mxOv2lyMAXDro8xW9cazK47zlPi19rXLXsjSTN7ArprzImy9wkKK
nkIZNqr/aJn6V1//B/JlHCwtVo/NWppsKAkz6m1K483TWOXBr8te+qJXjh3CWT/jHm3Yz7AttMr+
ptqwji+7/PGDvOmZadwLY7BpidmE0aIeOWQZAHFe+FkXnRNrLichSQIKPA6A6g/rtq7OrGhPtZhF
52xSvIo9mx6PKrYbBBgCZq16vOylLLpnww5UoL5qPVNpHoktcGNob5ddetE9rbzIKRUAR1dH9rVw
FhupPvOyj3PZO3P4MXPk7aecpahXmzZjUKGA+uJnidj6dWJzdNfPezPQ44fALvozjsITr3+5j0F3
VSThTK+CS0y9P3CjSTvzHKcuvZirtU7ACMPZ56mwC9HPklIRuRe9/aX9EbGxpiDCbryQjTURGE5W
XnjlRTfNSl9TorppPFk1P7Uy3htDuf34R59Yuyy3bFOo+RirSqqLIVUfVdPxvuB12MFnrVacgEnb
j+9z6r0vOmusEOdgFT5jMHj3lQHbkyqcNF74VRf9NcwHI9NsvqpShU+G/zrk0t1lv3vRW30biDyH
xo1XKSDQfH98yfrpXI7kqZey6K9kWKRwvXkpKDc5XCs9HL2XDQX6or+GNkJVUVbAC3RUKFFJTTrq
5+Cy960vZlTRhepkm0bjGbN1IF3OSyX7snXR0SH/dqAZkXhAkDw2FB3AMuEG+xrd6IUXP/aCNxNS
OHTphNiSjmT3kIk7Eki6y1ah+qKPwuIKhr7vGk8X2Se70r6XsEEvaoP6sfm8+dVVoyv5PI6NpwAv
SyxrVSvDZSPLMiOu6opC88GpeEjvsJV9sSbjwga46JKkG+TU+RmzrFzdGTLkkOnhzOs4trJ35iIo
BX+8Dymz1DHHK+L1cBGQgmFpzVjnroYhTO+hYdtXDQfkhAP2FfI6ytXarWiqeGu2AWewsC4AZ+Qi
0D931mh9CTn1xPpiqG5iC/OuMDOq70lUmkQyTNJDlNgGgSWkQMB5bDERIDbXcYWMwu53s9qSQaCr
+gYFfep1fRVuyxD3ghPJIvtZk2W1aRKAaINCmMkozdkKsaZmOdiQjZ1o4u6o47OQT1hAtZy4VMyn
0cjJcbBT+UGajKJ1ZEtqH5S2i1t46MZw2QpnmdxIJAJy+p7Jqg30lZ/mLkyRy5qrthh6mkxktYr3
xCtt68Ev5AfZVy689GLcUedBMkjkINgh2iVK6hpFellH0BbDjpGCVEWp33hzOWPyibrvoSlf9q5/
mz/f9F/qe5mRmGnjIVe1HZIhyD/xu8czveH9zrAkViJAGedGZnOjFv6h0KJ9ofiXzdn/IH+iEEEg
mtNGgMBSarJiNxFJcNnWSVP/7MXhjKG1C+nF5qxQV5gOc+Nf2EwWY0/DrGRz7sfH7FT0xWKlBONl
w9oyEw+ixZgUqdJ4XWCtx9FwB7INPv6SCzbEXzu+ZaC1BNEZ0LDceKM9hd/AEiLZ0SZqkLNvP6WM
BZrTzhbF7zRu9lnMbkqV/eqyd6Yueu3Y1PFMyBbjdSiGg6xS7ZcmNb1sdlwGmgP9zTWT802W3eiV
x6uhvLDjLmlgzLnhVLSCD9Kk22LOoYyol33r3zGfb/otSsdEzzOakdCiJzknTiWKhgtfyGK5gOIj
6dKEOR0Tze3RX5Y15xgjJ1aVS5wMett6jP2i8eB/3SFNXks1c8vHbfTUtRedNgMaIvTjzx6hZ1TB
XlSvl1140WVhFM5zqxMLhjvbbQm/gqd/4W9eLBfKPkdKioHMa+JrhOV4bpszQ9hx2fjOQkRdrN+F
kNBZ5Fq7U1EWrbEHoSUgxGFDsWu8hTAfXLYfVhZ9E/HWrIcVX9QKG5XcpP7eikkZ+/jN/+aCvPMU
/8jblPISSx55IfjJjHVyjLLgbMXnfC+CM1e2GfXfSd7XOVEtI9KOTadT3JuQ+P7S7Mq4bLJRFhNw
CXAPNSMyVzrENeo2yofR2Wc80Wx/I7zf9mS1LIdCZiabU+NuRFFXivDMBnpBcfpr1FYWPTlIuhrO
JvMYNO8McG0aE0k9hspKIrILQYUBO342wK2WxrFyNPTJuhpLaWeRUvJYGX39ZYqMfF+VduOCFLHv
oM3qrGV5FVUwVitZTYv1rAXKVSHpwwH4xDki5vtvBSjYnzPwnEsDAUZYx0SZyXvq0T6G77PU41NX
X7wXjOPEZdRd5R3RT36Pg2mQzwzMx0v8s8WKo6n/7YZIDJ0CwNaqPFkqrEdtbNp9mBvqtwo/lPtx
r3j/1yu/C49vWgwsfqUyM74qkjmIEVjNLm6MizE0xf+AXY3loAo2d7K/UgY405VP/ejFIArHMGnB
GDZe1uIR76cYmnXbnjmPPnXxxTAqAonXYCZsFRvjWp7zR83qLtz0K4uBFIFGipGd/llPmJ6tNveM
xvh50ZdckrbSoFJibaI3MQXsezIu0axik7/s4osNiaaHeoV2GTdIVRRPEGQwuVB7OzMm/qaP/bOh
K2IxKFaTncXU47odLjRtbaUJ+IhO+gLu0t40SofDYeQMzY8T+dBlSnMbqXqxkgtbXnWA8A7Ul7pd
G0fWVoyyOGChU9zcN+LtFKvisnWjWAwi7JMHq9KnbjeVteohukpWExPWmfd7fND3XsBiEPHrwTeM
cla8aTZHZHhEAsXY/W9b3YoISlEKcLOiVdYff81Tdzs2/TedPsPJ30yxrHi13XQ3eJwNQLCRdj0J
q7kODfVYIh3M8ebju53oUL/VNG/uRjRUKYFHaj2N/NG90vWkYfp8oY+v/v4Yidjiz2fxKbgaPZEV
u9ROS6/Cf7MLerl2pz4cvn98i1MPsBgRQpkUwry3BF4P0jnbLPkZ9fllo83vPdKbl6MPRpces1k8
QKQYlMvPfpFcVtSVF6spYvNsCLds4aR0Y8mvynTZ65AXY4FuTwW1UYu2mmdfWQEmN1ZUWpe9D3kx
ErRzO+ZT06leTs+FpT44ZjhduEJeQvGibAAoiXXAy4rywJG308SWd1EbkRcdOJ7zuuz1EKEOKDag
Dhz6P/aRfmGhbgl8spXRNyDj0kwC5WZgU+VW5WSc6ULiRAOXFzN1nYKrwyWvempqxzvTYLNtWV2w
7gqFKGdwxJw7ttGPmFXxY1UZkZfXlnSw81LajMNwjGQ1/T1TpX9urX7qBy06tdrIOeiFVEV5i1TI
6GHmg8TdffypTowY8qI7BxidCqK88QCQ8QKBJOi7e7Ob5U+WFqXPH9/jxAgrLyZ6NciKfiSQbJeT
9epVepU+HNe30EhQ92qot5GfKPXjxzd7/20hOvtzCNTFlKt2G6jeVAfPGMk8v03OXPr9nZ+wF309
H/WKQq6hePRwMjGNGLKaHN+IOQowzDKSX/YEi16vKrMOvkdTvFTVfsl6hiU9v2gUFPaibftKO08V
wedEUvak3I3VvB6EmTgf//Df8MF/TtzCXrTURBugUCRz5RWjauhXcW9Iz1mRpiuL7LOC3GKl/mT7
kXrHlo9okn62AicmD8iZA029q2czzYnamKfrfpyaX8Lv8s3kB/VNF2byLXNwvuHsMNtZrIbi0A43
mVX6K0rT1SqN2zDYdGDJN7MxqVddDAMqN+xio2Vj8dLgSV7FKB9e5ETIEBUS4xyG7lR7W3SgUs8k
suEDUBzYyz0FWo0fKpcpTYS96Dl5Ta5bCJ+J3M+QqMUwMhzFN8+V93+vKN/5XkuNXjfYoUXoSLGj
FmzsExSh5NJUyWGq09DDQ8qAgA0snx09mMnxsmZfuZeCfF43edUciEmVwE6ytMyvkIPC9AxVAeNg
zvNNbBD9tfq4WZ14w8vD7liLohFTXutJQF6u7PCoXWym+cxc9f4ASJTun+OFNmAPlmTsWZWQBEHy
PV6bXAEI29fnpIInHuAomn27wgT7q0zxHFVexa3WTaoOR97CWZwkV3nvIy6GC4IMSC4GHOWpVRw9
hBLhwbj5z51CvT9243L487eHgBlaKQsUzyTkYDM3pXoXNgzlBrFY9+gpzWeViLmXj7/0iW+x1AsS
/UCJdrDnHU6b+KW31eGQTtWIYpzx/ONbHN/5e29r8bllYhvLKBXzLk4k7dAOpvYpU8b4qZE1kqqH
kc15D70iFCQMfHzHU29wMeaaBCGSqSRkQlHx2DhVAqzSycZSXR81qfspK+Yn1UTDcGYU/l05eO8R
F6Nw3DWy3ZEfvdN18ouJiqo1fOFytKuG3oZ3CexpLVIl2EcqJcCul81V2fX+qjQty8u0WTuYSVus
I/KQ3GJIc15G/Doc+d5kpffZWk6y7EtAmh/ZQHN705tlNWxkrSGnGJbdJ80fjFulb4gUbmAA3tk1
mcttgR4WupS1YXEFHLYN8saZax/22mQMK6MlXMeegnEN2PZr20mFqw6dfh2nvn3m+OjEtvofgSyE
X/myhnBpl1r0vtVsJ8GvWpp12dGyUPpKLwp2eY09Y4g65VUD4HNtDHP7GJZ28kkajPIu5LyJBE1Q
W8M4TOsI67C0gscU/mo7jKQfN5dTg8ViyI9L0BY9AcA747j5pfh5nWciOLPaO7GCWeotseIUbN36
btdVAYzE0VKvA1Vrv5ZaztGvAo3koodYii/rqQfj54/dDohA6pqYbl3sq+dOAk+8oqX+UifBqOnG
tAMJr02499Q5ShE7Y/r8+NefGCOWIsxBSRS76JpuVwhJmZyx0eSbtqyhX5C4u0oLtViP5BhxpER2
75nPflyevtNpjzjTt3NEObRqFeRdt8slM/muijDHOFZYpFcXeLWzLLV/JM1AzK5UZf5hykluO3Pn
U2/z+Pc3m24feSnoPXnaYcL5OlbGtdRV52jV4rgKeu+xFoOfnWXVOAZhR0xx5pMniAno0PpV+kMr
u2wTZEE3Em5n+66Mw93D3ahfz205fMOLjcji48956gEX46HNslSzIjnH8xp+7o+4Tcp67Zm3d6KQ
IpYgdNu3ejWozHYHpZWDXTU5xNDDFLe0BJWUutHSrVFH9cHv49ql1pW7ulog+iJmGnM63M0z08yp
xZy5GDhY8YYh9qocDlorrfEfiK1VVxPLbrQkLtFvyTYv4hLMY8lIDXIF1MFUbBqCfDzsAambDUFG
9Bg/k6J/62ZNiG/enIIzxc8Tk/tSTKoiOsyJ3sm9wKphKxM67ebS1DiDkmpnvvTCk/b/yjKko/zZ
ltuG7IEpj/rd4LPWh1igtG6a67wEUjR0Ciq9tVcndB7xZE3jeuhx927CPpxhToR8lK4HlTGiEDrn
gDjVAY4mq7e9K02IB2pCqoV9Fc2vtWGHn/BRidjp6nFwtaB4CDk5IuKH3pGTrY4bdjimWks+MLEz
TePEeLbUqOZNwmlMHU6gfz4LiGeJTzJwObmW+V1pTW9o8zMlyxNLHWMxiDW934wTgQHbZAbESPAQ
VI5ExkJvBKuCHLS1WUTBmUH6VHNaDFvBbBJzZjViqyRTu6msediTq8ns3bX9meZ0YrY0FoPXDF4e
mEYtb0dFE6vAFzOgH+tTRkLzngqpv75ofDIW49OM1568ySLz4kldmWO3AiVzZnQ6MfQZi82pmdag
fXouDRfQtcUONvOZNnXqyovRBubGVM+DBk7OIhsYhHPi9jbUpI9fyYmGtBSyohSusj6aUs8SYOOc
xDhayKK61sjaUKdtkIKlXmdm+fPj250aN5bS1lCrSyLVq9Sj+kxiJ1CIn/441J8Mg5XLGCe+R1pt
uoqGCD0I/7PepUSqesaRTd0DsvKdxIYW/fGvOdGyl2JYKHYWXvh68CQtckySHUgDgs99rt5xQnH0
j7RAcFnZHPpN6smyKm3C4bjsVq26tx1i3WsAAmNUenKX+3cSu/hkU7Z1/yus9OFc9eiEkVMsZbPp
hIiCA1OICkPhAsgVTjf1TgOiwfCntW3cpgGZwFV+qw7TDpHkmtLVxsbTrk++S3LIL45DwftJh1Ze
m1XAhh37p9/AWjWIHzX2QKzOnMCfaojH5v9mcaTqRgAru4CnCK7JTXT4GFCI9Jy6dlRCYZqnG8uA
W3jm05+aLpbS3EhW+6Sc69SztdRqXABO8g/oU8UPaQ5adpCYDchLsvUfxK3OP8UA0A1AHMSIveib
+sww/lt+8c6qDbvuH0+dWhr8Ixmr+GQouuLoUO72sFJj1+/1+DvbnsAzkljs0Nu5s925RMB7A1R4
J8yrYEtEXZm7bdqMBHAo8boaoMkYoFEDRwviapOrpfpsggvDAcdWNBk7n5Bfu6w+tcR1PcaTzFmg
PIpXvWjHyv24U52YA5fCw5r2bEEJ5ZgnaLLbOCvNjdpV6HobsLxXfdfpe1kjLi81huFMqe9EP14m
oUlSAzaYJCVvmC2gCgHM9WM2TXUI8qh6+PixTtxjqYoui4B83nLqvEpja2Ky4FvHRay5YoJ9+vEt
TsyCS9FwBabTqFu584yqj9xQV7rdrKfJlTmGMNKsMjozCB+71DuNbqkgTnudEDQ/7LzkGMsyacGX
aKys54se4ndG95t+nMxtXMLj7D05U6N90OakBelm0XkYp9I7rZnaMx/91FMcB5I3NxozHzoT1VfP
NpsNOapuk8Trj5/h1KWPH+jNpW2iM8F/BJkXyWRC9syC/4NLOGkxPvGJl/pWRuF8TCS/9dLZ9Ldz
murXkV4EsiOPurRNMtM4V9o/Nfks5a6NCPyggaLm1X0DHFSVunnd5tF4AFRSriefqJYuL7bUKPZW
+UKo04VHEkupq6/bwrfNOkOtMMq7iECHLWiq+bJvs5S6+sTNVJzX5Hz26mau0m+xPH276LMvta65
pEcGya65N5C0yow5yvsurs99kBONail3DaqygJclsTnWRbmq00hD3By+fPzTT4xO6vHvb1psEcv+
EIVs+aKgN69nDbhW0Gj6I8ED4uvHt/g35+SdcWOpfDWlgaW4wb43Fhn1kVmNu3BVRGLalIQ+7Qi5
Dj75aZKsZdjNNzBT40NCphPUXowarhja4QVyROdEzypgGg4lVem2SLoIgFZYfJWtBH42wVNguZM2
cdRIsjbpILevMfDFGyiurKrNLvoml5O9qQxZTZxG2PMrZgtKXlFMg1irbMNhBWOvlx017SS30qX+
ZzzF44bQ1f4lCdXxXgkkiWNUJXab8Aiqqv0pXgVFBRBXCklO7JTksQOXhZklnbcNJ3dN9eJPvkzu
1RDeWiOsZj/PQXHDXI62lVb15DOgo7kBOypokE/9PAGoBrVNaZqowvolsruoc4Q/JYeulurSGfRY
Bh/KT9mGHP/esHXIVxD9kue0KPwbaU7Hx1zOJScCv59DjJ20dYhwN3DkoZcfFQiAroWm8ZmSdejZ
RSzxrFki3xlg7Id1EWrxbRYG8bUOAINI+wZ6odQQynHcElvUIsFdQPVolMNc63Xj6IWkbgl68Xds
ysnaBY28DWISvlZ50EyvaRIq+yhLtWJlQzfXHeD2g7Xqicsw7vUKPPAwthklF+K87mAraT/8TsSH
TD6uJbO57K7HQSuCVVL14bOuZmm8YbCDxRYGisGUKiu6a6QSiSRSmNnlyhLAQuKmsgGkpcahi4kZ
ycdOWim6PpROolgKaOXMbNfwb8E/DWGx5agJgF+lDk+xIPCTmMCS4/cMf5QeUeuosOnlFRz9VC09
e0jHnhpiWQJ4y30ySH3RxomrE96ZbeKwKIanrhWAHCVLYwhoINM7M4geUoPCZno6FggfFM4JzcPQ
dGK6N3mQV7/srW8wvFiwku+u79gT9jepKR/p/bBFPCnsU2Io0ZfETm+y0+1GKKurINRrsarMRAiX
BKToa5oEaeqYZlo+S5WkX1ti1raglMqneSQFoFd0G7o1rLvSAprucJBtbJDSI481jK7VvIEN4zeh
+M0RnQhyzsnqwXCLua1yJ61NYizMOZd1SFOW5jSklkROT5/IKBlk+tYaq2bFDl8c2hlwn+ooZUA4
TNTW2dWAT2pVlCO7BMilY+pGIyFQv8hQyEPOIcrOMcZkDLfhTIyC32jdtmxVf1jFQV5vbEkEkLz1
fiTrrOpAU0+pDOQ9HspNaVjjDYkK0dawYeqXSWdvMmMc9m2nTtZOo4JtuWklCcOxeijBjkit6DYi
Q+/a1irVKW1IR6pNhPdqKsg/ckBLpttRt1PCC8a53PiJaKJVXSfRjwj8cn2Tlziqb8dY6r9HwQh7
Fmhd3q7Juv2RYtbdEyWuRNfF1Of1QTEgZ31qWvuXDCU9c3NmCbg4vT+GbiNHxu1IyuxWGibltQJ0
c1trRnyrK4AsB90gX7aYghlSnSJNwom7qKIsiZP8U9wm9S3HYdU9P7/+2QdW23sSJftH4nLSJ31K
gXkY1lCs2gxkQ0szIFdATGJXxEZ6rDJVe70bj1zuQa0cSFxceY6gDtG8RnBPEvQepZrEE+V767aA
H7kOsml86DW2O5xKJiRE0fhWQRQA6kttEi8KCFO3ehdSoW0qwheIkdinIoIoHHUV6zezusYqDTZ9
HPvHqBbhatBm+Z6DTHMNCTp0tFLKSc7u4fZJE9/AQJC7xXtQ3drkJ73KBPFtLKs2XlMo7D/QjLDM
CsLsuyhMxgAwcrGDXzdf9aHKflNk/W2VF9rGN4IC0mwaMPabiYVTM5j7dS6V9b4WBeGn0Twe7KFM
7mVtyNcGZN1NTUxzjJReE6OTZPWNynGPqVdHVaOZlJDrNLIA83WdxDtQt0GMY/1IZJ8J8nK6pPev
as3qf9p9WLtdQU7MAJ7THQJfdqtYMzOnVeNgWI9WETK26sYqkMf+tpHrbqsQi/5YxKrC4peRv3XC
UVM3RVxk46rEUuORS5OqDAVz8mIRqPZUwYSt+FmFvFILK4R6D5HyOSzbnJIhI6ITBX5416bYoxy0
2PGaDjW5AGXq9dzM0Q2JTzBMOfQzn/XBrH/1PccZVHmRikqzr+1ao9QdBSY803FtS8SPkGDhQgI2
vyldo+bOMZJlVyT5vJoNyb6u7P+m7kyWI1eSLPsrLbVHNswwGUSqcgH4TDrneQNhBBmYJ8OMr+/j
71VX5YtsqVz3MjKD8ZzucDPVq1fvURZB0E360qsSAIgejTYc3Kl+Bl3TnEjWdJqNKdeOY3EooRnV
tQTsNQw4jzgti9QJhjhJ7hyZu/VmSDMDhEFizHd2AqxyWR0gCKxuljvvkgNeTbK70WvsnU3NK05m
rs4wLuzqvOYEHgeZ05V39WqxPxEJ/24WxnhMCIlqAnC0GRVAam3JDNTnDh2BAL51mAM9gsMAamPm
e8PN1AfuFRwjnqN/LsrOz+QUzG9pnA0nY8jjTz+KrL3vZ+KpXRdga048KdYIM3YZvLaPgxVO8jdR
ufFpkYn8TmyiMm3qiod+clNiQFt74xeyRsYfrf3seg1UeFVXz4zQ9N6NeusAfqPd2bVQ+wqo7ZX2
0eaVRwpfO8ML6yne0BcKk2jJop5u6hag273vr864sWubZ8OFzlAclOvkxFXlajK+XAx0m9mP536f
XXxfge2Qi0p6YH5P7HD+bKmo+Zzxel7FxHI/tmgozxypxL1GQsCFaHwfCADnIsdvkeZ3Sf2dOxYc
lpHbZzS7PvB7mV1nvdVvLCPOQFH4sXudz/MEKqGJ5kc3T7QVAhPRu0KTvZe2xXS/yLnYySyJo20V
z+p7ELm1HYg+VKcpm8qrqqYmCzik2jjUaU3wPj9rNVCsZHffp4vIGd275m2emfUPg5zCt75rvYe+
80C7gCQ66s5gQbgyAJRH7MkHU7owrsP6qF9IrlYKjY0ovsAS8/JBEhMzCfKXLygIYE4fGRG1W6iA
MG4qgjhdyNhW04bkSIGbIj/wLi4WEGT1ODh73fgLW9C6vTKnCAYNWdO3M4pptYsv+NxVGnoKJsbZ
TZjU0bwfPDc/uXp8GWplbS7T0hGNz6uvK8fLLGKfK+eHKfDisVlY21993MZWmEWdQy6iUw87U9AJ
pmJSZ4Nq/rm0WakaTFk9t7ZRDjsNcafZ5S2BUnHkpQH5sOQCtAkrzbA6mhT2SIN/I2hUw7p115Ex
Fs42ZIhNMkSZOkHUsrIv8ryTHfUVIhPwcuNqco3SAYFlZktwST4lz95e99Iyan/f8e2qQwkKrNz3
huWHrm2Lcjv4IltxgqXJ2fP1vM8Yu/CAZklFnK81OicMfNVPw9FIaG5j/Eit2Ug2cZFQyRpGNJ6J
fTI2RuIBkaXwTNPAMkQblkSebEpHFd22wLJGNmsE6CVkIa6duN2czmW2DRebXV+cmX1SiOd4tZ2v
uCGUDS4JaYxx0k53oCz956xdJHnoc01tM1Oqr7VtsuKNunqyF87ytbexRM6Y/jxwvsW2H93qWhrC
ejWXfiB106X2m3rzDLl1VoHZg0AKILQVTciYk+XQCu9SOBCj7+1iueCvs1QZH/xyErdVkeT7YVW7
WHX5d6Gndj8tc3RD/ck3SWfD1smXb1L/Zv8BA7ZrH6ym09ahiTv3c4GLNIRLMwu57zMbipFujFaF
65pBmDbMNL8hkrxhO5UhNfGgFwLnLoFlE9a03gd/ZoUsMaoYhwlh22NAH7hKqrVEGDfz0JfxTVyQ
VOyQYrVdqJ+mre+3Dm4+tpv7XTf0V7L0Wr1n52796TgukJ//uYEU1h/i6v+rg/xtzqPmHoiM54I+
gaFSAoepiytytssbkmiHXSq8BRyHHE6OTNTHMGWdFbb1ACXdYvJEUis9T8fX3vPW2SSHv2v2sOLY
vhTOwIygSICDtJmgTlg8EFxhvoCD2w7Q0jUJz0Zx5g2ZzIM0IrcMrShmBpj3YrxmQY94Vq8oSmYO
FmEKMiLGYodBPrtL87r5kRtWdPabyb5QuaAuBUlnG6BWIonPyOrX4UkCk3lJojnON7DS9KbmBvho
upmwdLSP6ViRk49DUtlvUWmb93zxhuuqozcA5IwFqAdWw5dwlOp6mN2cJHjyOiOgP6ScB6RGLNkp
mVaDw13kXIwuUnCeWcU9BgL/udDu9GRwwjxNbpQcPMOD6tAqGzsoyKUl24jI4eHy3PaSI56cGfhf
KtDmgg6c1oT3OL/83Rox/611G0gN9VzOv3Th+L9IepyigL0+91qmtuedI3YqruoJqiULMnIBOlPb
R2L9l4chkRw+cUtBG/i+M0dba63HTytb5aGoU/NdM9N58x0c1ZqM3mQHTLmCJdGJDzlKetbUS3eW
AynP5qBLN2POCtTlZJhyzJFtGmBqOulWEZHedmumGVb100ulahJ5HWt5oUV+AQFPbRp7ef7Tb0fn
2Kreei7VYN9k3VJs1tRa+AiLGqZhvRAWHCS6iZ6mxXXiUHEen+ciM5mCOKRQBxRjmmJ3so9t7FsF
wcYmtI96bVBjS7O/UrWYH03X0puZXbZzQY/SBYkjMofMYNr8TW1bF3VjNGFCl3nsmrvJH6srLGIM
WCgKQKMm2euiykyAu3O9j6iweitcUEKImWaTLTAgtzRHxHycMKVfGC+e0RPyzofm4dhtzEvLB787
u5L2mO/JWScHYxjI9jd6SY1EcN9wMzI8m4Kl9W0KLTJDaJdrU8BKT7JywBBmzW+R6RT3bZqLq7oo
9Yl46a4LoHwB8WZL52pQ4BJCmXZeufVKeFatJ+B3Sh5yGXixEd8kZCLz2WdzdOWsbXWMwJbcWTYc
z1DnhLsDke/TW0w8+rEvDHHQQs7XMWm7t+R1pc+4hNXAhQKHE6SeWI5TZni7zvbSe51SG25Gutt3
gtmKG88lyzOn9kO46NQPb8rqRzObiKUel+LDqyx4YkR+VU+sXDRb0lU1zNfUglmA843QKGYDKVsM
XRYF5VQDUxRG3NwrXIg/WeeJrhhEp9lGR1V37VM9n8alLSlNYVRoAA6EXy/qpx/50ZPTNj1qAETJ
7ZAs1jFPlRBh3pTiCbDCcNuLdH3hSNWBRwjoG6ED3hu3c/ciLRtQxmWecOdXBhgeO57kjeFnsC+b
xGzAacu134yebx8Mujm5Bd9LrnRdVAkB9kO7W4TT7jjJxQTdyJYkS8eV/GXF3fiCx9CxNu0FgjPb
GJjCjvTwLTGv4w8nK0jG1wzbt2WXLWVQe+3yOnuGEWOwQqIxEhuM09rO36oVNPgjRRvklljc9LKX
X7M5QgntEzbHwaSP1a5nugiFwKHV9+bIf07t1PnpD31xRWSLC/43basnIJj2cw2bgppp1jdeM/iP
djNOvJIp9X/ALKg3Wqv0pNfe27HcRwmcQTGKA10V0bdj5pAEU9JTdzWO8uJIqnqXbxungqXGNNJ9
YA+TUoEovPkX4D330IhuoFfI7W2LBH42cl08Z3Pq6Y1c+vTFRmnPthyDEDgIy4qoNS3EkSgrWLkH
Qd7SUxhDZwRtLcGSRWYz9zR+cHkuaIlJ7/C7q3OWmGm6b2i9uu2IUvCs/VkesuRSg+TaskIlwT0G
TrRYKWVEml3LWKzffWs7L3nXOgg9lZ9Ceso6SPElJxwJ7gt/FerHMwCB+Ny1/XqebSLMAzK8l+No
lcSJMj9ZWDql9tjwFjW3CDbptZxcB1CTm3nNxh3dwt2SgWI9ASHlgoM/c4GCOX0pNtlUx4ReMGXl
X8ICdpbuhalSJ9Bsl676AcXDDYVZmfqKwxC4WNq7lthEyBf7JQeKGeZdbB1UZfSPVQuELMChoQ7g
m0io99fauoOZve5w1Ni3VeWVABI79Km6Tkw3MBct3mqJByYg9QQ9K/eXYGENLWQvITp4LMkfrcSS
DyNx+tdVWnfk65nlMS+XivlOkl6vy+QCTYuanVvlBb5xMz8uo21e6cFsLvxAcUj6pskRM23vs2gZ
e/MdgGSBCrBgOOgx0kIFobmf12KlfqhrjhuFBT0dqBni1PdOqy1VOBmQUfUEjoA2bH0Ubtk8z2Ll
0swdFQWLmyYfmTvIlOaeB3kYZFzfpnWFvJAMpclSuSvSXWe1Kj0SlFLdcKmx3CiobxDgmMxmWyeZ
fcjkupCfrt+Xp9ZU9ok8peHkDexBzfYaFyESuvVWKf6BGhwwbQyV7MZpPccO+dDmckdCAnV0aU0A
BNbypiqpHDzhyeeU6BIE0kaKZsOj6B9bns230vGpMmrm3TdG3hrQnACX7nIstt9FpN0HaIfx1lzF
et8l0jvSlAEAy8Uy8xk563LEDQrXts1HvBn5ZHsY3ljvo21rb0AOVNthWuNda3Tia2yn9C4z1HRa
3AKpuunj8TbnO/oOCQbIYIyxx8N+tVutoTrCmBoWTip2HWcgbewGKPp3NouPZllYAXFo5qEnYJlm
1+y3fds7VLgji3qWM+2GpU33RCb4rwOv6VHXqnv0YTsGnjQlDM+2ORD60m7dmXND5fpTZbl6LloT
GF9SNO0GN4QdhZmZmA+dbs2b2l9hNjdKn7ixudU6X1J8tIU91Bu7kdPn6gjjTqfNAoeY7Z5t7cfR
hslImobJnPrvo4ebBbxBbKsL/zDauoiA5caD0CQfUjfrh6dlhI21tQEie1sS8b1j5GTLAtvUARmY
mH1sByCvR0rG2m6zvXJm4QVeNczHQVeSlKOyFtbJnnr9WXu20Tx6gHf3yaDLn+UfH305VbG7mYu2
4J6rknkMElvQpIzLaDwOsdl3IWPH2n72DcBBW+AVI7n2hU27ZfbpoXOg5SgR2Y91gvoFHgXuomn7
6XUOjW8HmIDCxp1yoag/HLSEFVtYgBZfv1u1GHeRHI0zlYB4nCvlhAsS27ZT7bylPBs2Ci3gDBfZ
vF6a1A5pDv23wYu9QPDyDmmJbu3pbD7YiJFIBMDFWLL2wqSqyodiaNVtofp2D/Qtf13oEzvqNd08
L0Pe3UEr7V89id5jkAexLy80Y+U7j9C96p3sEufYiBRvieAuOdlzC0aupY4G/naTJL78kD1HDmqV
EWZiTD6GuWaq007LzljH5U27DLbtBpUxiDk1b71UrbCHOsWIZRjl0dYyfmY24z+Lvql2HQtSexbM
WP7ymsU+MzXAxuSSAJsG9lgu92DA7K+4t9s3R7m6Dow+Wbm9CUbeljJLn9eJDb5sjutvhHfuqnkZ
nHprDQwKUj04t251eS40IogBmyptawBgKrqtmHycO6FTZ1v3fnO/6F4p1D+jhZEiTRQcTCccgrGY
T6sh5Ym2erhhMzC59juMMdiTZnAppm9oMlGm/E6kpnpgTBBdgf5igTWPhXqo58k/2g4B8IXIk9dq
lvP7ukbdtrNgSCWegDSdSasMyYybn9nf7IALVclLbej2NBhi3HIF4fBvOvtUIvF88b91G3SQ8g60
oX9226Tb2BoWC2H02VccO5CzhJvBDFYs2g9xfEx4bve9lbNGwnA1B37UOCdrHJKr1ix9yrzIK+Dx
peu5KTlAwmTxwSwjSK8B11yOtspHsm0YqZXbmUwE1vxXaw0NmLFhZzblZxol5qnR/XyotO9eV0sj
rjMNNbTWajwqYrEfUyclTcVLGCJwX+r8vWli6E92HjXHoXPZ+WPcAF/doqC4Z9ZGMmflpYTH6smG
wpx1NDIMEnZICd6no8GgrVPt3c3Y/nwsWzmYYqL19USYYlZ9pZ3hMQ/iWE+SqHqfGJIeDIy3mwTl
DNyZaIkZWTxgLaBIR0Ow8Cf9D/QX9wyvt9n048w4PpqZ1GRTW+MD68xljzSSv9a+n/C6Vas3k+dm
pMOW3t7Ic+uNJD0eirXI8LzwCIsdz2KKW61EBrExbkKBpPR/aePLDDGJV+PkJybFkz0t3b3i3btt
GiPdtsay7Cd7SD5purPnwUryNzUP6U/hRBxNCOXTpkoYMSJyz9XZziQEL7NYx40P1fjsygr6YZVK
QnL76HEZZ9aCG8ruIEaB3PdLY2/tZeELhtdhw4WUHnyo8794BKtjuVY4pwafxUGeh6sYWXQ7WaoF
x5hXMrSjZXlqfdlfd4nogPBqZgZhuvp6Txn6Qdc5XsJ61oTK0TNPqwQiY0bIWbGqF4o9Iws7xMhz
mfV8NXsR1YdElHlOjyrUje4n0QZ1OYgzLVexX/vS32FuFCdSapYPcLH+hyfnnm+SW6akUbdJAyLT
WuZ3y199d2vwy92mHvlBNE7V1kqt6UZPkkVM60IHy7kv1LaMy/5exRQhJvSwbQKI5CFjRfI42RZ3
BRyEs000yhXJmfo8zd18YlJXPrfOTG+Rs1XIjNfdSXG5MUgpCnSSiNCc4RsyNKs5w1sG/XJd9nKZ
4r1UhfkSc+0yz3cEawaE8vhBL5DzA0YL04eP+vKVE5ZB7mKTMQL0qvigFjEfS1TtNqgMirJBZWKH
FC/uAMClAcVTtRFcTydWi5PDzC9z5xdVQ6E45ul+GSLrKqN/xMVW0CKVc+GfHOjDAcP4+LgggN0Z
2N9kYLRr81HluXkfww09kXcsjoUp+nNkOfLWcTL9VVT1lF13zTLiSnB7+9Bb2n3Jh7J/t4WQPyad
dbveidmhVf3yWkH5tK4G4adiVy6dGQcYncYzhzvKiW1zMWcYEmY+j/dZkq2wB7Mo+Dx4tXrnYJb/
HpeOcLkhrXDztXxzCt+5xHYX/vRUlkA/u2r2q4NB1CYyTzk+rImnBCgr7t/EHklkdB111eeDOGq7
NrYRqd8nplDTu+VFxa4xWMHtzWxGJ7CNXdTjVIzIgfsJJoHhuRY+OErPrzduI6NfsxP5W+Il0u96
VYjIdmbUqGyj2o11LmQ4d+OwW6zR/mlbY3UAiDSc7WqMqa2b2vqoM0irFWPWOzG5FQtaWsubCqHm
YHrSuE6Gcb6hK2gI7bJRuxMY77dYJ6FmqMVoXwZSdHjKAXcedGq4+0HE07UZj1kRTKKywjWt81tW
3uJhmyrX4rECntIgpTMgDkrocE0wm/04BH2qGY2VjVW/cvyxucwVdizdYtVh1CBhkCVYP+K6EBtn
lQ0ch9SgZYbhDOHMdJ+xTdgQFYmPRNFaGEcsvPrHyLfLBwc99qYtG3Obr6tzb/lZxtyhiE8UgOmJ
kVyy5dPLn10iBPudcOTDYucdD0BRLg8cft2ROtRHnhT51zqAU7XxWYQDs0fWnNZCPBhsGj3kTp1+
xVVpX7UsLfzMh4vq7cyr89hX5NvWSJQ7ZS8qQNKLvgip+BF7ut+25kjdWw4M8Cgjtn3SRajrpXX5
8g57k51iRnDM93U6AnnVXJkiK7tNKhq5o0emb8uyaqGUq+IX1nB9Fc4KGmkaZdMTmcnzHcG1rB4X
DpYXPQCVIoFLbqQi0cPgS4Rrg+n9PvemfuPnZXGjDTe+zjyVP8ykk6LCu3bG3HAer8akF4+Qx/oo
TErbCVuBfp9mKn1Ky3K6gfR8sd426PEzx8cDoEs0mypet8mcl+qgTQRc0DENBydZ2t/soXjHUVSG
3horeUxXi59HQc35v7J03nSbKkf22oDhGm6FWAixIXurP3DYJSZtm1kS4RkZI/A8lwDbbgKby5qX
9J5dpoXPWEuiG/oCOYZtYrxGRj/trKgyDoh908GKEti049pmpww5kouj9ueX2Z/y1wRjwrFuhD4X
RFdcC+05N6pisSwsZF9sYzeOjIAZO47CKu/SPGigNH5wqLrdgxyiMt1MbubvTcllvCEqt7J+VDrW
m8KsGZBW5OL2q+wQxEZSnMKyaCZzo/v6h8ra0Q5yxg17x1qjJ3fCGnXbGyxnCLBo3ZNFLoC/Syjf
spDlr6zaj83i8DPCkm78yH9j/uWh+28AIVQjtgZ+O6C0fsyNu6avklM43lEq9z8FhpxbYbioLjVf
TwIfvKlK6ev4j7/0ZOadCdDMAm0bcJfZewxYVvWCmss1xETdHmfcmlcuUzI+aeEASZb2dDY0uLMe
KLSzbaXrl4c1yqP8imJ1zqeQtAwvio+XD6yAqMgXdsOUjA6anoYwgrxVaO+2iM+t40XVg7DS+jlq
myLZeDrxqw1LHqzfJHWmi8AnzuCLWmswqTD0oo9yQChgXpkjMY8eWMWtVXoWf11PFEFL4i5GCMB+
HCABscUlszJ6nqolnfDpuM60dwFJTqe4zcEfx6TJGR81+sxBS0ba3MPjFz4e23uvMqYDQeI3BmVf
mToZN14M9Y73ybb3jCC8n+1iKnNLPm6OvCDrYt0Lic191clgb9JVy9uVsRAqClDaJXCb2N72tq3h
0efup3Q6hkKVoSoZWCsgC+CE8X2+RO5TV9Y4TBJMTZYDutGboEmWigVj2794P2rUw1BxhFHt252T
8NHhtqexJB2siE2xN5VbMGRKsqpE1I7GnZnFrCiwgofPppre+cDUTg/aOpWXXaMW2/WPaenZZ7OQ
zG4ib7KjA+XubG5Le2zfUU/7b3Te6j2NXecR9q+WQYav6oqRDrY4WLU6bAxnBRsdU6DjD3eKmyKd
51+tPfuHGlEGbZy8ix+pCaoz6GSc7HUnzTO7T92mQ6TjUlaxv894sD98Ei/bcIRUucmgMX+wspbf
Jli6HnmUQa8WufkuR8D0tTXPZxk5y62wZhe8wLSA7lQcmE67uI/K6IyQm8P9VfTxurOzuuXurc2n
FWj8ju//HFpuJq9tyttvu78oS54yy9dGLQMPFVNr3lrUVS+u1Amo1/jTyMGi6y7pmTIjEXgwlKtd
VDf1AdNM+zliw7kyugz+sUp+MYOKrheSHwQIZRW/sZ9jJ7hZMlWEfZrDQjAzz/lsnDs7PxgVyQHS
gTTC8FQHyeSCxmxFc4VG4J+0hI+8K8eJ4iVRdYZLyInjK1Y/1q9JJQtTSMGaCpL6Ywe067rEgv7l
DEb5bjNqJJg7beB8jtjgA8GE5krziOwootPtaBj+PV9A/6Fuiui2HewuHCjwdvMiqk2hF+RrcrkL
H89HTPdNJoP35GdNdtcYdfU5GQUK6BrVzH+ivr4v6E/scGK/zPrTWv+//2K87v7+7/z5J258jXOo
/+2Pf3+q4ZaX/375mf/6O3/9ib///wSguyxN/xe3aPPZf/6v76rHLXQh6P3Hv91898m3Lj6rr+4v
DLrLT/3JoPP+JqXnW75rOp6QigzM/8ugs/5msXXi8ExCk/NQSXAV/yeDzrH+5lz+H34Ql5ZpXZZ0
O3xKyX/8m2P+jRGDDzTOurAZHeIj/3h34+/67s8Z8J8fyH//+S8srssGzH+Pij3TZCzFre4rSayd
Ir/4r85moVY2HXPNk9O0xhMIN0nZ15tLHkxR220IUMD9kNtdv+1Yy90zMGfkC1V3xmIn8S6aM60Q
5p0TopP/vmZz9cqidIEbqTdUsVurJKcEbBjoMKzTR78B4wnvbvkXQ++/bpv/8Ws4vBksC1GwWvL3
CEaTIq5l9UsFRMtanKJjPwQIhMgC1EabDlAFeoqdHCbDz4/mapr/Yr/vj7Dc395HRylKCMcBIGn+
HuW12G2NC5RSsouK7JqeKT/3U8oUDzk1g7xh4cPp4jE6NTllOZOAZZPExmPhxt2RBmw7rtoL6UYP
vMrudh3z9lb6JBVPuiWhSXX6aOENsVnvxdxK6WM8+yy9hSDo/XeCMlb7jI82cymx83XnTH10+vOt
LtfxX/yqv+1l//Feuz4OYAsh3LLl7zE2VeyZJGm2UTCkefOQd5l/A2jI6Xbris9yl9Qr3YnyM9Ck
s1JjOHBflbg6IisslJ+8koxSfJID6+rAnC0Q8ehdUyGD2BkcYzNlRO4E//Cd/M+n/h+fcorvf3rM
XeX6GFMcJfkeOnwJ/9HAP1k21uAe0a0f2gL+9vzds562NfgFt77Mx6uynqITGtajZDZwoO3DPR73
zo+lHMvbEWIDmlTFFEPMCShbjXf4BrbCcGXnYnpmI1j9jOl1uXJWnS4082X7bBNRGxSZj0jPgHRn
sYN4p1hUz6LK3vMxtjuj7N1N1bANMad5+yOfe30m60q/5tJaftX4bR9aURYnImuGXRQ18qa53JaI
1sbWG+c8FDrvrpq5827VUqltPUzVo+eM/lcdrc86V+tLPbTVa420+3Jxem8GQRfNKmB7lcadv40w
ONx1SVVgNGDAQkdXzieYke5NszTdmUDy6laT6ELiyWi9UlFE145gP8v38wf8K91NBMM7x41RYpzS
xfRoWQYVESFZxxbvD4Re/rHAG5fp7HnGtZLsj8d/+CmzDqy9v5u1w2jLjqkgKReaFnkeh1m/yUgG
hXBkyH6LBmLeC0aUuLAIFNnPMy7RclbZGWjJZSKHhynya77bLldW0GpqF5U3r7TC/m50x/6u9RhN
5OZwavNW7PRc1tt/8Xz9fvwIk28DmHAIo4pAX/e3JeLGjdO5dhZURzVedgTnxsd5Bfd+D3xY/xpm
aR6WXjBMytLllttenxfXe+0NaZQbnY/AeebWcMVG2GOGwBYjeWKZO4yXb7/0qJXQoMW/2Ir8bTfT
M3nVwE9tR7iu59rmPy3kqNHyvHpMwpKcwA17Zdi8pnXmUF/8w8wT5JXp+A3Lk/1WzASQrVH/fNje
7//z2/fXndQ/X4ftWMq5kFWF+/vZOeOFS1YcK+FILvuTn/L5Zl7Lit6wiJ3UrftkN0Dj/+f/6D8d
Y8LksvAwbZvCZmYnf1spN4UbS+MyXyyxnI7bhPHRm+3p+OeQM7IBPBxX094hAvI5R2ZjUu2UIKXn
YYBH3C7ADBLffm8H0oIMX7lBYwl15bbzJsc1sv6LA8z9Y8H9H+8XRv1UBD7NjzR937zUF/94gOHo
URW8cjdIsbiEzuDd8uJ/JEtD05zTyO1JQNsINET8iay87fHboQ4wOA3nQkFa71IRGpX8bGy7vnPS
Qt/kcvG2rpbp3nAKsaGd0D8qyzikuNpP49jrEAjOq7W0ZkhAuAjTqoseQXeVRGaV5t4r7GdtxJNg
NhVdJO6KSXbcqEcdJT5xS/Flq2PCIpz03nCjTP4QSt+VEEQMe+/HxfWcYJU17NJj7gI3dW3H4bWT
1riN7MS/g9CLR2GIzCiII1ftWFFOPhghL6faJd6J5VC97ZgM7vI412uIUOzsjKl1H7ulNg9Gm0Sk
sBBQxdKZ3vpmxc3cJva7k0w0xWvBP47hz32b0cEKzAhZFthLPl1XhmEbIXCoEwKwvnOctgNIXo1f
8D/FjuMsvzEbyUASaWg9lcmAknsB32zwm9AFzq11pqy/r9m62DfSat6I3azxk8bOjdMN6R3IXnmK
I1KKMoq/40ww1HauxyKYcXIEkgz2U+fq9aQLd9yX6AO3ZTMifLlm3JRBRA58ETSeUx8gWNs/utYV
2z52YdEbQ4zhnUFCvRsYLO+rhnQ2rfBKLLbRHeZOLVuV5mmEDKGbTxHXTCusPlTmmh3LOB1u6L7d
jUqjGUuyOioXu2IZOW/SRBW22uTFjTMjkNpn8D2mZ7VQKbalZG45Vd1NYTj1tb12IPac1f9Rctuw
W9GySDAWNeLXHDdEYY0Dn7NTq3Ov9PO6FIzR6l7dqnH1wxGh5eyNVR5GonH2jI3vzM74SLp0fiCi
geld1kVT0Iwjhtv24sKISHgRWrIvx+QFx9FbnFv1/TS5TDBdLN0TtRCSxSJeKKPlEWOhdWXG+QWm
q/ZiSfowUfnyVLIygemvaR76Zc6vmKgu4MzcVwLmYb0Z9nSn3Wa5o9VNT0al7MMKk/ypqNU+KsaJ
/YGeja6RZFVe21Birx9VxRPmd5ssrbAOdDNWxbGbHgun/4iwgp/8fpZ3I0Gy1w7gjBPXnPfW5o4d
ZNKtd65bMu8mv2aDrecbfqZBsu0we6EPoN4LsqqQp5XItR1J4FHoZlEa6Db5ru1eYuUvcfnhC5t5
MeIpQlIJ03ht8TlTne60rI37ni/M/STW/EdVx2ehoDRrW9c/qcXMlI7+8gQpl3wZu5QP9mV/ZVV6
eKla+UisC8NE2ZltUFglZBqHBxm9KmP5oUmYGAzOcij4AG4q3E6fKFHq/3B3JttxG9uafpcaF7wC
bQCDmmQDJJnsKZKSJlgiKaHvezx9faDPPUdMZTEvXTUqD7xsS1YQQDQ7/v03TzSKM9CFXHuw07m8
Lhut+EqpGm4ROE4XjR4kVMYJ/ErPilEttETS5FssKMPBhYsRL40AEBt8KUL/q9JalpvEcfSzljVB
wW2Y5Zf07KDSFMZwlgbaYgE0Vc/KWL3IKrfXNrfytSKnaZ2GjuURADTtJYDpPkqj+brRanMvzVEg
FZifdECIghWP6WPjcTQ6biC0bK3G8Y2WdgClzuhs/FQFUXek8aOPrF2BKmEtyrHeUc0k8lG+MSl7
J3co0OZoeJRaV+kQK8x0A4lCrdxISdprWoPBy5QUIBgGPBVos+hO5ryfCeapetjijb91ytbfwawJ
4TEVEe1zC2ZNkwzK1VD1+T3AERRZq8SrM6V2oL4Wwc6f4cEAlyCGUlt6lHgDPU9k/exRx+aXSmQm
aP9SG61TP6avkVUm9Enn7AmkelwNtWU802Xr7sNOYeNHEuk3iv3D6cESY6uqdyxo9SpxSmc7wPmB
7WBKZEgNDBrrvKdRuQ4S2cGez0nXWEXw0XxPDqjtVpplFN+maur0DS559bnKPhav0YgqrIBl7Zcl
vDwNNGonfJFdR2mC30JponTe9r6u0QIZc218iKDYu6XIs3YzIrEaoagI9XXo5kK9Jv0HYeDbSPEQ
04/VdWge/rIMJtsOzjOQQFQznbrwZ+U00C1Gj1y8dlBBIedaApGoTzsdVinAHNyU+YJCHb4na23b
NK29IQacAziOe6hpcEVuACwbe11ZReTF46xeIWm1N3Mt9LPYZPPtMmgpOOyp400uC42N2K9Dc0v/
Gu1UUy+KpaGPqmEj4IVADY26lPlK73JLgRh5Q5RH3pjZ9gXnuPPI4Gl1J8iDi5/9MQ/0G8OqtG4N
9gdB0OrVMnWj2hfNGvIA7ecizNrXnt47lUyjXpVxVO/eftTECUhrr2FvTNqgfoHkWu/MPFWvMqRu
O7WGj4iuCbaJymHM5Q3Ny9RyVPmcMhfoPRtrVSxPH8FPAHpMprvaoTmzguhVPBQzWasrDXLbvNIR
zdy0Jm9LaaXV341Kpl6Fc6HAGcDw7kdcFUwNVCTE3BkKlGA35kKJj1YyRLT3lj+IIJV6R2qPc2Ga
TbCZdT39VvoOPwf9ynklRV1+c7oaIBJeUnmnlY6s1moatPbawaYMn7DQOEMgxoM0+czXaMpYthtN
kXg1NmWZoYKNC2SvCDZu0pobEYS5IdhO4VBDSNXMa6i89ARS1clCDk6n2KejoN8lTcV5dIKCVzcm
8bwqa615NQrpPE7zFMJQm20VpdQ0mj9SXxVPhE806D/UcUQMVBj9TQwk8oveYHxpOIXtmhr0nKJ0
mKDYutlaBivCr+p1F5rODYHjyhaNiwlxwBiKLcTs1HUiJdw2/TS5xM3cino2fqSmql2aoO+Dkqto
hZv81qnG8Bx32+Eq7MJe3TQ95Kt0lP4XPU3qcWvE5gsB0Kq+GrhNnetpOu2cOk2upR6Xtx1thMsZ
UhhSlpz/r9Xr8wG14naAy8BNrXGcDR2CwrWlL5/VpkrZfciq2VVNWu7VdtI20o/S10ZSdVQQC0Ka
JBcITqlU6PHtYOzlv/KpGC8z+g9fMObsknU4W/q8stoajl9eld23uU2XUqWkLT0UKieInyxioqxS
NUTy+eTVlb4DVcFkSJMIPdZ5MaOLbAlA5ATVo71WcUzLtlDP4tRwcjZNWkh8DL+jnLBUf0ezQe6T
Rhl/orOEFJNqNIF1MZ6rca/exdCOrDUS5XBXwBu8NGhikx3eT4++ZjxRY97LMLitQy2i2VXW+2YC
3k+79s7QZb+COo9BS1g/B9gt0o0pzFXIjL8uRwqpycyUW3StVOl2VBMTodyGg3AQgXOXVCxzguyD
n1rac9C3mjleB7Rl9wVCx+smm8cdKIL9XQ9z7Qb+DdkZQ6Jfx4Gdb406U7eqCWUOtB22a5r4V9bY
Nbd5WMUPvaI/lYVAF9PYxZWedz+U3i8ea7OMrLUS0jyO4ijaoNSC4+E3j4j3rW+IqenpGUH9WsNE
3syz3TAPWtSxs4WYT6ttw9MQUM02nDM1btvbNsxFs2JlAhHCRfeKTjP4+vprlJsPjjbhkBgW8CXr
7f+k5QVdwDbA1hv7istLsC0w5dpSiT7klJ1L91kk/bjKR25sulo/N1Z7Z3fmi5aoT3nPnl6J8q72
u/tEib+E4bQKkuiHFoqHt2vj/2uE+zJ6qYum+NX+/4ODIyb6AAePgp/1ewSc3/83Aq6af3Gvtywu
r8CGknv3fyHg4i86yo7lOLZta5qjAwX8GwLXgMBVyLSOYQN1m6RP/xsCV9W/LEe3hLOALhKDB/sz
ELh8c+n67W6tq9zP6aWYwhHAEOYbePibu0fErTkKKmJLg1QDCYxhWq9rMSfpeqhq81XT7fiNfyTk
ToHPUq0L2OPiXM+gDXu6qqvzOkz6KbnxFVTx576lm8YrhuRRdTPYunIl4nBOPD8ucyzQhsp/Skvb
HlajNeYv5tiGz9B+7UsH/rS96sy0DNdWU+nnlOxF8DzAMQ4ucIqcz22tLTwNpaeb5n4v9xNU8tT1
1UzgwOhktZxNbrpJ7JxNtMSAmPA7a3Zm1LQPdV5bUGJqH36cFucwJucmTLK1GeTh/Guay0leWD3y
eS1J4nJnx5ak/rIdiZjTQlw8b2LkhcKbwN9rSDNmL37mVerQWeuclDbbKkeUSS9uHnJ0FdkkW33b
4pzrf7dbDYloak66fmUVHQEgft/FFpIdJLfYnPTw+VeS8/+164ruqUqmARRv8vNqNdm5gLjX982a
O0V/x745JGsB+hJsBKYUN0nXmDmbvFJeEAUcoRTSqqpelV3k+5tWiA6FZNGom5or+l0JN9ptg8DY
+5bwo3U7pV8nVdE5ClCHXLWTYqMOn6zshb4hDfIWNuW9g1H4KhsTeFZDrfUbWBbx90xHE7kaIGfB
gCgiqghR1vWZX+Fpu04cLVyokAIYWy184ypJw6bcRI4O19+Iu2/qMEAP7u3l+hEOW1wfRw8VKYoQ
CGJ3UWmULwaZ3Qm3Omz6IIjnX8EOw93M+spBPuX8OKeZ+ZqbRP4iOQL3hMcjYI/oRqB27L0+TGw1
1O4zveup5GCkzP5u0ALeFZ7Z2HjouhkUX9KeU3VjSk1234OqHpOLjF3YviAT0B5LpiL8Wt+bA6vR
f5C1ljkq1Denma8g6iVcJtu2XCTGNGSuFG1WqaIbVAuuaIziyzyZ8d6o4FjSR7/oOeJnp/3Vodtf
OWWH+RzeufDDI2J9AJ/R6XCJjcxuIyqnRfLfXaRICeHIpflzbNZfprqut5DvxKYrBQzZUdovQw27
XB81wOMqhnLc9+YuwaLMrc3RCzR86cMw7Xcx7hPrMlQeWxh1SxfC46ZMs2KAPphOJe6BVXcBYIuD
TpS4Lc+8Q8DqQQh59IW+LXCiaGwIwBq2IKtkwvFUEVROySxemzH/Ok/Wc2Wle9gm23m0Ancx6f05
p8arQpc9tjEfnGbtPscsYb149HNThYkw+tkWPF/bkEQer4k6SzfpIF8DAYvXmnxABG0INta4WPWV
lWd36jXCoXgd+grM8hFca6a99NzzvfdogzzQSrjFFZNmMLUn7vVPbRGcO07w3ajkPU4M+EhE6XfH
pBtWoZPc9Ep3VXK7/laG2a2m2WdzTDc4VmNgv64+J8GiXLelch2E/i720yeaVai7ghn+oCOonUGF
HhI1s+6ooh/McvhGL+N6mBMkLO0eKkO6Mwtcafwie6CxSfJM1xa/rJgGeIFKBrEbpmV8xXE6H0rr
Lh7mDlojZP8wGCHtBWhBUkxs8XEytK02Z+giKBrQIYk5ombr57U/klZWg6a4tgXPNodxsovT9rse
1b0bm9arDaPwsppFepU79U2Q91DTel3BJcgiYrsG9h6ktiRBUnCI3IIc0Zl3daM+YYrkxgW5h05o
JLet0+7iGKRSL8wzDOm3iPC+hdyUcwdqYhk7YpMa41M7+i37RO27wSzMraU34WUODwGyub/lchnv
gr4vVwrqsa6u6nNy7gzegn5JV7/eo8WIz1HYJxCdtXILa2RvJ8297Bo6+DFbCOrzTScRDOv2XYY8
7dzq09ob5PA1TYMMVYaOn/eAyeAg0gqGrKbtVL/daSpMQRtLHjSbEfiUEJtIry7aEZKLRhsE3CX+
Fg26h/b9ORs640s/GNcp/YaiJVydjI5sG1eqs8vocMGB7sudOdQPzdi9ZlZxmSTRnuYlmpWpe8wK
/VtjKzYGuT5S6HZanAPQvbZKeYtfBextLvCtGEe8odRzMcyXkAJX1ZB6SHK0tdpM6zmxEL2wovB5
8L0ICg90TKDOEKZo0fdrQy+8wnQoTBVmZ6Xc9F3/WojsfAqqK12tzppZKGd9btyyv2VXCAMXxkob
reJIs1amWb5O+fhgivyX1kznloFCuyqDzVgUF5i0Ol6tTkvLWrlNRR+s0N6z1kflLKuMcwC89pke
wbb08RihWxisVc2M1yh7UU7M1UtRTDcZnhTroGxfZABwgKYq3xtwIgktwFO1bTQ3EcHd3Dn6BlLW
JqNPp4zzddumxi0Q2rk14C2m0sGuVzYEmXzH0Z5E1crXUrY7HIXa6pdoRfKl5SphYsSYUsOv4l7w
BRxanK5ezHA8C0mw5AuwQ2twpEidJJOwndVHvDAnF0pUi2d4qGrMKRf0tRpfpF7PTbRKW02t8+2s
ZiWX90DqXblxqOaXc2wANZJf7A6N3kWbVfEZ/ISMZMy87QDYbzU7K5zKFWiluuKXpnayyFD1KrE2
c6N2gK7WfsNdah2FwRAjlNMNEDZVawZtH6lDMH83RNWOcuvX+fgmU8KMgyAQIFg4Xb6OVjD3mrYd
FS8MmpwrqtFrD3w8reivpkAR52KiZzBO1XhLq0M8V4J1tCk5K7Q19QNysHtYg0lh7qQS0oTIsl53
q7qaA/MpGfLUWoNDjtwwc7iO6Mc11qGyxbRrEO0ZnCQsyljd3Pq31hxncblRhFEG2Vd/0nSxsUE+
hJoNKWHIoo4a9ayzoT/RNB76dhNyiVnPHHymls9tsZk6jIQA2ePBXmTyEW2JO021/E0UmaQvJAmm
VbFXpomJOF0PhsbTnHhOQugB8E83qa/XMOE1lKoako/UzKpNmpF5wevV5xzynx+WUt3ahQ61zEwy
3aQtmUr2hWTmoLkK/bpubhofRJiKkOr6dsoQSa31psq8sQ3idB04dhN9y9X6e8tBED2oQVPI+5Fb
XXBGE7csniPkTsCIU3pTK13MeTIveT6uX7fBZdgoerHJnLofJMfOPIRZsorDEv8Kr+lbpE6RBkZj
rYgF8rufEKam6GZIsC/42uLgk535SLp9QH7KsjXtXmVrEJ2TbJQiHecvdmAalts3xL9ez7aeTvbC
j7al26L+XuGZ7odeMmQxWLjs4/EpB6++8zMTgAWin1pvLUiM2irqnQoX5n7kChql9D68fExFuWqd
uG0AQpC6+k5aSY+0jViwvA0VTQiJIVsFNjk4H5BQvup9J1kPIRXNhpWOCq2kaY+7nmLhg9KsiFJq
Kxi7ZqGG03U9Bbl0wTeT9Ewtc814DIe287FFome9KbMZ/AnrFHSgQ9TbaKB0zD2HgkyICiUMrEbF
qr9C4gHnQDawauwkRdmjNS6oOz6UYzk/ab5efuvSGAsRDqy0dqLtCKfHGxJYBytfCZpNOWbdRg/H
9syJG3PN7UC5GHFGOrOsxLhI+m7YzcY4nCmNhDQDXXltTgqWdE0zgMKk7JvzLC/m0daw9jDDc2Gz
bfGUytYJG3sja+SbWDc0yY5oHc6xOUj29gKfQ6NvXDD24kuTKi0CICh2dlEal0pfpj/aWHbncajE
j/EoxQXtrBpoqKJKlNT4CCiF9asuZ8S2Cwf+2e463CQ0VvnVaKUxRnTw8mI76VB+I692VVAH6p5I
g3CXxW4FMeSF9tfCix/hycd+fWvp1Fk4YD1zrDyXdDxWTZf6a6Wo7JsKAf4zV9ZwW9ZKS38wiXfj
CJoIXm4EZ3UkRhdrkWcF7f9ZjYYWKqYT02uBVb9WujHeRgH7ohIk1lmAr507Vb29xJp+5dRJ1wCD
5Vdj6oMtEpqB/rsfPgLEgvyl7d7pGkieKWp6OCrcTmRnqa7Tsd2s8l5HTtH4yGenSG5CblBr7CuM
3Vi1PxEABi5U06UFVt1keZ9dQIqWXMl0uU5sjvIEjdFazSTNhjRzoJwPlfEwRt2DPxjhWSygldiZ
5RoIrHiNvbUNSiT6aoCSOK6i6AXfVu6xMitgeGMjpOJBiE9Gk94TTM7VcYC9PBh9+cSTUKFOhPd4
RdZPXCRj6wwW8EzIYYNsC/4MD96PHsg+blURFM2/+WCfgmn+exjMdfkzv2/rnz/byx/lIVqzjPdv
EiO8un+Nv9AA3/3L9o0SeNv9rKe7n8yS9r8oecvv/O/+4r+IhV+mEmLhS9Hl7fKnBfBufgdWFurS
/xmHWXfPuLH+zVA8e4UtyO/+G4VRpPEXUIRl2cActibeOIXDz6b9X/8Dj8W/HLBhzdRsmAWgLiA0
/2IiAsNo0tLAaFSN/85d8D8wjPMXrEGuojogjAUX7DMozHvbVriO/Em2CZ+csD2GOfSKL6q25eaA
P19Do9qtdTXYRKE2b357GUeIYO9pYH+P4uiaofM36I5/uEwrWGoM8K49YlR1KDdFstbUMN5EmC+d
4JecGgr46nfCRgzvS0js9TzLcF7MVqVzaPt0yOpEnMhAfE8+ensoUCsbuqjAbNzWD0YCSkpBrLXO
Q28fgEeYygUkZAqWpCUKpHec0ssa0bgOoXbfBqfWP+Xn+6/xJSazOhwkkIMDp+iFTo91yoCvdkeV
LTi0EVdTAHz605lwlFRLSh4WDsz799mUYaP6SdUR964o+5n96JzMT2wu2sk6wXA8MhdNQ5PMQ8ic
UpgHbC51yGxlFnnnNWNve1L3qUtD53Mx52+vzVq4qgYcLMckeOP9A+GkUgb0TVoQPd+5To1W3sOP
yT//LJC7pGbAJHaE5hxMjk4OUZSWRguHtDX2tFr828lpxhOjvDej//tZpARZZX8QJgv5/bMUrYaL
Js53wC45IRqq0a5KLBfO0jaV5xSTEvs4WEFZJIITIx/5VhaUTgs0mHaxpR6MLDCyQVLRtl7XTR1n
t1Fuod1On17MkpfH1qmDVUvtkN8nZ+L24LqUXu6rBfhLpVyoI70StZrr68/Oc8lWi+MM34wVfchk
9h1zEk05EnrNQY0StpNnWWHVV9hS5GefHwpyucV5YBjmG//89y0KSVJozLiYMcWF3ORNTfNb0WK0
+Jry6c8knd+HOqCv6dU4GS3KKk+2jU4bLTH3Y4Bu+OMH+nMyvB/lYCfqAbVK6rXCI37LoIFtqJc0
lpIT+QF/7uyMAsXYgtcPt//Q3z/KMPepgoBnmQPqPpC6lYO3+SYWKM3+wQP9Z6jDnYirDGkg2Mx6
PsD7mQzM2bMi7efHg5x4nsND0ep02CGzU3hlnNlcdzowmEGhV8xdbfXxUMtn/k+nZdkneHUoHRxw
YuwsDtMLhEAs6gu78Lh51F7QYoeMW3DmRnb2wm6YnvhSR+eDo7NyVQsm95tP3m+NHTDLmbu3LLxU
RoqL+0O+hmiUfPoj2fD9oa9SQBnLHvR+86t6RWKfJZdYtvaxG3vskxxjcD9+c398JF1deLo0vGym
LUf1+0EQ/2kRPfLUa22AMEsN21c9bCsspWsrO/GV/nhtb2M5RBIRlCkMqb8fi9PKL6gUU6/srfGH
H/jo1BwzOhULdMDAZTYwjgbYJyk8kRkbB8u1MFU7C/MWBN5OwivFwv4ERg3GAYmZXcx1jsjUCsdL
QJjqooIRdJ04tvmEB+7MLUaBWtjo4XwpO+hf0h/jPSdAc5/rU3ki6O2PWbv8nLx0DhrdttTDIHUf
Jz4TfzWMc4LO+V63vnmlWkXlKYEhNwQBfrr+oCOJuo+ppAtTNQ83GEOL+rwJIFBqqvI4iUHfpEKO
n521S9tTSsFIBn8tCqPfN/+EXHczESRFJX5auxjswbs1IRd8PG3fjqt3K55hGEfAi+deTgHzfpi0
6nT8vpTEa/hMP1CP6tPGUnT0lLlhlzDf4hIT16EWa/g541ddDx2vAi//wk6OVY/WlPeYx2kX6Mfl
RcatWK4qpUfOlvVkXqgW7lJDWaB5wxu6vP34h/9zHWh0PpCLQOin9DysatBgzAWHSOIlgEyrjA7G
rlYm+8TK/qN2Qq6EHBjVgIbjHTez929ICRzR2VXHxRqvxG9TGatrgPHAnXor2td9XV/4GEjJOWzv
P368t9ro/bdhZLrerHRBQ/2wNtRLibLVamMPZVc8IhGP9XuTxt2PglYpzJFOwl9BbzXeTuiZCvxe
pipZl2gM5wt6wyw7v22c76h8qu8Bkt5xnZg4N5zK//1z+XG3oL4z8ELkAnqYOt2ZmTqMQZR4s0Uj
Y0jj72aIkifHtB3/J6j6H7+WY99jkXJR7MHtQh/w/nuksLocuv8xvQcUS1lutltUwNgFYHjke1ZS
Gt+BwS2vnKz84eOhj004JgKlGLW69UeqfajV8dSEeK2OPj3dNmyttWYw/z4e5W1pH3x3rh0S9QMb
PFfug30X7zdriOo09qq4rnFME7hVWn023jXNaCA2QnM8TWqIrCn06eZAF4Rx6hu4RLbjmaYazmeP
aZ0FsNzpFgEIIMDB2RYVs6oWaPa9JsNouhhAxPCrPTWNjrxcHXdZzQSr4LjWDja8ep7GuUvNyOvw
Sd8GWlZu1Rhz249f7qlRDs5ONYI/iwAD+uaEm2fCeb7S8kQ5sWccW7qsXBusBEkpG/hSLvxW2fjY
ltkdtlLehDwNloR+j0ES3A7iBpa+ukSXsi7hSaBLUawIsrqAKVpoBdbUsUVqkGMVOf/oaK8ai+oX
Ltr09z7/JkwYWwtuRPFlH7zvtojIo/BtNKPdMO0yHMxujBRn/Y9H+bMu0nRLtZnKBnd1Xsf7F4F7
Jd5I0Rx5UZIN56aDK6SCGwGiPq0/8WmXZXG4bCAwqSqi2WVzOBgqHNJGS+w29EBXfo2xvG7ewhRa
+VCWvhvb2vPHj3agz1rqI13jpmECViHTsuUy1377yETWowqFhAJ/tko8/EimAM/uoN1UXOEx4JhJ
Vqytdj/i5I6sIsihlurhDZ/SfPr4R/nzLbNyWDiQi3SDEvTgFFe1AklYEoVUhOn8xcJVaBPSriFE
yMpObAZ/7vbvhzrYnEghwLS3ZyhIurkrnSzZmWo3oZB0ggurq4z/y/GW4+C3l6waTS8qn/HElCcu
EkLoiUkyrg1hjSsIbfqJpfsHWscmpC21nWWbJm/zYIMgnb1uHVGEnh766q5KhJGucGYOwrU/9eql
ktc0lCS5g77f2t/S2Fd/ffwtj00rXrEB5Y4i00JQ9v6JQz1RqkZlHsM6qG7roSseJfj2ukOlvB/4
yttKZqmXQuo+d4LK33Z26GCq0p+4rR+bVLqw0cW94VOHOcrhCF06SOvQG4lLWtUsuzWGIDXU+1Sc
2IuODmWAcIgFKAVwe//IcEVqaMoBfha1meC5i0dMMk02/jEoRj9+vcfmL/a7BqUV6wUA8f1QbRHD
XsLy3qMFHZ7TZxu2GW3ObTxBBJhCkpk+Hu/PAwfIlUsU6ma2Jk6E9+OhHVWcKtIDL5nDYp/XvfpL
SGS7H4/y597HKNQMoMwaj6YerBKoRyUWgiLwsPXsn8pUIcEl0FFnSng0sOPsTVnHpyDfo4/GDKU4
MHW6EAdbQQDWSKmZB16qi/J+Rt18C494OLEBHCmHdMikgqMY9S6Guwflh6LYGBYoceBB2spukzmZ
XgK2hfMp1v0rWmTyvJlkuDVyIksLJSY6J5fjjSSPAAvz/JTU8yC6923XxxcCIIH1CZR6WH/iBMoG
Eme8at0prhMquEc4mrgkzQ05GkQk3Ak7J1gbQmX1s4gXXW42GbvEj+NLlInBmZ4n4amz79insDCc
4ISFKgve+n6WZUIdlEipAq8uHf2nEHm/zix0/CcWj7pcdt6fsXwL/FpNHOwXcOBgnGnQJ4jdYeB1
zIfnQkNqlNZ1uXey2dyXnVWcTQ4eZPTWlW2ZleXtPE7jqUrx+E9ha7aOLQZNmkNonrngdD7G3a6O
+fVX2vPGOkbzsiETo1lX6P2AgJ1k085xfDVHuFHiKlh8/XjFHXnjQA6qvgAjNveBgzfRS7as0rAV
NxMyuYWaam5tJ6lPTP7lTzl43zTw2FolW4fNdeD9d12WXWjlgwJrrX1UMLW7jMIM2QUMyko4Jy6c
xwZjeVnsjMsR6BysZz0q9TnpW8UliJo0Fi57W+oJ88ZMc3vPrp/cff4V0vWAiSINkjb0g6M2dGLb
7EgpdAOMNTaDCqdXieSpROVjH4q9kW+0vENggvevsMsHCqeuVlxJiBXcxJha0B9PwTVHNmADlSq9
B/4yabi+H4UmRzjDG1TcviY1IyDUYOs0y9oXAV5ARTXs0SNEJ8Kilx/9cHb8PujBzkhUT90RoaW4
cYvBSFsO7b5q4cmReGo8S33wYcbavefjA+t++tMhd9eotE3MabTDbl+SK+A5UaC4ThAanujZ9ee+
nL2PRzlSFjAZHTBIxPUs9+XXf6v9ItxDB7MeHRcia7oeScjCtQFZDqGb8frjoY7MEs6xxWmBS/ey
t78fqvdrNR0wanRD5MEPEALnfV22w4mSamnUH34xykokDIBtXA3fpA6/PRECAZRgeF66Vq2P7mih
AtyqPuxokmnFi44g351jEb2S2IWR1mj2wUthdOqVNpPjRbxSvyHrKbhpOgKpVuosoXWUbIRrdGPl
ZZibaAG7bjhlRHFkY0B+AV8SH6LlJnfwcgSXGh+hmOOaCb4qRjo00M5VndiClZ11WbaLFTIgVqCZ
012UzgYxSCKMXhKlSEiJNP0bFFW4xbeqgDqZ8snLFYJTglZwUu2Cm4+/5JFJs5TOCxoF3E8v4/2X
rHB9sRS1s12lR2WHGDZaTThsbSXhhyeOwxNDHbYdxUAeGPa+tgsbb7zmmGjONG0cLqtx9k98g1ND
HSz1qR98X6LFd8PEbr7kSS12kt7JRRV2wz95Kp1mKo5YSyfoYFvuUH3GDt1hF4FLDRWtjMNunei1
cwfp1dp+/LWOrDubopUvxfZMXXUwtRQQH1z9axur2Rbn6dCet84gTxVtx0eRVOHLmQ2w/n5OpAw/
xTVzAuSeBIicfAvYjtmJPeTY4gaO/vcoBzMvsc1ZYDlvu3pfVY8VnC+v8xXjwgJ8Rfiv+ORCIqJY
i87KMDCxmn+xqt65u/3uo3T0Man/sLha9uTDmmSQKZb1omHq15lCNqA+rfxpOBXefXQUSZ1Afwj3
M/PgZc6zk6gw9Zj1WMl7/FvIGyX76x9MDOoCLEdsG+z9YMLbEybbfZYjvRXOr3CEOqfmVX+i/XF0
VXHJXrofXNIOQ8I7ABzumkz1CM8+JPxK+jgoNuYW5IVuPn6eU0MdPE9RZ3YdWCxgFAfZXqXC9lr0
Jotva/YPhoKjsBycXJtYV+9nu2b14UL4wcxYBAW+RoRNjBNupc7Qyn+wfOlMUAPAiuCKdlD2NDTc
wDVZvoUgLEeJClRAdq+d2JGOFFc2/ReJ4FCnV2Ud7EiEEbVJ3sd8poF0PdSA0XkKU21nWAijI82u
930elk8ff7Cjg1LdQ2kSqOYOHX36TsVWBsGDG/dDSSpqNm4d3xj2RdvO10DGLW0GPTqxzR87aR2s
YXhWLnOM+/7TlbUj+8UqzC3jxLrKhgFTY1spt2bayUsZ6unn6ziH1jhlHMg+N7tlrf9Wj/SYwZSi
ZS23RZ2TUwr93SxIG/z0qwQDx00E5iDEgsO1bOiqmETPKCoa4e0QCHtDPEe6IYRV3Yuo0laV0506
nI/haPRqQJ0JjwB9OZybRTn6SJSkBHUFsFxXitaQfR7lOLh0uQ0Lmz3SIO7tJmhKizS2pZs2WKqx
L3HLvvr4DRxZ/XDIhAlWvHjcHe6Zuuiw5kcu6zqFH22yqavXQvgEojrOP/mkpqkaAHc6tpaHxZoB
N7MmIJzHTurotsdOaWUEvX328QMdOQSA6yjJ6XKoVM7L6vlt4lhKMYiGvcdtJdOzw3VyE3VNeOJE
PToKtDVuiYwDJ/T9KEE3YxsUM0opAXphoP+YMez2Pv8olsBnDe0zvMLDb5PIXpRppko3auJ5q0+p
vapNTKb+wSgafDEIKMvV+eCF2c6sobYapKs7db12NJx3MZ3tTnyWY/MMEoqOyENiQyYO9g9dVUhD
DBev7Gayd4MSqOc+kfIYuIv686cMmz5HjLo07Vjd77/NjAce1rmhdGuZWxsrsKKtwuXDzUNhnPhC
x57KFsASdIUMlYnwfijSC3o5j4F0ISqUmznFsKhUJZFVynCqhju6awDWUHmwWVGaHhSkqhqjh4Td
4aq1eRYlSP7wZNqCTX+VCkHISiAfcIzv1lUu2C4a7fvQVs8fT5Wjjwu5hIliQJs8JCz5Q+Sj3MOq
U2OjcgsTj84sMQjqrpzhxEc8UrIu5Q+Gm5jWqtJYzqPflrGJ8X2Siclym1JT9kFhapsywOmv8FX1
0owwrBqHvNrWbdjf2lUT/IPjh6MVdy9u3VTmh+vbaROFpWcRFp0S+WTk7bpnrzxx/Pz5TR2DKWou
Z4A0hKkdFObIx/HZ6ivLJdTXWGHcjtYGlYB8JXZXI7FRNTZl41vbGuOOhw6JhBvlSDsJ0tbGEz/L
HzsaPwqbJgwZSEv07JZf/+2Fz5iijMnYWW6LSfbesKIUqah4+ngCaX/MoCWR4G9jhgVlOOwHDuWo
6D10dpeMz27azlVHAMtQZ7AuRd+Nrp2r06uvJxRSlVCIhy/lEF5NzlwiZ9HDtEYnEuGa3g7ovby+
FU7v9WaT/yrwbDNXxEljYUUQer8X5NYhaiavtb8fa008yIZu3bbHQcpY5aba/2/OzmQ5blxZwy90
GcEBnLZkVVGSZVmyZbvtDcMj5wGcyae/H7VysSrE0Fmcs+iOFgogkEhk/gOevYBTdsLcGiz/LXwJ
milr4ZV1dIErbjPcaMbp3pHDENiOrN63PBT8skTXhN26qDc1HLbPaqorf15f1u2qvoxKbQidWmAu
dOjOv11tRlmha3AgrEa2xzTLYYB3A9zmBg+u14da/9RmgvSwuYwo5vMC2vayIVqEpsNdBwQEr5xB
6PHjsgjbnyJdeYxrCEtZJJwf3eJkO2yF7dJSDCVdwloFUDGxZwv6c2Nsf+FBDsACxPyXcuzvRa3r
QwHn+wb5+uhmQpH6x+uz3S7sy5gUnMkO14HtzfmM8QVEu4HPKfJGPywRbHI1rhwfVN28cw1vE2wK
bwLZbprkGhhX29gMhaG3EhnopAWogNinXGNq2MFy/gE6wgos3Z3lXP/evx9yHY8KPlsVlyGDOv75
ntGTCoXiAZuuqTTaoJr05XbAAXFaxZmnoxbjDUvn3LqduLff0VmHwfb62m4DzssP4A2oE20ICdvC
Jm7puRNauQzmrsWMy+SC8xAkwYLt9XEu9w23B/0Ih+xjbVxvDofToytD5K0D10kinMVKlP4na1iZ
Bkg03Doa2nIF8NHg9WEvtw7DUm5fSVBc21tyjQh1Ho50YoJsyL/njoNbUy2fF83eoyZdWUeqRPCs
qIxRFNt+SKN2RkVqcxVMpNRQzjFPhtg837x5OiY4aKqtXP+8WjYX4hKNqlUPTRWgiDN+HY1QuSX3
Lg8qYoL2zhe7nBFsMlRNmA/sCUBt51tz0ZCVD2dMUWKlwIXXbjWPOkx+eH1GlwcOqJ5OVZ3smsL6
tlenVrOaUD8oAhn16cHVOoFfhBGM6JJhcBo2b97uDLc2sfhU7Pntdp/Sps5KHnmBUg2uD1YoOuXZ
tIcAvjIp3qwmkcrgZBGlL5YuXbCHqILeyr5amOb5aSZu2g4q8aigQvP6El75UHxk1OP1FVEGj+t8
NNwOEJQ19SposAd9MrpqPo2u+lY07frAMlaQ62pfQKF//RX/ZCb4zJiDJrUqgH4t7pGRm74YlSp3
vs/leWUUigEq2nGGSQw+HyWfy7nJOwHDYFHDE8QnqvPaIBBSNNq372/AkyDcCL+UprapVqpi6J4p
aoXpT4PbALA/2vP98sYUdl02dje4FZ0HsbVNRRTq12Y+5bAzxhHB1XpBYTfGvfv1LXBtwzk86WjK
riLc1ia6uqgP22XtlhDFpfNfPLfasZ9xxsvcAS8VW4Y7Cda1LfdCR+PWoCy/haDmPcoWUl/KoE9p
ViGvgwh5rPwPh5WNAKSDPU0F8SWN/WfLTX096uWYl0EFpAhN2Ry4vlXZb99y9IHgScAP4DJ2N1vO
QHgVrUKkSeJxKG54ZBTHhWUDZ9q5O0NdIBPYDTwcbcougB6pJmxiap13SYGxXxVQnO0wu3DAJhtf
adH+RCrpb5EP7+K+/FTN7rs6aXa6wVe+2Xp1ANRl8JWHeX60xibMR4oLVeD20bz6t9YATcu9KV45
wPx5QMmAOuETWvr5KDphsQ1xpg3cqgUH3BFgYZg/JU6zF/YuUyfq/uZKKiXBB229GQkndkuBA4Gk
mrDiExbSpue0Ro+qc5s+GBh7+hWwjhvQntFH7Inbnav42nLSyqfRATcTZvYmHsLktWt83qrArtwZ
bQfdPNED7XZ2zJWDTfOBKxgILs4E2/uKRKNQzQFyUtyZ7WO6KGC7k0VIXjKZgaBAhh/L66HkMlFz
6ERCHkKPmDC/LaYjClXiKDZjc9XO8h3vQ15/USXeo/m8xGhF9jqyW0AZdqLx1aPhErwI++bKN9ls
T3NCGEYJY0LYhAlg2CfK56gpszsUoMWvCXU4tH9j4xFZ5OZOJ1P80gPu2fkRV+ZuAo7jOiBZpO24
fo1/Ak4iilHrVbcItM5V7lLU3d8LlXJ3a3bQRlN9eA8Q4K3QAmIC0Lz1dsDRgPC9iQnw3LtmrMmA
GgBjN3OGT6itRN3bt6tJjr9ykjgq3EebqRGtHbPQi0CVc/S0xHV3UKgsHF/fPOs9c/6ccSijkByw
V9fvuHk+xTYm3KjmFEEou+RDtdT6B2iq5WFqu/iAYNqIEEWseJXso8PrI1+JO3gp8bZgA/Eu3kJE
u6LXU6NBAaeodYnpV4zzn4Fby6Kr486b7QLit34xCs6YOdjQTEiGzteSfwpmaKyLQLGsXyjB3JtK
975LXEQWm0e9G26ssXDJKJxbOaPao6RHaUQ3TV19fX3OV0IQZWlyZgqRQBq25W+9lFHZcWlBnm6I
gAV6QV2WLW/fOVB/ee2vLylQz5s4i5BwSykD33kpkPTNM8M8ISm4B/G9EuhYTF4cK7SZAvhmTdWp
kVqL6WeAj/zilWWu3CpAzeIwR8nLUd7aCucTruQ5dirZBUnMJkM3wknru9rOgqSpUYCTZfNNDOOy
09a5Ek/WFxRkFW5clyr4+UYp0LtMDC3LAtPNpu/xpOPFjmCmV02pe5fLQbtLkQDc43++XD2bU7gm
6A5wCc4h2cb5sPGClWUMVyMAhlqhH9lnORYEi4bgj9UFaRqNqz2u/oRUGJY12kKrWWny09gKerQm
sj5RvRiBGUp7JwW5wOqy7Fxl9HrXZ/fa5zj/ZbOSc2PHJFcooA1eqoQ2tsplBNzHvXdE+hCGSXLS
1eiDHRf3aTk+FNJBqNqcfr/55IDzoEhIdknWvMVZpU0pBlPCScPdQLvrW8TP5rkfdqLhlfO5PjKx
jjPZA9yl57Olzjj1Jj5/gZCogOWG1dyFnfnr9alcCXyQGNdPDQJ6FYg5H6Qtc6cWOCAGIQi7wxTH
GDK18KJ6t98Z6coRpZ/DRqZFyeF5KaP/czsaE5DbJZ0xepgQisRyxLltsW3ELVFplq/oRO09Bi8K
82wXKFIa0IsVRcgst3MbM8yyYbo5SAHemdh4VYhYKsmnsYvMoHan/KBMyMa2GJPhQjPH75q5Sv3F
SoqdnXvtU6KUs3KIzbWhtTnJa6Y0aWGRBpo6NMelKhRfAVC5A9O/9i0py2MMSM/DBaNzPl8HIfI8
xloBtm0VYWE8SByEMSWYRanuhKbLCb1UbykbuC/1x00ARG9PjHZYFLjsjAoustPPdhTq7c7eXN9O
55GIUWyY9dzKdLa3EyplaLh9GRdBXaLqgZh5ncgnQSI3Y+nqhK1fjhUCm1k84XA/DnUrvVVZ7cOK
ogcXG47LT2q/+YDYP/c6BSG6Ydh9T82T2mYtYntxVf80Kxsr9RgaMfh+lOjfLVbbz2gfWr2F1GOq
/Z46I3kei2bCBL3ArE/Vmw9ZOjaGp2hGK050NMoCOc55ieBE5UOFUPRifFG7dqyCFkl+n4HdA8Ku
xndpADRBhcAojrUl1R9JOOZ/lFmo88HuxsnAssRVfyJ+N2Ptk/fhjcC0VR71uioWb8hsEJu6wBZX
lI2d7AScK0k06827i1Cwwm+3VdZZlWna6Qas8LRevg6Na32Tqan4jqY0T3URa++1Qjjc341+Z5dq
eNCc7K3dWNJYfgNFQ+B6ZNLbBwTvz1yfU5Mrx1qi06QPizfVaL92wt57q1zbxOvGopvFgPpW6aAf
s15tXZQOdGnFx2oOswMP8Le/9DDsIrVEb2olfunG+al0a8MsJa4KeN+Gxo1ZjMNDDp1u5+xfmwvJ
JFTaVYWJDv35KCLKWNIFOdW8rp7VAQ5FGBbKTup6GWAQi/lnkM1UYh1XcAS62R8JAostgnsBngGx
T+N8j9h0dShekbSLKO1ecA5xKe8ruxnyYIjUFlKYDE8hIFWvn+ZuZ1aXFxOzAtL7UtClQ7EJmwso
nVm1cj5QU5d3bd2hCxxXhbpKIdexl6MM+eaHIiNyp1PNWd9T2/QR+UFkf1NGNGVr4HoFiNKcR/vQ
OJXur4IspyFFtW8nml4JptCrGW3toaD8cL5DUHankOnGeYBn4ng3VAhJ2pAyuITnvW7Nlc0IqYQN
z2OO9vC2Ku9M44B3pJsFc1KM7/NCt35k0lbeXoKFIbN2wOiZUrV8cWX9J6OwMeFW1cZgGFMfH/S2
ar91ZVTs3EKXWTij0E6nu2ZAl9xikXhVkP9DH8F0Lo/8uJbarUxUbfKhUmvv8fCxDkNjOztQvauj
mlzmvJgA829zf5iQPSZmcxZEMNJOUhg423RT+mCFmXqqIpF+sRbXDF7fIte+G3Ok+yMQNoJWeL5F
8CXU16pUFnS1Ntwkbhd60k7eKkpGhNfoQVExBRPCpb6JIiyl0JAezoJxkRHa6yG+MZU5VDsRcT22
m+ThbJh1sv/sjrmLLTEhuBeYnZPeWuS5WA12xS+0ZLKTm7RWgDsr5Ia5iJ07owvF2w+5wU2KNg6J
H4Cftdjxz/htqc9hLMM0WFDUfxgQ9vInEUl/Gnr9MLSiuVWKIvry+he88kSihUjhlHIQCmIk9Oej
Ju2MPrFEQTjDekkeuWjcB5zFbZ7CrfF3dJzm19Co9jvSqsHT1XS6iRVFDyyYje+Rpg13dtSVME4H
EGSMhczpauVx/nMKYqc+KXUaQGcffXiW+bGcNfUgYyPeOadXNq9h80wC1kSpgcCwGQofSj3HSTcg
q+gQHJbZsUz7vRzp2oTstTglSEh5yKz//p+vKhK1UUPYlkGYxbC4MT0+lSr+HYY57rUBr05o7daS
//J42T7N7EoNNWkyVCzd75HllHdqEu+RvK7EGQNUBCRi7kCAWpsP1GPDSUDQ08BwMMVIJzkd63KO
7kU8K34cWdYteM+9l9m1mVEiJuOiBk8bepOspCGOhi7LhqAAno6ao48fp6GSn18/C1fudXqBXLIv
FVJ3++hCziwUesGD0zaT8UMWRc1jmYZomvSl2/ldaJg7EefatFzYq7TS4EoDJTzfGymK5N0QNRRO
0B8OTEW0J2VW99QIr2XpvCQRNGPpgOJuqw+5ohY4lAxpgPXKeKfG43Q7Flpyb9R99ohJRrQmMvkt
SPLkR9su1NviYqnenk2wtOiqoYpFGWQrrtamLSjnJSLOOIv44uJs7EkVsQqsovdoFFeWlcOGrPcq
mCDYqufL2o/9ODnFjKlppZY/3ESwO1u8UF7fLddGIRujc8Z5QAFoc/el+gh2e8Z5r1e077IAlWlI
1AleH+RK9ACqwxws9j7SdOuP+Cd6UFamzlHGOPtlkeJT1hv8UrNmr9CNbmc+V4ci37PsFX1/waMp
sOKxmtqOAy1WvskIRfVk1B8VJQ3/h51APZt3Oou2VlrO58TtVw+zjRhNZVuRX82tejQmRMBxoHgr
H4TMAcrOS+mNZviFBotAZQUxBR3dGyGp/zXgV4USOcfXP9KVxAHBKcqtNk33Fbt6PqG0MYdCB++H
942OVASsiTA52XVmtUe+6XQcMe+e/RD0y4ILEOQOHuOKucMdughevH2ofKxtnZUHu32brvjRLmo5
XwhnVh8S7C39AeSuR6ZoH4qiDN9apl/HA2m/llZX7tUmJLud1iBzVaYBlIbihMlL7zmii3b2/8Uh
I4EkKUFLdUWPUzo9X1phoaTLgzsJNHf8JZV+OKhaE+4kXi+svrPMbx3lxY2dOiPQo03mRTOAEnIi
cZ6kllB7c9ICCFGQuMOKyfjoJG72YI1peNBFowR2qvW4UTV68d7WkRaM2hZnLFcb+tPSIuKfS5Re
G2OcjhNIwlNuKsqhSWLTj2W/4BVtyBmPn8TaSeQuju86B3ctw5DFIXq8WakCNclG71gpEXdte5Cy
FGTJjpUn3kRCuxMs9HVJzpcMejIHin64Tcd4y2YRichS8O6oseg6ug7RLNOjE1IivVOpnYR3rb0i
bvNmglcQTvJ3s8zRg4uZD2o1c4XHSag5dxC1y9+xZShBNetT4bWRWb1PSnt4iDMRHfFOT95Xy2gD
ae0xT0Aw0C+NRdx2XeoE5aA2N8UojFsZKj+AVO9x6C/3HlNEzgEOJZQrovz53ks0PMqBRSDgVOXm
w5y1qZeJOtk5Ry9so+1KooUNEMQGWAtX8nwYKzUiDQeGOAj1xPX6RT+puI/FsgP17n5pe/2dsMNH
1PdyTxTixKv41hVYzoZl48fl/DiVw3M40NkY1RELrLE5ybw3PMwYfWx+dkofl2uyVqRWYgoJJqjD
zUmB8e0qgk7jSZTDjH1GJQp81/pe2dlfl9GMcdYHAOgRWJ3blAUzRrtEtMDBUnwxPiV2Wv6sKPtj
aQ5P6uNCFXdnwGsTWzkddDaBgvG/86+QtfbU9FwNp9AdFKwueHcZU5y/NeEDNLdCHVZO3do63mwp
001gI9LsgN/QjLei75LDqq73v8wFoAgJ+loN2PLALaPqlrpgLmk3x+8jFXesGmegnefTZcAhyQJM
vD4bybi3hMQYA98hG6GFdBJjNUvG3uBUf0rQKTvTubIX1mwOdB7CZpQrNwekM6KuwirEOpURbtzj
ar8+GzZvj8EcP8vZ2jv318fjrlnBh8C/NzdbIkwsi8iyTgXUnu9jj7imVSD81CG2ecRS1tyJ3Fe2
3srCA43KvQ3vfHOmlqzsNLS8rJOjd/q7MDaxUpTadHo9Sbn6uUiFAInCXEMu/HyDQ9h3kSxbZ2UA
HYoBpNy0xjyhC2TtkeivLSB3EYFzhbmBVTofypgd5AaNBX4L1d+7ZZHGh2Gi37Hcmzgr7mzDy9Vb
JQOR/qGzThDdwrK6xKwqXJGwQ9QxAoubhg81KsZOine5emsbjpYqxVAuu5fr8J88HLutZWIY/eRI
9+diZZpvUqc9NfBNdup41+az6q2RHfMoBCJ/vnidHHIigq6fGlfJQcljclhEefjmQMR8QL7Sk+Yz
cb2djzIbkTpGkaHThk7xyst67bPSav3zW/ccGCDaM0DWKIZCAj0fxUV2Mq7CUT/VM5KH6M8kp7Q2
1U+tboY7Q11ZNu7OlVwL/kDTtpzeBROavHImnbwbX7dBmO/6wt4T/7s6CB8HhL9GTrDda5MMVWSJ
GcTKy5lqv+3cJaOy12W6LMmtWQc7mtRjhVVsq6rlkKPrWhQa3shl89zEHZgUgn0XP2FaPaSPWji2
rZepdQZJLSxr1avhVEe31dIuiEstSH0eF8sc9gLj5fTJgl6wgaA5V/LB+edUowITSYgVOP5Y2Z8c
xCX9f1XudIovowdlc5VK9sp9pe2/KYq4xVy0uYmTq5XTX3Mc7NPbKMfVXta+WeD+/PoevTocXE46
0+hZwfrZTCrVobkUkXriwCy3ZS30U2KhxxQNRexNarGnxXqxiCsBhwSA3Ib7E7D++XhDmIhGlMI8
icFyPfD85VFdxJvhTYwCRpRbmacZVMNNFKnVBdG53jFP7Zz8FkNn+007C2QDul+KYhY7b89rc6JI
wVNg9SpGmud8TlOdpK1sVPM01SLHpjKsj5Fr5DuR/uJLrXuOO5JXNs2GCwC9hKaY1IoQJwwCo2By
6QKIYRlv29oGMyriPenNC8H5F9atQ/QChbKKSWx2YtLTtunRSD2lMqSTWC9Dt/p9tXnjL1IABxCi
rmNK0zqa7u2SYykmm2jE2tIy0wNyc1XtG4Ou976Dc5t2zCvsg7k4ZNV5/diByM7Het5rcq2h++w9
QeuAhwtAdtggNOc3G7pPyaRSTWLmGOXY2QG6OM6lYh2MGh4bWknO/QRsYOcJfRmzXkZFWZgKyMok
3Vwo/eQsqh3xPokWPAOreXDfuYh8YOXmDDexxDLCy6xqPJhRrZSsgeWcKARWD6JKw5+DYfU3rx/r
K1uSwgZ4NFjTq4Dz5phF6DsMIoWl75axeMAPGMpFPrdvvUaZ9epLAL51TU+3EZFyWYelTIcqRifm
ezHWFlUsW3/78QJiwX2grerbVHHPj1dj6AmiH5k4zRhv+OaA6nWPr/Th9RW7tm+QUACkqJEfoo98
PopeqpltjI5xwsyhCv3CyaeD5sKS8hprbm54EolbKnpvbv2upW/YZTBiMKQGWH8+7JTZs5Yb5G8K
jUQPMAJs3Q6P2zdPDst4ymIrS2ANvOejjKXoVdmr+kmsat4YY9bVEYE17RCO3OdeQlD0QCZ0X14f
dg2zm7OI9AE7BFQSGfVW7M+ac4HG5kzCoE2R189T/pyO+JZq9exQ0gr7Y+WE6lPozH9fH3j9WJcD
r80SqB+rEuf5fKVmo1VO7CEr7ttjNxT9Q4Ye/e2MOeDOSbusnlEAQhhgfcEQc5CuOB8ra/qk7vtZ
O5WJCsm6ievcR3UN/1prqpXsEFJy+xWL1DwA13bw0J37o5XaqfDFUnVHZOSaO7AbeMbPdXOaCbl3
eRRj9WJ3qPsqNMzcvkreSQ6IF8964feJVrc7Rekr8YKeKwBdYgbN+y3dzEWQS+XT4JxoNtaNMmWp
H9Iz2TljV0dBPkRnhJVEslmqthAqBZROO2HN+aFpQ/uxC1NtZ9Otf2Tz7bkd18jPCFwDm7u/aqll
TmqvnXCXJOAmw0+3LnQUxobbueWZ/vpOuzol0kGbhiCFgC0ovEyMuA/bWjt1+J54amfYt9mCH9Xr
o7y4wm0nRXWdy5gwSCl/M6kSK6Amn2r1pJZmafowo5tv+IhREaQQ4vxUsiL+UsU6npqTgXQbpcRp
bE/5QI3Si9JehRLpaO1faUxh7TWofP4x7Hb5MYbNkHmTkyXiCBWiSXylEWbuN0CskwDtPu6tXPRL
jb62a/0wi9p1D8KYkTLj/yDdVoY2YDFuhEbpJakovxdj6Px2aer90Xj+Pg/CGT9PnZIIEDuG+IZT
QzZ5sLvNryJqoQ5Af+k0T4WtB7BVd0Cv5SJS8YxG2fajkw2qg1QQCdwRXmf1KU/G7FvUyCnyDVHo
gz+o1dL4Wu1M5UqWyTuPHz6bx/9zKtuOnbbUTkOYp5ZnReCDPbVyyp87n+ZiuwGbJbZSb+KehVV9
fvxdJ68XcE/qiVeZfdSnvPYmJanxg5r2hJsumRA8IimTgthfxYVx2zgfSzX7JmsXuZxi3kHS58m3
3PJiL7l2iyJpbqcmHRTEAeMU4+M+sr7gNVL/1KuxeNcnZdj7cz5SIBVZWf168yqsuk70XpA4YqNu
9uc0yTqtoCwB1ZS670KGPNA7xOW0lnu198vYzjW9+n4AryG+b0WyiH2R25jxcmpCbTwijitOiuqM
wAWHvQW/zAkYan27c4mtWORNBtyrndI5lTmjtBny5NRkWD9pi5iBk4oIP/XMxHUnmg2kq15fzsuo
QlECsTj6hOhNgNU6/9BmZ+ZxKKb5NI/ucpdV4V/XHNWdpOByIcET0CpZ/VNAzG+fLVFhj7bWlTPL
N+H3rinxKemQcV5aZU/n4cpQaL6ssJZVAwv4xPl8LNyHBkfPmQ/lWFLhrkdztHJayovmHiXycu3W
XHzl6wvALRfpYk+NYtTSej4l1dD4US/cD/EY579f/0IcOX7zeUjmG9HIRwwaSgs07fM51QuOtJPm
tqewGjP3RrrdrBwLoS3Z0Qjn6bswJbhrtYqMyrM61/oyJE6qsolGC9SybEM8u6sp1w6DWaS6h0iw
IrykM2TiadqoxcfJrU39SNI0iWNsTvJ5cpcq9scwmVKw3YhZ3GCzSK1PFu4kT1HeQuI30Ww+lnk4
Gzc4ideZP7WUqT1uS2Rk8FdIIz8JKRg+1EWBacy85HbqF6Ye/SfnwVH82hli5+CWtXMPfC8SN1Yk
QeHaTeV6dTbqz2rfy8gbxkIhewvTaDgOVlNkxzAqkicL9HVBpypyOv9FBP8Q9mqkeoY+OYaHXkvz
p260MD8Y2mzVXhbqxX/SavJnKA750+BE1m8Z9sonwHxqhnVVrX2ypaZ97Y3eUbypwRkb56uK0oRs
K9MCT62P70Wu6QCtzcn9UPZNFXpuZqemP8+VPZ3aWOboPtvKUt0XqCvRjl4qOEBDgmc2zUqHd6ys
HTd54NlaqKdl0LpHSv4tVJklVj/LwckTP6uNIUMqZCkKb8F3PvQSA3mSQFp1XMB808P0QBtV+yjG
JjGOY6639U0RN/0Xw4yNH/SQO0RNVrB80ljDg6Uoce45ERHnc5jU7bskXvTlKIU7xiuZrjKCrqrL
0nfUzDqkzlQ4njAj8ddtQstENMicgeSJODIwVJu1D3jCa5qXJaP6Bdsa0ZzI3yL3yE5pnvJKGSrs
BzScprRF7ygnWbHbefacKjetpHHroYGphNyQy/wtazPJojkKMS7ulRnjsbrlGTu4NfEvSejCuaHR
/3JCU/xUeqtDUKSwk7uF//rnEMmZL9M45LrjkrX3FJYW41S3g/E8DG7ek7+qcUfEjEbXt/RJt/Ak
6+O/pVGJe90ck0darqhfKLmTPOZk8R+dSOak065dDodOOjQ71FSrfzXLiOVTb+cjU1PasPIJByMq
7L0x3FVxZv7MQFPQE6RmyswKdxHHKI3mv3WTmZ/0cbBsVOh1jeZdZ83jYbR5IPn4y1KsxS0Ik3uB
I/pyAzypLfywi9THwVLg9lsgHXy9iKnzTGMcTl7hOBOIoTSp/+qVGX5HIkl+Kx1omV7La/KppVFg
+LrLExwihNa8b60P9hDdy6QOn8daKn95aLaZL4e+LX1Uau0/I4SLb2na61rQuLmYT/pgFMW73BKs
9pikzS9YXWaJqV/sxCe9j7PEa5whfShBJqe+LWbnRy3l8CehMvXE6uDgDotimnwVrdg/lRv3tg8z
Xym9EafRH+j098/zPKp1UCEuzT+13QFP9UIzKr9H9Tr0ljpLnym7Jrmv0hfUvBI1gp+tS43oOOPp
aR76OWSHZLkZ/sd/loCH60fLy6Ixjf3ElPYRwKTFe8ZU7I+dMiO1Z6aZ4xla2z3mRo2qGS6kNtuy
jVeh+8TlG7SlHdeeAYz3nTvqobwNkW4fThwp94MVCQdHtWkGUyC0qom81tJpxiYoBtoeJcXxmTxy
aTw+4ZiSfGrGO6ey5o9Gkar+mBqwmUd1FndycTU2rRY7412rj1je2zwdOx8hWizkmeCIsZ5tte8U
00qeQqubykNW5ibmM4MqPoVxWDxZsWwtPmGl4XtmddqNSbPksXItGFM2DSZyU/R+5LEV+DIoblcC
HOyT+wXR2GcpdG05WXZtyrsSaz7pt8mALPHcuovrJ0MW369WN+wNMVrTqeK4Dadl6qoyGPq0LikC
lk55k9XNANwmKcDKTlX7X073o/VjurGBE0aCiFuXaN8X7WjeO30Djz3Xpfaggg6z/LFI+/eabBFC
KzCJDLD9JIyWuA8md/hHRx2mLPGoBaY1EDQlDJvnJkvzX7GujFFgJs4UnbohLZMgR/GLRySPAiNI
zNElwa9jYlMaJfV3Bpgo98bkdnB2Xe0TbiEZnfxGIY1qSGNLEL/KnPlo1+tflwJv1aBBM1S9wQxX
jz2Tr5jxYRK4SZNbTKZn9KFTeXBCu/8KJ1HRd0hVSEWlLZb/sPPGEW4pOv3J0bP81ugBSnjJKKvJ
MwxkC46pHSXtTUg0Vg961NsKMnSV/SlCLd3yXE027xsOnX1n27Wioqcu8tzT0zL/kyd9g7oZ0krf
QAo07yr0bkMwalpD+be2ecTMSz0/hu6iDFjnlAVBvAnNybPTFL55qoiSz4x+920+haZX8ZQKemmr
/hJ199C12sdhVEwuIxLh1NMxR2tPZl0PLAEyGXikRaufJ830/lEkU5R6oOSib62pFL1vNgPEAVp5
6Z3am/XvitIkr1+zN1MvFSrPEx4RSn3I05InRDjPUvOi2qqSwzzbyn1foIlKMcqMvxmis94vsxyT
gEhpTIda0bnQYi1VPNtNMZTsCyEJmDKdHs0+bb8VVZhXvlHZyUwwNTNIZqNWh4cFfEvmVeNoDgcO
TO4eo2Lofiy0bQIkuGfnboyT7EY23B2H1CbD/5GZmbUck2yMtNu4VOLvtjqI+mDEpp4eOi3Cqm0q
tKCbkurUJjWcNWFkUvPLuS7uWcuUR2xStZWfLEpU+zoCfw9LDk33p5gnCtN91lnPdWMaf2LXghls
tfmoHvPOQT+/ZLK9l2rc157qNISHrrLaD1nTyD+d5KYLUGAE6Wa04czLmLDb/onG3uFaUqlnl6E6
f9WMqfgzLJpOeiCbWTxngzL+6prfcX7S0mL5jWm1823Kl5KMrqZqPoUdqBYd+IXjKYNtyQPfzaRt
jInmk+yd7lfX58PXCg3w3JNwnb8kkz385nFHeldbWj16s96S3gmkFfNPa37yFPezEgdDHqOb6eIU
NngwIeCxNGbXjz7KIVPsL9MCN0l1k+G5aXT7a+2Y3X+Zk7T9A7oI5S8Y05nlO61mN14RKs2DPbXJ
X7Mr9f90Q9Rk2CIM/xLYuJtbXVCzwnG2iDz+TvmxF6X2OVML+9MgZxUAUaGgXg9iIpeHiTCnHDiN
uXtLGmVNx6zSpltrYTuBPl53Twa9AomWGKatE3X2E05jWe5NcR3DOkVZ7EmtciM6jEpXfqvDzPyT
wWMkiU4H97Ni6rGB9IFZ/GlDV/lQNnP5Ph216ZgMWjYfS60pVqOHpP9RFJX8NcsOKlsRhvXyPMLk
Y0skU/ypGl2SdjvKNBtzRwiW3hCiwsgcshkidVlln1mwbLgbkJP5EldKkkMEqZT6YZGNphwGlcLu
wSbe1x71Pi6kNEtMO6g1jXovYhSRecijTk945bVF+kEdrbn63CYEDb9tDLEcskkFIkok6J4QXm9q
v3TtufMKtupD2TTq05wrFi4c6kh4I/UqZ6+mglx4WoyfrOf0qTt7mYtaokfz0oxudBcLPKzxpibx
aITX/THrnOgL5rru74reHGhDe4oXrwMz+CmTFo5BnaUq3wvcWhZS6Tz+OOrcol6SUMabGhEunh6D
LvKmKqoqTwn5nBzHMirvzE6bYjw1BuOh4BWqB63VJ3+nruwpS+hZeHDTqbChxk3r2yM1tM7HUaPu
/QYhUuVuxKsrQcnCiZ9TOx8E8W9Wpi+4Hc/Djess3XwseEJjHalakkY+fqxcM66umFR+rb4+WeGS
lDcSHsS93nTdfMiMlDL7krvZKUz0qkV9zzD/ro7U5KJj6Zi3VV9NvwGo2vVdIYyo8VrFDqlr6VHh
Z9Az/jOMipOUdTYXSdX0U/tBx9+4uImaPnf9ZjST7KBNy/SlNLr+Rwh0M/Kz/+fsvJrstq60/Vdc
uh54kEPV2BcHwOnMTFHUDYqiWsg549d/z25pPAQO6uBruVy2WK3mxs5rr/WGfohaVx276lvsxE3o
guy0vhfJgkVsXxSLebIz5s+Nsfw2TrrUNV86maIiELPc/paVPRqFcHBJ1uW5ET4iU19LvtyZSuJr
bRVhgsfNrJ0m4PShl5mJHHrSEg4MzxILUcMwXfKbQc1heqjWkMR4uKB/cmNaGRoeo9mTrQ6TUhvf
ILZRjO+G1jI/SxZ6O64ydpzashxbt0On9e1JDmxSfgjuovIHr2YGZ0sS0TXCoZZv6zbT1K8Zxir9
G6ltK9tF26l4iuawLu+cdI7e5MQJ5qlPC7048Q7tvqJV1L1rFOzaT9NSGonrSASjLjsbmt9iqH3g
FrwzSgIWCvAnu54TwvYkSz8iU5Vpp34oHAxE274dTybq1AW1G6cdbzqm276JHVxBXDuMhuhBLTRn
fiAywnXCqhT7LqsrGRRfgRCtmyVW8zFT0v6PIuVE9MZ0rj+MVNbe531K0J+EvA8fkqDNODtgY2Bn
VpVd9ChVUjOd7LmpBrw08xQp8Xhix03RWDYnJIv0b1Do28hLTaN6N034sdxKhAE3aUrl1S8HOfh1
ThlpryG0S127q+X3VV8TNGqjXCb+0A9SI4bG6t+TvC8dr0v7rj3Zi1Nrp6TQGLhOU8OKeFIue2KY
iYVEggz4AKBBQ3lIYw6e+2houpIIJKy+WJLcxXcphKevtow6g7csYbN4uVNgXp6NM+KQRFDdTdeT
OkZtOcCItJut6TlH4+G+HQxer8OCv9gJTh2KRXJV5wHHlZ0PJyQBwqcWrus7O6rM96pkc2QrdZjL
/mzXgXoaTKJnctBJapEoiSOHtvq0cp3IdqqTuozyd3to0KRTq6n7vU6o193CrAvO5bQ4gWcWbfG9
b7VG9v5Li4aywmptPKfiRVymKsFjLU2y4f5XZfJmr3MADNQ2LEL2btQ+WRVpu9BAic5FfhcrMmQo
nOhEBj/UmTct+8g3O68W/bTIDlGwt8Fwk7fdVt+UeJhLbS6mczPoT0h2mtzGLcnpVycNLQvYHpLK
Jtx/srHrhFQy99JQKfJ4lmGugjOGYFXI85GQ/2V5BStkLBth6lGVZcGtW+HMbaMQvXm8pvrkKU+i
/F2TO9m9EhjauS5t7UAKYqe0LngFwG6FTAM6bpsk7BLX2mIY4XgedTwEDfZx3gzcbtr0s4TMysku
at2t0Yo+GQvBe568T0yi6Oa1/ooGFCVNsAQ1USgDSLjueNMN3Oih2qFxlIy3Y4UjVIGewqsnkVYQ
5gERTY+VrYRDqkLfCbWxO0MHhb3dWC3hAf4017OXF/lYRDmpj8EElgVWYguRJTGWxWU4IGcejMNT
kmFSQyrbEOF05l5v6iIdi2c2uFXKUC/iLNumuqmrwmXI8nPdWa3bREX8rp3i8Sgdy+Cvk7HwdoBk
IbZHRhYphvXk8PF63jIvTE5GCWkg1DOT71MwkHCTvsJrA0V+BF2/GETLAnYmOHnk0EmgbvZb1uMk
2ckGU1UkqavkieRZoO5crABeTQAkTc+6IBRhCxDQbPaAurTGEhjdfNbxwjnFPFVuFlTAD1bFxVS9
tAKhBBoIZfOt+1OW5MXY6zXljkpafOLn5bQo5V/SYf+98kVq//0//Pl7Wc0NZrzd5o//fjs8N13f
PP/j6VvV/uPcF79/6+Ky+B/xl/znl9Z/xb+f4u+Y8pV/dNt/a/VLtPTXl3jfum+rP/jY8nbz+/65
mT88QwjqXhoIn0vxb/7//vAfzy9/y6e5ev7XT9+hPnbibwv5+J/++tHd7//6SRUAzP/+8e//64dv
vuX83sfx+ffny194/tZ2/K7+T+payOLhaI8IJ4H9T/8Yn8VPFPmfuE4qFGzAxgLWF2anRclb818/
mc4/Ie6Aq4cvIFP0ELi6tuzFjwzjn+hbCKYvBiFCgcv+6X8/7N2fW+jP2WEg/vrzj6ZWYiP930aD
wssHoNZtKvxlQMK21rZ9pkWFM3JFStU0+13VW++zlEPKLtviIZXM5Pek7qJzKxvJEU9pvd/+bFoI
FAHrBwd0oZKg5mHttGlluFZjK1AA9eopHtrYsyulOOB57DclbhtRQWJA18cJl0CkkOE0XHvUay9P
p8WNa95xEo/4V226P3uFjoRgOHLck/FbN6WEWdoQwhuuEkf6PfWw2dNrfT5Ale5NG2kwQSYBiIO6
67qVPg/DJKhKw60W07nttDk4D7Nc3fd9QVqVunt5mnhuEtkmk3LQw3UV9a8eQjEXFxrgzy01q69V
M0uS2iAy69ri1OtNcZfLWXkeck1yyzG23GDEw+OHHbWzUPemUNT/EH6lXfxx1z12wBaOjUmrcZfN
bijPE160vAWpALQHyEwxRZs9oSJ2LoyiQF5rWya93SnxjCcmUYg6Uw4yczNCUDmt35tNOnm6Gg/4
v2eB79jN9ESa/Aidvz63XwaYhSPOA9SyhP7FuqtFHCWKnTG5AwCAB7V0yHsymZ3hXx/Sdej3v+0Q
B8kqwpYkmtbtDHI/OWFCaU1bsuWu6jT5JNlm+1gVUeM1ZWTfXm9vZwpV1GRF0MzVjkDouj0bGFLQ
J5bupqgiU4gcB+J1c/4MwCU5WKO7TUG2AoxH4KxtPW0yMLBaZecGVZ36ewaw8Sa0MxIuRnrknra3
WOA3CHsFQXfbrstgSJy2MUjwwxOpfEtLlNg181B5AojQfsonebLd0aiin+U0UB7rQc6966O6sx1V
JNmJyExwprBY16NqSQUJXFUQMitV+gQIL3aBysx3zVJLyH8DXPZQt5YPtuPOAcQSRQcZnJzCPSTW
8I8MkmmucMtggHGLNU91SCE755lxBqck3aeV1N/0jWOcqz5u/rje372p5bHCGaBYXKrbiHrWk7on
/au7Zp9+yZTewLk8NbwqtY8EKHb7iFoGEZRg027XKyItnKF4Prqd6ZSUK+vhbuhmio7tYD7l/Ry/
GzLJSU9xpetH18hOLzl9BHMA7itiSZvjLo71hFSeobtFlGS3LZBZr1Wc1I+VMjrYlhudwJdzQABW
qceB/gW8utmXLfItKZlE3Q0bO/Ic+JYnqVj6M1fpcpLn7DEjtUZGpjY/akgO+UqCtw8WIgfH7gsV
YnPuCgoemGuQHsAKNwE4FINhWCK+I9ImlnMQfUa62fHjKAypWNayl0RG7upO8msy5vVZ6uXn60tr
50AkRGNAsFMAfrklM3RkuikW6brbFh0JbclIH7S0j84I6RRnPFqPDNj2Jpk8Aq82ESACpVlvoqpA
KV03RhZYCeBDxiHcI6Eb+6EsHaGsdo4p4KxsV0j1IuATn/LDfl3IOclGkOtuhiSsW1rAd066Mo8f
zbFv7oLcMMmqDtWzVY3ZW97jxusP5Bcncq5TcDxgbNbtm3pcREqWsWtDCkiwRg2e9yh6Gk50hPze
6Sq0V+JiwLvCR0L8/IeuVoiQFLKE1Qs6F/LbmQKJZwXItSdjBIQy1FUXllfop3pnA4GJav/6Itq5
vX9sfvtArhoKVOUMM6JtxJIN5fRct/NR9mK9VF8idcS4EKJXYceDON4sHRmUQxXNGtaZmULaX83N
L5YFfqR05MAPUjN9Fbjsr/YwCuSGgTVFimE9qJqkKOGocMPZfdrcqNkY3qZRnLvAjY6ulvX8vTRl
g8ISwnfoeV9ImctqGMiYEXa+XLXyKVHT8Lws6re00iHdgbl40J2q9MweEeyIGPvgNFxfp3+1zsUG
rRmQO8+TdUclairAIvTODwyKF5TMwTmpZnvfy0bj81JX/MZotXfX18xeo+KByKqFq2BtDSGUHq8b
VUkaH6QbRWRcG3y51RPfkZf0D8tO0vfW0o8HU7q+3l56ijENsEQuUfQ3t8YnQZIhYAjOwJdqYwFt
VIJRr2bTlevFwk5clEOcUO3P4VJpB4O8s3oddibwZ4ImweteDzJCCN2cT0jB5l0YuYAUw8cOKLIr
D5biq/VypKS611UhWEwsKISethhTK+qSBGGHxleA47tTHAICMMbarSbTfMzKrE7cTpOaD1XaqQeB
0m5XLQKWF51x8unrrlKrza0gYmpna0werKI2TlHXTT/3fISfzNPR0G7yq39OK95bHG5wGDjwN8ef
PKhmUYR641eV5pzBKhh+ZUYLqADcaD8jUlPbbqVacnxadCd6jgrbeZcE3OaAvmdfGfC5PpjtTYDx
5yeRQiHDAD4FCcbN5ZNKpCeXpW18Kx8/s79sks3kGMLEQIfKAUqAt535mISa5tsy1ZdkxJnXBnJ0
ECqv79s/v4PsJboi3A0icF3PhapJ1kKdoPULw5rfxcWooUaXfAuS1noVk+rPlpC4J6mD7APxxGbW
sUREl2pIANqElvOkj9gLDUHV/XL92NhbW8K1meSvqYoXyLo/AMaQKTMhnTiNknvobWTnTJ6Vz1ig
994kF8nrotK/umXAsOaYsg0SAOsGOwT9rFiuO39qsuLcY8h+Dz1/vBs1CmCv7xt4XP6DOL/KWl43
heR/MWOS1/pZVtd+JVvFLQjdGbfd3vHCuavP19vbWxuCXwIZngzRhcNa28z5WGpoHNXNMJ57y+hu
KR1VbqAG6cGRsHcaEfCBrNdhipFBWXdNn2QSJ1HU+cBQVI9UcPGpbO30LUwJFfApcOJEgTJ06qbg
qNrzks/7vxj7zxkUrCae/PwXT7d120tlW+Zsxq1v5yYC5AJIOcVQOmdr6M6qJPWf4rkNviN0295G
2eKA1Qrj9Cx1pRWdgPoEb7tIBneGX6z9YFLCBVopRcGdrnSNa2bWbB/cUjvRAO8vWG6wESD2byXD
ArUNatWB9TUWqfKEjvjjhKbsO6coordTOPVv5VjSvqH7WJy1YnKOji6xotfjBV+AXBcaMQgMsBbX
45UZyUwOM+DoilLplEEOMv0BUejQi6XSVNxoaVV8a4PW+VY10FLb/qWWi1QX8nRF8xmlBe3n6yt1
804Sc8jlKQpKwtUJOOHmGIOlW8OgSSsfDfDubEW9fYoSq7uX0f8/qxRIQJWOOSAFNbPf5zCl3yMc
bn69/hWXi1jc4CYjQ/aWEGLzaAS8pY1Q5kl5GFbtUoJ1XAZKu1HbXrqvy9K+XbIWov/cFAc7dbf/
PJaEEjNiGcRp6zlZyKRQYsYYm/ExbxHHXm64tmTtpq7C6g+g4eZda47hw+QEVeRrg6m+VWJ5/Hx9
AC4PDAhp0GPgyVI4JQm7/orICpSlLObS16TK8vRMVdiwSvIWPaj57u80xUkqyCNC1GfdFJu5ROed
ptJF735rpMbwg7ZpoxOb0jzYb3vzih6EUJ3GxggQ5LqtMU0NDapl5VM6bQE+SrnUuaakjmQEHe27
HTfFr4HV4gmroup9eD6JZbPZb9BKhIs3NjtYmmxumCnJ2zl1ospv0gj1GDOy3RjGgdtGHVglOawe
nKZCpWwGXV0sjXEPIu1AskQsn+0n2Dw8yLu83Kyb7ZUERm2hgV35SW8Xb+CZjYRKkak+LIZc3ipZ
+voQEWMIk6IO402NYvtgRXmqo1oo5X5iNiEcECQ4snYyFLezpuUhDpXpqCp9+d6gRTS48UmgLog2
7XqSA+S3ENMDZ4W6OBat3N5Pc5JjBN+3wUNSkQgeHFSCr6/ivX2LVSV3HuzKFx77ulWwHQgYDmnp
W10X3GiZkT5NGq7Xk+E07yWjt+5rZ4BAM4ZD6yUoJL8xu+iosryzbbn2bDxjX+hE2xxPa6uF0yLB
5Df6oPw2K/j/aNaUn1WjaQ5OiJ2FxGVNJYgaGynErV4MyGmSLlJT+0Pah8+t6hT3RYDntdZhF2+0
yXLEb9sbYRFw8sYRuZ4LAn+bqWU4A6DwyQUPhifVXZB7dpB+CgwpmJEM0Idfa07Uyo/JBeHNYAYQ
A8LAyvzrc70zyjC20GYS+WENaMJ6qvnJgHcjAsyc4M4E4aOhFjbpiqcFNTnG643tjjOsN24aUmlc
SOvGFhtgUNkPtZ+iL/TUI1j+bjFH45Zv+C1VJ+fg5hObY3M+ABmhdO/8ydrcHPyTtQTxUNK3Ep/v
23EwAi8DU/D+eqd2zmEyO7QhXudkuTedSspBAkltVH7vNJo7d1p6H6Rx6y4WYZkLlg5cISjUrLpZ
7Cj5GyuXMJjDgQIUErebLhZ47cBQs4i7taB9zKsYZm40BJNb6JNyY0YlAMfr3d2ZQyFtK1QFAOMQ
9K/nMOkGq2w0lFYwsxW8IrzATnYKvHbITOv9UA7FzfUGd1YoOxLtZZ10M0zfzUWTDfIC3oPsX2XF
012eOvabblyKDxVK5r9cb2qvb+Lly43C8mRc133TqlZBOMAihtSK1K3qFL4N5hQPSgwAKjTL4iBc
cC4XKLZVCCMrMNjJpG82H/NkJbYNIUJNospNdPYDD9LZciG3m16HbsljozT4vXAMT/4CT+AgnbX/
Abh9UKEWa2jTYWOwIu4vPqBfguJXnDP7R7XmLWMXff5YOZgRGsKxpi+s8pekUb+8friRuSH/QQ2V
KGXTetJniTz2mMYTXYB6DmxEAtqKqvQwqNM953x+sJQuUy6irIkAosAx8A+2GI8fMs5WTpLNMDIH
iH9q3capCFCmSfFkafpUgOi8G6J+cqE2wXmU8uRnkH1Ca9ypvFqyh9emHvgYSroWSVoQ2Ei8rT9G
Tse6h5/oeHE9dk/NBHlvRgn8fH2QLw5BWuGpyBEoBOR4N69bCZy0mNPRtD3NyhaUGaFf1UNzVJoS
U7U6apF+5/qkVCrk3fBNWLeCGoGsokKseiXeQCdbnr43eWDdKI0xnsoIV8Drnbo4ExDOQm5e5w4B
doMo07q5KrQ42iDFe40TFl9Hdsdne24tF9j6UW1xpykCPaSzRKgNm3Nz/DhT3pF5m1WvDuBpniop
7jtYfTgSurh1zol/vWeXA8k0IcZKIILnIaXqdc+MxrZ5E+qa18zmb7g8Db6BmxQAVosaCBZWBwN5
cQDQEgU08WonlcIptG4OPkaoLdakUniJIi8uzPpNkhQdbAhjeJLLtr0H+5PjadlGy+3QNNKRi9Jl
ylH0lWmE749UNtXb9ReA5a6MWBdOExyyrRsqAQZaVjDpX6IBCoWb6432RU8Q2nPLvAbvHtfJTDw8
KZCRtbSZjhxaxQW2Xsp8EG8qVGZBgZGFXH8Q1NAlVbJc8+xW0n+1KxUhoi6s36lh9mGW2uUjQJLu
OZoU4yDbtDP1RKE4jaCmzP9tAUl5a7YStWtsGst4vh/x0fNqOeweEoSKz8kCf/X6UtuZe3ITQmEM
Z3Aqm5vD0OkXrZ96c/HIppE3qbWOSGVsYb56elGYT04Z6/WjFVZKduPEENtPg6yS2Lv+FTv7i68A
/4HCKmoP+mYrz0qPyy0Hs6ciCXlX1lblVvLs+Gzs7qCpy6iba4ZGqFlRryIdsplaVYV7FMr27GnU
5PzEjgZ0VdPhYR704pw7ZPIGaSj8ZRlnLx46pHjm9kjwZ2eWCUgd3jUCk3Ux6oMkozNdaLPXW0p9
VwYKqI9Aj/2q5i099ll4cKDszDJJRAr1KOQR3G6xQ1VldS3sDhk1z9k+WUZUPylSLd23diE9T2mR
j34K/+Aj6JBpdKEs29bBsO/0GKiCiHJIRpOZ22RRE5QHJ3lhXZMNS+9VuYOvFLTL52JSl+exZJkd
bKS9LvPAIC1BDgbny83CDgG9wR3DQU82cjv5kIZadI9USGq4kmnUjUsJyK4FwQf+drsoyruYxOqv
15f1zjdY6OI7wtMDR4+tblCUgJyP7Uj2JLwkz3K2oA00w2q9qWBHGacAYYePWaUGNzXGcW42R3/j
iiS2QHOPVwGAgu0g6FnSgEmEXDKOPdaivQIPVAkn39aiI93nnbAKr1NyQKDFiCThKKyPzCkcstSp
bN2b+gIaVIqpoA/NWH+0I0TzQwgnX9tCazw7kuzbNOOEIbxS0DZvrMYbjS46oC5cHuHcZFgEgD8U
svQv58APYd5Mek8ZKOB5hh5WTyG6mrcEsxAkhyW7L4oWFmrUDDekpo+G4jLaIhdFspcrhBoawpTr
kUg1wunJmQycoPUYH1pjuJfYlgco2csdReQjAMdidRny1qoYnaVWq9CL9tha6kekGtQb/KZ1L9Fq
3UtTDpGDLXx5SNMc0SqyhlRdUEhfd0tCBps+hxiILWnuFcG0+JrWxidmujpf3zi7Tb2QJIhaVQK8
dVNjhuCInRVIjEBEdO3eZt+0keXak3V0NO4OI0EHhxIWJ4ST66agXsWSEgWGV6ba49Qn4RkikuYP
djC4SIseOTLtrUpCOkDA1MpEsmDdnAxnfzEVHnYq/jufgAJnKG/rldvBHv5QLVJ0QvghuCnN4sh6
fbejCAFy/ZGXBgu4bhnmW1Zow8iYxkoDyV9DnWaM5Keia7NbyiVHxZjd9ijHIKSE4NxFKV1BxxG9
IcVEzgbGjoVN+CcnNHjSZUFxh5hq8/v1NXN52JJKE5sdPA9CrVvtatROYgiEtIfCT3CjhjCto9lo
HsdFCIM6qYk3dAUZsXHSu04xjp5Ye92l7kliS0g8omyyHt5uqnItzRhetZqd2wA+1g1gJpTSOke/
X6bwqDoupmsdoepU2JDFQp0ebtY281/NaHKGQ2N62Hs1Txkl7I9Sa2qEjF3gaW1nYXwaHoXFu43y
ijNJBFKQ36a5tAV8qoGQhwfWUr93EFdyo4QAqrLn4HaWhvpmrDr1/PqJRchdQDJ48GFhsB5ZZUo0
px4Lw2vtoGzcXombcwsiRYdjPZh/CKWQwZWVOAUaExfySW+s6NP1T9ibXKB/JEe5RbnLN8FEF83j
0gmhFRlP6/ty0gZ/UaQATYal8/q+O3oQ7bVHCorHGNcI6e/NKeFMdpblZBQ9SdXm73KeKMJXo/yq
gKnXTm1apr9d7+DOgUvGiySBSA9A5BIf9MNlmWYylr29pnkjQulcjHN8Ngh7/dB6nbE25VCRwiMS
gbtLthQyybqlBBWoTCkXy6sAWCdt8a1cjNiP4yR3k9o8Kt7vDCRoa7DWRCVAtrZ8yTLNpGmJZcuT
e40UlkYmwuo1xavTCSdtNBkOgo7L9jiBIMeA0Bfpgq1bZFMHUW5KcehPCMueLS5o1G6wbcyTZHQh
xA0HQcALEnR9DMAUA1BCvZ3sIXZF6+FEesNeNJkHA6R89fukx/Z3e2nz9/k4yG/kRdN/zbNqeBdF
SXiHUmqd3gSWE53lPB4feQvIlBaK1s3swP5CAMsz9/q6ErO5/TxeONBikc3G2GSzdx1NoiJeRBCH
1cy8ZWciBoIM4t31VvZGnZ2ic/ZzkRPzrwehLQcsvJIZ07AED+uqLeM7K7c+5ZbT3iEi+P16a5eH
IEU4LhgHyJACZGizVzSqfUSObYA2RDu4KqBy1wlK7SSHkIwjw8p9WFpHCNLLDUomiLiBWeaCY/es
u4h0XJtEeEz7iMjIrrLkkZukIXLkpnlUoNnpn+AfEqKAgxP5tXVT5eAsQEdb3sZZNN13oWWddLMu
/SWr0lM6yvXDUjpHN8tO/6COoq9JOUwgXjbrOJmiiTqbGQOyg9OpymjphKPVf8wREjioGF8GCkAA
QFXzCiXhCnR93T/HHkKjD9UI6TxsirKhN861NOZfUZxxwhMFXA3hx6CrfQu29VNjyNXBptjbtAa3
NvgUXof8w2ZX8Bo0x3EsYt8qpvK5Mofm7TgufeYOhiHd8DHGWe51QIATFnLf5b4o/bYIS2QRyhnc
Qsf144x6/xklt+gJLcMjUPRLFLrZtgZJEmC17FzkozcfWGaZFoSThAriMGflqcE84z5WK+ltEhty
4rYjQkbxlKvvllGt3sC7mJ9wY4u8Clbbl1or57dO4oRgLUCpTnITtCglNP1bVYqKr6ohaSrSBRoV
TdQCjsZWzN7m00UdDGqEyHlfOANVOkAfpIMiv5eLj2UlZ3dKnUaCNBW5hQUqKMrb7ibtEb0arbS7
kbhooSr09pusUEMf/EjlXz8vLk4nzj+YhZQFqafzv+JJ8MPdKmBjxRgtupuMVnQXFmk7nEa8dd+l
DgZvhhzk59c3yBbiUqCOJRI+6waDriilfpJ0l4y8fqtGrXZf9erkWVlR3qFjld5cb+9i78J8oxkQ
uyTVMBQVP/+hg1a99LoRQKrS43E815BXACmASlhGe/KuN7UzlkTXtAIHVwMUtxlLAmEJ56VCd4ex
NhCHIXv0B7qc2Ucnl0YP/6f2oMGdvjlI+XPuErZwoW8OQ4lnWZtXaBxMUm/7ULXQcqNm7ep633+4
3reLc4kW2HUkBVGswJBJnMs/DKPWJQ2JKUgXct4AqxBmvcpcZD7CJKjl2SNaBPlcfkD2bUCQKT8C
mF8m4Wkf5yQ2DqwBikWbZRNJAdlfNFxcE1qPh/RL+OAsXYPiX9d+QIgOM0n2TtCeY2VUPiHyMj+l
VlXfhmkwuteHQjS12sTiU4DzQKokwUFVez0UFfgHJGngv4Sqk7t1pVgewiPt6zcmQQNLCXd7Ms9b
1pZcR4MaWKXugugfzqjKVGjIoLFjV4PjpaV29ETc7RVvNoTBKbjwLl73aoYiYk1Tr7saBYW7EYUm
tNKGI8mHi+tbjB2PBwFy4xTchqDKSM0Npw0kvyUt+N3OAUCNRVeQp6Fogj51p+rvZsBGBxznvZ0p
eDwoZGMcBL553bmEKFDRZ0tDRKkzf2nVIsfey0SZe9FrdJI6rTlKEu23KNRdyEVR2twskkatB1Ox
oO7UGLGcyhQyxIzWsJtrC0D1JOhevSg17kIeZcIGniTY5lLMVStd1IL21F6VbozE7pC0t4yDw/ty
+miFGiMuRw4BmL05BXQnCFGWFXwoZAXfqsi5+lrjzG/Gqs9Abs6Sk6A21r7OwZVnGacqiA5FZytw
/pibzvEcYlP37AUdRuFtHzTJrS6Pth9jEfFgoJJ60E0xOesdTns6qRpLRVbd2HosUnnPEbV1AE93
euHr1lTc9Q4S7o4yERYFJE9LA42eMtePuG075xxNwy1B1+ZFP2SzbuZQl0bw1JjhCAm0sBstd+rQ
em5aK/ewX51PoTI057yfMDDI1Qm/BEn7IBtAeK+fcpd3C2IpCmkNSlFs1u2B2w0gXs2EU05SBiSc
6zpyZaWz7k1jPgqvL/cK8iVcYiL+IF20zXK2cThKaoBwRNh3WGFU2uQ2yizd4gc5nJS2G2+ud223
PazFof+T6XwR5PjxLkOHTBnBjLKcWFh+KOUMYG9mjz2zCkm2nQ/ewXtDCXiEnYmJDFoAmzntTYT7
jA4dh9SWEfaTk8ybI3vwe0U9Ks5fnuKaeKMAxyfoodaxaSpupdTUCppqrLD3HaI5TyuwVX79AIJd
IJNIHEuaWHT4h2AgHOcwCurGcEdovqcgyrAX1OfAbYLkN2uwlIOzbe/UAYQExopKEYMo5vOH5pYu
jxJpZL7aKVFusrSQXElu2vvSKkJ/UJCzRiv9iDq41ygXFQtTUEYoT60bxYeGSrDV6W6szx3XvKr3
Tyo8t984NAwEfs0CUbpUnn65PrRigrZHD4xhIguuSWjbmxO2ihajnTp4w0iUZn6O0daNIjnOJ166
FU+WwvEksxrfV6gB/I1JJVVLXMMladHpdYe1qS2wV1R0F9uK+tzqHYrJcRnfOCHa0n2rHTm+vLDr
t12l6ot+A8pdJIs30StSb0iYy6ir6a0QN1dDtPzQiu8xCeEiMdBhB24FrCkwc89Eyk4+zXlcvJGn
ofxF+GvjMoaTmH7SpkIJ/XKqUOmN4g6tv6kvh+HkRFhaIDYbT1/a2FT+yMg5d25RIyN+C9A/bV25
LqrBnZV6QV1aMlMMrRUd6fegALlhJAvWylibVa9FNRCHQA0CzsZxQLi1Wc5Yti7lsDDF9QQ9KEpN
86Q5WecLtSRhhV24eGTUrkq27pR1xRFcaGOr/HKbguYjY4NKD3tqu3sdrcU9ILA1BF/k+CvWKx11
HbORv4+Z0oZujxn8x04Bi4qwfFog7Rpr6qcaVf72tHSx/ktpI5/tVVFTGzdp1wfvDKSwg5NKehtA
cpPVC6L4VnUX5gbW8iH1F/hHUU7e4PpW2TlWqQ+Dd3rRNuBVsF6wybzkRtQQ1FmSLgy55uzjOEko
r3JF+a9vCtIOdwb7A2WOzWGgZX1VKSlq7UUN7JL5o16jtAs3RtYdJGl3zh3BD/pPU5s4vNArS9Fj
emUYvfIwqFX2yyJeRScegGgrdkU93U5GuRwM5m6z+IwJP2EO2a2lN6YlqKnE9DCjCpedmsrALjYZ
sZdCwrGvfnGcWPIDvbEP2t2ZREqoCM2RbiLS2JajhQ/PFPE9rtxo+W0KFvpUdXb9GKjy9+tzKLbV
5rjhpiIBQEwnUI2b46aqy2KyihSFhHFEp7uaLHwS6gYbgzirH2IHrtP1Bnfu4lWDm6h1KkAahz3B
ctRm8kfEm81fK1Ghvt7K7gCiEUUmhajR2FKvdXyL8JSoUPdQwhoYd+186Eu1uI/L4IgttdcUXkZU
uWAiwLzYLM1kmmK2NPmNXgm7t2HejL4et9CmsuL3653aWY3EFVREqOXxTtwCT4fcmkY1CnjNzGjX
j8hZnCV7JMFbDeFNmtTKh3nKja/XG92bL7BtYnFQ3eIRvD5PYrt3rHJgvrI5Zz3Gg+1BQf4bcTWp
IZ5QguvFnG2OEnKmvTkjFo2mQ6NiWFU8V4VqfTDr9GC9780WXSFIQX+KtNZmtjRrAKA6TJqLJHH8
VBo114kahhWKroF0d33odtuC6CQeaQB4t0m9SohGZA4caKd3ag+NuvlEYiO7m7JA8643tTdLBNMo
u2jQvyncrGcpmpXRqEfORwVl6PNShtGN1QWvRjqSwBPcXRjXjBJrft2Kpo6lnSQzHUq6X+YJLwtS
FQvKm8SeTW4fWe3udkokRInbxbNz0ylTcma9snvyE+RHH4seMzo3yKzgyPx2b19B5P9PO2Ief4ik
xa0Dc512tBGKFnZyqOrqdQ8MyFnOaYXaftvk/c/XZ2zv4IX/B4wF2DBCDZtGYbWEuEIvNNrCNz0F
QRt/GeK5O9eRZT2hq18e1TD2hpP3CdkeXLII4cUX/dDNRElb1IlZ+vgXo6FuFI1bhLJ68Kzbb4VV
IugtiACIwf6hldkeUP42W1I8OBbcO3UCXl9NJ/f66O1NGYMHxVowdFmQ61ZwTivyuFM1F0hT/Ij6
TOZ2Wdx4xRzFkIXth9EJ/rje5GXHSLWoZHdAQyKitOUgJEqnVsrI4s94KniOUZkflEGzP11v5fKl
IxI6wjte1Ijhva471uaDGkVQbaGSWNlNVJn67RC3zfsCKzU3BPSKZX1rAoJMev96y5dDSsscQiSU
Oa1gja1b1nt0M4eG/hUYpjxpkhZ/AdXcP5RdjX4RZllnaTHsg8Le5RFJJkmkHgWiFiaWGPQfVgvp
zTaL2H3wr0YcWyTDPqEgp9zmOIbcXu/fflOAOqEIvSTN1k0Zc6lQ5gIqEYX96GVWXbuJM6j+MuVH
Kg6Xe9uAuUxRANcQso5b2akOU5XGXNjb6dDXrgDmeWaUYicF0/9z2ufSQSJ3b2mKY0RwIQlAtvjo
WEEjaAx5u/C6Cl3ql+OtHNn6wVztLRAQGWSkXjI229xX0iCEB+0QrInTxm94+4430pgkrryMuP/E
+BbCmSu867O20zURGCDUCskRrMR2VZIt76Bis0CkcHzI1CzynYHT5XorO2uDJ6dNuZ4qJHW/zXGi
15aZdxmt9PkM1NYqolOs42CC2Ff66pcMAY7InfC7pFG3lbeRDNRg4qHgqokceFRokpMd2YvnLBXe
AXrRu5MRHtGRd/pnUqgXVSqWyEW5T9Vw1hshQbuoPQ8/U8gqvoCByL04a7ODCRMTsn5QCH4sOAvq
UlQztxhey8gpzy4zGmD2PP4/zs6rV24jyMK/iABzeJ3hzNygHCxbL4QcljmzySZ//X6th12Rlxji
CrAMA4Zd0+zu6gqnzvlgZ5O8MGTsnQubLBr9gOnMwHv5JOOk/OQn5hFZ48uVMhJBwIDQIK0/PvX6
lhfJWOjB7AHOL+Ppu+9GehtWTMVdkNSJX8cKrmoGGFMlCzbTRTZ8k8uU0yJ1sVRMALdwdrXpbL/p
ltm9kZ4at/sn9OUMBPQzNtTgjMxTM4WcYb2wSvNMVC3mMkymYmTiZ5QXnetwCTIxP8eDzN84Ev4j
mTgMAmvyjT363Yf7v+HlXcQuPSr1MkEcs4UYgKHRXGuBCAcOXvmoo6p8idMluf6GFfW+EmUS8211
xUnDc6hE/TKcTDE8pIS2YCisI4mBly5aBScM0KjaHqsy15/TGjqp5RU1NKunxm2ly/hoonz2lLrT
DFd+PfQHG7j38fBfFKKZEnqJ/Y7tHoJkgAPh0lrdpwGNoLdj4/cHj9zesjzQHyBVTMVrqa7HL+9p
mZFf1EtSgZbL7YdEMvJfLDUK5rosT6hAHdl7+SbwBX+xp37PL/aQroAqxMGeN2tvC9BQ3yjBzg+p
U2fMavrfhwD5rvvn48USmSWm4aXgcxTrAO2tTepRJZoyhuVVmmiKjZlAusH2ugdb4c6NtD4C7b/w
KNhjIIDyE0ITKs1f2/OSaumHbOSkaEl6TbqGbo8FkIFfORz4zp89nZXzVLYs1TvgkDA0vYn+EAWe
agh8y7Dvxjk425OM/+QsyffeIkZo69KyotM2F+e5FMGlbQLrh55mSGZ1uZ69GZbE/IpGHnyicwYV
bl6UFJDkCLjYrsofUH3w+9Fu+kYm3z8Ybjd/pIA9QtdmoZaj1d0B08nul8Nn0XXhdaVFuv5yVQO9
s+Q6hWkp3TeT7omLM5Lh+H1/VFV6cQ7Vh8MMIAzFLrpFHwjpWXIi30bKZ/7uTH6FUnc536psQOpH
tn2G3FmRHrHe7VlVWDDmH/nzYvKvCpK5dtEtC2vNmC8BMuZMPzjaKYIn51oOmg5I3zQu98//3lel
QsLkMfPBQP02nmvJMxG1rlaQwUFC1mXmHPYQb1IgrI5g3Lum6PKAKoNHkJxuvYHT0s9eDCwgHMB+
nZzEac9opiLDS937IALbu9Ww6UHsDjBAVZvWphI/nuzJR3ZxmEr/5tFKC0dnGC9aniRXKyijP+5/
xZfvKSdGgRaRxVYMn1vMBZo35MoAVkIDPcDuZNh1cAXmXDyJTqvfTPGCgKXMerh48/pf6qDmxdOz
+uBF3TlAWAHwweQabQdXbcAv7jMowQnWlZ+H/Zh6IUq4dbhIuzmh7Dq/CyLUIN3Srg6M7uwqrpN4
kHo6D98W09IjCiXg08hD+AvTS5RF05fFQGqklcAj7n/lXVMUpUBsMt1BXLZeX1sxqDxPmIo7Pb71
fRFfR98U73qnK17vbMDpKEZRNez0ojOfltaIgpqGqbENTnW0+FetbeW5rrqjEseLEJfoRxHZAeqF
1Jn0bb0qFHMUOAm1KD8qg1CPc+fWwFF+dsYg+Md1Wkn7FdrUTsEUoJI6Son2PiqwbEXQRRpBMWJt
nlCe5JOEPOwg/D2NQoO1tdHNM8KR4qCYs3MrAZSCdlCtAZzAxoMvXpa0pSOKcLFGnfmxrvlcRIvH
5+2qB6O0itv987J3H6iWEv254Fkot6yXZgkKIy6acWEem6jJeQ4cMI1ZXeH5oX1mICadJYhw3jeq
FrF5dCEC/3+jm0c3nctl7GDQDGVkwbolymL+zCS3e6ur3HvMLSu5IpBtIPhgm/lfv2GbEhaACxAK
ACTXC/YNOQ+juZCuyMF6Xip9OBEZOme9t5JzV4kfeVAZT0K6R3C9vUNEuVhR4cLWCshkbTiYq8rX
0rQI9WGJH2by3q+M3iKzp4M6vb/GXVNEaz+fSUXTtDZFNauoGr0qGCgwPi6l7n2uR286L0KPDioU
e5asAIQsuYmi698sio8mbWb1UBOcyvS89It2mSRwzEx63fX+ovYODbkYg+8Ee+AQNzejohaYofGY
h/CDVo9zmXXtKSjKT23baTerYWaZR1I7J2Ynv963vPdyUX+kyYJ5lL70TQDspmTy3uTg6RbNCM0g
Q0as0/tHf3aTs+gkkuJe6n8b2wQ9PVM10kfqagebundTaZUzX4Vb4NXerH+OUrQM0YcPBzsLHoWZ
wNBnI83aFtUPw4cnm/7NEY3bixQKv6vgJbSIiPtZ+fogNalZjnEzYzNl+FPavfgI4Y9/UEzb21lG
UuAsUnUMJj7XVgbm7WXSBznuVcj3lc1++rOMrryW373IaZZzO3jNu9mFw+Lgo+49LMzoMdFFF4c3
bLPAqRrhL+rKIrRHE91Se0inC1rn8YPj5N23bGj8H34QIy+KcOB87hdf1w5+wZ7DJ3uEvVdxehCV
bBYv8jaBeTQPXR45VNgDoCGJyMJJp3qTIXV64Hv3bqx6QYneAVFTzV/bSwuXpqmGPSdzirM/B0to
tG52TYKuOLixe0tj+Iekn+oQ13ZjKuuk16e1RdgTpOYpqH2XQf6ofyjcar5M/WIfnKOXS8O/KupO
WmVUFrc9fNfujCWK4xx58elT3PXiaUA6EhiN23647xH2LAHAUIuCI4k68PojForZK7D7PCyzRtwm
ncsOPH68IvtnH5yPl5QBCufBX7Sg1Yu59XtBX9kUgksiVi2Vf5korLYnG81ONJL7afk808n7d5KF
PPeBSK+p6wi4xdAvNWldXMtpqg+84Us/xI9R7Ki4RGYvtyjCQtc8e1hy/DBCwl/qypnyc+H09oM7
Ua46RWXTf40FUu4HB3fXLhUWaIZ98AXb3q5A3LZDwT0PYT/9R2paegFu4L0RDmVwsu05LIVjfX79
PjO3gRiBIv17AbEP6HfZZVvnoT0ZBZOCU371skl/O1voaPyGKV41CPLwAuRJ6yO1KE1FJ2ebOyCN
V8dPF25M6yJg0h3pTr28lyb4DJhzeLEVpH/jcnqIRx1hY2qyzfo0ogl/HohxwzaO9QfQZubj65em
Xi2gNWBBwWuul9alrjCrouW2VM77xO/qM295dfWHZDmwtLcyEgVOh0Jovniv5iq1fKbUcooSqSIk
YlhhaVH6lmnafx6KqTqA0Klfvg5kFS6EqJkxDLLK7abZ5hxrXu1loWu07XX0tP5963fmx9d/P6Au
iupfTbJvu/KGWVPjL5sshMoUfXTNcC9OTptL4HMu903tLehXU8rx/ZIeV6k9VMmAKb/Ojff5EGU3
2LvH37jK5FE0HwHxM69ura1InkIjRvQGprBcPgfV4L+NOqhEnVFGf3sVA87NcNiM3zkbSl5Eca/g
t7jOa6NxX5U6z30a0kH7N4oo3ZSL5aF/waTZHOlHzd2dL/mTYBtEKUk/5DJrcxFUVAgO2iksAG1/
7RGP/8Bc1Ov0zuiHgCL7WQgj2qdZsT2AXWCWdtJiRZTN2J20LKrPLWzC32WiyXegS486EjsvH8MI
1BWIRLlp21oY1Hs+Fi11FmV3ZuzLObtJ4qF2fUg6smeKB4/CAvVMXr+Nm2pkl8f5wIYVUdmFCD70
17nisQEzctTD2ntkVR2TOSpiFaLdTcZkJTmz3jjdEIlz/YRsifGPEWnof0ep4lYplEoMygRhIgP9
Fk+leYb/pLhVCKOfp9IVP+5fw72lKyiCzjEltdq2nmwmzSdH61IY2bX0vbEU0VucHgxFenwEfNx5
Vj3ao3QqaVMqAsT1Oe0RvXLLpUkZSwVvaXltBwBHALVO0m6EoMiILnUeLA+vXSCvD6AAMEbwDsBp
traamLTxfD1n0qpLg4spRXfKJQ7BydLsIEV9ee8thojBhDH5Thd4K/AAjt9r9DxNw1JOxSnt2/EC
Sg2dlpqZ/sBojrhyXl58IHvMvQMNUE/sNk9jJhho2ACb/rJ0yTdqveWFWUHt9uoPSJWIXInLQXt5
C+MQuXQLptqTUA6TFZZt1sKU1SOvg/DL6b6pvQUxtUpiBmPVS6r2qYJurjK0OCRi10C6MZM8UeYP
71tRt3n9lGKBqjBD55xCTvP6REA2SltwTGRYQUj1Ue+C7Oo6sE515Ia3nP/s5MVa9bFv5yNEzM4B
4RGnukg0pFpOmzSFGXNPBijGhrzAyLgMgbj2Vj//Vy0ZUhFVPh+c/V17lE1/jldwBTaRHoJLUe8M
2Iu6cgY2VRfnUhfxY2C2880tmN492MCXV5zkgUiP/it0jezh+tMWzQC7UEmE3GdtdGsY1IXddDHP
UQrZPM0q+8lKRXYQtOwZZTIVH0ZmD8XYJpIYc4vIXEoZMiNfXcxceBevR9/KcIX2xjXj+mOKptlB
YPHSbypA8P8bVZ/+l/BFNzswEgAg6IS60bluF/+ZJtR07oYi/nT/vO6ujzAdZn9uxotB5CEvumls
OK+I4s5/G8aEZoafatU1NWct7EuOUlV7rx4ZIw9k+pArTy0aXtfNVtpQCtUyKWSYOwyp0HWbQwkH
OSNIWUB9z/Ff72awR4iGeIBK5De72IglQDCrkmHmze2ZUGe42HBQnicv8673P+iOAyC1+0kDSN+L
t2i9d1Gk9WMtGhn29G6eF5gVLl1kMWiUZZlhPMCEo90iQ6/e1tYUHdjecXG091Q3jDIMRZHNuYFR
PRNtsEy8d9Pnfgjm97K1sy/3F7hzONFPZt4YdiZijW05hKjJqNBunUKRWIpgUaQ3nvcmzNO5PchL
dg4nE370LJVjg3BgE84EaZ7PdYD39Cu6810+LlQk9eqpdOj3FU3W/6GVY3FgdGd90BtQwlN+1ODB
XW/grGsLpZl0Ct1ABqekKvQQgvX+IfOm/nT/U6r9WD8WzG8zHM5YOuUXOBXWplynj4xgYsSfE5l+
1wDBnW0GpD5RxSvDjML/QWVp1x5ITZA4gI+ofqztzSAumqkjHrJnx38qC5m+TYq4YchYxuXfbSDK
A4MvDyQLpDerWNpImrcdp95P2kkayxgaHcoocTsOzynzeAcv0Y4VeOcUwEgRAkGGsV5Wkiy5Zbaa
CDmwzDMDg3hCnKg6cMo7H4+iDfOLQHE4lduC0TJavTB4VcMxsSaLiHoab9EU59+0TqTPi9FFB1WA
nWWp+SjFDkF9ind2vazameqUpq4Ig9rWb403apfkeLL+5R0jbKURAT2OsrNFJy++mbeBu4hwcPr0
Q9wN0ZPWzSmeeTIoJwvvAyQm3cGO7X1LWCcIU6ByUqnlemlpqgniFUeAaSr9v2H+Lc4x8zAPyQzX
djbKI5Kbl3eaDIy6o6LoZCZgC9Psg5Zhr6YcEYEq5cVM0vapszkwVG+PSB93do3+Csgm6m1MYm5R
P7PIgqUfKo58NbZPbWYZtzwhJbnvOXYWxC0GDsYlpoa4fdAWJ9M632BBMiqKD2bWDZfMrlEWTI6o
VV9aAi8CxpopemAy9tZn0KxKvCGriUV8vXtv97rzJSjLxTylUxskB8t6OUyphnh+7hJUybjgzesJ
2daYopgnQ5Em9QgBeKVg+UvqeyfILEivFrosDyIu5/HmENPA8zOnDvxRVaaTwja6U5wiFIn/GRbN
6c95MNRfp2me/9H8Pv0yJ/b4D3FrAFCvhQftYabEbJ2KybSW8P4GvbxWDP9RYIAfQxFlbFEiI8MM
uRWnQ5jG1GtOiSzrrzlto/hUQlFyglmdyatgOrhXL/kOKFBSHWKQAHpWjvzm8QrwuH2ZNEM4MtX1
TUaLBu/x6CzGpRFiHm6pmNyrrbR1r93ExLk7R9b/aF7XuKclT+zgwIW9vOcQb5M7KggHxOpbnW6Z
gP6f6DDAON6nzz2Z8mWOi+JsjfnwnKdefPDe7NmjJw1qhNY4Z1Zdzl8CZxuJ99zIBoKv0jHPJcy4
l6Bl8jYBO3kSqGYdvAkvLztlbnTIyUpwMC8e1H6krVIwCBmmXtqCdei4gVV+FC3vWVGuko4tPXdc
9XpViH8C0QaMGY5VFtxq5G+vtKS6gxP78qIrKiJFaciDTTyyCQ7GpTPqGGnZMDb99ELdrftoR21+
0rmDr0aHKFPEqDA20wjeYgiyGSB7EbSE/2iKoTZdTt9LDyFWQnL54EZ1/Mf9y7i3NLgpoFyC7VJx
o68/YKOXFuNLxMWNLf1zBy15djKrGqYyyy3+eb0tFYhw/CjeU7JZ2+q1RnBgIKiaezt55vWLLhSf
8rejNldHqlI7ToYDQayqtJoIFDbr6qSs8AQxyZsu9AdNBt4pMpP61ABCemxnR55N0vTL/QXuwAig
MCE4ho2ahwFk+XqFkdHKYNCVj5atAK2YJp/LfBLnpOJ++bMjHmYYwh5N1OHOfasv134ejT/v/whl
Yx05K+Qd9VswW1C0bqEMMoiDZSnYUdEKOPsmRT3CUzD5f9+3s3dyCJSh6lITaTDkrdfqF54n0gk7
MG9mYUlL8VQ0foNubCMPvuue74JoCDs8s6SpG1P0EuZJmyOYzbiHpwwquWuTwWOQ+d2zm0/jX/dX
ps7h5gsSVcITowI/CyjhemWLzFM0Y1WeWjkGeqGANUUaNO1pXBbjYR5gJEwSEZxGazniWds5tioG
IwPBA7DiTfQHUMMwyy4npIiXHAVxq4AvIgU2YJmD9ifdwuokvUbe7i94ZytXVjff1yrieVkmag4W
5D8PuV/Mz0Ycy3MTiCNCl/0Fqkq04g7l2Ky/LYvWWn3Gv0k9Tq/SdmdQLTXlDcFzjHT69OznxpHY
hfqfbjdUQVKBFdNdd7aQSS+qJZQcBtR/uQ5TdNzF76JpeT00m9eVpqQKrkgWttykhZx0mGRTXrwg
/nMoMu9TsXjRtbOEeTR2+jP93a6IUh91b2IptBDVZ/7lNYe8IFqGGrCM2/vleycpxOMYRzYo4rR+
Z0ip/TvM3RCavdc/QQxdf7KmfFjOOIf8UzouyUczcv+NEzs6E270/0PDlRJs4cxh4MfiqOW4t+eM
0pGn0f1G4mtTDo3iCWrChufTTBZFLQU7eNGBsMzMNHoQpR1caDlZX+6f6ZdGKTHjB3W8MZ2P7UGb
3MEZcs+Du0pv0vnU+nnzUa/0djpRsE8/GMvsG4+CcZ/44AV/eZkox6gJJkqi6EBsUQzjaAEZmSn+
DrPrXpehDZ7J7ovTMkbRq/0iptQMH5TOdJG2dNXuoEeulDiqbNYq5na9sQm1bnLfO1rd9qe8t9zb
/a+6uziVJwIOARyzJSHXtbaDsEXwrA7OFKZp4F5LRDROqdkZBwH7Sy/M4uirQtwDpJxzsznikTAz
u+LUlINnXwdzyf/Ltcp/j0xvf2lGBv2cgSFQXc+PIPovnxss455ozlE8oXaytmzFVtu6ARd5bhZ5
DnIZvalLnrckmmA2qPKm+3z/q+4aRGGJ1jUVLyCra4OEru0cpCpW9r322WOE71TUWX0uO2lekxRw
8H176gFbew8f1lA6WMiyqAx282lj2xB21OCESzTQn9LOmp4CA/6dGbmnEHqm4nMNmONWj81yspfu
x6ut256qp1v8AGDQm0Q2NotW0BMk/3Nt+spxStH2ZJU+jivohnPOfMeVEbPqbZaK4WKY7RFqbecQ
r37A9pGdWs0oJ28Ih5YmHu0RMCRDOb7pHXk06PTy5SGSoHXF7wXQSvd5vbPSyL0ARSERonXdh3BA
QmvqD0dIhL0F4e24kFQSYYXdHthpctxmbEXYurTsoxlHM0cCGXi0f873N2/nqKrOJ60JYhRFtb5e
UMq/bAxbiFDPkUiNDDs/VRPkhM1c6udEO+SQ2lsao4REC6yMQG8Ti41VJxun0UXo5HH14Gs40mSo
l7cNSM2Dpb3ko6bAQtYBIQd9QGSptufCUl3QzhRg/hhXPifSrfNzZLdLdaKnFSwnxH+dKzLLc3Wb
TR0Z8QTCnfe+SJySVpuAWwi4hCEulJjrz/kcuW9MO2/zA8e4+0mUaiOkexblcfXvf3n7ablRCCoG
EZrp0D2IEUoq2SVf0rgIPt/f7J2aCXEhOmHwCQAHpEq9NiVHPw5agy+i101/7foaUTqNam7TZc2l
7ZLPGaNSN/RyJNdW988+TLlPTGt1B1uzc+r4HYQOlNpIALbPTjszgSsKTkEtiiDGZSzOqTA5bGS1
FqOKsffq5IYnzuUDE/0Tqm4bqomZjk2ZxVMok1Q8ev5IqXIcqbc5kXawth1nzMwA0HM8BRnjttOh
lzV4vHkaw8q1kCBgPOxxycosRGNkCJkqTBkn0MeHdkmW0CrTI9DlzmmixE0hDtsqi9sceuEyRZvW
Po2WNNaf/ML6u0R154+xO7xfO76Q9A38IxeMIvAWid1CyVLpaQRrc9VYFzHkzZclatMDLoDd9YAx
p76MViXN4PWRddrCTshFx7CT5fKULdN0SYrUoF6qNQc7txOhUKaB/YJRF/Dd2/Cr9YKqpPkyho6b
lF/F0ldPRRRYnwwzN09jgyZVlRryVA726wtS4LupolCSMkDZBRsX4GmcKMDmY1gWrREybUOY29bZ
ZU4G6yBW2PUBjH8oVhiQPDj99QeFzFj0g0PTrxuC9qobZXwrq6y+yDz5PNRO/mF0zOENvqgMR3fJ
TyLw65sgFzr42ns+gIia2XLGlIFJbnyRIXy/9etiCusZRrxTsfS0mnSjkN+SygYrnczwhd33fzs5
BEBoRocZoKSta23uhj2bbrFk9HODdkhp9o8WilSu9+zP6OtIpMfOWgQ/1H2je9dEbSw9cOhVSZTX
33tmilCYDnQqHVnTqXCl9sma6+zDfSt714SgWh0gojCGyNdWvMxKHbtD/s4aYucSRWN9Wua8fSfN
+mi4fPcrcm54RigUgWlYmwriORNIeo0hqsaQJhoR07WpGOsLJJD/DbIcvxa6fZTy762P9woQBSfG
5+1aG7VLwxFuXU+hpk2SQyn6OtSFa74ThXMktrC3QGrcOqdTNRi2LbuiWyJzSmZcjjEm/qPrDGn6
qYUx2vlqSfVKxTXsuI45FUdNob07AfCUMgAujddjE15Oy2zbAxwLYaNDSB8Tv4fN2IurSI3pApzw
iJzjyN4mdI+MSFoNsudh2gxZqLdjcinarr7qc+Bf49E6YhHb20UGWQAR8je1netdnDVE68Vcj6EG
fO0bWnuoYovIFheUwNODBsmRrc0xtSST/7kJAgD0iXmZZid4qmbqX/WcHMHzd01RJqarDCcV3cP1
suLBamGFpPdvNaXzdRDoryRjqV+k5r5+fI/mLmANOm4qnd5WI/Ix0Kba5GzWWhfcYLPzb2YHACDg
elzvu5Q9xwUNDsqIxNBkPZvDwQPkV445jiEzVLZxqfieoxpAOPLKe4eQRIDTDisTuOuN60rylCK7
7ROU2m760dYKl4aCkz01nh338AcvR/d7b7uUaitjkKStzDqtt8tHGB6umhisLBHaVXeFfW0rhNgi
KczXx/bkcIo+BSzFyxkRmrpxZS4Rga4+V5cctdAvHAxBOcDJDkztbRfAXLojFEVJGjefsYt8EwHg
dAyDaOwfK9K6z5p2qE6w++2Akbs8ozR8tzglRelOYJngoeJpfsjcEuUrdxS8NtI86sfv+WEAZv9n
a7NPg1VbfuaBXYBooLgxxeQ/e5r0fwwFM52annhhxlTZb5x6WnUQLIAsp8qpgsRfsrEia4ZWZLgo
qhr1f6XRMbwVD350EBXsHvqfE7hqphmkzdrMaMfc7oSDgUg4wEOjiO0nP7a5xD0K8CGv0hE70u7O
MYelsBoKg7x5WzogXnU8NyQGY29HJ6txkqd56DTyPQNXf7rvPHatAQiAlBKOIoS41+uzx1g4iH2C
2qhH960bxI+ilUqwR/z7ekN8P1NlkfC6bY99ZGSeoTFiF7qxTgXIn70HZEC+JmOtHcDS99ID8g/S
SDJ1dCU2IYi7tJ1bpXzABk2rb5qEWMCrzVzRXqeXcRj0UyW14rzI4tv9JRp7h0WFyUg1QnnDzVt/
zNgNtLycyLQg0V6e3QmV79qZ61smRkjehebcitKWH9pmTP+EPil67swsXc5QdeeXOqn7m5vF1nc9
EqX7pnCT6j9hjfP/3P+RexuuVKFV1EK/cnugIR9vMiPgDQz0yfmcJRPg2kKL/w3G7EixZO9z0JcB
ZAFeUnUh1p/DqZhLbT0epioKIKXFR1zdfoba3wT6gHzX0Uz13tIUsoVoF2ACiNO1vaEyUp4TyfOe
z5CJVW72zVYE6PXg/04iyEAhbTOVf8JyuTbFzU1oT7I0t82QYUD5qfsGlfbontMGCZHz6/dMPRc+
bEBMd21TsLhm0qObjTFsG9t8goNgeOgd5y8VyxxY2tsyMHAq9QKzAtp0vS5X0zW3yKMBGFrcA7tA
vxrcYQMiIoCHrotj49WyzoQuFDapHIDWImnYuLvRbgffSjMBeZmtPcaFCQl0NSYLl3SIDpKvvacX
5jlIDigeqPRkvToSeq+ebWzVoz1+ynN30EJSwtE7+Io7dlSXlckxJhhpSW3eJs/s56qEoDZ0Jit5
dMq5vRRRW/51/1TsWgEHAAqHXOtFd5WBnnJEdViEmoij5VLGfvTFBWrdvD5goRH0/3Y2Z50qDsDE
gtWAzJKn2ZcNyK0kPWjfvRSLoOsPC9rPM04Td5tzOHaQjgYqsGFjWsn85Ba1NE51U+CWxrbI/9SH
tP4xzXUnHqy6MEhIRMKwvQ2o5AdiVqZ10WenfzT0WEvg6PHM/NSZ/jicGNEavvtlEH+IY9G+G9Kq
MENRQbKFTyqq+N3Y5ZXygrM1nsaospazYIo2p9KQ2Y9+TzZx6ep8+dLNRRcdfNydC6eG/eCIISeh
cLap8kzuBHDMRsY39n1IA8p0/my59fhg11kFO/98NN20d2iICNnOn2DybR8hjyo7aGCDCHsnCj7O
Vmc/gruwjkL33WUxTMHMCHE7O7u+acwfp1NS8NBHje1f8WjZF+I1PdR8f3yO0zQJ79+FHdevpilo
PFN9JLnbuP6FjuJiDXzGUoOzrMuq9sFqR5RKK2kf7NjeF1T8lTR8YEIgBF0vTRSUVNC+HjinuUP1
q8y/WfSDD4KYPSuq/q/4ONUU3+YDNpo5mlpc0axrde1PEKVTdpoojR98tx3kFJvk0OLBBxNEbx8y
Jxhyuzf9AbbpVOih68v4A7pUFqSxAqWad23Xx9PbqauGz6i1z39nrqsZF9vIETa5v4V7KyZko5yD
qhGjB5ubYMiuXqKEll1kZ/NpiQ3zoRemflBt2DuY0L8B0FKjFIzErXevnXSpRwty6D5VsL9ip6wf
pGwr/NpQyJOfiwMnrVz9puULgQ/3mohU/cNmH3MZ50VvaX0IlJ2qWDtac3IbSEQB4KZWJc+0udL8
U5BpfnGC9U/+ff+r7l0MCqg4GPopPBObkHTui643ELcNvXTScvR0NO/J8nLnHdPo88EO7trizfNA
75NMbzltEkfzbU0bQfoWOF/N0zyolKHwb1yzOTi3u9tIVKmG9inDbYkWClSu7XxyhrAe7OExt/OO
wTt3QVO3EY+O4jz+jc8IeBf2N9AC9DjWx6ajHEw4i3+x+zF6TmrNQjQnMJ6sxDjqbuwtjaYyoq0Q
nwIa3jy3I/xEwwhbAGPDvXMT45ydk8ZLr14fDX9o2D8IVvYaDUzxUiRQtQJmeTdHdBy9CWZTJh9K
ujvnchR+cBqkfG5ktcSnqezl12qx53+a0hYNlO2xewPlEH90rbyqfuM7//pbNteTiLa3Y6rw4ci3
gQafiU2Igh1oUJL49votxd8BcfnJl7AFfySJNbbuyPAMTG0CDbDKALOZ9de2k/blvqk91wYHsLp/
SvBr+8gb+pRBjkbum8xafs5Nc3pD4VX/876VvT46OGlFwkA5RUGh1od09O2ul5rEg3a15yKZViRX
Weh1CNyfGWPXn944Vla/SSrQeH3rzLjZSMjh2uXCY4SBQssNqHf9pYoc53EgXz6Iv39SM2y9IeBY
AMKQfXLGN8+0CWliBbuYYJKsG/6rl8x7a+vzLG8V9/jWND1iyGXu9ePNNPPuC3D84M/EtvIrorvZ
j7SxjBJaXOlbBxu057noWZI5GuwP+eP6y1UNDEEGJW+Qp52Xntsp8h+AZDrfewZrf+OIK0oAcgNe
OmCRa1tdJmB6kDPJQZyJz7E3/4ekVfDYpqn98f6B2FkVk0zAhOEeYOZte7HrREt6micQq+LRbILd
yeoRPSNkYzgA/vuDhe08dZBCM8mNI6Etux0ztaFynUafMaMs8u2TK+BNr+zJO01tU70Fxmte01z/
y5RTf5A67K5TsbdRZ+dl38JwvL5mNLRg8ogy5ASIxCkvLayVN330j9gV9uIlquwKE01CBHf5Zvcq
hpJmy2i5ypWVPrSzQF3Ka8QpyFAu1gbfOxtRP32MNZyINqUoCljzq1WasEyLkoFeeN3IDrYOOwLc
lAy0toQIDOjF3B+02apLD7nF72wpyRh4DKUzsVXVrSNBrV1SSqvQ4RtPDHb5T8GEDIqedPkJhlnz
MUAe+jrUennwLKkrt3EVhEz/Z3oLXvUZyKD9Dz18Y/bdn1Kn0+yiG/IZ/oLqaZJp8LHPyiOIz46j
JvCk48xlIXXZ3s0+ChKtLMGEjP04nWDQMJ8jppcOMoidF15NKtCHojqgdFjWHsCqRd22Cnkipkz7
FidZnZ1be/DeLdNMM0owKXqwj7vrYv+UCiMr24Yvup72Iup1PqadzMupDDq9PplJYP/3eo/DoPL/
2dnELowAJqgiU1ykrdFcJ1lGF1mb/tlq/PSA1Wt3SSbQHYRJSPq2wWZhxEusO4KuFyyHYYYkwpkZ
6qOS4t4phE8VthiOIoIhm4qRa8FG2WRqq2xi+NiMVFxry4uYuzZMyFgeytk9Gq7a82eEtJThmIuG
5mFj1Hdr2DfFzxJtXT3pMwTVg4OeGKIIycEt2z2KqhQAjhkyym3ebCxgIYaBZpRbw21eIYlsnBYf
p8YAXRHGVd9//o0ToiiHLIZKQO2b67M/+fBCx5JQyGqtEqbY0T5npRw+WYhhPv6OKcIukhEgxdsR
K2NefG1WjTajz3PmeOc6bP3Mv3i1dTSIvbdjqFDBnM4fas/qafylGWV3MMMbmnJWbd3+Idol/o5E
h/Nmqozoy/1V7Z17FaWrmW8IR7avLPn54IlJtYf0zP/CSHTxhwYXwcG52F0QhS1SVsjeSMrXCxp0
jXmRgWeOspx2Ra2jPU151zxMlX70xuwdQUZEQCXD3QAf4+ZExKiOSMPn9W4KEV/hTtceii7LvyyW
6K7QbkUHjmPvStP7Z1GKk4bPuF5ax2h5jPoAMWg2N5fAy9N3SSzlSdCzOiEuK06au0R/39+1ve/J
flHeBFpEmLIJfN1MaxqJ5kkYl7n/hbH9CZVv0TxHEwzp903thWG/mNomG+TFQF8b6qi6n5Tymiap
9q6oPa05uVMSnL3BKd8ikwnmEXcXhPeN720m7ybUpIQM1MA352ZpstRuNIo4SgfoLZnk+8Lp9FA3
5+VtaiZHYup7lwGkFlMDqpQDXn29lyaSh7C8TsC8bZ2JH9tBLb3Xj2iadjePrE0NiOEptzFfi1xT
W+bUjJx0iS/ImlWXKWlaSs9Rf3Dv9g4nh1LxzVFnACS2XlASQcyEDCZJ6SJm0DfzfEGRujoNnWNe
rdxCqiOBb/r+pu1+RSBp9D8ANAGHXRvNzdLM4p4aIKC8/NYMaEsw53HUMtuzgh/m7FNvBM+xORoR
rB6WmxbAp2XZABBANGYeovJyfy17e0WoChEJkHLSYHVAf/HEcmGw1hk5/RnEm9/SjMoekzpzfPJy
9wiVtbsiJSKm2mX0zjenj2K0VwiXYoXX+M41c+qScRn/aIpr70oRkOIeLWaTiULWK1L67FkidKZ+
tGGAPt1W0YBT3poyLx89r47D+19wrx5EKEAJUiEQsLl5zGjS6UAqmIVEBBn0ZboEt0JL3Te2tiSX
KUKW3Foa59oumXYacrc6k+5Ft8WcX60Kr3hhmMakygfvG42h9cpnPYhdr5xp06Bn9sayi+xcAmJB
zgxtif/l7Mp669TV9i9CYsbcGtZamZukTZr2xuruYDAGPGAM/PrvYd98O4MS9UhHR0dqT72Mp3d4
Bt4OwZPsePZBcP7WBoJS2e4RAtNiwP2fDxquirE+n32dyjG4nkMHKoIm7T0RQP6//6Xf2j9oeu6o
CGgjvLZHb9lKSg/GWrOY8shL2z14eKKe3h/lrQlBXgrxFiQBEVK+mFCEKlASLSA5KRYHdIgEr9eA
II4Nyv+BpQbSDVhq2D67rMmLi2Q0uBbh2A1eXD4xKjI2Uh2x+Ytc/fpBf+SNixKdArTEgcqBQOfL
urrtLOpf5S4S1mT5MRF2oKtU/gj9MwO2QkEqdFw/EiB842ndjTqR4ECPfzcceL43ZuZaSaIJGzIJ
xPdYkORsNLOrEmu6P+ilbSB+tnclc8nfg+vRsgOQEI1rZP4vm+QKyAYPLWxfz0ELkhYktKpRKFUh
qfvx/m55tSdRLNp5jTsRB2rJL6OjfIYROtpzCmLJ0larBYl/REP1/v1RXt1p+yh447ByQB2h6fP8
QzadHlCklxhldv4iB2rmZoALyBFx4n0zB38tX74PB60FcMqxYZDJPR+Oy8SbWbWqHhtCTkHoTB3M
qYDXapT87WkDTwZRAvSlcIPgZXjxJsQrmpRsnFSty8VdpGW/1XYV/SWEtD6K0fd/6lmFZJf/wxcB
YwrpKXRGn88qnHhf9BxxSJL73SZCZbQweQcp16A8Y0DwUgiz6HOF8jb15fLXMn378EgPoW8KnhgK
jM+H76HcNbYWwJ4eWkYHVMr0vep32iiistoMeqxSs34Uqry6zPZB0Q/d8fl4EF7OWYUGjmE91/Vu
ZVRZMMyPYwDLzqRl/Pj+Hn1zKKTfAKuh6I3t83x++YaH12aJqout2E5WxLhccsTtyhTrBw/Bq8sM
s0IIARlJlMV3v53nQ+3WVHkbe1XjxQsNhR+P/RajFbpQrtLgbkym7A60i+bh/Rm+cdYBKNrBAHtC
CeTr82E1forxPFL1Eo2QH1jx6LV8nP6H77hPC3kPHnHAoZ+P4rOFIwvGPhnmaTglWRDXpCURnTwv
D//DhHYYAK4wlEhfetXytQjKlGFCcVio+6THIUVhLYeS0PvjvLU1UHoCPBOvHSTRX05pQqm7kamC
dlfbH4gWfxZXNnU/lx91jt4aaSffQY8PE0It//nHg4RwGaBiMtZ5tJEzAkQK1aIMr2aRqb99Y7AJ
0aHCGgHasONBnw/FsUkCX6BIkqnW03H24YlsCx5Tm8rz97/fG9c/OiDgsmNTgAPzkkmJLdDO0Ccf
aj7mTlO7ylBcx4X35wAbkHnXo+j6D9bsrTHRHQCcC9XC1414mL8lLWYIf1Pr20MLDyUq7LLRCF7Y
p4GQj5rhb53p/473IlZYJMNqzrD+zFyE11pNQSWWeD0njiWQYWiak9LdRypG+3Z4+SSgrIHdH+HJ
e2VBMuC9zmyohzoOhuGA+nhYSVRXLpeF5LvCdk+9DAuEmoRXyZLHH5y/13MGW3T3B0EqCZp78WLO
RZuZXBncYwO0xM4l35LaT2B2zFxOn8PO6/MixoF5fzO9PiI7RRU1B6TLYMu9VLcrY5+iHwMFBvx3
QrdtCC4W5BQ0hgTEX19l2LP4D+obUFHCcM+PiBsRoGFHa9D/luzRzstKl4z1n3tTqA+OyOtWKRgW
ERgk6N4BUQHC8fOxRJbLYMPMakiETy28JCwRdAjG7ptchhG8PzgBV9r2fKrcEtlr4Mnx5HYgmMV4
sXj7LWcdVBNICvDrB0fp9buBBHu30viX4EJeHl89jyiHpDk+Q5CIzwLVuiqEl8rD++v6+sCi4wQg
BFSVUC6AaNTzDwBDyEk2BOGNCOOQdm2QUV7M5RfXqafYT+SDJuJbk8KAyNlRNQAwet9m/ykcbGtu
Uo2SZ03yKT0aEL31JxiP5x+RJd6a1k6TBaMTKiWvyp0oeA8bNo4GxVhDWWxqJFA5ec7pUFp+Y13w
UYn/35Dz+aWA2hiSpJ0GCKDHS/QwxJpC1OCwa4lo+PnCl/GmRFL4ZQpAr4Epo0q/FCsDQ5DNhb1m
rnTfury0NevK8asYSH5pJ04uw3lAPpeU2p8r3aRwyRX8XqqoraNefwi42bf3qx8NY9y9SAv5hpf0
joIhYU7S1oBkOw0FDcouvNNw/L5IYKp5UxZTeDVka/K0RkH5QWr51goBobBD0BD5Qb71+U5YIaa1
kDlBXD2lf9zCy5ty08OhJemjAbD3o+riW8MBVgRuLTqPOzL5+XDJ0JYsNK2tVzgQ/RqCbDlzcLeA
xkNCKFR6PqrvvHFf/qtQVuCyRATzsrTfDnk6THNgIMARzzfNZCKKKmp6roj/qO34xnuAofYUD+H/
DvN+PrUwbaawgwkOwKZm3o5EO3UYQiQIF1zjAMvEktoCDfpBhf91BQsiXjDQwEsE6TLUjl7cnWaE
pazpAPrf4JgKoSthYbEWMW+okJw9NIFa78fQjbXwjGn4WpZ2ucySlShqUi4/0k5//Srj50Aueu/1
7g/Ei8rnYJkkdoxNHXrnnoRLIZtO+uXKRL45CjTdvjXFMsrjGPv2fh06d3z/Jn3jLOGtwg0aovaK
rtu+A/9ztZV2Y+BZWwv8/to9KThr0KJpm3NdBLwirdi+rMr5MzUWH/Ui3thru786slOsBZ7oFxkG
+IJZNC3O1ooERa1zz2/jkDeXQDDIu/cn+eZQqM6gvb2XLV9CeCYQodFRGSH2MsCruN94Sh1Ae1Xf
As/9/lBvnFjUfnZlGbLXSV82TUcXgZIPsY3ahTCeOW2B8ROe5qzoaDSt/cHGzUd57/tDAjv1fAmJ
SOC7BDFPeCQX6JvmhLVIDrM8qNotWK9mmy0fAGXf+p7/P0ngFJ6PqIt8FUHADIDp21bz3KBfNK3b
VdYBRPQ/fM/9sKIf/K/G1fOhfGCjlqWdrUukhNfDGLc326wCmFCvLdhCssxv3x/wrQMBCxFUuJGT
4m56MTfV5CrcWsiVNrFrKRuH8byc299t3JpbMJ7Xi8Jm5Q1EDz4i8rwRZKByAbQVFD9AP05eBMiQ
NLA2aY2pmevyE5IcU0FG6++TRhDQUJDZwUF7k/3Ftbvq3iU5su6ah+rHOMjtOokiBnbmOh3e/5Bv
bBL49KGJioIX1DheFkStVePGZyRVOYOXJKT3dO09XCEgcPsRMvSNSxRhEKaFLh8YyC+7+ekaxRYw
yr42SeJstURCXxoHph8UgAJ7QaCZ9djMfrgY0qG7Eg4Au/fn+hr6tfetMD7qXUiQcfifb9ONFHMx
7KgF/OMLzHv9r3lGUU8HY3oyCeo2UZOTA0dERIcpL08I29MPfsMb1wC60EhgEZbgN7wSEBPhukwt
TNrT3stjLlL/yesSoOTl0PalPHt/xm/s1n+LmOCW46gAG/l8whA+twvrMGFoVTSXcsybh9nZ9oNR
3jiMGOXfGlSYIe1+8UZIFzUFghDMCWbB3+awy2mZ9Pq6LJS67GBxcI8oRiEO3D66d97aUgjyQC/H
ZQCRq5eB3kLWxpsQJQEeZWeNUaQeBPpLvBX+zLY2QKMtiutlS8ZjQRb5+P7nfWsxwSxGh2tvsqGe
+fzzxqKTOzsG+ylKNlw5xZNGiHyUjvwJgyb+4JJ966ii/YP7DthFBLYvFhMYn7QZWlwKG7bNQkc7
2It4APhhQxPgg236eknRj8co6MDECMRe8mBHUhoxawivlZ6td02esaqHaQYFni87QaRdoXvHwHZi
+CHvf9PXGGiE0YAxofwBbSDAUF+sqWbcuoYrWxcZh6Vf12TtIXaBwUULx29JwzVOz4rNZwdJDCGH
tbDyaJHadMdubFIaTtoIKlxXxHRJGlvPqZ9+fPAj92/9PLkB7heVClieo4CI8Oj5ypOci7H10Ak1
C18v421/iVw3UjctA/SuyHS15ffo89clT31DwyXPztrE/DW4Dd8KCB8oGu1sc3RGnv8MKEnkCpQ4
qF2NSX4+BfM3DlL7YZ1TeYygcnoQbPuodPp604OVvXNEdjkqcHD2P/9PLMq3eGw5s+A1wXtGHIJt
mSMqoZgZnny0QvuxnMwqTu9/8Nd7H7FvirYdAD/oor3M6AA3KxLpkHM7eI1UaEbyaplz9skKmX1Q
RvgXxvB8bQukq8grdm1vNEZerK1bcSTKHspTLJjS4ciSZC5ph14Xtr9q/MXUQn/8BCdIjWTaAyVT
zUO+/LOZYE4OZSKg5RJuGbkmzpi+Cgo3f/OxgQdFQFbyCLFbtR5hM8wnaofQfhpnST7KEF+vEdYm
wweDbsTe6XwRpWxRMDIpsCmdQC6U+ryogJcK/vCxkaBGzv2Xv14eZCcIIVDtQgHmZboGj2T880Vn
6kKkPIfypSrvNogbfjGZLz+8B19fToCzITlESwcXL/7H8x2oOiGy1RTwMwc1Ql93ccKyb77zcKon
jezJDaAwmacBnHenOpABPCaz3gl2LNBHF0fpdx3q1Uj1NUY70dJxzOOGknBsrnnfomDu5oahghJs
N4kDVog2pSoftIrbhKKgBrsF5klxK7ah+bK5TcU0LCA1f2Qiaz4VjLgrT4KQ1+OIeIhq2aCt3MkE
wojAFtrxEBGVwaeYAfVX+cBlGXzKYfB3NoPqtVaL8mt73JpBKMrBleUXfSddQrsR2uRVKZdQ0hXy
b+UlnFy4gC12K+bjFGjiLmdEeM2TARIUHgXxxGNIDZZQuU14yG6TpYvUGUTJ4H4xRNIUqI7l5Pum
oHn01/kVQBEovgCHjbIV2hHPVwjQ07iJc1SxedGWlMOBvcpm3kMjuSwPcm2Kw9/uP1COoBn8L0Bi
ZzA8Hw/WKHlkAfzecSbNk021OkzQWbodPCTk3x/q9dFCboocFbJJSACQET8fCor/XIPWqevY6/7E
SNRcFmsE5FXRrZegnXyUgP/b8np+HaGvh12Fi29/aV5We5JpTQCIArZ3ZRl8S9fYbF9j4Vp36vB/
uBqShP1jobnLa0SwjN/KdUz7akSpZquKnJXsYSSLf8BT3Y60QzOYXabGRL9GpY2meFz0Vzel4rZd
RlRPmpZv5Abizkj09cz9eR8IqMUh24qXynS5DukUt2UDEbsyeyxswp8yOGp/0ZEZGM3yPlPgscuF
0w0smUfT9G6sAJJRPwd4k34OxRB8m2bA5iAf4cljYyFsQ03L7TkauXKr28GZOy6C8DdQ6FDpViUT
Gy3WAQH7vhpfY5e6R+i85RfSdvHvdYY5SZ2nW/sP4jujDtECNxeqJEx6P20N6dEmEbq4a2ZpH8Hg
3FBQD5jtK2VBI7/su4g8bKDV8ZvBNmFGe+xT9XlzjW9uC5akE7QMrNhkHfNwyG5ZD5nwqkTYhYMH
aYALScrlMZmabKoC8JWfAtO3FqQs066oBuUakptQC0LxCqaUXe2AMOtR1WDdnex2g+k0Yu7GQ5Yp
pOCzryONZlRNjyNqE19cIJC+DnAImaqcpaugbjb8cnPl6G/dsgUHztET+2B/v3xpd110RLJomuPs
gr7xYn97HDPghIEEW3KjLqKplFegi4iiMiv+4IPBXuYn+2AFnloEL2DCAC/5/DBNE4fpjssiWJ2G
slqkK46EuY9AP6+qiXurZ3fow8u0F/Cy5Pkw6ManGvQ9kMnF0ASHgfDlEpUmdsg47l1q4nL5zHjm
LvNZW8jkSpJ6KkkYCNDPI/0R5hXaHvvE/nuo8Yv277wjs3c18JeATQgGxu2yFrCXGBDWfSmcDGY0
9bLSQJE8b7OvnsPNNrUpQY8m0lBM4D4btjOIpggomg56mYAsiAM4u6vJqMcFJu8J8FO+AaaCD76p
49J0BbXKGXHG4MqAypaawrgCvmRidyoTXXIYbdw3lC0tiw5dnxdHa0HFOERQS7o1s+X427LZr5xS
Wko8GfkR6MVtrmAcuQ7UZXPxx4etHk5lMrfyIIIyusNNUQwHOS3lJz4x/92oKN2oblnWnvTIpycZ
gotazWmA490wiw/ueW6XqsnH9IdWM1Cerbbuhknw5yl3g8/PxSBadmCxCr51I89vCgiIwYsYvNey
BkQGx0wgDMUZ5CiEH1Idj5eiaZb5Kg0deRqNTld4zpj+3Dab5VW3NTo8hoYs39D5m85XswjgQjoW
fXEpmTIagOBzs3R8/IQu0ijqhW8wgNOEdIw6R8ak4nEhrsH5xq5CN2390ilRXMAXAGEdFKTRTenB
vSIUtkioX0+guLgTUioIbXZy3S657AeAyOF4UhWQ1fmOc4BfGAMTcOFCl3EQZ3sYnygZjP6oebqC
n0YW8RnSS1lUz12mEYw2MGakpjCdqtncN7d8QLRy74g23xsRQu+Zw3PwAS2+gdCFxf7bAEXJoB7i
ZfgVhnbLz0YoFG9VF/TkaWm5CRDpWN5VQEFkTyjSrp9nOZGbhsDptVqDqfy54cd/XoyCLwN0NvJv
0xiJvgqDtHwIF5D/DzZvmKrXYYsKoIdYDDXeNlFDDZgKm6q1YPyTi4YmrpZJI5mDNzEXgOYkS0v7
fC3t49gT+2sOZLgegJFXN4CZof2QtFF21W867urS6T6hRoPlC4Ai5G7q0o7iaPoAklAGqg/JEc3F
4tcwyfU3kvcC/7SOXTKdS5KBir3JyP1BMjGYQ0OW7SEDj2V9KBIOk1LYrQe2agfjgyu/mkxXRUOE
qOe2yO+sHdvPDqTI7DLr8PUo8mZw6DZjW6iNDnnbn3B++L1JZgLHsMFsk8BbOM1XkGDuy4uMp6Ov
5nbJl8O2rUVD/STkcBg0mh0wulnn5Hywy/AEw1u7UF0UwakREzwCIEXT/NMuA7sZPdES5kYqfMqG
eCponyT8zvltM5A+iFNQUgOkg4HP7G0aZDKu8mZNfs9GFhNNHbg7dIEgy03cEIMt2s3yMwfnOD5B
S0pedjMj2VURMQAk+Zqq8BwGGGlWCdG1maB8KIa4ymAie7U3Eb/3wRLjrC6duB/YXlZbum35wuCR
xoDw5bmiPev8XJUL4FdLEiuN+CNK4XszgmV2kyMR4mdsbtUncPDzH2rwhaHTBpeWavejMkfI1biZ
Jgab6iIVSXfLg5QjHE+cKr6WnSDHOdxt5Du75lXKunD+BOqdbO9iWPjqygozSijQoodLkRJFpA6m
ebkvktiQGiIzZIJyq1o+F2g4DNWUNAzYHE7kiJZqjoGjRbTyGJihAcWJsGa7tKk38qLfUvEzYEhX
z6Xg43qAj08THjWBTGkVcVGUNcMn2yhZFg4/qDXw93A45eNhStvuBhLkwJPEDfzSLsA8zVV7EkyN
DR35VvbXM8/5H3QoiuIAVP+aHIPUQUagkGv4Y/Fo8FJol/isNlGX/EKmjRhoXEVy2hzKjdWuV3gL
7ZGeVVqxCdCcwhfAe8dCosKYZlN4EQRjyXEUt8RXYgNx5zrGtlP4U1LeqyYuPs1FlH7nbenbs00p
n9+CFezkUY9l0x8HqcO7tcu2dZeoHD4VvsGawPSngQdKKzds61iqcxFn/Y+wF7Oq4EHq7tK5J80J
frXDcrHOywCSzthHj1tvJlzN8dJczFDyzNCniMcn1OrSGfpRg3/sVmiYU78V0wSbN1hBe5PguIxg
pehjn3bkbjYRrLeWaCqyGoDijRwCyxpDk8G3aA3agfwxi8sMwAd6eMSxDGcKO5dAnvuYhT9Fuml1
sbk+uoNvRuIOwo75RQcNPXVSUlqCjzSae5bniBpDE+fbnTeCXwYITRFRMCwLt5DMPi+4kl+CNggt
HkLb/2iXeYyp0ir8B2TbNqaMrdO1YdjmtV+g4XUB3So7ggaQZu0xa8ryLF/mzR9a+NEaaoHzYcfG
T3NZKYPQ2A0gk9SAx5n0smzMBOV4oRYNoJfu9rJYuX7X844LL6Np+pqO6/RJNtEa0twYyDh2joXq
YowU1LzhJdZ+Q3SZwlo+KsexKmaAli98OzdtlcLxWyEqiIILhKcZiFXY9Zs8wWRv7EDhbV0K99B1
hJB8JlQKk+cpeTRG4y5sN9f+AnyXxzTQqeTn2rVrTMdklsMt01iW83GbY30tCNRaHjaE3O3ViE5K
Q9FV2UpYWw5iR7800adui/qS5knP3GHFsZ4rPkcyQUYwETB75bYams8rmj7Ox+MBiLTNosph7Xq2
6880tSzG/jGUQjDa6VF9skFX/HBpj78mcp5B+Wcx6yclQJWoOMdNdVRtKUoKRIH42gZC3Sn0IKfD
3EXFcoRsqo9hStNNosLjxKBtXygwR8bcx6JCCm6OUvEVxQceNyGdyYLdYWzmr1WktxkwniXyV1G0
IEPcuShplSnN7mHLjXJ5xBW7D4LIDRUHpObHwkWZ1LMOGeTeVYhlWkNjbiI9hsXJt6Y1FyoDk+Jr
27aI4Arhsq9WhMFUwb2yeCIbqh51nEnR0yJ2DFJsreTXkHRnhKJ47Px11qSuoBv+VSAFR9QtyikO
JAXXN0HBg7dButZuJGi4ExUKJO3w58Q7ajDzivfx8qlwq4CbFwvzWyRU5NzGzgfVgNF+wZ+UQ92Y
Q4rDJjKRx1TEiwLUiU3rSW1lAcdlkWU/QpTNS8qUYT+BKAAHuFdd2HwuOmWTg8oT9VVEheypSOfo
qsznDWvTR8ljg+oC5H6CLjiDDFFAahfPaXLCha6vim1LS6rXKPyNakEGG8rFIR7whNV6kYidwoQ1
7Gwhvg0robPGVCrzmaihWRH9Al0h2JeER9i/UdLV0FEi7ggZl+E+GTMOq9A1XhUwNK3eaAwi+3cQ
ZfF4dDYFUjqScDrAUzGMTTVyQfxlgltKXJJZLCMOtAX0BFJ5xcXWA5VNV68NO+JcGl31+bRdp4ON
WU0clyttAZXD41qkBlUNwMx8JWenmpMDe9mBlKHRKAcqAnbB3JH5rI2DqDhG4xB/zQbUgE/Q+MFJ
0EsY3iE3artDEQ2kvGo6WC/SkEl/LZOs685lhBeLqqSF0ixDy+RzaE00HRq3hT/gp2bCI+OxMSch
vf5ahAv6SEgg+G3mkUVVuoHgG81KSNYhaFnRL5hC+CnxfCAXCK8TcNRRJ+1PqFoFea3RLg0hzJ7g
AA9w9luOaNYEDc13VTb4+MAaG5ncmMNCUYNBnyLhQKkK3geAfWRgpFSw0bBfWJnh+1ioCj1ZDlEf
7NBmJVXoGoKocsi+dzaedCVhBoQbCXsb7zlqJ1dm0Qr3TGgB1YrRqQpQoij0Srt4stfDIruZakgh
AKmXW6kqYrB5q3yTWXJMOcoHlGUl0ONYe1C5MDIHzNUr948VbT7g/unLR5E7An3F0qSspbDHycWJ
5R6wP7R1FEEsBttN2gHi/IDoOUW0luYzodrz5KcaIBdGY9hE2SMJtBJfyLCUaGdAAK2gWTYvMzh9
CnX9HkKOB1cknT2MQBhmFKB0MEl6cHpwp5UlrEbMFvT2JCFIcrEli8A0oC4Vnfqs69MqAfFko1sy
dFsFruISVcng5ttsazzQpQBb/Nac5xJpQVtcmVHDJSUeyFDgHQwbectwl39z2YRnRGBfbrTb8u0K
1wNi62Q0iE9g5Bv/HrqG3Zl+0E9264P+KunmNThAaW4B9TKBZM3OXmGVAH33IZzXVVcz83GOlhIp
LwVfszusSJRUBrnAEfyLuDi0w7w8crEC5NIBwBZV6cwSUS0ZLy7jpQVIHPwbdZ35FS+8acnQgt2G
tmjNfJ5KRFwqqIUJ3FqV1uR/8mzLystMTc1jA5MRrL6blycHRQ443U2B+TWmJWpa0ZwW59GYznFF
bJLcLkm0Dij3aXm1dKEFpLNr1Jd05Ig1Zy6wzH6CR1KVa1jNU5PE/VQNi2KXsYbuXOU7MSV1uzS9
rGaum88z5II1UK8GeJe2hGbbpWqcZ/Coyf1IUdScPptxyaCMZZt0vICOfPa7Kdq0q9tJIRfPI8+h
xAtW2FjbNp88NV0ZPGxDbMYqQ7VwPMW9cuBVuZ7QbMjBrsXfQEmsD5EO2LkfHd2KeUHTLClVW2N7
pv/g/WM/mkAUnJpFObiE41Lv4enOpl+Znlx8XfSbtIeknPLfi2Y9DEI3JZFOIzqlthOtqH0pUG7r
4P+j8Hb3+CtbAvexX1GwxT+d5tjGoRC7XgH4ABbtkXb9vbK2ueBQAlOfsgGSMNWMgthXE6QAWcL0
vcdBC4cAF6N16UOYNORPEa0ZPCyiiTS1mBdbXPk+ne4GlzffIM2Wy7pFltBRVG3tdrHBTe83dP+n
c4Kwq6ykDOXPKOxCj0e4RU3BGeI+x8q3/GwKAbI8IyzxOIDhMvzpfezFoUN01qEKOiRPyyDnH64Q
Y1DBziRUqMD0JSow0pvlbCe+KZqpLdU0m9NZV4644i4wGVokEIZOAYdlELEDatMWDjcfia5BZgGi
c9A8KSi0h9o/Es4Bzf5cQn57AAb91wT/on+csE2HNApdqRpgKdfVa5SAFoiuz/jPxGDbV7NIilOz
NLOuEZlJgZoipDN9wVIsBuzuUA8q5hitBHxxfwz1nD2FakaDIC8FJDeTdixGdFGLZDiYJcz+6DxH
TjG3e7sTSgzIvUULbDO2V+dpP1j/CA4KbyuOIOpzsKhgQnCwBGcazRlCwX8zeJtnJ2jQQcqCJszD
udYizH/UvU5g0L7M7lcwcH0jdct/9t3Ivi5r2353iJhRp4bY84OOoMpcsYFvDyucymPapAGorTIl
K02gJsKrWMLDu0B+1tKo5fG1WZHn1KBLFOFhXSJ+muGsfG/WcbpfSYuSi1VWdEioNV5Fg+IztFgb
PBAV9LvVF1KsPqApH5c7XNeoI4gl8D9UkI5/tPKjAnOpLUw1b2k30A06fXdQ70o+Q3OnO0dG4P5k
25TcNzhAvxc1ArQnUT4ZkfaHKNuWTZKDKaTD3FMGqVxCQ+ShcK9PV/KgkR3OtEHJ4UcU2bGpgWgp
xEErGGtRyBpbdFWyzdyilrNKxNeTmCs0ZAZzlyENbS+ScgNBQMR98s00+XDr4nj+UXaqm6/0KolH
W9IXGQ11ztVVaxoyHJCCQ/Z6Kf1Yt1aX43mHtsGvFmX+yxKOj8MFdCSLOwiT7ZJyaDmqKl23KDyA
CKiuyBRMXzofbD+hKzl8AQO36I7DMKBi7NC7vS7sNnK4M+WQBQZiq7PUuiH72vfQyqk3TZTa61v2
Hk5gLKZRGgzmDNevOk5p3wQ0jxku8AVvGHpi4RiEVY97+m6L8FSD3zyhGAm8XwZNpzAaURkVfLiP
cuPWC5Q10s8bwmS0+WZkzAegSHVLOWruG8qMcjmfexRJK9mGFnvGBKjb9z3c7agw6xBVDQlKeVin
ZOkr4yQ0zmKg6j5Jk+j1jJdlR25S9Az/SDjcPoxQZHOVX/cQulk7cs5Z7wXCtFD7OxwBVIVgh+Nu
LBeDgc507vtKltDArbrOJA9ZOqJdMcELYm+4BEN0pZtkumhQwWDUG/B1T6vhmz6wdigkculoQZfT
b+qnX5f2AbjcUddQ3OOiZk0GpwBrXIpgAI3zP8z75WrV8/ZLdrhHr8Mx8jiWYIBPJ4S/80W2jbE9
W7UMzvI15A6doNyxY48K63CyiFl+lMuCJDZRW3xULNF93ada3MEXNviUFir9bNE8banTeXEHynL/
TUOvsj0MXZEpaoMY/+SywnK8yrN5QE7oU4YawLLiuTBIGLMqweXd1c3EdrixnXbDyGGdviOQFV8b
R/AYFixQHIeeoHHVGuHOUBTZHDiuCU5F1wmkWcUaKqgthgO0MjqN4KDM2p8smTNLpxmILOiKLVyi
BRPbnoK5Pi4UHI34ASFJfp/KpbCVk2S54KOKSqqKLDiX8zqllz4HbH52vWvP5Bo3D/2GCtJVAzlH
feTFpFrE9zPSkjRR2bcNyUpzgOuAxZMgbIe3pCCsrFb0+h+gDJSJI9hnY1Y7uermiK4tvwNESsI3
JUJVSo1ReQJ83n3L9FJcmyXo0FXr4vAcAH8xoqVkcBC6vuyuIjSwJhrP3f8xdybNcSNpmv4rbXUe
5GBf2rrqAAQigqsoLpJSF5gWCjsci2P99fOAmd2tgDiMUZ/mUmZlTMoJwN2/7V3SO0XXiOdtP3RZ
WMkq+hID+Kv9Zmi5DXFmhhPmFotZ+iop1EOEfzapY1HlMrSHqPu4FBWg17bmqvARVWyfIC4q3zI2
wDcJlCEJGFJEn8xcz951kqwhWMbGYCCOvsuhX1qae0laV3042HGHoeFQFpdF1SvxXlM75dLltrND
xFLMatcNTlQd865YysDGF6H069Qm2nSdpV2bpuydEI0C8i3KXyjMupMme6/VYxEkbaNdLHToGSiI
pj9kjMIsv8dvkBS3HEaX7nojKxpntklw5oolw4iB83lcPzPTYS+7cVrhkRJZi/69BITxVZgIvAa5
VmjkARJdCw9hAr/oUYUPmLd1ju+JqH03lkuq7TgZpYOWx4yVn+n1s3mwtUKNKRyS5aM0rFEN8tkW
xk4qNHvIILQ+CxwxmR9FAYj7KsFeSfdbkCU3szJ7WtB4pfZuWNbSksvHSq4Al4rHaHGTFUWia/cW
yTOaf6bFHLcs8kumHG4SlJlUHpwGORE0szL9XUGFU72P9HL5XoJycC+EWfVPbprGd3bj7tO4Vrvj
pGi0xUq71WkImHNugi/wvBvpzeMnZhVufYQdVV5RBDXflSLmZsBFld/IS0W/W8al88gnBwk4lBLg
XU38wYnKXWjaRmQOdHMcs6DMzI0kXIvsYRfXubvjYo09ujZj3xwF6C7aRnXBAGjG7b24bgsj4bI0
x+x2NqPpz4ZYfW/wcVK/UKT+Q7gJme6qlnctDU9MB55RvDOzrCZ1zaaIFrnBz9QUc6xVchhV56Xw
CkpQh23uY2NhwostB0CAfNj3xhjR1Kenb322J4e0QW+j9BtgCJSfJNqeme8g1OHdMNGl2+dWJp0p
/GssdTezQy2u70KBygSwpH2XVHGp+sJGPgwnd1vGoaga+Wh6eIJd9Uw0unAuIM5RAtuwc2t7qTED
wen6C/CRvN7PCnV1iLIowUZvk3g5eHTbn6BHG2u/2KJamQdmTceZdlXvyy6HRZa0WgyoKHZK06cB
7tL8UYgdhAc7rkJzqRAVJNPTin265GAfQ9XtPbXxjWacrf1gyFK5LWk641lb54Wsn+ukbZPbKXbH
6Dh2aU6Wg0+lMXOLpnquh0UxKSBOhhgMZ3vbp8yj58DujKZ/avqmWQ5kLXWs+FlkAGbyJtCaaNTp
ifKgy8l0UZrXczBRflza3IOh02hVdm/EdjNEvoqUaIFc6NwYjya+utVtUymTSvOFoGMeO9WGUIVt
pk5mXamK8lFNyrG8yKaxwcsA9ZRUXCUIVvQPtjYs5FeKu7ji2RGpTj7DvI81ZO1BXfB7oVgjpf0y
qtrRmnJ9vGlMuueMCuqh+mEow7CIgPkxxde+re04+hF5i4M1NIqyxVVX4Xz7MY+LWH53NWLnreqK
yA4mVOWnD8xZWvWxHOx8yILIs0vtT6HUlmrvi4Lh4DHShoEpcmcs7vJdmcSK4CGHS75UYGXzA8u0
jBHj1Wl7JiRiPPDJMBWVw605yOKDPqN1pim+25odqk8CRAJdF0YpqDzkvB3YEl3vWMfBWnrlobR0
QabRj7XlfOyioZ3BNEu14UhZAC3cr3Zj2M7X3nZzRx5SBqRx4puTndUdXafULD/VLlHmu0e5ivqf
Oxnp1ZSmhXxnzY22YmqTAmlvGC+RczW1cDQOqTEM5bVKVW4eXNwzxrCgZ768t2v+fuGrLjMC9Plx
6Psep/FUPNqJqkyfo3kibDAkmb1jy/7m0Wwt9w70w/vhQpMDITNRdWYotNTG9nJWerSb7c7Jh2NX
jviEyKpIR0Jl32W3IKCSZi9GpxeX7aIuWThYpZF/RtojaqhtO7cNaXea6rEFW7L4WUX+ujOUuXQY
YtBgCWbLrNxPOSfmHnnAbLruZosSZlGJr6GcJLIIyDrPf/bxlDy306K1FzaXQL6bzDz6U4lbofqx
MoxPVkUXeD+pHp7xojR6H/Z8gYkS4c8METTLxee4yyOHAsvwpmNc8x8FxI05uog5Lt97q8nw7QDc
PB9AYmpPMI7oK1k06z2/9+i9+bBolDtGqHGxy91s+Tw3jriHDq09zm6sOlRJXRp2TZJWTA/IEf2k
gWjrMztJbirq7TsXRCPIZbMrLT+yo+SzxDBECwarlYOPWOj8qdSXeSSRHVR1p/V6820uLPXT2OfT
pYKedQEORtgXfYemPZWZHSoG5wITy/zCyLIGkIBcrpn/DEUo4sG8Epye0V/0nrlNPUcY8JrpmF8X
DiaYoymZPMRGXZf+kOi1ZD5XAsKoafx8LRdteqxF7dAydYqh2jUFePbdkjDyvc+4ER9Vpe1oRpc1
CLnecpKZgYYB6qDQbFAeCW/3MW2gk+xyMbSfABq591Feavk+riLHuReYen9sMKwEoWNO1ndPDPlM
A8bqqKNnq6wCa5zysI29adV2yB20mOOctto44XJ73UltRK6jaMqLQR2T4wh6WdxYcJdS6miL8O21
Ff0LlOUY1KA7Sb9n1NXkGs66VQR1H2Ux/eYOf14Cf8XEs4kc028sp/3cxMSmcJpLABwZ9TrROPdw
tu2XaD7SyorNXed2ZXIFfEopcS5MyyJMo6V/WsAHdCG14/y1tLXkW6Zgf+WTYHaXRlyb2n5umvRz
K0fwyW6SZHeyNlNmlrorACrOi2S8IvX2inqJmhXJfe9m5TPEgVbaiQyA9jCAYarKmFcOFeYGdYmv
qo+haEewGgpT8ZtokQ9JQjnsq7lAHt8h02l35jRPdzIzhppXMlmqn3ADLX7cOgU3nuaBsIqHjuvc
81BQP2i0MT8y0QfyMOQIUAdsS5rV2ZLWV/FEihUOcHUGLrfVdNBa0ubPvDHMR9WbosLn2mff6N0s
9WulbtvUVxkBfYrjzi6o8Tow3KJrGSVzGbnJHrPUZN+rtdIHDlMrbV9oXvfe6uJlBftZ+o2IW/sO
aR0UX0vBJe4rS+7OYZLO810KFvfBSJumvGo9WyRhZA5ZHDSgDWQYWVHsMuQhydi7LePwtW9AK3+w
+rimf6lZzV7Ty6zc97Xp0fihAKTxKqch6Get/1wRe82g0NDB+Qinolp2jQrYjV5b4sShmngpOuiO
0V0xPZnFJy1b3DRcTMX94ojONYIGj4Qh5HAjnpCVyAFjJNd55kWjCnkzTDhYBUgh0Vl3y7K61IVC
2zrRqOT2JAj6h8Ya2mfuUKZaeaquHSK62Srl56S5QZth9vyUZe1yzMBQFPRdFWay4IHypzZprUdt
Qpr4SiPevV9KzSYfeBuV+QuQDHg4ukouqkcqOd1W9Kgq5NyTVNF7rbN2X06JdTFkZ1fZsmHR+0Xu
CMlv9Ok8NI820HeKlMYul8oN6pq+s1Pw9S2hAXbKAXNMsxEHKfLjZx7tF0DeuugL/hMKJl3E9ec/
4e37WCMSRchSm7gIXyGZLB4ETgKHktn97y+FKzLoXNSjiCpbhhYKPFox57UT1BqAAsNN5SG28/6Q
aE11RqtkC6NdpZNXF/YX7wf06DaQvGSsK47d4AZRBq4+jzBFyJ0yPXAWchCb1dff3h8rQBjLaeTN
QAJuvlw+10sEdMQDNzDrF8UyTBcu9+iZ9/faQ4FghsOqI4T6y/6Azl46+ZR5AZA9/GRHEN9GpOW7
YrAY92atdQY++crW0LBp18njYUcwoT/dGjqI8K6D5B94dvM1NdV8F49gytNenNMFeeV84VumIlbF
vc5m3KBCocQ1daOkXkADpH0ACODcFGS9Z97fi/zGCSySXeHBy2ND2AgrbHm5tdVaFId8JkXSt4+q
3rrRx4gOtI7zHKYC3JmNOwRaazlBE6lUcg2YlzJPjAN4GnMdMPahDl7m4fe3j2eB+zYJo7BqNnh2
qj0HqgYvumuBzwepB2wFxJaByc7bC/0KVYXhte5TdBNNHJ+NzUp6lkDnxuQ0AJGj7qSW0iFUEogN
hJw90r06X1e3Et8ASBxYitB2Legnfxnrc2qfv24uA+1IBl+Ac7lYvc0JVRKtY75Cza8k+fSVIQsT
0BkdhU9Q8dJzptO/3qwstlIUjVWpnsc/3clZ1mkRsxA6ZI7m3tRO9aWubYXBFXcq7Atzl8fDeIbo
8+qaq5AHp3UFPG/WtCe3Vcj+OT3WYO1rjLuCpjedfenV9U6J7TlQtVLbv/2B13/0dIfzoNgXs5uA
IkPPOX1QICeT2eQMniSdD5juAOFBAs771bzTl2behLrWgDet+nPmv69+z9VXZGXfOvCDTleuzAYx
znLy2L1d/zR10/RhNgr6ruM0lu/efspfrwsIviglr8GS4LXVl0mNLquHxvPWWY17UMe5OWgLk4a3
V3ntiSzKX4hH3BbaVpuAGj6i5+pw3U5WC59YMNnqq/JqBj1/Jly9tlcsHV4YVFNnnRadvrwl97rG
Qa0p8MB03U5yjm5NEEJ/aqg1qOFSmdHokzFkVvj2I772IhHLQ4gWa0VItusr+Cn4K5lKs7SnDF5G
vfxc6Nhd7QpPGuPu7XW2RFqNawfapQPd02LQaGwiSadoeCbMtgfRACIhqrGcuExqO8YXOajWjJRx
7K3vLVDJ29FwkzOP+WvgBFkDEwCpGBMV1a0PfD/ozG+ZPgcR4tqBici7n+H5t5NjhhCiKs/J9b22
cxB4XJVbDZr8WzXOBImObIbkGri9OuxxiHkf4SG0q1LbPXOhn1tp82LRG13SueHFxraAsVpqGEVk
ebQrMQK9ePsbvrrUataqI2qBNNnmgNP7iuI2Mr3AVFLzKzIWOFEYaf2hTpNzhuWvfS/oFP+11CZK
kY7YPVMpLxgSD31rPY/xa6RZhOG3BWwTk8m3H217a+pgBleKNxzvVRTa2qxHJYTwW5/34aiM2gFu
0gR2a/b2+eo5YBjTsHdi+j3GXHRnbrLtS31ZGSEhGIdrON4yGzO9h/Go633odrn7oxTCu8iZDyOo
r4kzZ/C1pZBXVLmbkSa0zM0dYyPYX8xS7aHUDu4PgPdmAGniUQ6tcq6m2H6/9akgk61qwqgKE3VP
r5Wi6Fs9jcG6KsZ0w3hG+9CWY+szybDvC7c4x5nb3p4st1J30ZEB2Yg65ubJNNnHZeZ6QzgpKUhK
2z1YL9QKmBZMWIXg72DUd+bLba+0dVGuEzI2c60KvU3KmlpDIx0BftNlInqtK1Z+HBAqeWphEu/J
NqyQjpC4TPrG/ZLM0/jw21uWdIavSC1l8Mybgz/ETNzauZRhObfyIPO9EPdGGfd3ZeJaIXNZAaZE
nHvoV/YQvH2OyGrC6sCpOv2wQ0/qzyIyzNuMoY6tK0tA7mr/iNsUtMHbj/jaZ125+qa7quWymU4X
a3qgI+RmMrRQZgy80h5vRZt0d5E2J3vZgEZTaqGe+azaK3tX4706bCgVU5CtuHmROrEa57UEr97q
tzo9XkY0ri2/FlJ4x2YYx0cnWfLLTHb6e+rB4iMdZCNs4PM2+OYwV4u8MqWNBakjjERk+Bou4+ey
51f/SiBsq84gINTtlp+o6LGXzoAuq9D3GukuPrvEOraF0h1b2yq+vf0tXpKdnxPLdbs7MGLgq4N0
UH9J7zogje089WECiQzq4uQ8Sa8fHkbRG7epTptYj6P00evo/xbNVF1ht5ruoD1FV3ladMfBEaO3
P/NHrZv8lz+KwtREUxJ9ma26TEuTVE9QYA/z2i6vaNuVewdv9KMTp/mu7uYlEJ20bjp1qUOrEOC/
+ehh0yPZjiOrOJMvvrZfca1xSb1RlzC32j0g/+NI6IyolzEprwCcy30t3eEd9dXXvI4dZlRTc2a7
vrYmGhGkw4jMEsA2kQuxTnVRxliGUIoyEDP6sI6ypPM+m90h9xn+0Y4oI9M5E0xeXRfLgVXjEljD
1lFNY4q+JLTpMDY3bOYPslqFZ3ucSpnGJPBsFRXlsrwxz3zyV9dFFnG9+GB+b7+4kMmU9lYlQ1Uv
jKOT5bYNFFlmVxE08d0gZo2hCiy0M1fR+hq3G43TRlRDUBvpx41mwwgkuNcNKCJIbQ5PaTp1O723
rae39/MrIQWPIHjmnGmUJrfCA+BPC0t6SxfarchCD5miC/gEgDC6+Ac85yHo9EkPyBYMpFp740x+
98qr1fmQ+HyaGnC/bSpC6jC3uZawlYrMvsps4PYu9k4HktYulJUO/K/pzinsvHKPsSjtGBKFlfa+
2b8EN4RqPcJY3zODduacgD3TlM+dKA0caxx+/4yijaSvcRtjZnUbNt1uFWy2XRmaxaxcdXbXvk9A
A4u9CqkyDdRCxvvZc+a7t7/sa++W9g5ZHi9Wx635NJRJqBYWCHwZKv0iD7PQyqO0ajWEluve6WDc
YRa28/v/waIm3Y7VyWhNp08XrcsuVQuLYG3nibiaTPrmrWsp3+K6ng5qpd/ivzvnZ07KKxkCmQFb
WOc96ij4ny46R5ljF2YkQxGVHU1yo3+QswsJ1/BauKtvP+EreTvOGJCd2bWrn9A2HZG6PvTDSA42
Q0Y24J1dWuNiPCjMQX0J3Tsw0Pjey3xpP7298i+tROIhg1Q8ZlelrdUZ9/Q51Woh6s8eeCSaB8w3
5ua2YYj5A9LGvE9qAwNVo26tb24d1ZDdwTUDBlF09bLAG/yJac54VetjlexARcExePuve+1UEak5
WHQ5qSs2H8EaRlXh5iYuuoDdXClA/oOJuGGyrvpRPPyuFODLy6D5TQuXNA2zjdOXMSeu5jQNVUwC
wNK3JHIHOp3MQ6pL/fcDwKosDNgU0zYVA5rTpZg1GV0CkSyMwKUfyII/VJzyAxcM5YzXWu88vczD
33+dWOYilIcEPy4+m4MEF07YAL/7EDNw2gda1b8b02oOvQhgiolt3P3b6712WyDK53oG+Z2LodTp
M7qVuohhroZwMCP1OCW9Bum+k0/QJjVo+VrEN9TGMxnea3sGJVR8YJDIXFUWTxcd0gRxRWgIIV1x
I7C9BmBakSo7cIXKKmFgnPmQr1wUBqhi0+Bz4iWyXa92uYCZWo+hNcf5TW2l7cdWN+cDHbb8z7ff
5yuPRlcd6Tiejwawvf78py6XtdD9XJZsZIoJetNxGwf6sQ1xUekBjKM0v5zJyl5Z0ISdTQxnVLhq
AZ4uWAkT0gr8ijBv4mhf2eNzaab6EdM1UM0Au8/sz1deJfKbKAMzIEaDYlsoMYfvGRurY9hxZ4UA
A/MDsAgTRLp9TnX8RQVukwmtaRBeasiC0V/e3Ht2AvLMTqcplFkyHy0DtYMmVfr3mBZrO3uUHQWp
Wt2lfadedjWUHKvzlnfq2MefUyS0v8IGN1FGMNrjsPq5OIYVPcRR29+6lIGX7IfsWMF7OcZxLs/J
mb3Iyv3yx69lK21I61enrEUzMOMEPhdabSdAGEVwtyx9sq4wu6s+CoAgJLHzFH/yCMcXoknRKQFp
pDxLQ6TwSBAS6HZv781XQhjzAcZsGqmOwwDsdKuoikBItWWraLZUwCqV7qrWNKDiAiAMaYv8uChe
BylTGGcO/Gsr062ntc10AmWj7S1j9bjGJ/EUZqrzHb8Kk3x9kbcw0a1Qk3rx0e6G1B87rz+TaL6y
XRmKMIKiYmO76vrpI8cQxipZa1OImnoCOs3OfdwGjdBq8M17++2+cpOi072uQ3ccPZTNMxqyiA2i
4YTWQ7Ri+82xPAD0mfy6n8BGzkt7dBp9OPOArxz/9abBwYK8QNW3XfVZs/o2FxDi6xlFFBVALVBv
ZD6OyzhV3ABIgtTB2w/6yztlN5NfWuu0ggbftkABOSC0ye1nTl/a3XZaUh10YY4HkJjnZoivLcWG
RdmCJMb9xdSuzorBzhz0M1bM5iV0vdTPBxeYEj3uM3nMa0uhTGXwBV3bIrE43SmVVs+ZaytzCIWY
nn3Zmn1ggXlJQDmNxZm9skbxk8sB0UFaleis03IFt7s5iS7UGoC0yC2koK1vAXBnNrQ5gXDL25/q
l3PHOpRZq8+Iiqb71pISQsMI6UVH1mHGwReh5vgytWrMkCCMwZ7BOzjpe/vSm8A5v73yL6dhlVW0
SZS5wClEXqQxf4qDdu6hZLB21CG+NkfZd3XYwc/cyV6Z9/TG54+qVoz7txd95Rta9O+MVY2WumBr
rZUgsQfdVQPCBBgO+Q09va9mmnqOBGr7P1nKwMpgfTgyp9PtYsOc08BArmgpif2t1THPR74OgL3n
/DWw+9/fpn+Pn8XdX/ui+9d/8P+/iXpGISyRm//7r3f1c/Ug2+dnefOl/o/1V//rPz39xX/dpN9a
0YkfcvtfnfwS//7f6+++yC8n/wdCBSyj9/1zO98/d/CAXhbgL13/y//XH/7b88u/glb78z//8U30
lVz/tTgV1T/+/tHF93/+A3bcT299/ff//uHtl5Lfu+jaL8/FL7/w/KWT//yHYf3Bq+eypce+NidX
b8Tx+eUn5h/6Ov6jUuOIMYHg0q9EKxN+yfhDxxGNa5JihWp1hZl0ol9/pHt/IPdIZwv56VXJC2uo
/3zwk0/035/s39AguhNpJTue5KUO+emI6wQANK7+EgVbHRU2dZGZUBI7jmwDMU3I7ixWsXxqo7J9
70768ikSOO/sDeiSz7Nj1B8q9K+KfQwp03nvJHBD4B+DdAznvJyYrZd4XzaJ0uUMNUvrFimzdKfm
Xvk4ZCmA8rhDRiec8Gb9oObtwRkB0O/kgIkftOxohbwbdJDpECuN2JdoC6Br6YAy25FrTOp1nBkj
quogBpjW422i7VPXLa5MTXQXhZPpN0vV9tXRKtVMQSilzBIIznMThS0ZxfOK45a+VU51dSVNEw58
qbemd1CkFDpo2tIUD8ha6sidiKSGgNZ58gaGeyQuos6rtKOmS8yVDaOXc4BSSw98soIJFGC1gWgW
MlFK5AvUdvqjoSCwcTH1kAXWcW7zdbL7YkK2pwJGYolCm4I6pqTZDVaB7ok9yPTCm7u8CUAUgfBz
67QTDGbdvgw1GOQGFLBieI94YJQEMVjvQ2YXAnJNFXl9MPXoSyMYpBZQ1zHPvsFht/rQ1ZWD3+kq
UaJWFVoGnTHBrklBafu6W1rXhpzGao8IkSFuCFNfMhSlx6MaZUmEUKDVur5C+pns7IyJQ9CplZcF
WWvkmT8yzknf0/4qvnuKs9yXqAhSM9RZRIra6BbA79S9FhqqR6EpRASacpI1yq1z5F4NLcqRPppn
OvBVhhntriFZX3zMUlfZEmFBUUN7FgtAfWTfQUVqeS5NhVbK8jwqxFaYBcHSpt7zIlwQCHMb6wv8
nFggLk5UDOWcK59JLEF1oEgyHxwOXeYXjpvflJ4xJLDvNeWbB+EEQSrcGtujh/qseejQkP1ElVBf
jtmQQQadkQnwkeKroHPGdXaL4MfIzuxTGQW4WUKSJYdSfsyzKa7RIdbmg9kw2PJlj4OT6s+GN7RH
04mLVUCOwbjwp0qT37RFeOMVRYEHEbWKYD1+ytWmd3fuAA75svFyZLttq/JUtDucyD5U+divBqFJ
nPu6hnxoUMbLdDlYqZrdZ8YkqNm8uVI4NFBqLnu1gkWt68KZu9UNr8qOmgIlJGhXBQnODpVhkFmp
dw8PuCoxKMdqWgT9otcVqgFu3H1nPpDuuDvRUG706os1oiO3AxXg6ju7bjQUzDKteRRsgtsqndJr
SJYy8ZFfbg95X3v7pQFt6w3eOZjLJnRyXekoNOAzQ8WFg/B2YositqEh+otcldd14TQmkAC9efE5
fNpfjii/Fc/+r1HqJLK9GfX+f4xnzpvxjJHh+GU+iWfrL/wdz7Q/GCrT1GLASt+WrvF/xjPzj3Xo
RAGMogQ/eUG0/B3PHH4J2CmBjkjjOC+/9Hc8s5w/KApwxaId9fvx7LTMWJE/6zTC8FZoMuPYl0nm
T+mca1YC6YMa/jkA2ve2otV3gECgyyl6jUCqnmnj/U+h/u+I+nMEPU2R1xVf/JbQ7nQZuAEiOE2w
FgP6K4oPNtbHSvVU088/JHrVnUnjXvoV/x2m/1oGXwo8rXGjoVu+Sfs9aJ34RcUWkrRl/1HrTOXB
mpX2ncAcvPC91NIfDTk6dB6orWSQlNJ8gGvWNT76muXgi0SV6aFsqHt3Rmd7ePiNQnRh2+vxN/Xl
5dgtWIhdMU00GToU03I0BtIISrBaajfpXCySFhFc9LDshDrtnXFIHvO2QSQV2klSB5o+QFUQ0A4W
35p6Mw8cumVrUI+16HaiI/NdRTsp5WIXuNtYqdAIOkv26PWJjtsfqgDx1dhV40PSoqEQQqRRP0g3
hV0uUdmBi2wLSPilMea6n9lWOVxGo5M/GEU2aj5ORVlGXFE9kiFQduVhcYHpH6EaqzbM/1yDTe/k
eFvOU1eE5ZBjcaOh0XQxN3WKQnQ9trfKHCdIiRXEaG5YGZvB/4KyY5Ve1No7tWjMO8T/bd0vm1Fc
QUNrYIi8mJFxD6O+oRqMwc40Q37d0YDDdNhhbG3q5y1kclDRmddSxdg1hkCZKlI0IkOLwgSjsCBV
U+fMTnvx6t7sNM7Oqny8bjfoE6cbOoFklzt5r++Kpa4k5g6icK6ddhpgVxs1TORY15tQQnO49wY0
sP0YJnRywN7TToLeMNME5dEJkkyVz9kni5bKVwScncxXMYIdj3S3tB/57Mp0r6CLsG8Vtx58dDD0
+wG62PqpGAtXedfhSziN7QUyJm0UjFpUxIESZQISKvriHtLfdULalyJm4jpIVTBNacC1G5pQPnRD
V08+sj1ev6Oj0l7mJTJngUUySY5WxOnnpRLZuRHDWktt3xxQfngK/C9wsE217M2aILFyVgjfsITo
LkBsV1v7iMbTo66W8pjWnnYGJblpPr5cDOsQlh41MXEtNE4/l5Y7vQWISNvFkeF8LYWS7RJANoHl
xagrdGOf3Rdxlodun8aPwjQgHg5F2YQuWd2H2MirnZNbMM8Rn+lh0iV8UDBFY3EotALgcbQ4CTgT
oe5Hl99CpbQ6s8FfkNynr43htUNn+MWAhwnS6RMgcenG1YLBZ1kJN4Pm1aVXZYWcgd9Pg5f7HdDP
uyKF6xmS7ywVjC0IIWGal5zVEjLdxMBoKutdBvAfYfeFgTiJZI+4T1wnTYS2S0faaNUDasOxiRDW
UEe99D2j1d8hJKEmvnTRxghQmSjsM/2F03xl/TzMKnT8GGkNg8Laovjtzqw0sy2sHWKQc4gL5Sex
LM2V0XKhvB2INlY761IusF/c93iZgL62XYWcv6JdNap3Ogqt/Q4I+RL5S+5Am7I6aIkBQjLtndV7
1XODPMcVUusjPFdEqc5p0f96EFbcHgAl6lvmGOrmCoFmjyJ6ElMWjv0SGpn2cWmU9dZ09dKn12n6
neYl+7ef/2VgfLqPKKUB8dumDpcGrbbTfSSrOIdHL5PQHHAaCCTyvmKfybq+NSKlRQIwG/N8Z5Wu
Gwgnd7tgKNgx/jxAUD1kbge3Z0kKZ/ZbyIhOkIP8fWfIKoPBp6lMmXqlyqNr7DL0Fv+iROCY3Cvu
/UBmD21L1TOEBHBN9114jizRa0ijuvnQ7IuOYHXZCiP9iDJagVS6WLIlpF9oqzukFnruUE+B5D4B
mf8AGh9rLWOWLZI4SWSLm2xGAUMDsYKOVxHXFzHyCrFfZln5rqwtaQVcpJhtw99G0qj3JtNP6p5C
++33+0sggosCoBA1OPqqjNU2H1UmQHk8KBGhjmXzc9k78tJE0OY4UTDu1dwU/6P1AA7BiwKYYNEC
+XlCNRENaI2s1Eq09fZOS2sQJUxPgS4rzTCBGNv8VsOYA4Qb7jo1h7aEng8o+tMV50mPIVuKIjTM
qTwueaId5i6ZrxQzHx/ffpkb0snfazFnwFHDBF27TRtLrehETvoRanABrvGnMg60NVCjz/tefqw9
EFwAhqzpOqsixPFxjUBNJRkR5kkHRupn/hqTJzs5OqsPMDcG+TnAfn3rAS4TrMh0nH5CDqiGarOn
z7djTRe7tYb8Gq0BEQgmId9pp8sAw+LuacW0h4u0YUDOWnwt2rQ5oEhcnPkk2mln+K/3BHiCv41G
KbfbZlqhaFY0Qt7IQ8QdInDxudDeu9pMqofHqZX5ETwzBlSoMWPsgeI5At5aUX7GXjCNwEJ6ix1E
M/I2oW4pDkBw1CLvVFRT3KNjCdTVEN8p5FUxO0p7ePul/nLzI7tAix54PwPPtWI63U3R1Cz0q1Jv
lyuzfYS83VxxhtV7lebWb1/9rAVAk+YiNwRZ4mYta+QWRwdb2QkElL7KBh0UXGHKL3OcakwRZfw5
sRf7AtmGZT90uvvVSprlTOL4yv2wVoRsIj4XqePm9CyOOaGjbEe0KWIzhYlvisfeLrPDYi4IX8PJ
rs5h1DcuvS+7g4emTbqOCgFGbe6ITDWaXKnLaFekSW0dZEfrb1eoJrzlyk3Lp8oo5bs4Any9Kyz4
xV5XN2jCAYOClliVk+6P3uDYu7hvEJAZUQbaz71ewN9HMvQpw2mGegEx1qehKu16//YG2eBH//rr
KX3JthmwrKiZ0x0iaG+vN46zs9TcSgMgonhS2Ax+R39Ex7IPclO3Jt8gvxt2pkxxElZVY9Coy0r7
W2fGCthO+nfoinijPpz5814YGZtLAedArif+UYNm9LrBf6qlTaR107YenF2v5Et0ObYtSvZ5HWGf
F43IUtnsxjvkG6x6N6ijcpXzkZAOMlJb2U+Zm6EVhxpV5s8o3F9PGRpJPgDxst1ZuHIXO5RxlDFI
sVK4LWZUUJFprNpnZdIkAVKh4buT+mKVARgybQhVULQFrR6af09G3E7Tru+T5NFWkzoJclbA8SlG
4vEmXWxqA7TT89vILsbHvpP6N7N0ix9eDdbBb0jf+0DWuolwVl0a+r5QvQJOd63kCODElvtu1rzl
AfXj6ZkZeIpLeJxQzgwO4jj+OGRoD5VxSm+6bo2K+wb5oDsTgdY/l8wZ7rusSeygWiz0MjKbqhWK
SPlnWiv299yYumfNqiI1VNUElSMHFPSXhFGQ8OeuIrThLYLgTNSWWL5J6c424hGZoRyQpEGfYerG
+Ez58MqhXeGNfyHmHcDzp9/YXplrtYHsTYFi3o1o9W5XCSQj8qSrLuKJ/OTMnl9vos2mWulpUJ51
g2C7xUqg/IJv1VwquyGy2od2nM0d2jjRPu2L5NKl8/9/ODuP5biVrOs+ESLgzRSmDEVSpCypCUIW
Hgkg4Z/+W1BPVOZnxf379uB2qEMouMTJc/ZeGzUPk4Ydm0750+qdYUcj55aJ99pZs1ZSVmyLBgXN
6VlbxVLj8pdKWOXmcgB6vR4xwUAYhfMIADG90SK6drjto0qBsU39zmeMbr2CDdPBIXdTRaNecwU+
W239WfX18zoBCvZvXOS/uevnVxljPlo3/uFfztZFq1MUaOtc5TTxenro5ugU9HfrNp3BR5bshtg1
EZVhT+U0HsiTIBGognnNnKYCtgVI27H3C/yfd4BOUtgCglIsBDYxmxGNYfOTQvReTsbGrP4QkC5V
knwXKQ/WGrN4rQha4O8SiJEGXVV4ENqU1D7IFLxRANE3+wAmLkkDHXCBErSkT5joqtSNuUXeBKwR
vQCxC21WftIs+kl+Xc7u+ynBSSJa1/wNELx67ssuf5JFxrgkcXNP9/t8LrV904n4uRQj2GZHWddf
FqtkGVh8IR9NYuJ/DKWx5JFWzKkRDhpcbtCQ5SyCKc71xp+HtXzQJpXvl5sV7RBQv9HxNsHygKny
1tW7G6eUgBUgdYpvVKb6DbBUroZwm3p6MqmYfqgtDjTQBJ37YVnqmWmGJMzIB686fFilxpBnNkT7
QRRZD1y7ldm3xjaFxu6zmQh4MezswZknly8BeTGt7zSZ9V7IAbCejbCdaOEZNa8/AXqjF7YMkIoB
RygZhgdAPqDnYlMJ7MEo713RdXxDLEd5yUC8/gJuUjGYQ7n+yAvQvCACmWDNwKL4rY4zcCuwQs2h
iyGPaoWb1gGSgOppSXv7czMI7wmlQftRQrH8spA12vgmUTMAL9OC77r0JtP1J12ZYHQ0SvJ10XQA
nfkIjiKQkIsTnE6LoBuZie5rqnRAJLMe00mAuJv8DwPI1aecTD/CPfJGeTAhp5a4RKiuwkwI5iBV
7hV3tr1AXoLElL+HcQiekHhO7Qi0WiBaKrZWZDJNyfD97ffp8v1F/MekVjO3/bVxXh27UBknzasd
2GB5iq8itv1lEMsjQHc6V9403dj5XFaOSBxZLrArYwRHLXe6PFWpAOiiVHx4q8YOuEnxpxZk3xep
ad2N+vry1PDYUXyY7ECo2s7TLKuxLCyRYY4EO+5+ydyyeHQnRQuwFrZ72m/ejaXp8tQYHNBdRATE
pICC/vTUtBFeikD+ForGAzxddUQPJ/Daqpqi4e27dtkP+TukoDZkhI667VxThdtOKYSVe2Efd9tQ
sfQsmOOucpzyRYucrDc/ryZMqD2hFdM7qlf5PBUwkm+c8pUdjMt4nzKP8ceWYXd6ygZpLsBxRy90
9RnoFqj3aY2mIq2eBnJWiS2olLbYcQpA2EkcW28RMi6aMVwG1PVI2niS0Hye1eVuV2oVQvM4zMpS
f8afRBd5dJywGeN45yXq8pAqc3Fj83PtpImGw/gDGwaBw9mGBDbUZIm55LmadWPap8wJsgC7sQUx
0BUqtVhnv6/GwQs0r89uGBquPNQ805wqx+c3/P06/lO4QsjSOlEIhShEx/yZwVtiU9gPgStwcARD
I5vXG4+au13Esw8ucyd8pIjcyEo9r6N0damyYm3jkKSsIttpwNC+J8UgJ3/o1m45jB6oI2KzSgQP
3uzG2k5L8TI+jx0oRQJGxPSLqkQ4waIP4vvK9koSzqUq3s5Vt0W8VjK+g8WyQiIsJ2ps4jPWLS6v
y39AkmdPAPy4IV+AT1WYuX3yklHZi2gyky4B/Do73U54rf2CMHydEQDMfO0mNZcG9YhnP1RU5LOf
QJb+Krx+GkJWQc+AQ9FDdJwawANAVavk3ejQfYlIBaSL6mVxf6e1xgJ8nPwEVucpVw+L8hfwWk00
4jJaOz9riQEiGjN9+jbVtsuILC77YOL0e04o5ZsHTF98dxxYtLt4nDMjWFGHQmY3AA77c1IQANY2
rhThYCj2oyYtULNrP1oi8jI3xuJlrMXWu9aVTyXAZXC19QwMrWp7nIYkGyvf+Yz00NJTmF4+wDbd
9LsFYSfI384mnatI+99iGi1ypLT8D6UrsY0TRP7kY5arPVR1Arb+uEsWO0EpQfuGpTCmj3afFUo0
zw0g/UlqJlbHtBhmv+rTFNUAdAslyOXUJffNpKrPFUA6UNfxIIE+IvkJYvqCTii6Ii336+jI316m
wUlWkbp8rRmL0KA0l773BSXGHWFPuufj4oEiPq6xzlyuNZr261y200+WH3qqTlFKhAHp3ByNhsKF
XdTSMeej3Oh8fRbmL5aeYdtV1vO0VwVs0/cGWK8tuBN/dRj3DX9LlRF2c8+MZ9WOxFRIOyB6ItZ3
FeibyTc9AS9D7RP6qYwYXSsQesY5W0k7fpsqItb20skK0Hfz4BBwpkD8QjEPfW1MYq4Qn9fSCqBm
m8+j0a3zAUvV/IMctHgOXUWbf6rpbP1MPF4nHxiu94cKzXLu3MIQYp/Bct9QwKrV3pGfR3aajf7j
j7FC1aLrUOX3lo73MbA6u1NCwjHJY6tXc3kddTm/a3hssoc0M/QhILQ6/wr12USKETceznaFpSiz
yT/wvZYE2IMOvK7fLe5irqED9E1DgmOtCVi4UcHF3C1GSCqQynmxKesJphRiDVpbU6yADO1JhsT4
jVboFXX9iV9SCth2aVkGgPhn4wj11szeEWkkATvTnklvbLMu13wseejRdfbvxBFfmE9yrytLl/iP
rKvphVRjvJWdE9FAGw01P0pSifeFkLe+udeWQdS9bKmw0sA7OVv2k9KxyIenD1VSRjGRSwGeO6M5
70UvmN5ZWguN1J6f1WpECWVCx7tRz1ypL1Dhbtwk+pmUGWc/wOlVKL2gs+FKWPWdNQrtIYnXLeUh
/fb2mn/lEm9eIsytVDKbIOX0s07WLWz22XRDr0q33cdYt5GWTckvBUjv3mqIMBkXyLtvH/Xy/ChF
N28rEx4YGs7Z+S3S7VV14etdlWI98G3AHGKtxmdGMR/fPtLlF5wj0fdh44sqnRbm6fkts1GSUEBz
Sl9V8VDY6IaIYO1oSxjFe7BhHvcvtYcX4sBvfE2vnKNBnQTOCzurY59bffKMLKC8U7my9qQ9qoIg
iTU13S8r1/PGe3KlBQcaCCkLBm4KRTpxp2dp1WOiDmbvEVNXJuNrs2RqOIx9skCnt/WQabO53oF+
t9eA9DPJx9tW+zRw10bpAqNJRpJ2U9OUxyKtuxvbjivXgdYmTgRGo7jMz80IjhCsIK4Th+SXTA9e
YRmRuVjd3vTa+j+/NhqmI2B3yGeoFM8f5jS3SDNYzTh0OpDlYDpT6de9Pkb87/5WQXq5SHAwGsWo
t9h4MCg/veaLYRMkRnxlaDDNSvaVq9eHvFwqjV20Ys5B4iriyPyWbNFyNNP3he6AbX376b52bdn0
MEHi/uNG3P78nxKRUUClzY0ah2reVn/ImEi/iX6uQHUzBnx++1hXVgom23iYLbK2eZzPzrejqWfa
sDjDVCzkoqdkzyzwNxU732nmTFYK4WVfrD5ub5TBV45L85jFaevi8S/m6Tk2iWW286K7YeflVIK2
hniftK/2i6wSQeriBIm4JwHuv1/aDYaAfoR5N7bXs93rbMeK3ZJ8zVfS0ty9s/C0UlzVIsKQ29/o
X15ZpThDJFgUqcYmlD49R3yOimx4P6KctnmEpNZFUALlDSPGUv5aSBE4Qoh3TN/2OpIR3r6xVx4i
hJLYPViLucjnY26QyERxmVgSyKBLPtajHI707tUHpZTejUNduZdszvmw4dJlf3E+fC1IwUXUhARH
W3FK3xtmo0Rx6cL/qWgTQ99XCycCmx3/54VB5/Q2kyeaAtgfZ+9Ja9UkuBoMYTVpOH8ctRVfVdfN
j1o8Woe3r+b2OJ5uoU4PdXYrjant80lnIpol7OiDsoKe61soqm68Fpe7Q/gMurk1O2h8UyecPjI0
JwcdTn0REUxdwwN25fuaeda9Uq8o1lCO7d4+r80rcHFimDrZ/7v4kaAYnB6QCKg8J3KwjLyxHVGm
5JWXkRHR5WYTkZvTPMZZN31svdSbdy4mgOeCXuFXRmfdnniuEQa1ogGwrekUpajA8prI9CkWYbOU
+dHSYoazb//iv/3v81sBR0Jl776RO8/ZT2s2lS12P/Qb+kJ7YCSlB81oUn6GIZr27wlP2zyiBMVm
QayZXh/hkk3/DE7VO6HSVUTujVvKxT7ZkhFVRBZgxTAN0fFthfOtKxtGGmSpxR/HykjJtPXKJ8iq
VneH6Gck5gNOY1hVppv5YAQr3bcGdFU3Pv2XL+/mrMCsxVPn8CycPdmaUxnselKA3XP2msxa9TS7
xfc4NvVPb1/NM1v81vXf8Jp8AbB/oEs9r6TyYXEqEgOSyKA9vJsqqe0KA8ZB7+bGI53r9Umo7fRh
YG/0aAoP3LSVxZKNXANTu4B1m+Z1lfh97DCnefu3XS6fNDZRF7JOYw5CvHX6aK6Awokfy9Io1bp6
n63ua2qP+V1b0aFLqAJ2Wh+vx4ycuhuP2BlS6O9FAXm7iR88ij3UjadHdrNxyefGY2Jd9XYVkryq
HUAzrG3oSBgVO8Jzl6NhEke3K4tFdz5Z4KN/6erQeg+4UeYtd3qiXxIvk0mmddU6L65mkAddDXbi
7d++TFfUGuykNqwLxb6KFEU/+7WOliQDoJVIOvQy4NFXcCMIt0xCfAKeEjWxhN5ng7ixDHwDuOEN
GZk4Jh7ZEnq/3/41VxZKfgw9RRTW/Pfv8/ZP7cKHHuqyhrqK21LtuloZf1uGu359+yhXlsmNbYS2
cNtGgnU4PeWWrYbZb/HiRWr1v3mA+52+GorvOAOm3BYc1I264fI92ZRruNTooCG/uUAKVEuji7bL
rEgdFswGeka2r7U67QPa53iniFR7ShEA7a2l6Y6ANQuCUhML15AsnO4jcQfqfQ9sZ59pjLDevhgX
JSvmf5qYCB8ZWpq4FM8uRg6zsO1sKzJn6WbMAUpR+WuN8SRSpdFqezGThBBI0Duf+nq0KkRSNhqV
t3/FxYeEX4EKWHcxZWIoOy8kl6RXSPQb3UiQ0oy+jbElSmkEOSTfsMdfClL8xjx6+6DGlXOHFAlR
BKkC7dRzBU6vJ5MisjyOBmlK2memubbEZdo1PiJjLGjC1cDFd0kZGx/0Ik5/I6KUP3kXph+TjBua
bIbb/lnmtSUE0VA8gspdlz7XupTxd12ojYp+bbUJpejL6Y8zoX5n2S87d5fk8fg8jWb3TCkL/5Ze
5AQcpEK0HNh65e7dbM4rv5yN+Ydl50KN0MBoT+Wolk6wqlOyHkczd/TAJNvS18gfBQ7N70yfqJdH
6650IG/eqGKu3CPceeh+eAu3wvSs2F9MZWwbg5CZzMmbsF6q7n1vG8mOjJ13pOukO3bS3q0H42JF
oJyh54x/Frnc9q05fTwXORMTIhoZtWzcDkQUKsQ4zI5zy6Z7OVLZ6iY8OGwU+Ycv2umBhslumkZb
OTvsiQ8DX9hAIQt0b+adGbVu3Ya5RwTuFpUdJtYwB7TztC9vP5DXrjBlMH193gAWwbOTRQZmtK5j
EiyiqViUsmyJWBCmYCaTLCpssz2gFCbJ7O2jXnwpefMwHKFr3QzszA1Ozxy0/4Awc8ZyVEvjWK9i
DStVyY4Q+csoxZmwXzr5vatBPLx94MvT3bRjKDOYQG6O/bMPJXps8GmFJoHMGd6rziQpKAbSewBD
55jkYkkUdqflyi128cX6zwlvDxQrMv+Bb3h6wt2aV45FfnhUaV3xOHuetx+NQj2OfaW9m8Ds/Xj7
PC+/sdsBqUa4vDZ9n3OVRGcqcU/gl4wyr1CXsMsp+eIqj9tNLEHmaILBws67ygl6zWhlUDr98tiS
SEMpShbQLZ/9peNm+z02nS+V9h4W+LMLIBQnxV6WyEiBZlNnYRd3RhsgMR6S0MiVvPTTtdusjBhE
PAJ2801nXVemHoiqjdsAmqJ8p3ZiLO/clvyZCPuJnIjHQtsVpaNdKj4rp9bsu3Jikg02Mv0NXD63
7xBx5+8n6sZvRN11W42tK5Fnl53qw4vi+0PENFVxIYjmvJfDmr8qAyoMgoSdcQROI+VnQM0LUTem
yo8qh8x+n5Ik94nHxniB3Vrgg53a9IuqFHPjk5I2akwFNGEFc6K2RylKXe4bknJfMFNYj+tULUsI
SyE+eKtqbIH0aDIj3BZGHFptKeZfcUdvkB5DVe51RhLEALckyIAULojk/dR5Mts7ZdZqpMVPqTjE
mbG0R2plouoyOVdHg/3B53rSaPvj71mNA2YBVED4gVt9X4yDc2CYqxJdYFXLn8XrujYy2wyJ3NsP
4fYynWx8uOc2+wEWcHqCaHVOH/omYYg0ZY3AMbyMB9RJTqCa+XqwNuTm24f6X6/27GC09+jPswll
EKaeV1iNMMkh06uoYOfYv4yKWb+W7oYnH+Wmh1MmxfnBRnULpJ+z+ZXyyNA/1hJk7Y7aSP2ZW5Kk
EoRxQg3EOnZ/cCjH0IlUZV3eDXHSfy5opDrHbtMf3pGiNuv3U11XCMa7vBEYfJzxk9d3G9HeXmwz
zNVV5UPZF/XHvIREH2wBBBMEFjanBC1382dP2hNbEaT17hORXRQ6M/yIivDLXMXJqxo4cAYHY84I
SQG7sYq3KvBECshekSXCJxOmtXVvkVDSHtj2eu/numh/lVm9zijuh4KsciSNz9qyqE7oQd9OyHY2
kRgSBK58FKwEauQkqbhnvklSOdsB2d457Uris0FOkQiIY5qtAGi3+FYo/YiqBYIFFqEqHWwyhWzn
QFp3Mu6KmQk0a46VRJvSewxqlIRm0DFnncKlZN8U2hWbxB3wTD5umDacJfDqqT5klZ2AMKl67Vfm
pG31QlS5YYXE4tATpo2sHu3Rhk+1zFZO4ovNDIgA8lT5RTnT6BFsp+RhhDX8derpV/F3EgD2aJrc
3cBEgUNCp2kt8fOStI2GOqlwtAB9Q/+Kxt4cGd0Y2W/Io637cS7ift6npF3ayHimuCdCsTOxTTH+
orqpSJjx0QSQOJTi3QZ2jHhrSwR3tN4pD2BjCQkakn4qP/G4y+J9R9Dgc5k4Gub3GFtD2Ofeyrxw
bswdPPJpDL08zbMnASnmw2wkmbnvh7qxQluxl9CZOsJyqAvlRIqkOXYBeFQbY15pm9nes5R89Rd1
kflexhUe7JhAKspJ/mPtO4+p1N5ripX4eK0iXLkCNfuH8SMpQbguW/AEpWV9JyvPmx/wfTLtjFNj
fUxi/OeyVdWXDlGHDEziwAH0QLh4IamBeGZrlvJToc34iLRi4EfJmLFTgMVteUTukvywcU0kvjfE
Fa0ZOSa/EoctHVMr5Fi+wDXl+fiRe/Est1ioZ2OwVxoS+ej+QLpaGPh6puVlAMD56e314cr3d3Oz
4GVBJkPdrZ8uRUbb8XXQ5RDRe5w+TB7UbfImf7n4657pMtzSHF2pb7Ym3zYvZOzDB/j0cInV1kuZ
gqeuY9DiPhMPNngzyhQ6FEDAEdm0O+yd5bFGwXYDDXalxKGP46GQdLYWp7H9tn82tIvezyrPTQXU
v05pgaVrsGkEDnWro0TqZ/2lzI31RkF35fpuAQb4sri8vF1nB7Va9iZjO4tIcSt0eKKxogJF5c41
Z/1L2k7W/u37eeUkOR61ORYLPjHe2f0cBnMealLnoposbRhEBvsgexlwR8n+6MSjTduvuiXDuVZU
QWaFycgDRBl3LspX4CaoRk8PSSEt2onIm3UHmAXQYGktTQp6QZFodyLpWSKRlvflZ5APdXtACGa/
yMKcbgGsr112tg/kVGwCXLb6p/daqpVdL3bWRY7ipV/aVSL/SBc0Wplco07Mt16jK1/0rcOEJZxJ
JkO0s+e6kGOt5I45RHoj8g9tizgCJY53j/wmu3GHLxu9f2lz9GbAIm6kq+3c/3mOsyZ1JmPYmHqN
ahxQKJTHhv9vGFPbRzQF+oicdWXX97nGqAI8tFFqKCqlNQVsU6F8iNpedq0N+MJvHbcJ7aWrdqre
w0d5+2G8spGzNt0zEiPdYUTz11jxz08d4Ahb1gDZMJWy/IJrLnlPCNDyyWyy1SFhLJleWyzjUaoY
1kc0Y/2hGOL+1gW7bC0AdKStsGmiN4L22cMQb1Od2gFcSQ+vKPZmbyfVpypBohCViD4l4UJL+zHV
5GCHY5aTfK41RfV5MFbta8K3dDNFV83jhGb7Z95k6t2aY0lD4l+WLaInMX5FIh1/NGNtvbE6X3mb
EbCzPUDITlvovDsmMgKLbQm8Vniz825A2hr1Yza+U5u6iXLE/HfrWlQ3SsZtj3lWMNI9ZovE5tu6
RCgqCXpJt2fO5bg5sGWr7r6IJjFuNuK2d+LiOPT/2eWTvcKW//Q5RkOR26yb6LwAmS+7fHbr107q
yaMrJxPhrbN0B8I0+l2Zmm2z26r2+1iL6/+Pa8ygGE0Tiya03u3V/ucZ9Sr2vZbbDBGzCMAqk6q9
69a0C2lb5ve1XH9pfLpvbAAulyd2fAzc6XfRUqHnd3pMBBuel5QcM6vz8lgOJDlmWJPdgC1gGpVp
bPwPMgIe5P8BYNr+xtOLzWaXfTYWYXqLAMFOj5iXtj1U6jpAVdDMKhzLmdDYhv4XRFONVpWWuujf
1kJHsCd6K6NPBtvisaUT/U0pBu33f14Z8GewEd80o4xwz1cGegtV3C7jFBEQmWIgY40wpr46KJOL
WkvCBahrdXzIC6LPACNkfoaI9vXtH3FpasdjSjGiUg8wevPOZS4e2By5ECMZDZohtahZkfwHelV7
7xbPLqZg7RR+iIurmYa02XXP7boslS8W13x2EkByvt4nW9px13WvsT23ZZRrjQL6hm7G66LEuODt
seiOBb6T6TB2RVawA071W9yOyzkHiywjP0ir2+AAL9Xp7R1pT2TJ2E4RVqMKBcAqD5XL4I4Ky+Da
LSAfUcPnx4JeZiSUTCO2WUGd7+OUogOqws9o+kwcHdlUd1mqNpTwRnN4+3pfrsM2OohtOrmtK39B
ZP++aU0/A/CohjmyqN73eHxxxNcCnRsi2g94B+ansR7UY4UYMtLHvLvxol89PA1DVXfo6mn22UtH
9yyf0YctIBPGfvYBZHezvziDE99XDqGYRMAx9kbxWlrgkkiL7TYxaqzcKEP/DmLPXkXqUIaBxPox
8Dif8gB/YgoFPjviM9S4D7Je8/Q+04aBuPhZ4kJKmKA94a9AKKSkqfJo6dMoKF0q744Izro42Klh
wF8Q07D4helCgSi1FeJKu7SEfI8ae13fU2qP6CzGr/rRiBEn4DtMjfZIhJDyvTZyGt212lKTzrVZ
Ib6NBe1ujSiDQ0tSk+mXIzx6fR7Q/C4d6fXJVA6WT/IJDsY8aZODvpJVuasnGBsQWJL82JWEfkc8
PLEHoAwsxd3Y2/K728/Nly4ezQ+JnRbF5yk2i2PLBqH17YXC2NVLs9kvsPHvndEmIZBut3pDRXdZ
nqG9waGksvlAQHFeMo1LT19rNHnR7SW7r002b6WAwajqot69/ZD/3TGd3V5q4Y2BiFaEr8r2ef3n
ezJ5q6eOajxFtLhbM/VVjc1o2KDiIqwhN3VYYPQ8qkdNSVq25QlgHeyO8+r81GTXqkdT63v9q1or
6ue3f9mVjw4jRZxalI30s897y0gVh1ZKHeD/mimvVhrXITaF9sc0yq+AYdbw7cNdqVMdRm3EelB4
Uf2di59GYhyHvt4aT4mBGdlH/VXVfkpAONvsZCyHnVOqwriL+564ao/PQReOFdi63TzJsYqQohG8
UI0jqlgx2XjSm9XAO1Z0cnwa4zl+GpF/mzd+9uWjQnQSdgJeTJQOLFant8/xssnGqFkwe4gZIuX9
MO6GboIZL6Ek/PeDcSjWJJD9zFnPJyrkO8tk0VewQFrr3BWzsENHZe6VMGu7cajL1Y9PHDXwtvzR
CjwP16nL2KLpWK/RqtZTpLuN+K7Qmd6ZpZ2Q8+xU4jBRZe74ZCYBSB55a7RxWcvSvEdCtQ3j2SS5
25//8144MXj4ASJUZFFY/0Ra4nyaPQGvowOGHG0R1iMacEs4N746f1/ukxfS2ESAOpFRZKluIPLT
A6eAjca4hYTRzbjM7oZEVR87uRbFA5RGtdmlnWzyvY4hbfKziRLIr8c6/2RpBaYdtZzc38x806em
oI7bWQWzYr7vyDOJeG/a2S+7LRZ7dMgV8M14W8Q5z57m9Ux90BdL3/jLWllxMAgTmbodD9ZPU+nd
F9EtyRA2KPLQflbq/KGbM3UOXHto0O3w237b9PJHf45JWvBpVybFUUonvbEsXNwXLg9XhoE47mvH
O3/gEUSmpp5ka7T14gqINlVz7HqpiQgaoOb4/aQkO3dUbpp0t23X+X1Bn62Tvcq+jC/i6X1Zaitm
t2ySZadPaX03x3rHlwTrihLSz05eRYwf0MeCQ294MF3l5e316eJF57xRnCGUZJAKE3v783+exyLB
A54Wks1eWfKNc60ZZ2Cu7VaX9tPbh7p49xjuIMnUTZ5CzHYXPlkzQaJESFEEMbPaLfkwfUk7BtN+
Ys9TlHaTfb+Y7AYWDyeJl8bJ/u3j/6UznV1qlLCQ6vRtN3mBjs8ylY1U0mgRdCIcnhg0BJ1yr2zv
RazVLqjGWqlDBf74ocxwioHKr+maQpzJ0wMLvEUHt1LV+Qg5Hg8b9O4lpNuu51E6m/How3QzPxK4
GrvhAmqtBzeTx7vK0QRJt6rYiMti0ptg7UXzfp358GFXxZeUM6+GJZe4CUKMrpI3Hu2/w7zz8zaR
e6ibIlan6Xd6j61Ja4whtrTIc4epuVMVTfs1G07aPQ5pwoRh7gZtCFodS0Yw1t6qP/RQy6fAU525
ibp2cfaV7Mxk83Sth5mSMA66uqSb9PYNuvIObkrWLVjJc1ykXKe/c2iyOl6MrWsvU5z5WP3XDUjj
umT46a097RM8bKnv6muc3fguXNYrvPbE8qIYpmQh1PWsY4hnq2Z57HUQMTWZcsuSuZ/HsV/+cGlY
joqMxrNr0jFHq+M8EuOsNVhY0uTVxIUU4LnNbrwtl10jfhG6SbrEUAh5Ws8WBtdIRO6qPK0GU70P
oh6X48oSrYdOTWgoezVx1/OVDruqVz4IFO0f2ly1bywP154djPS8NmybWaPONb96GU+kMo1AFByt
Q3A4CrwJjteXzIQBQzQhc+34Z+PA/QhMq1gPY92RRJj2qEJ9Ffuf8JU47Z9Y12AwGC0u7gAHeff0
9qNzUdUZbKkAW5IxR9bQRUddH+zMrYRjRqTlmI8CW0zAa6t9GNq1/lySuf3jPx8PlOGGu6c6orA7
e6Vwwg9oLHF3uq0Z10FiyvhdrijFq5OM6UKcAF2lG2/H5YdiS+Sig8jNMJA/nD+hwspS4mbMiLc1
DqT0QBmoVdF1oH5xTOT5wmQwj9edi7tgvdGqufI08nWCvEUvGTeifT6gx6E84yZ3zWhMaeh2iacz
PFKbTnsn8zSLI4It6oPq4pnWJpC+eTao6TsTCeuNB/LKjWbTzCXYZtJsHber9M/3qoV3a7mZZUbN
gHGyxxb/XbKHLqkuALcEc4Zu7sabePmJxBq/cbuxauBKv6jgV28yzDaxopmx1x0GpaEORdkp7zpi
hIsbG6cr50eP09pQkJsY4q/39Z/zK4TOuH6uOJg70JiWJCeNZZk8LFn1C5lIc0PSf364LQBna8Dx
RSa9Cj3I6eX0HMS4Q9Ymu9wyQEwCfrzDLbLIUJti6y5F63brMT5f5P8eEVAdfoWt3oCofnIDAZ6w
lFuqEvH9sO/xy/ewCVrxrMJ6waiui0C6w01N6d916t9v4HZYYt40RjNwGxGjnx521OvYmfPEjcBl
6o9Usl6zK+d2ftEGpHF+Q+b0L3DgZBi2jaA5A89Pu/MYDve+jGNvM8po6hMEEGBwoy0NlVG3KI41
gfbPwHdntvG1YYHHJv3vQ5sa9Ucb1QAcTrUYfk0AD6ddLJLNT1qn8nufqcPXau6h5KrWajtU3PYA
gU6Rahks0J33maAEf8S+3f5eq9Kp/WRInd2E8oRYm3we7vS6dcBWEJv0Lc2QGTA+bcbFV6VwmsBb
Jpr0QumoYVyZ5L6rNOuITAQyPv8ux+8JYv9uG6MnY7iVPfxVSOJ/85QMcVCtFNhBJhjILwILWpCa
vfhdpB1alpzVvPW7eJlz1Ko5J951SmyGqJeUJ4/Rb0oAkJPfL9aYrAExVf3RU7nXUV6YXsVg3Mh/
skmAnlHzoEE/9+zuc0wJKqK41aGTataikcQ3kQLoT4NRPChqhu0DE3CKo7ckasXPZIXGUGqgyGH5
KHJ9hPuTr8GgtyM7BdMgUDihVXnf8WfPcZWAjvX0UUmCGTo7qPEqaxe2Wa0BEgbJwm4Uzfjbli5V
IcBE+SKYyP7uRwFrkF2vi8qtT8SLXgEP9w3S3t9hsYzLEAXLBNcl19I/rJxaHeYEHunBMMxksBVG
DEZuqcy1gVUSw0HKkRd8dQZVSw55reaHWHcmQJga2jafkqdBV9qpG3TOBOYaWALgd0DJMS8+E9r0
jtFIYnA0ZoY+oBfF+sKX2UACMjKcwfg717CJE2+lx6APfXI0Bs1OYG4pHUla9Tg7AXDd5deqxrjU
J9ztpl9XWfkwoOUGHjasf3JSg3+RleeWAfYKWm7Y6+eQlXFM7+niFt9yq+DNJUvdXoKhSDPb16Fm
/BQLbAX8C6Nz3wov/8GFw4RsKUAQbnwEr6xXzv+GMtsci5nm6Wu8mrREFovgg1lZRZglHg5CKWTo
gsG8l8Uy3pgYmPx9Z8sGwxf2hZBmqQ7PVytrEcJQSqJEYyS4MPRNa7xvRB3fsMlcWRQZggDw3BJ/
6Q+clRMunenV3qIfDWamWqQkRfye+arTBrYz9vsxL/JPnWbfmlhfuZqYh6mcKLdRHJ8X3OAzFBrF
GWHGY1JHarJqByA3Btl5vXwkety6dfsudH4sw4C7HaIvOCoJx9v1/ufz5hjtUiemEaOw0x35Y1jn
/pXtftNBF1By753bJumhMmqwXx1285d+jHGkqhqsgKBv47j84kgbTVVFp/ixqPG4HSxQCy3ZExiz
iQCWCvEJvaZ91rxK7wPJ8OJnxnhX7OpmRmWxMPCEnZNhGfbjDMiov9SF8U6JK3UkYmJd3tOMMjvf
i3Wj3rmLpd6nRTNuRIbS7H0F84iC9KqqN4E+T0RVxaNARoVghndd1ezAyEvj86Do7BXSsh++2sWC
NEi0iqOEDC4aphPq2PfMHJJCB1KbmG2QL03zcbCWddjPkIrWHY5fDVzH0mg/GuFA9JtLnSU5X3IH
lVNsZDIEvKdNlH21w7qTgIvoiMOA8iBTuwZ6qtePsZbMxNDUTLI2AB8B8vRZp2XP2/l/nJ1Xb9tI
uPc/EQH2cktKlO3YTnH6DZGyYR32/unPb3xe4I0oQUQOFotcLDajGU55yr94v1uPMqy/WpRcgzX2
8l+LWpRPRe2pw93tWFm/3N2EjhDUuQJJQwnQNx+9seZIU8c8XI1Et4KlnJAhx1YJ1W8LQYTCKvSg
RWw7HJJKu+/WQQm8IY+moKhcVCftdsJGAzO0/r+yNDCYWOoJqWsyLtGny4uBufAbz20XEnC1wvJ5
WV3fa2MjQOymDFrbnJ9RmiuXA9LWf2bcQsLb87toOyEpSifH5TqCv0WEvtnUg+yqZpMnQuREZiB9
i40Y9JqMlHPSUa89OmMRFQ6qcvUfdY7nhDh9Eb8gqMXOwewm8S5t8P85LHXl3tW1BNEnrrsifDSW
+p6T8JWPYQMFARAiaQ0X0Bgr70RqRHUdgkrQgqqBTYAlzfRjKNIvY2J+ZZLqx9sL9MpCPb9FCS2R
oEOzhUI4FaDzDVC5CKoMdVuHqk0JyzeqqLqb80atjnXWUTxsE80uA51amDiaSjmCmFXEvBxKve+s
oFv0pvURKi8+goAr0UKcejt6azejfZqimZCN452BXHYK91MKm0Ec7FlraoowNrAGF9DsuxQyS/+E
X+pKb3Wu2kOHRNP6YagSI32rJ8YCI9HEt2XGuel9LhTcW3gnc0SazPi/eIitLxYgwhT6sDcvD7le
1D9WeuQIP8c9XUPH7Wk2qWNSaAc3i8vnVJn7n2IdYzY1rFWERjKt/whD1ixOJUv8wS74RqGn5ZjU
Ug9zvpCATOODBRQT1RwwId+GaaSs72RT+uSZ4K8JEUT5p00SleYWjyQS3PFSHrqG803rNlJOSNyp
CkjWNckOlVMMFSqXQA4DIovxaz1r83RIjHxo77XWHhKoOwWiM3HjFZ/6FQ2f0wTctfF7jbvwsLMD
+MDnGwAuF+J/NsapPDTbZztBqN5eR7cITXt0TlNvIH3Sl4e6sWhnOK140ztJv3MsX2Eh54Oy62gs
gK6h7UWueL7rWrEabj96WWhkepIc8lg3yDJUs/MjuwFCOc6N46+oct1ZC0fY12bb+oS104p1XWLP
BrrTjf69L3B2eByNVhfPs/wEQLcI9cnKcL95gjOaI1CtCuIdY0HU2NdzIaaQaxRLGluNyuqtN8b9
E54Iy3QoaAJ5aKHbCtXdWHH+69tCeSe81v5t2AJlytvLfvm+oymK3A6xCwUcd1vUwsXRcEpzyUNr
rsqHZUXwLYspaZeq7Z2oNMY7mbI8x5sVp1oFgAQuA/SJbaFxnIp2HGspsCWSREPnSCu7J68o1tPt
eW0zci5cohVq5gxGTWqrVm1p8bSWPA3hiJ7SU+a0Fbqibfd2afVlZ+deGYoOtSFhI/SLIJWebyIA
rtQLrbkIO6CcJyQXwcJ3tvuOopCyQz555aZulo8jIqtKNCFoim+iQNywIK+6aRr2orVEqJCOj74C
TPMuBgfgPU/j7P4XaV10P1jD8nseeLCHoQeY72aDTWJXoHwaZKq1qD7+r9mdV9tN8Rxl7oqdkNUb
77y8GIiVBuBxBzZOmzz0fdMiWqBo8T1n0/oz6t4A1U8b0AiixjR8bixT8mHFSsNnoUfdB6rVtZ8W
fJBt2GAUZh+jzt51xrjcujbn6LVRC4STpuD5ujdKBQi37lkFVZnLYJy8wXuJHEV5oxQtSbnijtMe
S/lC/5rCoexBviraACDZgqBSUWhqN2HUlSm55/ldb+mnLuusN2JQ1AdI1NadwM3OR3ds+M9UYlyy
WjdtA88orTsPDwffQvrzqcWbe0B+V8qIe6IALq2pQ+nrnRHvhFaXjzk3KkIBgDzBUBDEn68S9xbB
FLA8CQtTQ7RVgS114B+tXs+DFmXNUzGb7c4pvzwSHmIS3CxkLPyzBddGtZsLnpg2hLHR4vSVW9an
0imAidXUAG+fdBkanh8JqJfQk4CHuVziWwlDE3YhukJdFa5r7R07mFleVYSQ/K3juAjvuUJSL4C0
oX67Pe7FHOkOMzOUfCyNFGgrAbFgu5XXaDiF7eJ+ouaA46dr5ma4jEbz4fZQFzudoegDY4yJdjkX
7+bUKxhgZjTh6nBNlvw/Q3TmiQKT+AkggIqNE687Ke1FKReoF8JzNMF01C08ArPzTWNyRbvYD9dh
j0boSxKJzsKWBOpg3TXTSVga1Isk6fnvPCAP9ETLEHU1d+e2u/YzLOJPPDQAnxFAb7o9ohhrRAyS
NoTloPzKtNENAGLYx8WCCkbdbDLfmFWmGHAN3cIfVCBSi1vWO/f75erTiiQgAQ+IRzwl5fPFWOhG
qau1DqFaaMvT0HrrgcVz77UinlR+BVZWO4/yxZZmO5O7S6UHXkg29/mI2gh/JkpT5PfwbrordIqd
0Gqyk4jn9cnyBAYrA0rX9A+LnSrD5aZG3IhOL/AfYnAgyecjj4NhtitSWmFqD7kGl04fHiqL4JaA
KIt2pnlxNTFNqRbP2WHDUeo9H4wzqywwjbvQ7QzjB8AD7a7r1AorJX06eHA372dI1DuDXp0h6E60
8EDdEPmdD9qOBj18DLJClwTqoOrw9pva0++KOu//9RZkfjxPHo0cSo6Ad8+HKnPUIWPd60JDTWx/
GMYfaPONX8zOif+xt+XQ7EFeTkpaY8THrXs+EuSUQtSYgIZ1ojgPyzT3mJ2rP5MscXuQeyQety+k
yw0KYEm+gty49NO2/sAwiRXYnj09HWUqfjlRngTOGrm271o0p319FkYLh61FVX6x3Jfbg1+eRyi/
UORUgiApbLeJt5IMI1BQiISsWuGeEo4915LuPTqqiB4hT/4fhuPUa5BuJRpsi4qhXoHXliaKcO1W
88lcu8WfGxprVuzk3yZkCI63p3d5Kqja8RkBxr2GsJtdIyO8MaltptfBvrEHe35QyyE6NMNQ+1qn
KW/K2djDV10blERIoltAKUA4Ot9AgvBjBorIuzksdriUnntC6mY+enQkws6sike7HuOdmV4eRQM3
IiQzHKDtgHE3R7F2Fs+tza4AK6Tnb5XaRT6EbXXwaKfs3OHX5oe8CameTQENlN35/OLW0Sey5SKc
Zm18LHOysKgQ6Kwmwv2JptIEpHJXXPkCMQCWD4wC2SwtYNr0WyQX2CBnVXDwDe14qt7HUk/7tAr6
IUCj9Ht0AvFUQMuUVga6Y09pkQ1+LTzrp4vVUbCiY/7j9ta6PLbg2iixSGU56ATG5nYH3hWXA6qg
oSfU6l25QE4dDDIBgO5IVrldcnQ6Qzl4Vev+86dm4ZHA1KAvsLG9zaZOSFHcBTuQUK3z/PPYUUex
9Gq4T1N3zzXogmPleJB44GWQIVFAZl+df2urx56PtNLBa8rx7kiDnGe6SOs7KeJ9V4yW0fpZNbjh
lBnwRawIxlOuFZ+LUt2D1VzcVPwS9gAu05S18DXfXMuIBTm1sEYH3DjwoEqfP9J4T98vXYyHlcBK
/R8/L57WmHxxWUmPL6A35xPHxtnAH9eesYabmw8ARx4rD7yB0jX1G1QLondmNbQ/B0dX7m4PfDlP
kMYUUnTSMPq11uYgs9h4JWWrGjZDZdHtJ/8xkXl+6+Txj7zU9wCz14bTAFUQqLgUbrYN8BQVWL3K
ai3s0ZrzK1jJJyw6aFBNlFbHoVZ+3Z7elR1FmsnagsenyWNvc6jUK9XFVlYtVCnDvDO9KXs7xHZ6
qhKiYH8pxsaPPJv0OMvF18wqVcLU1DmuZrF8uf1TXpVtzrIduh4myAZgJTL12F7UleBn0kJd4foI
dXkbZ23X+ePMK0HzY4zjuwr8av9OrTPtK7QRsHLeZCXTgeyrN5FtLt0Qz6alfqRR2BMzF8b6WXe4
Co5NZGjYPjfqZAX4yTQAshcYOX5XNnYflCj5ClSiI0yoyhgu179GFLKbAzACcqAsBG/FNdGM6Qur
m7SwAnm+AK5ynE94UlbvUtORYQbW1SmyXIfCnveAK/I++HtJsRyBpU6kTe8O+MyWktiDJRhwsMJC
ecIjOa5c+yGrx2oHRrF9geQoUnKOrwda6uLDzSgZmG2irkGp6euvzEm/l7NdPPeppzzRGaKNm7R7
WkEXD9D/DkrPAZoUPN6t1v3kmpATRnMNYqL5hqbhaIAWdZvDbMb6R61Fbq2oIUcGYNfSl6r3XH/F
t/oZ29721KZjs3NRXF0EQijib95gZKXObyhztlGv8lIVBEXJveu8WuOyXgsIChcZCjEapwZ4y87m
eq0qbj4xtXLk4IlZyWjtTXhjiailI9uvgYK9pB8ZApv5Nvc+lmYV/84awBxZjRhCN6rzCRZwSRm+
ie8LnSwTkaLlGVBaE3oRuGLTwZ8btUXAY6Ivvs4xZhtx4SY77+WFEC5fDlAfzAiuaZ7rrYNYVnUz
avDACluzdx5tgzZ5jJwfMmtKDP3Ebh2YGYWnIuOQTGFr5vYBZ1fn6OiZ8hGQJwFOn+2VHy+YCvJX
SegjSD+uIC7E8++nKajDlbEu0Yz99F0vuhG/lmX0Pk84vz9UaaSoBwRbtfiQKAMVRRMlGMUXtTrc
z1RD6X+SrmPBpCrqWwVFws+1nRrvqBCmo19aAEHC29flNsKUv5ejTa5HEk0Ev/nuI3zbsh/zBaRf
2r1DGDx9GHBSOQy2vRfMXhQrXseCq4VKgOQpvH7Rv/rWU2ETtRWARtI8dT7z8ivvFQVYFmbzw88m
Vk0f0FbG9q7T46I4XbgOdh38+3xJNyWASYYcW0qNHXdcXD2avZWx/k7KBHhLpHkftb4zd73eZPCy
OVMywKL2JZ8i6ALne6EldYYIzbVprAP9tW5JAoW6wh34BIy7cDPCX6HKnXtOm34SQIL9fJ6Xxq+N
aHp/e9rbgICll5JokikHAu8iIMDVXnCQmzUQdGKCNuvXQ5yZ5YOqdgsCmKuxk028Ms+2c0fPnKhA
gyYBXuF87gp6YxHjrVhoRM29PoH4fraquaPhBjt08N0uAnpYKB2x/lAOmR3EgOt/DBbcQt+U9oDH
3MhaNEkiZfk5ZgrSKeWQoEbqGKtymrlpMBlrzfY7Ntjm+7iYBfslrvt7y+6taedWvrZ8gAnZt1Qy
uZY35cV46TwL0SBqep0oaDznyts4FgoXTieZrpH5fPtzXXkFKEmDZIHgSDC1DRdR9c/irKqWwI6a
OdCKJD8qs4ORRtMIRM2Vb0OcZTtzvLgJKMAQmdqgCwjEkRU6/2LNGgMWQ9EHa0HTfTOuAlqgm8eI
z+h7xqwX05NDyaqwRZuG1G8TDTfxOq2R4jKU3imPWHtMp7QsF9hslo0eW2Uf16rrd9b06vzIqwCD
89BBHjqfX4R9tGnkeKbRSW5+ACFJDl2roqcrJdFvf76LeIn5oaknIaig8PmM50O1Gdt/Rkjr4FR2
9TWDcBLYKUi5vUf76jgmG0WWeaTU5/k4NQZAqO1C6BRRtD5QDaHw4rGwh3xNo49GlJcB4ij1d3sU
49tEW4Cz4aIWlLZANiXqHesXEbEZ5gi27KzAxYHBih2qFDhrSgm80pswptWbSY9wtKF8aHgv5H/z
ETLOAv9z8U4jokg79fgrHxd0sWtjGWTSaNwyj0Y8muwUK9FDUzlOCBQCIAg2PUG8ensf99rU2LSv
0+OIbm/1PM0WUAucExy5gcpnADm7OKmDvuqKU71oys5SXpsaqbqUBIHfDvT+/CNDJssLC2bFYaAx
+ZIIzO1Kp27eDI67V/mV19jZpc1XQ3uFOcEAoCm8ycZdOvaquYIJRPRmSQ9T1ghkymfjJ4fFeOzw
aXlG8GpUwkaxsqOa9/3h9sGRB3/7A5gmVx7cQtA1m4uh6tXIiUqM0W2nmZ/AXylvy1Y0d9LD83ld
5vRhQgEuoSE4i/D20JeRG5OnAqPJihTHaasnRFpb9ZoNk3XK+qo62uaQjScYJXhnE3RHd41K2vVA
UYLWboL8k3OKTDHhugwm1/yTr2UTOhoy/U/NWpifmoXarN+tyPTHqDMieQopaOfGvnKNnv3izeeK
RanELWn+AduZ7sWxl/Ee9lsGF9YEsYMo9ctoEpXfXqdrg9Jp4qCRLbAp5fH4K4iznWzOSICrw+hF
6Z+lbZHk0nJUeEQ3vQV3N4QxEIbj7UEv0zQ+DtuSxjKXKkSezX2CxANVQUVUh6TRvORb6qHdSmgQ
R+VpXTXIlVEG6PJQt6N5XyRd/r1brT49wnyf53drG6GG5UJXe7n9s65tV9aA8IY0n5O5+QBVkYE4
TYhpxkk4IaZ+89EdkSPUc0N/n2OKDnS9MUXo1sWeFe+1Wwh4BOEBLn+81purX8tSldpJUeMYZvTo
G6oIzrD61meX+jd+sM2Pf56qNFHno7uIrFygRRoMvooEWPShyxv90LlmhqZwFQVYc6pHMSe/K9XI
vqLWuOcjcGWi9DEQ/KHsICVHNtcfcjtpZlGMPYgY/z3N7MX9UOTDQVcU8xRru1H7lTfV5vmWMQIU
If4539+TYzZRFcUs7GTneji4VpncI72yK6Miv9DmrkM6gohL9kyBHWwGqlGKidyJXmxkSHzZumT2
aRyi7nFquwkJm1k5NUqdB1FCG9WfyqF/sucBFYAyFrZPZSLxJ03P3t/+zleON2gImRLyB3t6k7Nk
i4e83qAhewgN4HnQ+zxQAE7clW3UfQBdZzy2WfXp9pjXlpwQAFKZbK7wxm2WfM0LvVRTUoMJv5oi
LuwnR0manV75xUYCEIQbBV1G6pMMshklzajJKTRbWOkyDcBH4gYbVRBW50F9GMAN7bxl18bjVpBy
/ZotvRTOZ+XUeqero+MGFf7psvTonWhQ2k+qWzZBk067CGH5ac42FBOU/D32FKBUkEfnA670DBx9
1hlQV+DaKEXi/ALxMcfHDu/X9FAj1vAWNBI2pdZao7qsxyh4JfAkdKS50w76MCCQU1bprXFUMJMN
7II7JrTSISnD2XPTxW8MJKj9pVYT0HyTOp7wMe08X4mdek/94mInMh1yEcQ64Cho5rZWb6CeX5a1
cAPXUiCl6cBWkdGBingsl1o/aYhQhob1z6p3yEcZxB/UB2gAcV1t7huVTteC7KUb8IKjaNTMNr5j
fWmsB+Bh3mHuFo+KV73nXX5xBuSwyN5ZBAOA7LfXjlhUhL8thjWl0didmzmYT+A/H+8pYl8bCMUO
Cn04gPGobl7SWiGTbhThQVIGHG729vShqizx+faRvrb56bBIQ2fuNxb0fC9OdmWoxbKAvted/oM2
YZtWDUWFGkSq3vcN8lS3x7sIkumaSQ4+G59eEl3M8/HaZBjhhwlYV2VO3W8ou+qxR7JY8yu9an/e
HuzKzuQSYe1ed6e3ldqY4OikWc7jZ4EjfNKM5c9qTJlv1vlw75WFeCzYvDux3pUFlQrmmlSfo8C4
rf4vaJiRaVheULkjlLa5sUEnzlzOOGv+XEd9F49/5TbhnZd9WdoOkrd5vqKzlddrRfE1WNF4AiIu
BM4VZMrNIEh9cqTr40JJjn1LYX5unQYS7+qd7Kkd71Ar3FP8uDp9oiz5c7i9t5gUJIaiatCTSIIo
hpMYiawmWWAVifOVwDoNb3/hi8CO7SRjKxe6hQ6hU263v4JcB9OOYk24SpUysvQHgl7nOfem8TGD
1ftzNVf1rukMF58RbTB2xr62u6BAmpjByjBkG1Sa3DL96EBcySJsjS10kx+bFJ5cKdruZRDZ9AHz
39n0b8/4tS22eT248SAWEGeBalM3915HJR9fsyIKyja2ljeoxuTDN4D0CGMPlTJ3VQC7dUFWwPWK
9y6ufmMwjVr/S1k7jHI7U3FmaH+QKE+uI60T9TlyP0SRPrVBSiqCV0tC29n3+rhvAmxUPHFgbWHh
NdGc6D9XoSYfsxErCsp8NiLR5mgjiWsi3HOs7Qq1XgRvvfJNrsxtAUEzTpT7uFVa4w2yZONdmarV
5LedEJ/syEK1ezHcqNhpUF1mIbI3LxskQDLwc30Fy/+1LRY1Srsqm9GVahcbeQ0EFf/YUSUeGpC1
h05fxXd0aFDdGrz6Xluzzs9qb3opFFokfhEv9Z7Lx5VjQS8fRjUxBgIkF8ibwUUBpJv1II3K4cva
TLZ8HLPxTYb4sJRBjuOdQstFiYBS0//DFBMiwj0+PxlNWTfV5GVEDHNnBsNKVxU4t3ZaBMBHf1R6
Sr5Z3cCiJBJpKbalMF9vb9UrkyYVIDolasapeWtuDppAoZDX6sG0TA7km77scK0tVO+IlPTwrKAB
Iv61doitJNNF7U12CYEsnM+6wjeF9m5tBFVWrY+T2Qgf34oCVuew3v/r7ICtU/dlEJzaLlwM9EQf
yDhoOBbZRL6jlkvoDNnPzM3So65l/6pRxYUKQZ67Do9Ok0B1c83byqQaKf8GgDgRYpjH5FS7RfV5
0ag+357Z5RtNOkWA+r9QVZwFzxdxGfU2rmpbx3TG8XJ/rtLh5zCUthPSLoLSc3u0y43KaOig0Ijj
uaCzvBnNWVJtEolB+Ji7b9wcw2EfntKS+jmyrKc1Tbzu0OcKNF4tr6ufejEpe6/WZawlYeVIndN9
wa9zm9h4rekMsTmBvq1b9c1arMYLu2bYmenleQDxjBQdKGD4FdarN9pft9JkYT9aF1D1srlCPspe
IuOQG1CMS2pAn1aPW/f20l6gPeSmkZoHhmwYQlGRv+ivEdW2QdYqFZB7as+tQm3Wh2M/dO6DhUL7
O3AEMKgKOxdBI8bmS0TbASmEMvoWF43+7vZvubapIAyiqkLnjKRus3+7pR+beYKD1dsJToqVSO7S
3lZP0ithZ52vDKWh8USmbkPAItw8n/W8GIbiQBEJokwr3pqZ+0KKHD128fzx9pwuW9vwELjSqbag
h0CndHPJYsqGK1LWmoEzt+UHCl/1x4gAqMZi0K1b3yqrdL7Lm7ib/TltHZzEOwhFvr66bk77pqls
37LhwQZaA33+34+xdEMlOKQordPgO18GV1fUrhiBlBcutZlgqIfoDlEIMSHpoFeHnaWQWfl5WCI3
GVkCcAhcfC7qERZiJX03GIHAQMRAoKHWhhU/Jm1NPrj5YkJcyOL221x41OFR+pn+Ey5NwdXk/wtU
c6rivc0vP/P2F/H5EdkDd04FZzN/+fSoos1U7O6S4oiygfF7wBMjxMlI+dXDU+5gOQhcHAAjpFhT
lGq4rH23szBXrjdQ9dzY5D0gDrZ6Kkm5SnHIGB2gOpqPnbfohwXFht8zaeT9WtZZ48eekiaEHWPx
jRbp3pN4IWrEJSAjIdB0ADfhe282aYr2phI5Qg2ispgeVLPP3hSZ2n6y8CJ+oDqJB5aYqyBpVkLA
Qon176OqVnfFnI6nsu2KFxA31fepUosHq7Ky/25vnCtXL9r1bFNqHqSFW2ChayJRKqpcDewa8ycD
pXBUQlo72VFgvcQ0SF1O0CLkutAjoQScn4bFjapmiXEEqxvdRmtvArHQ9nAs/HiuG9ik5vyxJnPT
pQKE+jZbIdwh0hrvhKZX3gC6Q7h3SbVQWac9/xmTbY6Ok7YqwZhIPup52nwx9TT9DHXZfjODI905
BTLg2RwCqBdSI4pXh2d287pq6Nt4tYtliIXCwNvSdeLjMBXiQfem+r43WvBTNB3vb3/Tq1sOQhmn
Dwwl2j7yV/317kzMpl7JmAKbF++HbEo91FOxfGzNVNzNaVYWEHej6I9tL+1XIVWsgNhL0xXyc/XZ
jGcbGcVYFcGau/37SVQYI93+iVfXheIbtQhbAgbktvzrF1YrvR+eDi1Yyza51zv0OI06Sh5graHR
B+e6ee+Ya7uz2a99fXYgvSjg29yU29Jm7g1TXgotGPUqxhK2WdL3BDx4fczCTptAH0ekYm7P9NoB
Aw4o2Rs2ycdrO+2vmSqdo9Zms2iBupjrCz5xn/G+nL7dHuTKk0sc/P8H2dwxOeYP9UwnKlhaWE0H
OGYrAnxeXApELPv5/7KMoFfxaaP3SfHx/ONFa8vLX+IshUKsIY5kgsN05BAsgTk1NLy6ZE8fX/7+
7TGSUmSORQxEgCjn//cirqamlHVKSJzq4r4eMESc884KB4x07nEm+k3do34oAV/f/fvCQqGAUUSV
A5TCZmCvz9bc6dAuAK4LKdMwLfRF2/EZTlu3s1GuzpHDwCMlnSC32pwZsAXF5voPOi+e22+a0KLp
cc7whKbVWxrIVaH2FMYGblKBrs3xvxpCy3eKQ8GFwakE97HZQ1mVFlPikrHqiFKF8YIkQquu5bsG
QZTj7VW9FrgxQ4APwEt4EbaKdjWNrAp/JT1YbXue3+BMO81vEVab4gBhBBYZm3EwxaWat8rTmE5m
/0YUi668K3qkPfy+1londPpk+JyoXGo7l9O1awLVXvqndLdJ3TfXRGRjkxyj0hnoMeyuWkvx81iT
7hFXod+wz9adpPnaXSiZVojy4NaLgPX55u4HACDWTA0LXWpoh8L4PGK/dhcNRXFyp8Y5RGbS7+zr
a6kJRUKaH3wEEk1vM8fSsVJj1LiWyrUdyi9uPicPZus18xFvp4KGsKgaOperMvhDWirGw9TlU+kr
CXhBn1Q5qfb2xJWLkkwUtCMpPenvlowFDECr2HlqkChzpZzU2NL6EJxxk38l01irU5yQ2xz62lin
UxKn8NEI7TOWZyzMr5km9JHkHKCyr84Y8YA81+K9jXvtN8odKz1U4OFsaaS9rgjS5U6ljtdo1Gwi
PSwKdwlvHw95qWxuO/52JEkRHcCc/RW5/9dtR79zGHFhx4GTtOJ+rlbrsxiG92rWKKd/HYlLlR0g
+/L4NG2fYc+L2raPaxse/yROaeyiyEGl/EfWjOXL7aEudzlD0Z7iM8oRt+9gUqax0RmdHQhHRdw4
VdSQzYRbggIDYFG0KZytZd5ZyauDgtOT3T7gbFuRg2Y1HTiL2MPxJPUUMGwq8dQA3NBDaPoxFeZ8
7zWqvnOTX94fsu2hcxVQYwPfLH/VX9+vwELG0BsHU7oUOijvL9oos2qdEN4RJ6fCyu720l4JruGF
0oKXcD1NtnbOB0RJahpyCjxBuyzrp0TUdL+BXhUv0H+7I1De6ElDfO+YtbrxFM3O8rGrlr2n8sLa
QyL5KIhL2xxZBdwmOgmmjxNycTbRVa05ObpXUkUqzuYR8RWI1o2v6b3xEA/O/L2vEv1tsUqlLSuC
4OPrmd38USvb/W6VWd2jEz41X1AyQPMyseal8rtRmX83jdt4oVeY7kNqWq3xANdD+XR7NeVinZ8+
pkHJlOUEwnrRj9aSxewNdLACR2sm9WQLLXUx7tMrivIJpnhAruc5HLjC8mM+GGkVVNQozJ0Y/vKm
oXBA85HSBkrKaKqcf9JWtzs1MiDv6VkLo9HK0vcd8hs7O/XyppGZMRRzCWWjULEZZcUbslZW1wzU
edKqD81YF8rBlK7L9UpCvfPoXB2NKhhplxRtsTbbFNvRIY9tzwyMeqiNB2FrZvm06sgSBY7dIRl4
+0NeG44iFNoDKKpKEbjzJVzVWbKtMPdY+9T9brtZeRyiJP1a6fhV3x7qytcCNCHtk2FOc49uSl49
dm/Sc8Ihi26TXxqyep/rON2JE65cKwzCyqHbTvJibK4VoMAuGEcGWdVaMXBIqPKQol4C02ZuV/te
IO6wY+Jx7WY5G3MTFHo6cBB3LB1MMyAzzSpWSWgHzWEP9/0Dlc34ZV00N8MWcppP2Zyob8Zunr7c
Xt0rH/LsR2z2jRW1qzkunMgF3cijI/HeU5q0710AHP++ReloQpQBkc+W2WJDQPJ1gpqiG0AkoXMy
sugPytpwQSnzulccuBKEgeShLiRDHpkgbla3pm1Ye0XtBpoyFsapTgrjnWl1q3HyNNHkBy/VUXm1
+3yd7px2aj/HS+6tOMLE0z1410jsNK2uLTS1YXYxE6VztNlhuAeaLT1qtnHe2b8hY4ofJPDz6GeG
Pu0lxtcG46yQhQOmpUayGWykhV/CcWCwAumYNm7cj8QP7Z3uLsMOnfXaUHjhMQyJKY/TZp3NOE2z
UcucQFscRTsgNeBOfpO08XJISt37enu7vtayNi8IH5MnBDkPKKzbZRQV9Q7X46C6sW7iXDpNQx80
fTqkvl4U+ku6pgtVaJtL3YfhUp7G1qACUwKQLPoxee8lpn66/ZuurQDejESTkAmgXcm75a+QZEXB
ME4Q5IVYYw6fRNyOQU1PHda0pe0Mde0uRFmKpWZLm96WveQi6Z8WlEKDNJva7xlV9ocambNk53aX
22OzyBT/ZZeVPBKs62b7RM6Cw2QJQCaxLCyzcTxWfyO9ixJRrxiG3ypC/Z5h171z01+JDpAWBL1A
oiZLa5tHxayMRRAMuMFUm26JkkPShAnRpRniW7fG/rLYYj3qah1/7Nu5wIN76h1t50dcC7W4MzwI
dFClJU/6/HN6rivqyGi8IHK93n1YRkVbD60DlNcHvaZ8SBQh0mC2nRjXZQAqsV+5WkrrfdLGZ3Va
1/+Woqi+AYFlAQdbw8rZHBwn9jHPNbrAVTvUWJ0lq++VJplArxg1zrluP/XZvx9Ni7BV6uJI08pt
l6Ts41bXBvBctbdg2eRNWEQU6vq7I9z9/K9nAMcRRgK5QaeTqOp80brJmKsx6pMDnYL+0UmRhkHP
sDjiDlfubM7Lp5qhXC41uOwoqmwzAK138nqJ2+RgjUNzym2pquwa5SlfMBoGsLGHhbk83tByZchN
0RTs9xaHo5BZeQBjlaCO4LH3ZdEfaqu2Ht0h2wM8XQ4lrTGl4SwZI5II8vj/dZM0a1oWXQ97QzH0
krJxzuNPperZqHvvn/cGQ1EQgCsvs6ktWM2bRxfTspkeaQW6pa2Hwc9WrB8616jCf90bDCUHYg3B
bWxx89FoNGiI4J1rR3YUFhQ/AnTs1KNeIzp2e6jLvYHY3GsKDB2JnohxvoDZAN8xS3Il0PUCsbvM
s5ZjqkQL6CXnrVDNP7eHu7wnGU5uCnqlLiRL/Xy4mELbAlA6IsWvIqQcEPHDbq5Yfs6VeLvEndhp
NF8I1JLxqhieEadS24djtLmbVJSP0TEDYrjm3GE+LR00SzOkf8WbvFR72ZVMIP/CX2u9we97S/3m
Isaa+kLN9P8yp8qevK61GjhQuPY808yY9BN6aFj2+GvV4Itze4GuxLi8x2R8IAJku3LbFYiIYAda
MUowR5X9YmM08pLTOPabAbNCft54iD2nurMz40FHO/kpThEuvf0bLl8VSRpAi4gnk/x5i2VLFmsy
KWshUjzZmFZWErOeNHqYtaKi/lbr904dZUdUuTN0ieBU3R7+SsNIhiS8otKUnGRp85g6iVdOAFAR
8M95J3wPkk6QIZn/WzcU7CDQbu18AdPyW7Jo7YfEXNOQWvL4G7+BFty7MZysRPPCqhjH6Jh5mOzd
/oHXNjFoX2r/XN+SWnG+iV9rgZnqcL81nns08ygnIdESbIyS4YTQxHLQOtHuDCr/0vMIg66dhoI4
n4UDu+0VFmnXYiWOVDLpnfUlqquKJ7EdD3rt9IeFkuT9kKZLkCljsgPBv3bHSvUK5GtpkV04tTZw
gkGKFsjIahraBpnuHDwRuQ+GVe5Vba6srOyNExujvyV33/nKKomelovJysJ1Jjx0pnwFKqYYZqBp
c3TAJzc/0P/ba8tfO3QMS3gILdPhz82Ow8g55V9erFh3FvdbWlf9gVbpcFCHRc2OhV7Ef1DU8aJw
MlGrgiJueX4yl3tyTleWmt+B+BiHjkrBloK6InADbRTi6YJfYhxY7ghuH53H4ZRr4x7W6srVDxIA
RS4aPLQDtw9a1TlaNAwiPnjF4KD7oFfJhzhWq8Vfizl6MDvL2slFrk1P3mscbAmT3TZ1xkpXm6r9
H87OY0duYwvDT0SAOWxJdpioaEn2htC1JOZYzE9/v9JKzSGGGK9sQLKrq1jhhD9w+7feBCBHKepv
pQoyGM2K/uvrZ3R3KGl8wtsmY6zNGaWQPMQe8JtAMcmcC9Mpr5lI8eqYkQz9D0PRgJRSWBLovHnT
IjE1CGAZURDPmYdCqom6RlnGVeIrmX30Xu/NizYQtvYIIbGK8s//CHhguvcl9rFRYJrxOISVN6nd
BfFlbBRLt+zHg7t4bzheT7SX6AHo7JXb4XKj5YtNShToeL09JfaUB3WBEjmhuREfrOPeW41JI9+K
XB9Y7PbdSXXkeQaREhyYY9M9RFYqPplpnn01Gq36tUZ5K9Duac3nVE0d9UxGk72fzcrCo2xa538H
zA4i7sN4RladQAY7GdvI3w3I0f94/Ytrctqby5i2EML3CHHxBpibChsUkyVBkUQenbJB3KBwIWgr
UdOfstYxPxI9Dpofr0nzrmnVZAkXtBlPyoCmcRqJ4dlK0bsEUwJUVBlaYzr4aDvvt8z4ZUIGNpSA
//ajxQLts2qxCB9jRwFllDuPsC88v1Mn40Tt1QyNesb/uR2F5RcCysrry7NzsUDFRY6Nc876bEkI
cVpOnpmBJsRDdDh3gzKCu+dpjOb5GdLKUZVsdzip1QEDEMbhNr3prIWisceliYXxvW4VVYBpOGGS
KKaLNqun1ye3UyajGCcHwsoDDO72IS5XVReTikVi1vfpuaN4d4Jxkdx5M+YFrZE3FTYI1vB5HYvm
a+x41V0iRvuuG1fnICPZ2YUgOhEIpjYP3PAFqlvo44AYtRIYo77eS0Nc1GpNcX19wju7idoC1zXB
M8dzK1dA/KN4caQn4YC/4zVfk/i9kk3ePUl9E5TgFc89R8dfenTEUm14q2kDATySnEQ98pWiN7/Z
zJWhDK6xAPnBHVE7l/h1YDmtoTPXJWZotZbqu6iPHJygnWsPDhnN9t8gOaZ9e4J6bZbaPmTMrRY5
J6CpeYiRnnOKpuNb7yUykZcD/r4k73NathWqjqvb4yQmobZ2axoAOrG/mO0033emmpx0L58fzTld
fSSLqUZMOaSKPk6PpB92ZkyhAf16sPlA9LfF31R4LTp+dhym66Rd+pqgknpN8b+BYO3onpc55eb2
NKXABtgZgAbqVtk6xSLKAU6QIDNR1HcNTezPna30lyrNi+tYivZbkfeefE8rrMuh9d6ZXQNPpbCi
70MLUXruIbscJD07twhMGgmykD+JGt7tJ+9AWJhGBnpD8dJfhgDWYsSJe7LLMbvUnpgP7si99SbH
ITelEgwnZVP+WVsT/GWj49kyV/SdJ2xJuJ9l0JfQl/0Pc6PSCuSLcjOdoc1glHIFSvIDg9VCJXud
vUevyNy7urI0/GeMfj0YcO+BpB4DvN2iwcbdtAm/nEkv0hVxj3BtVP0y9oZzcSDWhpEVXfAlegcU
F+a7p3W+0Mzl0uBK+k50oxYKxNnuMwMFyzFuotPrV9neopPHQJeimUoUunm2MxxWFzc30rBWa3Qy
S+XjYMIZF0MUH3xeOb/tFke3mPgMxxmQ8/II/BGmUchUV8fiAqEM/s5O+vJ/PQ7AvuHU/aNXafYH
y4H/7zlKcVDw2Jki7RKKbhCM+OLbcxwpthlFURWHSoUw3jyvBKQihYdvjP8hNgTiAjqGUo7kZm9W
E7yTN/RNG4f1WK0XC+f2BzuBMpWL6khOYOeloxpmcCx/9xu3DYMlQpW/lLNyYy16MpLYeKrrNbm8
eXug2y1FEym/AMndTAi2VlK01hKHVTrGeFV1g9eesglvepGqR42JnfuGI8nnZwVpTGyDXWPsgQel
RC0Uy61Hrxx5zZZqTv209cYujBSz//v16e2NSLwA3p5Tzc2zmV5ezaVeGVzxS1tHF7dH3t1d3dVP
bCN+ALF0RDjZG49ED6UNaUGDr/HtGehidR1bx4pD0baI7zrWGBiIpgbJmrh/5cJN/8Pnk4kDQggw
saBb3I63IuoTidqMQ3sixM0jSjD2gqE9VmBHdIK9U8ZGkXoTDnKt251StRgcjqa08WqbNUyjuguc
MrU+RLxMbw9F2CS/DXe5s2AT387KWXvYXpVRoGisr34cDcpVjTGCSPD0eXuhh/oSg0l7GVAem6Ha
NPWcCnHXcJla8c7QS/sey9vpMVuVIz77zgLSirDJY2Ei8DBt3oeydUtg/Wke6kmDZEHeI8Vktl3V
+vk4zgdLKH/35jKWrA/pnUvB4wW+0xgHd3VoxoW5pbZfwNO0DyI+lDzZKyIhVAbfEII58c12v4On
GmSfPg8F5NILEeTnxIrU67S6OGNBaPedTpNKncsA9TprrknnvNXVkGAZ8qGk0MkDoG3NFFu+aeNl
E8tqOw0WQe6PIUrLzwiB9nf1nEUHG2bvmaelSrGY4Uj5ttjrmf5HYWgtrTIN6Q80M6r2oQCbcD/Y
0RTOkVc+9VQWr0pfOafBTNt3wBirTwIM4GNcmWYa1GVrfDetKf339ctu55tTzcP5CawGBb3tO6jR
SO+Mss7CNR1VYJEKFJckP6LT7Dzz7Cda66D4kbzY9gujhVBqwMSET7648PcUFb9MndQEW901ty/z
5NgPyjChCp6mjX0QZe0cIopo3AokSNSFt0EGrJQFkEZehEWxZD8rR4kf46m171O3Oqim7c2Tfj3A
L8oJdG02T4c+OGPFxwYDUnX2PdlJfkdUoJ6o3hunCQX/R8SZswvhgHl9/TvuPCK8xPRvNEotsil2
e/0NIlEbK2OONFHTX71lidO0GCNOxFYrrkM5HYHQ9qZK7ZnSDjOA0C///I/IrU9WG+4TIOt8UMcz
TefRF1lq+tDGknOete6HaFwbXzfj+sN/mCqEOY34FETVFnJPypOi0sMimwhV+IhZT38Jd/lnUef5
4laec/f6cHu7h+IBLWgybEll2Ex0AXVkZjMSBaNVfZs7Kw60GYVbNen1X68PtfcRpac3QYeMdbay
ok2FfmC1qkWoT5UNz63Svld9Ub4fNTq3hl14B0Cxl4efChtFGshdFPR5yW6nlnZrJ8ZcwQwxXfMA
r536WYzrkdznywW8HWUTb+B1l1d1gSJCpxfaX2NVUWHTqv79PNEyeOsCcsUAtONl4UORNN9OSFO6
RSTFKpGrifMJ6dZ/8AC2rx7A+YeiGo8gwzIfvH0wJVSAFgw5HDjlbQHRnCytzdW4Cl1pnVGTqgo/
hyj3rM5rh/oM7sa+NZHBOTMGkbxredod3G0vtww/waNCAIgAbOfvx/aPY9hEmACpyBOFgOxcgXqq
2Xy2ZjHcRwgJXApUct6s2IhpjhTukL0XGCfb53uszCTCLbcKVfpqp7xJtcvqJh6tKPNIjmFv5zAY
rso03MF/yMn/MTlhNh1VnrYKEcDp6TrTrHiC/dcNPiL33gHZce8woLgg0xpEt0mhbgcDhta7sTeh
kGjCvqUfVPkYsaZHoYB8ArZ7RnpZATeFNvJCai5HWxH9IJTA0laYVKjs0S/s0aZRvephZszeeVn0
4tTo/XJxkwiUQaRHP18/Ji/vbl4B+ngAJyhXvlSBcvLErV29DMd69HxjIqeqwKHcYV2fBZE5L3ds
+iVUl3I8KMXubVepjk2ARfYBfuh2kXGXX52o4S7oc3d5trLlV2HpYwk4Eo1kTFGm0+szlbnTdrXR
YqDdRLRJarx5kLMCmHSsMp7qrD8mbTUHv66m6nFOeidAmbnxh6RPDuiqe8srsS+/7e/gUG8GrRFI
aYs+rULPpCMkIsIpVBkQfSmtHCCHll/y1Eu/aMoQv70K7KBbIIWHUaaSRdnb9a3Spqc9hFKs0gxJ
YCiVeF4S3IJ61KrCorLqwLaz5SBh3in18xjTc6cnwpaiKno7qlK5jT16qGZSokW1qfKUwgzSwjb+
4YqI+1Pc441+pyAl2vudE80lqJGxAxI9SvVVMelvR1bxgwBFgEMiPqH7cPuDKoLAIVPR+VutTvPb
3FnvkdhHP0vvo1+v77DdyXv4lCNwRhXvBYrcamJhmXie4NxqT2GTlXnjJ2gnNL7TdjyoVjo+1lOy
fgX0ThRG5jh+WKx4uLRm5gUHP2bndpEdHl4+jx4ErqS3Ey+7GcqbIcWtReNcIKsXQew1X0f5S2Yt
Sq8uNtNE3m55Z6GEEkZ9LM5v/w24HvEzfvuvInF3+xu4x0olysnEY8Iy9alNrOnJdBfP4qw5w88+
jdT3FgFi96jYafKlMbkTLkSvdXLwNu48z7R/pecGCwJNYrMYc6YsOK/HebhqorkfJt295lo53Vc1
kDHFiIz7uh+LADmI4a8ZCvPBNSDvstu7R1oBSIVoBPdoF2yGX1JTa5sRqat1KUWgY94XzIaS+OOg
dOHra/7ymvvNN6EvgqsTqnTyz/98KIuhmVO8aQOQfR4EX635Mjb5EqKvXt4pOKt8NWdbLd6+2yi4
IJMBP5p0mn+9HbavO23GWMHD06TXrwLaT5ibonqC1zWF2KBy5ay2/gnqxXWZ3PpBm0V58BtefGMW
1pZNL140QBq/hb/+mLlSCFH0Bi73i5YC/MpTkKJoBdQFVKpRcXzNXa2PSb2kPT7Z3VydKJAWd29c
fX4DTWQai6QHJJqbDz0pYB70uUa/MbLi+3zp64tjttkpyRTnwzQU2Dkvh7anL17S34PSNUUYQUoQ
btISoYk+HpsGkUOlbhBESYZr1JjDSSzlVyWOxsvrc3xJ/pXjSREeGIcgHbahNcTt0UCDeUJ5s/S+
1IXd3HdeIu6bdV1CA6Woa+/Z0z0PufO+G7LoA46l1nXoveGxnlXjnzbuF+vg4794aGXBD+gbDXQZ
T2xBi/nU5ygxdhNQU8U9V3Wj4wFf9YHZFbNvefkU5A6CZfqIYerry/HibMuRkYb4XTchiN7sfAt/
Tm+gfx/0hRef2q7tQlj1WbA43RHKcHeSsoIqfXPkmLeHrKR/a2KINwaO3SnPSDOqfp1m2jVLUnGp
Ec87dXrb+Sq92INYdXdkhpR5NtH3Vp3Gs9dK8Rom6VojjL5ubrWnCjTX/xYdYm+tud0H7CaREUXe
zjiIxvcWWH5bEAR0W3lJbmcdVTjXSznAYFwRsLrUqWH8G1N3zc9i8oqDJ+vF9UmuyPuAuRdsHtCD
mwOM4MJciRl2BQD98rKOCUjJFAfcT9MkpkttlOhaLANulq9vot1hCRlIceihv1DaROvd8Lo5HyHX
luslMib7qlczrqvZmp6834YqZdod7Nydj4rmIzrBQAVARm0vTODY5Hc2+oYi7zJ8kbshxP7d8FsI
WyGxSvTDcKb4rl+zIxHYnU8KtQTR298iLjDGbz8p/WtthFWA2G2lVneL1ufvXGMqfmqNph/s3J3L
kTIrzyGMFtnC2ZyZfGmNniB0DIjMkK0ZCTyww2jEYzEY5lNVx91fb/+UaOpSjyXslMjT27npeoxU
jmhHDCwT8xRnS3FXGB4qG2rVndIuQkxwTqu3Er/Ytr+hCFSmuCC2VzLXsauB6h+DrE7mc4QC3f3U
iPgBLnhycEL2vh2tUpg7yM/SXNkUVlSW07ZGTkiHQuolzTr1yZ26MkjdIfr79aX8vVY3cZOcFuwy
mwIqvcxtsbgXFiYMTjwGSqYN7wYlz+Zw4kmxAuiuXuKjuZh258XUBttvFS/624vH/GNhetHkYywz
PGtTm+MUHRn6EqK/Wbw3FF2xgmpSE+e+L4TjhUoRmd+81SmfkNWJ/2nR5p8D0dMA8Beqs29GelEm
JQblxMEE5Z3a3GZaLtCUHj1u0iEzHwejF5e+TeIPFa4LErd91FZ/YVNPd0qqLctNIU/6Fv5oa0u8
Gi0RZwfUwcXCo3eSn9SyCsvPimiK79d+yv92WMn1OlZlWX7I2qWYQmqa6G0OTpS+d8eo9HxLrxD8
oDLaL1/nYp5RuLBQOfbXYR0/FaM2HQTNOycXkIckV3J+uYk3K0WbtLCTSJkD8ijY6JjFxT+6wWr7
d5Afh8RPxqy0DvKEF5UfFot9TemcFI6QXf6mP2JIDUuwbhIarmbN0nyIPe9/vV7rB9t6bxDcVymU
S20BSiC3g5RiTbVe6EQMSTH4SWXacGOq/PT64dl5UihGAj4DagDiaIsCW5vGTdVeIRTVxvXKJx3v
zLWXugLxcl3L2gvyxPMOnpSdy8Ggr0KVThrskg3cTi0zl94rV8KwvOuqX+OyJus5UhyDNgAqcQcx
394MQbiheMM+IfjdFFfUcRVGFhPwN01atADrzOZDjzjd1w5RSOgyWXd2u9j+8Pq67ryalHmBmtPw
RUx0C8XKoOBNNXyPYK7Vvg/iyk4/ZAvCkCN+uqifFVb+qJp5+lT0k3LwTfeWF4gd2EK2OIW3zfYE
SpdqlcflIZt1p6Fb1PhCK0KskiSoTAePyt4+ZYNK/j3w+hf8iUr1ZgBFyRw4VWX/zTfXdV/N7KNC
4N6kpFks1BWwt/C2b/fM6nltZ9EvDzCsW/BHbsTDOCMvgAwHio+vf7y9saQivEP7lZLjtok+8zpD
DQB5PFB6Cq1kJtwRmto9Znkn/sNZkMLzPFzEOs5W1KNCVhLQIQYFnYaweMT2CBYasPeLqmUHJ2Hn
S5GNcWnTVJXAyM2xG6Z1QqGUk2CoaJOLxoyganXNwX7YuZCp62HiAb1OYuLkr/jjcjTMqjfKhc6s
1iY0GKZGc2jqWX3pW2NSt/dLYdsHsf/LkhqOeoB1iVARN6REvXkEqJy0PEnuiPpakyonTrf6E06T
+YTC0/ILzz3wD1omGlAQ3lyqIdT68qK2itD9VtRIUL15/8jkF/6HvFkJLG+XICljkFAVuQhyh7af
zYtDy36oLxNKKQdT39mqQKt4+ci5qFdvicrZNOsZZY5RskzsiyV6+6+hzQy4bHlxMNTOlWZRojNp
OHLYQUPczsrOumnoBhOwEXIiV33UUBHSrOlZcfT5nbXm6tVt8TRAftd4/+b1pHMstUTw/pNKH7cj
pz3rGBlM0rKW5DkuGoN4Ip0alM9LYznQ39hbURIaqTbPq4Fq4e1gg5OmxrA4ExagIv8rz2BEq4ph
PQKize5en9fOUZFyd0StlGVAkG2GMlvLbtRRH+BQKtPzIjT9bElsp2CLh0Y3HQHHdp5CxnNkIwn1
WPCat1PLPV14jWYhhFsN4zmmQuYrY/uXrSXG1Sm8+a5SDw2y5NHbBOfca3w74iXIqVtoqK2oiJum
4xAslpmXfkzvTvjm4tnPMXIfjV8bY/m14L+1/bhp68+6m9dHBos7n5RqG5AOjgq0S0fu7D+upMGL
NMh1rHNs5eW/iankHxfVW55sDKOPIve9NaboRe+RnudLJVq7s9w0NhMSO0zH7wZjtk6rEY9PGZ7Z
IQQkkhJQJQc3+94i/znoZiP1WqatsU0G1NjVGOSrs9wVawzrOMkdnMaz9EGxqx8l2a8UgvsPTxgN
SvqgdJTRrHmRy+aqJRI5Oro/ZlhPWnOGg69g6Vod9Qr2viScDDBRpM2S0Xf7JTszjqklsbpzMi5X
rSLxKuCIhH1ma+fXD+dvest250qhLXrJIPhfRBz4AVVdP5tD4Iy2OK1dkz2sip49dFqS/1M7hhh9
L2vbj+2gB1Y2XIemtFu/NLsUhkFhXWT0Tgi92j9wSVgzku7B+p4M6K2+/kP3bhH4cZIPJHmW9ubx
c+dVtwFaI4u3VMoPZ05m3a9ytf0oGujZCJJon14fcOcjwGXgyuJDsDTbOAJUd9XnGccJthiekm4h
nkpqymeni9ev/2EomEcSMkRLZmtuYEzU+7pRHZC17pSPRpWDT8qXknurHY2DTHLnfeNxAVfPKhIh
bXNu2gVtWVmACFsXkWrFoBEoOOefhypTEMqsmmsD2tHvZpz0Xp/lTmDGyIRlUpWH+uUmMNMXQcHb
moegMGzlik+pHXhGoh3sk5c4SsAKFBUkDMOTbFx5df1xDbYNqcZqsqGVUi/v7S5/7zjtdJrcWDmZ
sRJ9nEYv82cVNlLcmKhAOpV38OLtbh3pZCWFN2UJ9fYneIthChaC10Dl1Jqxa4aKS44Lnm8JX1/U
3aFkjR+dDSjWW8MsEatWa2Uuu9Rb3CtGAznynrl25lZ5M2hALiztczg+Ulx7i3Bx1bhIVpqCgdc4
0SkdqRf1iR4jZdkPQU8Cjex4fUR0ecnq/D0qyGV0D6UV5GbXrImtlkllDMGI4Pp5LZ38hCLh+uwi
VHeFJeEs56Y223PuZgaWiHVRg5aNxsdILaazoWfTZVQmRPuceEhOBfiKsKLrf6Q3u/Meyshcdpz4
Bwfr9ou3nRtncaFxqkQ8vhvSJeOZqL17WHvZJzQavdCm03h9/dvvvId0+cioiOA4T1sUh4mSARAn
tlk3zOMdjJDu7zxblyd1XbPLOJS55evRED1mHUR/JRn0I8PvvVlzyiSs3KDQuX2n5qynrpMQ9RjK
7F4K4c4PXUySF5vI87QKPhyrrhQHWJm9a0TuA6kRCVJ6Kw+T9rrQa+rzwWjV7lOMl4k/xNMRu33v
XIEZpVwkbxIKlLcfdDb1BlFxLiuzbcVJa6rq37YUP6Os7Q8yyZcKWxJdRbpBy0Mqtmxx80PEnoE2
NwSNiFwf3UnlXVP132y7r551Ja7oXZp6qMbKggxsBaherQX27a35WOVl8vfre2p33hK7JytlNGA2
oUc9TsmY6/J5sKL+bPTK/xCkHT/TAakPmhE7m4cnyEKrg1Ir4ODNkYmpPnd5rWBMj5fJF1ENyl2l
Z8L0U2Th3qVdbXwwI6N/M3WAEBmEO0VA/G8Qx9lMcM28YazXFhA99bl/tKh1/dnq7XdzOR8y0vem
iN48SFIKzigJbGKWBMn/iHuYzGdQzXPTJPNfyI1QmdAne5AUVCd02go3+akXPaZYiCKe89Rp78CF
VxfPrJfZd6ssM8ETDkgaRzZBWKzUymmy2vk/bHlgbxDbJOad1F3O5o+Hsym0rkknD9fihCps4SVp
WGRR9miP3ZvZSzJP4b6gzPW7Sb95IGdlqQelbQacyvtr4eGf3M8AcJKhSR9sp3YOttrOlSHzXBkV
sLFf6HJ1aaqUMUPSOmHVPGGXJy3q9c+vH50XkRWUQLh6LB0ZgjR2vF2/VEXlxqN2ENgTundpM80n
6CtNsLTO6sPOxTtt5nlGrfao+PsShcDQ4EGR/AAhjVXC9iwRwte1EvVSMl/7PiDF8TOKJpoo5iLM
c9sDEIGLY6Q/YDWtX9htsSetKrznKIP/fmoK4MM+G7H7+PqSvDgA8ndRz8QsAkohOLjbJXHcUpuV
ntsE0INuBLqzGmdnGtMwHqsO57bGOo0Lglv+68O++N5AX2QFQPp2ScmbzfZyorwfvITlsMso/1pV
bqL5k2I2R+/fiwdYjgO+mRoq7T+EZ26np45R27EZGGdWs0thJpiza+6cGkGi6/1f6Rzlqz+XOGLG
ZoW+GKWAgxBgZ8+xs4EayTuU+srmmcoJ+sqx5xescTLxBbseNera9EtHeGGbtfGp6+yUDkRZfHnr
GlM4kYZK3G0AufTNbdHOqmWmTkK1IXOGJy1Slk9t2h/5Dr3I+iCMEHGCW+e2kIWx2xUeEki3PJki
EFmMOaIYzSvIwe/r2o/XZO6PksyX+1XSJ3jtMfACPbWdFOhpj054JAJ4a7WF2kY/3Od6H18zw4o+
Rtak33dK1hykZC/eXCYJ00UGALwRGMvcTrJsxtkWliKCVWA+HdflHNalkQYpXn4HJ2N3KO4mQlXA
kC/ShbVtcx0nP7BAVRl9T+o5+jFnhfZuVGzjf69vkN21JNXjAqC6QCx1OytFSyaWuu4DxaYRdbWr
JtbCUo/jhMq13bl3UyyWgU4q5JSDHHB3lqQpfEfZA9hWpierWxpIRn3gCju9jLqe39GBxP8tS4/A
fi8PoFTXNkjy6AyhNba54dK5wWZZrwWhWeReGnPM04vXrePFMFr3J5KVtYuMpuU8mVVi//P6Cr9M
ddk4yE/LnUq1k5vudol1Y1oTvL5EUK4YFfqjszRfqtya7BCrnPVratpTeY7XsftsudX6yxtwjAqU
1hmtg6L5ywuXH0KujdKGzO1ffOsoyac50kWQl6IEm7BEUaAVlWscfNi9cSR6lLBRcse32NFYo2Q9
AJkDwFJ2D7GutOdFT4/Kb3uXzp+jyF/xRyDkFHY2NimjOPOQIx0G+t8VUYvuaN/0Z+qs48+DDyl3
yU0Rjg9JX4OYSzKcoFTdjlg7uatUJDZkG7mBOl1qt7YfFbrzXPXu+vfIJXzf5xRA/dmdjDvdXvrH
wjPSj7Day3snMcRRc2d3DSSHhpKUREVttlY9K26aG2Uf1HkhvthKXdxjR6z9DfPWCV34NP3Bp907
s4RDJECSbPtC2tEa+rLr17QPolxJr1OUe2HULPmpx9n97vXl3h1KBoLwTLietmyAtXfWyXYXgZOh
0p9XpyrukkVFxFGbrDe/z7J6SPQEWhrIzlZjxy6VIetj7PgG1Smc0HIzkN5JNCDB3ZoyZ4dKonap
elZXI7u8eZrEuzRA4C5LFwP5if/Yxmu2LAbKYn0wkjI8DUurfognp/BFPx/ZtlPg2DmaOkK0qO8j
/oqk+yYENXHhddsulXVkTIsflDl3YZG0tmQl5Ub9sUsUphnbib5eOm1A4AhMjRd2bqf0vpk4eXrW
6r7/pOS28n1Z5uhT3UWR7RsWQWSIC287hcJtNc8H0rwsl0Wz4jFMCydVL81gNT9adKebc9cN/b92
VUkRrxWOOFYLqfiwqPRng9RuzB9uO+c/tB4voiuIDLOgNdrM72nuD7Vf56aM1zOj+JfwXvtSuURP
oY2o+bdJOKO4LGudfZMkgzpwMlPYPqYj+cfUNAhhOx10EBw8kWS+05vqk8hGr7ki4zXaMvqcOj9T
1+7HOHZ28VzYjnJe7KiozwSw4KtAXUVROBdpZ18AR1uBMCALnBNvddMr0oFeGWRu5Yyo3izoTy/1
IorTpKbVGiq1ls5nqiLF1WuQaCZbVFwDEbmljT90Y1x/W1sj/l511fANQDTys3qNcy91/amWdNHV
eoIPAIbZmezxeS0QxA0VtP3QJPP0WXuIMkw4fC6J7N/K6hPlyXUS7WMHkgoIVOpEn0gcNS8cMlwJ
USIvlNQXauVkH0da8dnJHeue2qBVLV8Xx0nQDdf7YeGvtNmXdV5Hg+SI9Nhaayv2jTERT9WKth9Y
nYrfNFhaNAees6Y/4SvGANi0XMNZac5n8a7p18lBxS6umnM8NV4XcHnozwod+PRerFb1nDpOxEwT
L7+PLaW0zqXL9g94ocxv9Zgl3/EixHCHCh0UL9oramCN2XIpO9xFTqlmtRXmhRmE2siMMWIvqqwm
zgYU+kRRbJlOce20hm+k2oz5XwIL9j5ph6W89I0BZqqKo69juWpWOLkimcNuwsz37Ay1VwRpWjX5
k1vmmuFHJbKbraamTcAstHPcW4l5r9BX79Bd783ch72SILgxOkN1tUZHVUK8V3XA7a5Y7hWigJ9p
uoI1apKVj6CtvTfdFfmQAU2IVee7OXmtdbYRG8z8AuyK6+NUUXsfh7nKl0vqFbN7h+YbVHRwPrV1
MaKI/5mizMv9ZKaWctWjrP7g6m39LiqypkfWuhOPWZQYH6cpVSlyw6X+x7ZTyw505F8h2VhqkQcJ
yYl1r7lRZPig5DJQn5TuhvMq3FUDKmEJ6/2SukyzcMaZeziZrfbUm7GYzqi8A0+k7NzX52Lp2hSK
SBv9O9jOkl/NNur/rSO9+kpmuSbhpEwmPn/wPerzEi/arwTxxEfIzym3kJ20o2/OTmf6mBaajl+1
nfdJxAo7tV7aXMjlza8z27D2FXsoPkQxHoOXmXTgfqZi41xgbJBPVrVe/RJZD4F1sZFgCUoA/7mP
Cp+4c5zCsKDw2mp1LpRoWuH1FOVwnQonCj1tqajiJG6k3+WLqHN5HsZ/7cUyBlBoXv7Ro7XphmNX
Tnd0j6e/ulGpVX9BHvZve2aXhBVI+u5ujOfkJ0n38rdltnYbjqUx8UgueG5dIz6yGjaup5T4tA7e
x94ep+qkx0ke3ynJOs1BXypaDx0W3Z2T4U4q/gHWoK6+6CYcUog93O7Ud3nU+nUNqT6YFkqfSPVi
mkV5Sl1hb0RN7IZCrSvV76oka8/UI4fsOUkGau0iHZYxXPAlHK9plM3Rg1fVU4c1qB4LP3EApgZx
P4/jXe0qBfCcXuQiWOaYboyyYJ7pO4mqzP8kaTwXn8luzR+aOyU0eZukq5+0Frf6xM/Xuls/CH7O
dELdrTMv1P3n8lFrDWe+9CvIlAcWnwaBvbQaCncQD7P+3YI8avoQrQq6vq3rZPUP2xjt8lucFBXX
4bK0+Ar4o42PQ3+xrc5z/mensXD/F2tLr6d+H42IQZ+imHr8Vz23OnTlJ2sdlE+taWXez4VQsYH0
vFQdll9JNGuKbyE+ZHj+rOnw+c5K4+bN4ldxNy0qehe5nV9oYYjkO+UptfB7A0WdH4o2jq1FY9lu
2msUW3rsPKCNz3UVaKnXq5/7edDmLxp9DlpoWq1Nz8AB0v5HPuAk/lUxMUZ/UHhQjEA0dhz96gyY
dsO5caMsqy6d2S3ZB3smE3yaZxyC2sDCSddVfFFqCpoXXdQp9c8U7wOUOj2jr4dPVJrT+iGfp9ZB
2sBd4U91mFB9q6vVUhu2jzrEzxnAKxN0ZTzXjzHIMxtqW2kJ47OrK7AEnNHECsyvJvT3PyqFLfL4
VOu5kfFUtX3kNqfW1BPlE+umGiEixrp4566MovirKAXrFq1mjPkvqaVVj18L/MP1U6ZW7tIEsyBb
Tv0ldqfoiuBenzz3pTc2P8t0RXXCnwy2/jPSE4t11jgbauurVp8r5kmlbpP9RJFHxF04GlCi7hKy
5zjUI7t8HvW5768d+EYEWHKgHA9urUhFIK/0kNAJbFzeoneLXkuTJc1ZFxNtwWbydL/OEhOTjMas
i/7JXJfGe0oKaUuwlIOIPN82Fq/FWKorPftzKVI+CqZ5ypRjCYgsSHOZcy/D8bkcTP1au5Yw7/Ia
W7FHW6297NzYGifBxLBNBLWC122w4qumotyVeHHyw3X+z9F5Lcmpa2H4iagih1u66TDREzz2+Iby
2NskARJBAj39+frc7artsme6QVrrj1ZXT6SnxX5uo77XB/I6d+rkVnKe89nBDnnwg31/nnkxxZEk
FmZSKYIRcY5vJCzimLj9ad1G0pOVKTmWUZEvTXZEz9n3edw1npvrYIBfHVDW3C5IW9ZHtF9ulUfe
Kp5LM7Ubimiv/aiXKagOo14i5xyocH/OhrgKcn90svWotb/8cK23YPluOMaPjkslTOn7qwtGnmyE
rzcw/8emi4PnXWzzz2CLjT2soeNNOWtQud0NMiPYcBXgfpjdSGkneQ+b+CFOFiFyW/r8edeI6quP
RlqcZaar4bJHVjyg9cYXGmxyvF8cz60fSy8d9sLqsn7WnHt8cLNKvkc+nZZ1bikUTLmr0KUelkGJ
+YCgdyPIsl2ZC5I28YeDrkFWD+1E9udB3vqOqX6cZ/eX7Gb6suslm2TOlEg9XVYmMjghZdQZgVoj
KnQzDzI9JsvIyTxJVdOm7q0zxI+77su77Bejzk3TW/PF1OiHeVCFov2vdkwr0WQoZc7l7Oh1e6ro
ye1OtrLGOrkhEV39TGlScJOTxb5E2i9RAVOh5tiIQnm0Rn95enI/5eSymkE6qP3qmsmkeVzPRHvt
TdskhYtT0Mn3OlK06bapv9wPc9ReXKJ2hzuNcC7NPYLW1hfPNa7L6E3CzLFyy8EWMcvcdL8v276d
t035CzNtsvY86u0SHhEq4mDw+gyIlkYmu+Sxpw0ykyglmHyYa3vMbmmDhW4mRrKcTXqqnjiMve4J
LqXuXppl8IbnnSz+pGiDcRoPi5Nub32tSnFBmJlcGzLIJZ0SjbTnsAFgI8Qwic6hwHx/cLGkr8XU
sba8jPEeBEUtVXo3t479L5G+87Kp20g6iGZ46qJ++iGQRs15olxGFLUhRDuo0PRxngYN1Urg3OKL
t2b5ijzDe+IrK+MHaRe5FqPbx//idK3mIoiN6u+Cbkz+aR2S4VlxeD6MdJ/wn3EXgOMy2/YHLxoF
6Ysq698Mx8RrOKuFrENANO7pvhnKJ/iigDDEtet5epQmbnUQmf+6yaYdcybj8Zvtud2uc+1z08qB
6ok77uGJqOmaODIyJKqKIyshJ+RIIKraHjMEXo+k0WYzO5VDTylHqqLZ2yF3wpmafv6Vyr574Swn
Ay5Yhv5j6zrRnHkT6rdSRvyla9zSFbQNfcNkph1iMUzbzIxxFTrPIl52/vk5y7qL43smyYn6MvD4
XXaDymeHTQxDdnaYVSS8Q72V7kvdtFHLWOWhGVzSebyvNu32P0Dm5t9lqcbgQOexnO54J5MzeclR
8BnXoqovXdi3bQ53W35o3WpK47fIzsesEpObM+A1v5ZYUdCpsoFsHk1o7buN094+kLXhNAcQ4GW5
E9sqvzTdJPzASBeTvAqAiS9LyCnQt2O2nlQyaXEXN4m9dhPf1utYpvWDpzkZi33yrXfHq1kOV4CO
sc9DBaf7YFarZkI1IRJOnRqg2kgQRWEV7YsOiiXBafgTf0Q3/PSMGw/5UKuh/SB8Ms4OpLiERP20
g+rpfgrIPJVKLb8rR7iDYekheIgShlUmh43EdBfs2mfATQfpW9K9hEnv6imgZaiXtTv9bAO1p3mV
NOVPn7M1yWNq5L+H7VJ/up01P1Ibqg+1J8PT3kv7G5KrFVeyQZwtbzRP8tHvSXE8l2M9fE/qpQT9
bPjwBi+tl9/OmgQmD6a4fDexSj9UHWf6Ui1z9pWWi53PEebc8DUjLiUq1O6Hf0rH2+Jj1g5ReuUY
50iNGibVyXbCe6Byd3yoY4aqnIsiVTwl0n3VPbv6RWCgDJ5qMy3zxeA/45BJynF4FLNdu4sJZet9
7+0qp2+dx7z7IHVD3Vu/tZLAH+3c8U1uf0JLVMEZE7EZvvUMpsFDuIbrv7oX4XScBL7FPEyXpGEY
GufxsI4tGsQlGp39sW7ElBTeOM7ec+mnTnfFmpL+danwe6f31y5XcIzGz00rBvdxRbhzNU1H9njk
hKk+6zkoGcWWSJz7YDDVpRnd5puje0O38OAv5kKFc3mqQWOWh8G00TXWHnbeyvjWve/5dPB7JZEz
nDFNDlfUm3F7rYYgeA8qJRgugqW7MUJp8MNzLYK2ZQS0zZ0FEPEwhZEAHpgDv+Nfj3qRo0RnqRhR
lP9cTalahAE8o610S79QvidffaOC4cCd6dzfDL/t0STBFPB08w/nyqjpv1vwAVNbuRCgn9WiWRlt
l/Az2rauv/qTnAD9Yvov/Xqh1oxK6C34RlZPeprI9ynPuIp9kU8TkT6FRuRqct3zMB05QTncmP+2
P15YkysyKu2Q51ylzX9jO+2008fxdteYdGIlFl4VgBujmd8exEjkYh6ukM6s7g2ho+7YDuPJ3dH6
nVnylpRf3LE1ba7egOID+UM6PvmR020XeGtANDckseOD7SGbbuYWce/bNrrfWwphcxec2ntpMT7a
E3iXH510PE0/CLHx94PCoNycXECCigaWYbHHNK7EyGPcEMJGD96YL2p0vDOvte+dNTMKNffhpqJr
WNm9uW/37aYYSNsyzMUyWocdkPLZQ8p3pC4qqJPzugdec+TU8ebcoXkoOhH8SMBeyrVhH2mK00sx
ZKO/fiwOc2Jh+XEKZtaAtoi6BNzSMuiIm70ZjnhHM5o7PeUCm8z80ypvnCR5I0l1SGi/qfo6r8YV
kCWtKzXlTjeU1AF1vXpuHEyEeYfYZHoO6z25dK5opyOQlfeNQ1z8JF+zpjuOEP6v2gn7u3T15yp3
+sbtrtIwJ+be/9mMtrPha7ss3S9+2tbNy87L5nMLPPE5GRm8E9TX6bPwlRJFuITRjyHbG5UHgZke
l5DL6Z9Z3PC7FHwgRa/YVtdKp5aNJAb2AT3bf1GmEaLY1ptfH0zru82DM/FhYawbzVWOwTwWZe17
LytGc4fsRSRwDxFMwHqsqci7H6bedsdxaDJ5ytIyeE17ZyIAoqHxNI9jp5xY+v7/3VqTOX8B6KR8
I9lRzs9JiLK4UEQJ0zsfzqSPrJM3v0UcEv9ZzaR6IKGsj66BmPV3d/KbrZBdZbMi5brxOP1T/bDJ
eeHJ5z05d1tGi+w4dOuX9RMzHhdRB+rkhUYsh1qE9nlRchZXjapsybk/g4/eiyzZuP1al5dgD8sX
648br5PrMCMbx1VE9NY13T0t+SU5BXGZOgQLKVD5ahcV8LVWfG1raZNnmSzAhjw+Cy12qiOJdsfB
dTEaQWHuywBwchtcdzqGneLMkuU6BIeEsLrf2okceWhLQTdjk4wNiGG/1K+7ufXj6JIB+mJaRpu8
i+buZZE6CE8AtdP7FHU4B1GoLdOhrh24Teo007/sNts1cdgfc7AEee4bH+whW8S4fi2Zr+YTYdaB
vB+ianJ+WzSb/7KpofFjFnX4UE5C/k3BhLui3U34fSUI82r9shIFIwP9TpEhDjKHJXb/BR24WVFT
YXrzAc9GHZjIYOJzvv1ufZ0IRren5dZjcMReKq4hw7QoLEfge1aOG56o2pk/smDYXreYq0fs4ES0
AU3e+7jXOrzrNylett2U7mvMULCeHNeoEjA6TSnvoC/tWfg8NzlH6/DsWJbHIiQM9ZpCAPoHMpyz
6jHa8NKbIEvYE6wn+sKv2+WHP6hxvgojxJMUc0k9TxUt+uw5s7ik2+g3d/1NRsKSE/UjYJcYGZ24
I6Z8K03/F7P6toM2T3hh9RIwzhuqU+u8j+1S0lqRbnSxs6HkHbbFb7dYG/bBLSX8BhnwUiTEIv1m
NhW0ri2sbkfqpKndCL1k+ymzMvrmjKrtz1WXhN+nNASs08Q0UYae7BkI8Ji2v1fd3L5q30ZFTEb5
543xqA/SDm14mJzVvgxhzwpHMuVqj9Yta+IYbaW+eU6Narw3ycqLIPvklJqQ3jcdq6xCRmGXwrZr
PD+tqcPERJV498hYs2NaaRpfH7ckNl6egZq/jxViso9OdT0fkxXu/OaygH1WO6vLQQa4X57k3qwP
4eiYiLdB8bNx5MkwyLt6sv/ECMN23vdJPum0jC1EgJ82z0ET88CBM8u89dvbMF0ZRW38MJNgGbpd
WPhBj/HAbzvvbSHBdLiPqqa8zNwob6Md/AciY5GP+ek6ku7SZ6V9cbKaFq4R53K+gWdikHEd6T9W
qxN9AQ5G8soeHz1aNcYVubPKJU26N8GviNr6r5ITCwBbye6BCq1mzBm45g8RNMKBvnHMY2xG/Mma
EDx9WKhZCQj2Spv5mJaV2+ZUsvN+8qpmpiBplN2Ony552NMqCQtv3tRzO+BbecZnDz6xZysmVr6A
1M1BnEIn9+vUvsspYrJQhHYNRekEUDGzQx3QakPrHSpPyioH9eDlYdMCA2Xm3ImbCkabMj7AYVxJ
VpMuGKr12wv4tH7jjqZDtduTcS/i2urmIfZm7p2NuU09gVDu7YMeM9YfnGm+vPZeVQfHqPX357K1
/a9WJcsp1BEydnqXjPtE5BUf2+D7jXPo5CLs49YH/Q8dMYF9iD5efgvdRNGrCIIZUecSrd5DiiL/
bt/CRheGugLeqDJoQrDUIf4rOrrBcviysX6spWsel3mGQpmpm/uJpTIh+x+E7QUbnk3yifKDexkD
1x77vqYtpWz1+jZpKqOLaBfTkIdBJSFtyqq9qzbSGb9ne+avt681bo/amPEzSFRfX4m/3Jwi0FH3
rrZN88Q2RAN/BRNgXLUB0HwYI9If2377oZu+wteUxTSIHNdxW0fEzkEpaebbku1epN3wsvOA7neB
lOX3FJ1h+D6MfaIONezz9hnLdrqZSRC/WDegGqWf/A18ThMKmK+c+QvzEr8KJ4qQmkav2MkuJTCx
cxlmJ3AeRYP+gAjEoP0dt0G8naspZizRcvbtcR+IwjkaHem9cJw2+BWsy+zknpMNc15uWjUnZSDS
jjYMpg8gncy5LHRbfuErNuGTDPrpb7y47fMidNAduNw5VBd/d7tT521GHpImIwiFV0cckqrOrjuV
uP57FzXwSCRH7OsRrXyS/dgg0LoLiPKmH9Imnt8o/ym3rzlc1/YgvWXkoI/7/UghvKZic2cBz7Xd
4ujez3ifLpXGcvXQWHmrUVbIM6/kB+/ifa7rqckZYlQNt2OBU2cWvJulXQcNn2KyA2bH3ZOJTDi8
ZGYZ/+HeCiUuUZdE6bKvnOmyQBHKC2pxfiHu/ZmPpiZZ/oLyJNkPIxrdy+6U4XikDgiYx/fK8h62
J2IfaIbskWIQHH19k7W4UzOl/mGQDQBxhxnVfWzX2B6CbB1fymDbnlUrpu0gcXWX3KAya44x7BTo
N4fqeqwIu77cVF8YRWSyNt9gWzsUhCos/7hs7PPB6xPywjCBTvaQxt701CCVnvLaa+xvmF/YQYTb
UZnPwItg29DINyQp2u7HWI/BZZZ0QpEFw8nRt7b6M/dj2Rfs3PxhE8ZosJFrE5YuV9DzU9un5V8b
99N/5E8zbJvOa5jTh+iFJPBOPZE0BLQ+y8ApGCed+qQaNSwvkTby4jHfWdBHEY0EALMxncDeI0nJ
H2pVoK9+fwuIj/JeFfu3OuvNOB+ZWHYv37XKvHPjM6tdO2dhNO3cevuWwrq0xULOUHdiT9/NQVnL
ygKatLhFYD3OQTvP3v4z2DcFj5gNG8tpKob5sGHt2giT3NzXtd4SqlBqvNf2/8/HgIxeHDd3GaC/
rfG6o0aW99OdbO3BZMziz+CVsSlGZ1wQN/ZufNYpucbk+m3tW6Uc5b1lgx50bvxZzKdsUsF89pdk
B+FZg1vh17BF8Qm6LGyB+V0cTiacUEdGYymHO+inXublFG3EFMgmxLtcjSTPlaGfPlv6exgBeUf/
DXMiHoQCqzsLt12PJW20cdFypNygyF4J5Cq85nUmb1PAZPwWH2IAhCXXJX3oolQ610B6Y1tIEAH5
yOpZrTn7Pot80FPTA5u3ybusS2GefVZTaOrU12OhuQQAkCsHYE73y+8pCDoI33RYZEHrtmJTWX3Z
54OW26c208y9twXi7BBmSZmx6sPmQmZHOyPiHgI+B+/2wAq5UTdQMXoROyjc5kDGEPjYPJZzdQRH
qXBWBOUQ5u3ox+OprOuMLLexzvw7vIPoJpzA8tI7gxFuIdQqn1TXwEciK6nTnMVEfjI/t3vOoi7i
3EsYyYg0HcfXocFrcN+ahC3ImaPNUM+ONldGUz8d7ZCY9iGKlOwLuptSAJRoq+6zzOn2B0dXzcM4
G4t+d/Gh8MKtJt93rtQ6Xrim3O+j37v/Rf6OL6S+qVNBcsYeJ5bwqNe1TkkUZsJCIwtS9Gfyebph
+NwGwRCvSdh/IsDtVr2wDRNyKJ+gloNy9nnK07Hm6yBBzrk2q4VZIGdYhDl6zfqta0LhnZa1hMti
vFnvYbFNfZ69ENrOehV/upqR4Fw3pLwUm+3hInM7DWKC4dz1awUZNR9osKUB1JQaGj6w+3q390nb
nJiZaWslnIkljj3LXLO9o10Smq1TZHxZ+6q7OAmPFfVA6UXUfeNdm62KPhT85J2xNC8dRmj6ipFp
NeK0y8FxcsEyEbNWe/J7D67yMdjdRgfH3NQJOo0pPS6bOWGfhrJXdw4E9ZtibAq/sw3O8lsYbCr5
D9y9RiGQNJA3PYDQdhSm9sB4kCEy9VZm/KLUdJbnKpt9RvfALa9l31ZJPu9d2FwDogepG0WQFhxh
zcv9X+xY/qBmCXpDpEFenA1mG+TofsgJnVWWnZq0jhLO0373L0LI7q2tVPOrWuGRD/VMriQhEpm2
OOSH9j84DQ+CwcLFNRznWzqfdisX/whWgAaCeZweG7iqeMvrbMnuh33agNVrtSOO6iPkRHqU8otN
gVHApon4M8Kb6XxrQKEKryfO5X7vuqDY8dfpk619dYyQvssru8Y6F6JaV+dYAkXd+eFNeECIWdwf
UF7s3HBkXsCUy2hwicoL7fQ87kINYGPCi/JRcrQpgebgoteR8zqd4uEbQh4Vvrg+39OvWFphLytn
OVFCrq7jtzaVflI4FSF/vzbB0vwE78FZB7MMCOfP9J3ksivFlFfAXLytsRiAWXrSKph/gg+YI67+
fmmr6SM2HPs/RNgIVtDbnc/9HuyHNVvmdzy7ZVeQ+4S9kI9Z/lBmTdbHZqCN+QrKAuvf//9XsW4q
Qr5gZp0XbHOIDTZp2x+73GtSIvptooNQVq16aJuGPIVhtfK60XE53WTWpEX5qvS4aicn+RkCZfBk
oQvpD1vHKHHy+pCrKuF//lYmigyoeuq+x+PW/HX3uq1y9CbuF0WhcX1fTirpj5B38XLydinfzbT3
/6VSTLbA+teaB7n2a3ZoglSpwgT1rnHNmCa487y5+tc7c1qTE1qPS96mvfvKDoT2nP4gZJkoiSKI
2hQRVht5C/f3zJGOt6SUphBmqv6sqKLeF1T09ImXrRcf05C6jXwKQ8c/TtlQmV8ymcc3rIIZ+iQ7
V+KEP8hHV1A3MZ2x80IMK/jS7h5db0I/YFW2NEfcPHXzMAuyIfK2Sxdo02oGvFdAkw8WIQCion2L
/iG5Nd1paaT6vgTTlOTtlO5vfSw9L+fuCWCuu7TyH6zkSDzeSlvs3QI8XD6qaQbin9XmJIWkMsb8
WvXghgfdTqv7CP1OTVM4SJLxfKcUz+k8+BtIleAWoyrS6pfYODF64IlSlrsW4w1PWjeFj3FJ/ENB
rA/BoJbiUbfgeJNuXqeYoY4KuqYYUzlZLJ6o22747P4wpLMXn/SuPWKMRyX3YqCiNIbn28WHo1EG
AhGsfOadQfz3UjZJxoG9yvi+ZE54K4MQrVeQoVjV4DTYTkoVm1OWTckzY8j4CeEVTE/p3LWXxfU3
cxkVf3Wxd6J78kJqoopKSfnsDF3yL7aCKQHCNR1O8PDh88To+wlZgGwflwwCm0j4vjoouSVpHtUI
IK5lCMLkVH5q/uuC2u55izoEdtTQ8n1kykT6MlsoENnPYVMoNVD9UUdr8ytyqzaF8HBZmXJ0N8yg
rkT1XayQgE1elrQXHlIBWVMMUV8h/oLOf1X+CMS1mGD+W+4cY/ftgjzjWHrC00d52yRZZduVwbqs
mud13vrpvemQ+j04gXTfb3pSm6fhbi8xqPL8yTo7f0HV9sHTIkoie1DNlFHhMLk+WOpZloOH8/mh
mbctzNFDkCxcg++vD9u2TW91FNE2zpPMEbQvEcdfqiP5NNp4J3daLbvItdn7X3G/Rt0d91n0Zcq1
edrjaHvPZhV3XJURQnfkEt33ui41JbIuiCtKJjf9BsYfLjS8cvHkcqqzOF/XWP+1TQgkb5ygshfh
190jfcgNKim4fICNaUYOQZxKeseQHtTH2oMBOe5x1b8bTfDOqe79yX1ua83Jwy45/R32raX9rSRA
HFa5ZhErRXfyFtm2EIggsT/2oV/mXDvEQ+QM8/vTSCDQ9Cca7faMA1anZ4b70iuWctEZ8kUn+2Vl
F7EQCjcFVUJV5P1JAmSCRaeD8eyGCwa+tQ9qRj+TZfWBo8jM921QbQvsgYFq1nETPEsnWn9z7Zqd
eFUaUgt/8cYfVUvqySGbMyCVIXO36k526wzjqfrsyZNrHB72MoVa1rRE+5cqW4bv7N49lPTWVM8c
Aio51sh7v+SetJ9UlwDG38CxH2Gv6ve2HIOELGvr8ztjROdh7Lr0VNK80BSJdavvwq1H7xIvSI5Q
D4myQiQ3cqBW26xeoT6yvDTjCKc7zgHg04yglfEhrX+KtRFz0aWZfC8xwsRHFAPRN3SxCLk8fr+X
fo6yiKOiavt8nVQ4P669U30CsDZ17jbNWOaUYHPMxlU33wWh3XZywhqznsyst/9A9TpGimW14rC2
ENxF18PlF56Ks+m2iyTua7eK0UeutlGPjpW4f7JZF/xcsVb4dzr1zB1Lm8+dxq2iz35oA/vSAX79
btN9o199TdgqWDOr+NSsOvmwRAO2T7Rh+hUbrBg+6X5N1mKL+Ug4YxvLVtLMo1ske7IA/NSCwIt2
zcYaJUVQXcGi2+FE/157HweIjuHEBVeq2HdQfmuF/9vZQvolKiEo7IWO8R9bQGaHp9RM8khxWcC/
s/v+z30ORHxG0m8uPkvAbd2f1LfUOH5dzFHEk5kiwvpcuh5Y1FTBgGpc1K/NlFTVQa1r9Ke/+SQP
/TpE371+8N6aztEOKrm4Q5SW6UQcVMLocXL6JfpM9CL+NI2nP0gajeNDTFwbM6DnWBCsNtP5GiX2
n0Zqsp79WNHXhR83eMDvb342qPjUyUDjEBvt3WhnSLkVR6PCUYe2m6mtoV5jPyDOqhiLBynulzIx
w2Ga/fY7Hl5vP5gl2Zyz7W+Ufwaz/dKjjYI7KRPxgYInHFEjeHxQfhNHUMbsEd8aYtpNLpvM/NZu
y2njIAfA1o/C8mR2k5ocrLb6LLvVRUDrRF5PBKbod2qzYd4ZHjPUHlUj2wKMtP/ZI2REmrV4Yj9u
4ShRk882WS4ApDOnvDf7oIZt9VLyWKMrbxyAinkaUiQtYTzYw7YG/qVePXe4KC/anmMojfawIPZJ
coX6sM0db56myzZw2RMAtEO6YH3us29JVzqvyKUQZVTz0n7XGo5uyDVb6105wpehrzINeufFZd6t
GRUhjhwZnu20hLS1Tkmm+Asr5HToH0abj+iHl7yeSkl+xzxBGGZ7Tce90pX+RVCk+tOGZfIfeqDk
PpgigGTPMNej0yGC7ZiSF0n3QLD5PqWas31PssYPC0Rw63V1kYc+zeCdf4xyavcJMUak7+ZxE+tz
7cn0Bb5zHEinm/xvLXmi8k6PXv9rQO+N5Cp0ly3vHbM++ZglTd6tQfOAyGRROVuk8wFDWCM5RqN+
8GXMTeGbXryM0km+zNgs2R/EhsFywnTch/CZpn1EKw/4KNcw+zvqFFgpQFlWTBhL6xzt4NgcUr2E
zqXbdWvRr+52uIuWksqjfvZ6unVQF4YPkCHltzWF/z9t0yCB4YOqdE/b3ELuO3jiTnjUKQ7v2Vrf
XPSv4sRiEZ+mvXYpAIzDCnOIlalGsbZCLHaQbkOxpUhBXrVat89qHvXzGqeVPK3lqiAI4kmVxMC6
sOldFIYgAZqslRNrWHRfGaR/uTtn43rqBKfPhxnCbvpKnJl7bu9V6xwtsrbuMUj3Qb1GfWO23JUM
C2j2defla7etx1ix5OYRincvjxcY7dPaors4ydJLYGJkJJ5IrbFMycgdT76vfSwQ67LfV4PmqBe1
Rho2jX31t1mkHzN0A8/c81wEBV0gnIUQsNJHd6y4wtU03Vqak0h9GT/FblSOZgoPsWtaQJ+UKGFu
DdWp797iA+uwqMIumpvNABW5WvozadZjdylFNbxWXUMu5ERIxMBM3Zp7NC7yY3cidb+LKvAArBqO
NVdhh4SS2s3mHcPApF7hSALnH9PVuMN58VYzXOTYuDuRHkzCIE0AwbkXxwkXNsa5i4qQcWMzDjqE
WaPXfbEUhfiKJs+Q6dCgfUGFX2vUEFlb30fCgROqk7rlSUiD7bEfpkAUCNGGwm3icWTdTSU/itim
zxDv4okeg368Zr6EVeaJgA83fBvzyywrhJiTCOVjJrkt8srZ6zhHODqVz6n2GgRDlL9l3+osrJKi
W+uoeUw0u9DB26csuC6i6gfGjVjoY70ROgbNq5YH6OZxPLPBri/RGqJPq0Js17lXpv505diaF1a1
cfwvTQC20NsvpCfMNkuHQ4SaqTxF6QgvC1g0etcVdOLE6MFJouvVvk+N6P4mCTxZITeQ2DxR8/rT
AWYPOA1Z+MiiW6v9NCI10+dUtjNaLU+L735Tm/rUd4Hr5b7D5Vo4tYwgppU23DRDRShU3Mr0w6Kc
YCAnyAr0o92Q9ht0A+wTI8LcBnkukFlJHxRiBrc77uTsRgcT7fp54ffZCjzqzXSwdqWlAlRpEI8D
5JHMm8ynZaSzMeOt5XPfeK+7fTtCvqLFWJzYOWtONX2aTeDXp9qGN43BZsqncNMSdNqR9O0p1+gf
bTRML2acFtbGYambg0R6H0FZ4pHJo75rtkPQrb29Gp5mwNx+L39G/JPfgiBZ3vpZl00x8EHAGCYa
ofEkkknekRPpP4JkresBDIIwbJ+r43kytmtPaS2TJO/2ZsN9g/pxorXaddvjzc0Pbcqp+ZVgGgiK
WJJMfJggrljH183D2zpWyIebcEQ8m4UcCogMVcmKrRFFKTQ466mO+/bN0U0yXdcych8Gf02B1jxc
jDO6R7CDaAziezfBf4W3wbSvaxPMMGzJMN+TwJ7wUoNSfXWlO8YnAGj+X9lxqR4AJ5a3hbmjzMnA
bp4BFKL/cXRmy63iWhh+IqqYEbd4tjPPyQ2100kAgRCImac/n89tV3cnsUFa6x/FrpgDr7yPgmZ4
nmrPnt8lXbvuqR9KZF71GM6nqvOMBVmf5vbPAlNm7mozU0KB+t1vNr1TVv0hdefy4CLWl7+OaKfw
z27sWScIA3LrIt3OaTcIH+0HzwiAumbtgufVeEq9hazJBjiWYHEe9fX6yDSLAnq3jDjwW3rLESfE
cK48ldEs5VUuIttoJQwCRGzeYdBVFdzTNJanDIfTzN9jYNtTQLuPLKs5WyyU9X915ts/6dQiPnKt
PLxPsS8BtS8Z5kUJ1BQfhglYezMUltVD01YDMnJb+u+gZ47ZNVGjZ2jYMfiJ+wY7CbJJ1NMOgujP
vmnsr9SYOLw11bgO7xMX3QfXyBpv/XBGPoSaI2sgdVT4jTMGmNbgdi7uRjbWbCedltA9Lw8swddS
Tke/gS5CEZWX4bZuW3APyrztZ5PDcR74ZVBCsrA07xWSYFrSkIx2O7fwkDOwCFS/HU5F+WeFaf1T
1ig4DrKLvH6rCWt6CgrYNmlW9n8P2CTooZrz5c3msSbJpggytp54Xe8lMt/lzNvdNm/FHCHiSqZR
j1/AJG1/8CHIZxZUn3RSnIxL/1oR8ySf+iYIBqbSEG29v8bqX6p854awSCCiMmJw3SohAPayCTTZ
WWxnuSBBrNaNXKvhqY9qjB7cnZTa+GM9JIulkEjCGPKumtjnRPaGirPHDH34kIfVjJTdysRt5+le
XB+YHqbHDldZbjLPxPmHkksmE0bIElVT6zsblI18G5RAZ5cCSaE59WPUomXvQhaCVNTMob6fGsZk
Av6nreXjUEnE4JiFicVjtuCXcB9m2KX+MBb2/MLLZcajlL20DxkX3xGmDCFV3/buLXUbzvI9Qh+k
Oz5khKJ+51tonYahuYnLruy3TsQ+dJpxGdKexuGVJbOeXdRiZCau/3qfNOp7l3i39DDC0vk3zazE
vpKj6+zdTuY/E0b1W6AmxNgzCNAukFemh4/XhjSOpv8fxXLMwZr18NfbYn0tDVLWxDFD8eyXIX+j
XXXm3lr8RR/qsAL+q61JKVoyMjA6b+VF3w89egE6VSU5YaXjB/U38aNUgMdOm/4BslDUWbrtWO7b
DsfIpiSkVDLhlNlHXtmQaMysU7xR9QreIiNw502mEaycpwWcaFAdKC11qjY0QwMuz14oVXWUcFne
g7Gma6rQUnvJ1IfLpWJH50q2+5xbu6O1MlkxWDOt+QofZQGaGN7NIyYPjHYcCKJ17SeEERReOtzO
0e3YmLo9URDNVOj7PJI79qv5nplUlgk5AyOPwYQREey3YlG4trENFIHhGtwGPZDxtqSo5kVIRuaz
U+YsSt5kpZeG+5KwgnB4Jw0KTs6jCRcPv1QI0HrBSUGEuGu/T4YRLVGyHZ4DDHkPuODBT+oxrT6t
fkxfbCBkcLiFJphN2xrC4htOC/ZVa0BExkzwn+2BrgLdMclDuVbLQ7suIw99iTnmIGwi+Lcld9Mj
sEsAvD3g3D0IkQaviydr6zWWXso4rCLxrnWzfmjmRlQWa8HUNdK0uGEjaP2NNdpIC42juruKB7Xa
RRnuR/ayKSxuMgIg4Iz4nQAlcos9gygXe+8Pwh5eq0BF2cmu+uz6/agcy0g+ewywTHaQIoFXJWEb
Fc+AkfR31XaZf2KPsWdwuNrAHwZYlvacEXV9Xys7oCFmKtCP6nl5UWVtffDV1MsGmZx61VdOd6O9
LPodx6H808ZmvB+8xgu2/SpM9TPUvQyuJ6g7aUjjxn417qiCM9rmtX6Gf6f9VK69ALuRlt3/GN5M
mLo0bBl/Ze4wqJW2uykoX0KQtVhSwvGU5SWNRm9+QnrrnQdDxPimDFEWHOu6sdqj2wHEM72Kwd+D
IhQoxicUQ1CpMoaRNv53b3sV90zkhsWxzKf+gRJQDJ4SR/oLnfP2f16XLecuc0pATRp5OIHUOj/g
+m0ekatlGliDbJlHP/fb10K71tugKuMRCC7UvdPZVnpsOsu6ReOZ9q9uje+OkuJqPNLCAohtqVE+
MSV6RCTnGTWieLvti2h1hCw35glKXNAn0gKC2T5Gaoj0wSuypT34SzvO1IEMyENF0wfyISYqp/j0
dGzie4CBebw1huFy28zhISYjLOwH98tfpfsMrWN3zNzdEhzylMbsY4exQV/JLvevL4oUDLWR/SPw
WJkfETUW9+WyjvkD4IOgJWMNp99qLjmecozqs5XU81QMe79wIg1OVxcr1YQRN3Rd4w7bNH7hR4dl
Bmg6BiqIml1FuuNB9Y3lU6IusvaTFOkgJ4FUGjhniXYMfAsoYDssAoM3CgdWRDrRdV6eqmZofzm6
s5eVaLVx51QSqqrxOnwykiTYP6pRywuy+WW66Iitd+MXU5TvBmf1dpPbBOW2VUKK/eqUBW6KGcS+
oszpYMGT9kkQUE0JzascjK5O6ngnTOrFOxoSUWKypM9hwwCUti/WYtXfeDagfxqAUTIBlqHxMIoY
fJ6F1vpSZa3j7KOe9ujD1GHTflucaOqhwsCw4e51ETLEBz6DMu3RHAR+zKOOHvS/DPR8ZmWvS/Tl
+JWBxwkBTHI8BkhyW8flVzGzKPZWOjYByuuRqiikKPi0GEeHD4jF6svjEnB4wFioESHLbE/eGT5D
FALRCzREfjdjysmTump9fRABbdnbMVwJgKSC1b9xmMz/3DpanP1KQ5tJWjJi/utY7/MT5Fz56xYB
qsRsHMdvDpFmRmPPGLrHJqf/FU4RCXwuHDoJHjfXJMuKIXZbsRfi5AnqFGLZj6MvbLKKTJBCCQcm
SenvKMIubcBbo41k4LukWS/ybWV88x+jABoyPflBTMBFreuTh1LiqS4b4DpBgUgATlnqv3Gwxac/
YHkgFAlS181m3vvY8rkZm65rxIGeAyStWVjP39Dasj0iniNlGgnQcr/2SE+OLPMQjH1vrwMuyt7+
wXcGOIZPITsrGy8JQkinqggX9mZnh4EVU2bUh+LigL5V+2qNsRoSPoDGz3eE+9usTvQ+mGa4g6cF
Iq9FPb72vMeKtzxUF8wwiN3qAZeUVB6chb2Uxf3UkbizX7rM5yjJDEr7HHH32Qq4cbZNHZj7sRub
b1E4/h9pPeVlXfADQJf5GkYP0+OfGq6eBfZS2FLhd9a+iHr7aS1HUEbXq1d6WgffrOgVyRLc8Quy
2yKZWB94q81/KB7TABgTJop6wyY8MgCQoVBrCzeS1dXoECv0Idu89dzgk6w9gFaZBbVLNFKcL0ev
X93xNFVlfa4DmwDtzKoj/wj3rRUJ2znrWavttfsIrMV1TsjJ4d0JNlCIlxDMdUhBePCTKarnG7a8
Ij47rEjd7YgE+VHPvgoJIVAF97lgtt0Jm0TGRMpxufWmKwTjyCmOtlPn+/xPyKgtvwqCS9IDwDiP
uSgdyzwRR+TrjZ/K+JJb1hVwS0N5H1hT/WsjIrH5z4voYuci+2ITiNckmtIqPBHYVleXpgLNfnKK
1ipOxGUX6zZF0Y/AlX5tICJsLpGUTflgyklSFkpWxJeK6RXYEmUGizg5QSV2feaM+bbEbX6HCRS7
Imulj1k7nOYbPJZw7xGDh5s0rhqQpA5U7D52pfLnrevMZcCluXDfNN0w3rhpV/y4ovf1Z5TPzr8Z
XqiWW1u1ab3De5TfCeCt6kDhSIyqL2qpdOw5qO8RY3juf7xPKr2oXLt3nJM5h7MOpv5GcyBgaKz4
+5ybCmjNO5dhVshTACd4P+X9+C9CjfRjs0s+9QZGeDevsvsQXZGNu9zv6+mpRvC9zbHd4tpvyfKt
xRAR7eou2dHWaoL1zEy+o2BWZ9sIRXW291JfqBOYK40MVRpz+vL708PYQQO/DnFn9/cVlYCXiGdn
gbdqwRrSkSrWwwAITFZUVVYbB0U9njwhsHpPV+EjSvT4tRb4eJNwitqvbMz9Kwctiz7RoYy9TQyL
XCR+UGb/dA0lg3oC7DOJbeiKLZfK/KxlyPtVSOyYicW5Zk6pTMePgHn1IXMqzfTgu9NP4JjpZZYp
BkMMfd4+xqL1JU3RqS3iMeto1135T5iehbz06j6BzXLn7VW67G1zSOxxn/pFrrcOA+AHiif9zwok
XSYZCQ4YRWT0pKhLSi9uObkXEk1m75SJsYVcgbRVZxKChqfaj5p1i3EPQ0pDlEh6YXtCchMpCP9k
gXjoEuOGg8cepINPSLk4Pzo89lyBZaTegJG68SZDnlftwwV1/p54BIp4UBF7G53SF8st5dbjFreD
8I+GDQgbXddqLCHunLkbKa9qtWuroLoheW6c9mXcezC4daUfFSwk0JAjBbL+OQ3W21oyQjPPDKF3
qls3plQYLDTdLwFAxW6K6D3IQa7Zi+EgEMelqt2U2H1HjOX9gstzca3TNDGg7KYeeiqxwUdQFCw6
J2hinDTbFiFJ5tKPV0G463Lb0I7TRcipUmxg6DPl/RoEcFmenA0pNNMY+TdK+evez7C5JnZF5EtC
3Jz5mqauekm7elHnaqmX+65MhzvmYMhKz3cXZJOd396k6EaxWFtpxxDuWcO9i9PfxVcVjJeu1vH6
hvt/vYtsusFY/V2U0wyzBsBtFRjJeSWe5ogMpL0VrkV3x6ciItJdOIXOUnDbH4JeEdNsQTVy2SKk
kztyDNR9WiheWq4+/4ld2a/p8CTQhPyttv4wVRpdVofjPmGwVW+tJ9XtaIX0LGcVmbVsYQIjGyDP
iUEXBVOpdSVwFdhiTzkDe81M/QS0dRS160+jfVQTzRq0Wxp40zuyTPrsBqgwyOXGKDvmz2rHN6vM
gnODyZtPFQrtMFeLP+46RIQ0ZwOXAswXkat+3Mlf8ssgMbyNiVX4s36vSFf5T7Ue6jGrd2ZS641T
3U+jH8xJrT0d7RnpGH7oTeKAIZewhS4rF3SJEPROtlNjal+0E16tQhj9JIJ6y0OGcFU9bsoZ2Tke
ONcHpaWnhEmkmZdgG11hGIAZP8U/h099TVqUSP2dRcD7et+UUfjd9I2HRp8BwexWAmftd264Rpzn
tSS7xA85fJN81gZ72Bxa6CECuZ7DEj6GzPRp7K190zIRbnu75QSv0XRubLz92SZGvoh9mLtxMxdi
vAMvp2k8b5nr9qbEp7qJa2f2LsipxEQsQUZLKJCA+SHets9eUY7mHeEvPbKTXrcECwnYLcz95WBw
3mIgzB+G1G2ekBGN+GHZBcWGrI74P38aRHmKdD7+qHnJbwcxhuT5NCq4p9okcP/RA8T6j/U+CpIG
dmPYXod2loK8xHhoxiWcSAyYri6yJQsfQ+qRkLO5VgMQ6g5d96hK3PP8sBrbmAjnotuJovWf0qsV
lonb9tWOHdbHndwhzcDBlGv7EXEF0rjRzvTd1Xd0mhVSD6AVBcJBjSn2pjam9Z7Vu46KA2MTvgYv
XJ7DhpTUryXDATaOsVAPi/bz+pSnual/addFqIyFAnJfw1N3R/S50S16dmrNdOvibYiB1YCB0pg3
XyEdfIT9Z7Ax7kDkT0gWz7uJcI8k3hIsL2Dh/qMZzPxdwIJ+zpbl1G9e3I6nUQc5ZizWYBCaplaM
AlH151BR8WtD5KRJvw7dc8lvdYVGoIC3ZY5FkYWssD86HaWul6y+Ebyfkj95hDdraNADktcByn2G
JTjcjLpPSW4GtARwxs7JQqRIKHf7PfYh+5ytoVPoAweHyc+cJ3awyVEyhzsXMSFXp+2t3wiLxnVb
tLEQ57IEh9z4vpkvreIS25VumbWEU7naew6rNjdnUafDPw39gSGKVJW3q621IE+hmO84Fhm6ooIb
em9yBfZsOlZ2IjcQW+yQXOXqK7caDt6BXrX4JLvJecyXoZ2PDi9PlmRLOd5ZQ7yQlU/+AptG0DH+
d60ZqDCqr/5RiIEJ/6YTY6evfF3/OjmZg4mKy6DfebVrORuJUwBEwJ5SMDA3zG56lF+fEawGzECR
O2bjU18YbzMCU4qNpA/yQded926pZe1eeo/HhEeV1x5paKOGV7Z4ObxHIfp0fLBr/2qR1fMO3nM1
8Le5fkizkr8GrnS4IZ6jtTfY9JHpxHUfPMfUPanNVMiVq4ENH1Ek7gOxiaUt7mOnN7jAZyS/I+RB
obsbP/IEcg0n6x+8lIrevUNQxXsEEf2Pj9sLjn662mztHebVvW3KOTyis5VnJ81TvfG6wAE5AyEg
GKpH8kt3UA6LnLH7itu4mtmJRy343y4hdZ+XVi/Tjc6ytjtPRRpBowmyYjYgSQJ8BPgBHyz/BJwI
ol7vMQNgFRo7kuQ2+EAGrFylvU5bxljyO/LF5ZVbxiz1t2WXo9IdTIYOADyVubUhQRnBAHlpzm7G
FHRActGGOws/H5MBUJ+9xWXpqmStfRzlnnbtx7ZLsWNzTuodBtjc2gwDQoVN0a2ri5lISHOcppBD
RlY6k/8pFqye4B3HDZJxmZrPfFljfUTg54eJ3bfZSxGO2euIEx4CM4j7gEqE2vwDr+LzEnnZfXaV
bUMR4SyhGccrzA3cPNRAbxaCuFxvzsUBg2H7XzmQWE2ih1jSZChqzB8pdtFlPxAE/7j6fJgwvxmb
Xg5w+R6GnkVTpq6djHe5Fm9pyHdxruhYnSpOOBuRJNXI7JZNbAVngU+4ORdVRBhBzVzfHdjf5fPS
cdBvMtRsfcK+Mua7CFP/tK9q4lcSUZAIt/XyOH0elC2de0er8IQuYCg2JO5kexKZy+q41HlfXJDf
cbV1aFrtczyCWSdwaD1OjZgQQeRJ4QFe0pgbh5Q1ZyPMqF+6yY9fHOzU/t7w9lzt79o6EDzeZgee
0et5P1iG83poyj387oCOaHajd0LDERx2s4WUafR5MePB9Q9TO6DcqApXicOouyHcTphL91fiFscL
RtQrVukDimJ1tJv93E/iyTIa+Ufh131FQ2I7fC5keEXbCtXwE5p0eKcU7zGi9MVH9j40bqCIRslR
M8/G4O6x4Exi5KYYtBjECla2OUBLiNFoJpztKivMW6eVSU8m28/I7fo665XUAaRIbns/8bPunBUn
xY4YDSvj51bdccE8ZV0Aa71wM+NHnxDplsEpxao6bKs6Bzrl+JgoPoUHux7ErSgelHSBQFt4qsSB
dUwv0zLQKTNUVNxck3I8/7ejYeBOtL2ZIObJ0UE9R0Gdk+BjjuxNQVv4I1/eWEFr1Po7jovgo0Ha
E50jL5X2kcDkJWaAdt36xpuHNeSVC9wvjF7RG3d96ewGtJ/svYUTfzvGcp6JCWAP7qhnuqoaCx7u
Qv3Ebbe6G0WwzHBe08zJDsDZ8W8TEsl/cjw7IwgdON7aTN7QrLvWw6RwQ/yEV2wZrZiIlR7N+0pf
cZ4YS2iszFbuIGURAdN7iRpjPDmh6nmH4krNe09jJ9g2GTj/LgzI9yB0b/WYpzL6P5/JbMCGEWbo
cPcrICPwXjD7JwcwuIGS8YlgCwhUPA8iY0MmeYzEg3nu5jRxbV9wjiBdfJTtLH2Y6QHEO0cwfPEE
FndCYV2i4iTcEel9rjX/I2slffVCqy6O+Mrcb2gj0jkZ1CayOAfX3S2gcM4mFF2nYbwCbMTlWJI8
l+OY4UK3qTjfBOM1iRoJMaNfhPK7TggCrv98jF76HAVMaRupuP93xEBH1yi/HMcm71XM+k8SyfDK
2MW3pKd5Xrf+Ejny027Dbka+1hCNkuWrevDiTIJuMA/zhIMQqCeCOjWo5eqDKpQcCx9Whfr8iFC2
I1RSRUCLgikVRXbthimuY8ri0b04fNT3lYGkODGdVO6JvWouz8h37A5j4FiSPxpUucDhK4hQwJ4N
Ebiqluucw2JdL1E11LhG1FqJO0y0tHAARYefUQs592KRByN2CwgeP9BC4EXExdpgkvIquR5CvKqg
ZkORtd8xAsizwsa13CB4s9eDN+EgPoyCNpZ7mNX0ftBh+W3XfVc8IQdHwcgzuABW4jlmn2g9e9nY
wxhEXx7gvzzjnSvktqPJgKIovkCN1dNFFHbtdrTOuZvab+WSW+GxHGb5YuuesINR6wlDQZnhGBKi
qC58MOND3Gld7LiDtPqWHYPPrrOKtT0MQbHcoiwngHxxTPiRlwgNZ95vXtvMdDli2Cib7+urzhIs
SjzZBFVh/HU9uW/B/SlyxjzfPtW0tM17HAXlcFPG3hztbUvVh9VmF8Kta7eEU/BtXBynGdsNyWhx
uBulP4r9SKAqyv2A9H4MGHKoT5MnzCcRoA1khcdddKxnsth3U8eKc5TEQ+wWGff6Pg76+iMo1vJd
EB7INuSky8uySqlv3Blh3Y7ZRri7zEXJvM3mNUu3vVjQY+ZEM/FuZKi2wJgdOCNWQpj+WbgIChUl
1DlBQutlJkpoOOg4K/0Nn1854vLNZh5WbeqnypKT9YrQuOMKkuEa3USFdNMdOmSGZ6xHrEvONNXV
kW2uNLed1XYP9uw1427sp7FAryDzYOeQgflRotEq9lEX98MBmiU/k2DH6jU3LnoP6BLFRbhactwN
cdvceJ5ufBJlorU6dOns8hYH6HnZQCw1/OvjGR1WE5AGiBk9FocVYWOesFm4bJarozxiIMtev8/c
SQg/HIsGU6xCNTwa6PyM38qXigCMaGgSxK3e/MBQ6DYb0iGBdGkxDM6uROp9Go2eilPDdwFggAi2
uUETOk00ysXebSnGLLif+jIub6e5mKGly24+ICQtfibLiux9lUq+NMdd3RM4GrFPblhfX/DOCv7q
fGznO1jgyOy7SnXxebbwBEIjTNjBIdn6bOcQ/EkkVufbb5YOBjCRNey5/qMF2IcEHYmBNCwEvoVA
Xd1qlrA3oq9tkgNXeEkwODdz7rsmziYSy8Io2DWkfXMk9Ixee6cBPSK7iIi+1bOmH3QbwV+pDU5s
oSQGZE/r5RYHXP7DFNKoqwG+38bTjBLwepZv2X9m+Nl8zp60kSC9yDjABm1jezRFpbX5Jbms+JZr
DZWUMvQdItCA/AbfGEUOGh3aQEtHXw3PxaTZ8PrcSx/L1tE/+HTIr2nxyM+70un8FN/fCrzhCIc2
hgjcMybVwSVwS3BocBFhdHjLVavFOc308LbW6/pMnAZJDIzkv9imNIdPFHcNcQxdfPQ6dFzE9qzL
i122wVXWsKANDHm6Hjsvl8fCCrMHdieoqLDHQn+ugo5l6Zo/pjcEhRGo4BvHkonoRyc6NdRU/Qzt
hFnSNRjsCaVtcTEJcIjlaONLaN6aiiTavfLW9F9Qzv1wrnl3D/iW0/4y93X5B7bY2cjMev8SINjo
CSLFjfIXj/imwPTQ/PL+Zkzfo1BeuyOeTseJ8VJ1iGWcmQ1++7Y6z1JWDvTf6oLgBngW0M805R2p
ZVl1R1wNR7EeSwIYQg/wd9tW7I3XTXZMz8KGYtzZ7hrpnW1igmspnl7KxCdYFqUmPvf+TvOmffkm
7n/aSKc3RABRxI1vDGVI17TONU2e9YYBPyzX3Spy55EwaERQJq6aR3QSkN0dX/OxIxQMKp9F8ctG
CV9uEfSS7kyGLBnsa9o45c4qvfCPL8s4m5og7vzkF7MLbtMQiLhJg6oMLlx1Q3YgmcjPD/gp+Qr4
N8ejkHXFzRR4UXdD3yE3RoSphEewq8V7zoxijplNlrVT19ZvYNNnclzroXD3sxxWffXVqEe0r6Cy
fEbqtzY+yGRQ9uufUgTu3RLkYrx9Ptr9f6TZ578sNfNdgcjx0Z80BsC6cpq3UjjeK4defFcMqv+I
cUwOu8yKBWZ55ePbmtz3jEHyLVjXaUoyEhF6drVVWjvg8/pUom9CG1fYPte5vfTdtmTPwN8uBPr/
vhnIZk79NLin/q23OELl8B9LMzxmNRXOvwK15tc4eNGn3YyURlxbVCM27ix4rtwBiZT2KnylSxlO
F5KyQm9TgU5o+xNyTKUnrTMx7RQAmL+R2JjNHrzLel7TYv1ybWPM1kv74BPAnMc8jK+bEhG05mEh
0YAwA6JbIMERJt37GZB4whDjMirVTnFntSgzk7jP9LSLrbACQ4MV2namEAPUOlwEwlV3+vUXWT3Q
vpmid+YKI7Mq9TskdGlI3UUQTbO8IZXTfu1H5gJrrNJqgwEDENMWMG5TENXWJo1peLsTa+yQv9kF
9meI4+ERHU+eb0qEqQIlp0DqK/BeH+FGMPTXrSXeqb6KnK3FDLgH1iSVaKhGYkecGFvwvubGQ0GA
Km+DT8rIHe4wEM1AEcr2hPDexjVHrgg+tIbeaGu+khI1dC+miwqn0bS6Tn/IERhcswG6ip2rgA1O
ugCWkESKXvVnhFDTK+UTfv/VewvRjgh1LPdQOTN9SylQpIdOvAnV2xASooW6mZ/9aMLuGqKr+I2W
1vQ/1K8JAYVHp+uZWUrfyKl3iNqYp+Z3odv3xgWoAdSHKr/1SrcZ9mKJ0ViXvLDeDYDhKreB18Sc
uh439p2zIJ7YrYraqX1TDeKd3aBSG9sQvJhAMXGXFstKmF8rTU9sDBPgtFdiZexOPaHNlWXOim0w
4W3Y+tK9Er5WkL4u4VL99TVT+h/9eCjYySR1hotqibpJiPsjKH9s4RMTX6463NU1fxJsA/hJkhd+
8DrljYZ5EC4ov2wLzOQwQ83PEq60wJME3k3bAtvrmJBL1gYbJpjwV6H2u5ils/+uEqMscUZ2Ak4f
IIhkIGfw6j5CvE847BI/Oyoby4fJEkN+KbomxNKHnZ/X0WB/bbWWGKRM1h+UtvHZhX5csX9a6/pd
gOsQg6eNs9dZ2PvgOsJHKdgTqXybtiTqJMFMDsFxigJgLZxptknS3gqeC4KDf/qQdGTCXOLpvoxN
mm0Cr+OETQve332QI1rYVyZYgmTxGn1H7i5MvkVSC0mys/0edl733ZNFjrbGZQw9iHC0fyWdRtUd
t62+w9aUMxaltjPsLJPaSKYrrIr8AZkEBCWv+yymXr4QhAIzRXieeW38tielf5Hjf2R1tToZ/cj+
Nb620y0BFFAaZJ+Jh74Kc6YDTltS7Vpf/sW8guQAu6OEf/Kn8GZiAMatlA/Rf4ow25HkKVJ0kopV
MErIY+IQqCt7mvDeG5x1MQTseaWPcmb1mu0yIaUn/Ak7xN6dNCbduFXK7aE9E92iQ8fqgiYpfkdd
nh9dU5DLY9SEKVkGRHPv+D4QhxBd3iPdmUV0JdxydBeO15b1va0a9z+NOqA5xURHKtLKO/uHeg/L
2yxZ7WEercNeHmx063e+mFV/iN10HTeVgeXcLdTp2Af0d8tdKOYBA8ucOfOW2srmX5VlxWeKpPHV
D+OZyLfZ8DL9xGVuqwMpUEOXhMrObGQ3w/BYUBqRHqUpy+KE6oGZGrldfxK+doiTQkj+PteFeBfk
6zO/jOOMAEaN5E076/ivUB7T+tpTdOxXPisn0sjgZRV+BKJJQBeGxIC+FdgYOk7vwcWDVyuucAVb
pV8RwSwAugeyDEJUE8qEKIuBnK5jgEaX/hz0K4di0+C5g/fsxm4fjnXwOWR0WG9Kd/VewhVpIbUJ
mb2TMNZoNkjZcGGhfbZT3qE8IHkUy8UWYXKE/bLBKQi0EbcWTKuNhs0fCb9NMsXRus3BwHYTSU0U
who4+80YIf++QxHSk1wGHUTGtY0dwi02/Ky43dnDVFYvGZkjKYHXMzQkKsp43JG8iwMhDcsZYo6S
b3XkQi6yLXCIXx09D13drnFH7zuAXq9vyPNnuFbGusZa9ZrIdenTB8FzZnkfjsnCF4oWLbHzlLNW
6JTwuG29CEHHFukOEyo2Rn0zU5fyphBFfA/aWDX8n/BfVbeMRGVgwAaZyBrngwD66kmMZgHgR+p1
G5NHQQpgfSmr5dzaIS06MSD8X82xuiB707kgUXFswNzJwaZXIxLzqxqH+aNdUbxbQpbokLt1vJhi
BmP2fLsgEBeR92uFGM+9zBQRYA5jvLpmC+C1OtDJZB6c0eXZmNDVvSyNp50LfGjBsojN546kxglR
FQHj+DBC5JzWHpUR4VJ95DnPZNBl7lcQdmDmE91fdzkH+H++k7nLPpQkVN9aWEzAipdYSE5WYt7B
AZUnHvwqx4Mw4OJod6ub462U+eIt2wwd5onLZKhIJdXIpzvLD54GFQxcYhX3UoORdEgKt7VKRsnQ
nMOxiOOtrPOI+YSYGG8Xzf34tUaL9+bkS+1uO6jZaGOPreCJzui2Iy63WECPa5w1HtojdVkC27PB
V+K0/8wnPNw3jCrLGRPz/zg7s125jS1Nv0qhrk005yAb3X2RzFHamkf7hrBki/M88+n7CxWqIDKJ
JLYODBwDBvbKYEwr1voHvT3XBjX9gNMAnj09fETB4fQWbwGA8jqlfxt+6gfBSeZ2gREfaQc5FOZ9
yh1HXlPJVwXRj8pDt3ISZ5zDkq952NgjCjTK+OKPijcJDyG6TCK1uGDUArWOvq5QMv+jCt1hqPIU
JxrHyNSnGh+Rb4YWxhSAM5XeSe9DUECfuzK+By3MU7hoYNgQKxiC96VFRwdXl5hKHw5p6IOovN1B
u3SIA/5Fabxz3lZ1mHev6GfrpO9FHfgftW5U56MezeYNwlGUQbepwvzwhzsYxpST1h0B2MQv6Su4
iIez1JPzH1pJsaKkNngMhW//Q8Ou/ZQbcSRzJ7BYKvTkL3/MM4xGtTegANuN7pPRqiAWFSCulEHK
zD7/AYOydVXhp6fC1kPDU7k3X6gJJjzXGCDztOMft2F3pktfNf6KUFGrkNZKv3gKNWAdE7WspAGX
bn5JLYAu53FoR+M6dkH6NIOz+2vyk+nWmm28Y5S7YUmlm/S/SeNNU3W1ldfhQDYjOOWInSMxP/m2
OEVI/1PnlijrpHVO//kf/+v//Z/v4/8O/i3e/pf91n/kXfa2iKix/d//3LCJIp5rAnEEb+I6K4fD
IJ5qvIN4QSk6rVY0GX8oXVu/5q0x7viTSjOthf0XBwYYdFM1eP9YfNnlVx3wiS1Q2LK9qFail8Pc
6Rcu1MEzFVwirMz4u7YH5M6x23jZWN33x8O88+mjE0dITZiqRbqortzOqrAPElj5OEnkdXwr1QgP
S4Q7zk3Qwhc0+xBFniR97rf9GZRRqyrwOn1trzxP5dCGFhi4uenKz6qBTHZeVsobxPGj57orMjDX
Mg0HV1sdI7PVNNI1G1vcDqCblWVzzoWbHyGutsfRx17p8ae8WzHC1KiraBb/b1m2urI8NH29L1HE
R3pS2B9qN05fjUb1w8z67PXzA/GeNF1LaHRS1ZU7W6rZFjAntANQzW0OI1WBNzrH65lmOFzNx7Hu
th2DMR3btVwc9xyIu8vFCd8W+5XMNT2B9ijK0pN+SIyCpgWY4QP2GP3xcbw7IzEZz5XTxQGjw5xb
xovLNkD2jHg12PwLCpDKyezm7N3jKBujwuFTd2lUqJQ31j7XWRXMXOsOSSe+ZJ5fxO4Z+ig6ua2K
FIox2B8ex9tYGroQMH1dXdAVWm9xTYEVm6kg8lK1azzdsunqVogVmYMzf34camNocC11i/Uu+Ibm
asJ6WR7IIswn5jy1P8VlR9NBlOaPFrnCC+jVcOdc3hiaoeog+ygRsMF0+d9/uRMU3AG4KcHUKUjz
XuegICsHUOVxje85M26F0hC7UBFs4oJZbzAUD1pJY0B+BlXQK/Yu7ICOFgJMtu65foQCZ18VXVr5
j8vKX45K9+GpwCiSe9msDooeqTcfOGGtxObOAbU1X5wZnIUAbzn9V/NV6kAOx5Ch1AAa4OvyyB6C
Mb6E1oD+2lzF58frY/Mj0jk1bRsTdHXtGYzzx5D2Lksxxxn5Mg5GcDQxD7u0TfzjNyLproHwiKMK
ru7lN4Tyj5OOgCae1LTm5y7wT3Vh9Kd4DOrfGZQBuVLlE9qWsQoVkNubWjRySg06qnnoBtwsHxIG
MhBixz7y/rZmZSDySW8NuCLutstRASwHfeMjMIwyTg60eUBD5xyQmNOUxzj0x1DXgPdaXaETMoNS
fjG5Bo/e3/i0joqNuuY4hqOtlmfBAz6vR1QfdF+pcESCe07Bsr6qzhDvHMg//9YyPYHNrGJpYat0
gHGyXw5YDbK2oClmePmch1+Vmi7OoR0xOirBnL1RwzR5G9W1+ZIGWfOEK576hit3PtFud25gcsS/
U1L2/wLSzh3e+IC06PAn1zjSKPAqkGF2Lqy7HJWd++vPXc2PogBaTWzH8BJ6FkEe0oX1R4wQsL04
Id6uetnURigPIxvyeE5+ZqCPPpS+/FDopEB4GYjcIOUI6AGducx5Y1M88yrN7l+6EhZAoeCHXxv1
kxpl4bXq/J1fsbW9OfyZL1seXM7qOIZKZMYGMB94fyhN+hGK4w3g/xuS4dVOKLmp7saLnAI7HFCw
ba82HWWXuIPIZ3p++5cFYvNCYyantYuqbImk0OOvuxXMkA6joD0gQ+irnMctk9aUari0HvNA8wrN
LJ8UEdcXaxhT6vEmHLSd8WlbMR1KBmQkui30ta+xC+OaLAIzTuRcGpR+cSYAj+2XN0G6fpvw/gKQ
ottnxAOHt6CL2jeTMfAWmhNs96hG2gfFCtzTBBC8OkKpUc8VVfPL4w8j74fVLMAz1lBUcSj6cY8s
V10u56BAVQuMHFxLpwKCb9KDOz2OsrGsuJtcslpuKV1VV2vbn0fasCgheM2korJropkiLP0AHX86
P460cb5yhmvc7jqf3bBXCzgdjB7sHQkgbaL6Noe5fytp83gUVWQvws4vfaOFyEO6yhNmIvXzT1ay
ak4QbLU5Je7c2EfIoNEQWp6rFMq71lahW6hTWTzBwk6/Ph7qxvqyMDw2eS6wurT1cxq8JLTgilg6
QOFrB0r5UFOwo/wao/lBWrBn1LsxizbXI1OIX7dFW2+5VvDVQd/TorYPeq15gUc6coBl6zzVuuPu
TKP8U6tlSShX08lteD5rqwWDcU+DV5DPjZwKekFpE3WolkYhuuD4rJ0GU9VfYZal7BwTG7vBBsjk
2BbgG8vS5H//JRtN87HC7BbhPUtgRoQcV3T0w9J+evbE0Z1AnVynGCMQH11GsRWU5SGbkuTOvvrB
rMqY3gEA5Cscy8QFi9dX+s5htDl1rs2rkjtfE85qYJbRapyBrBU1CNrqpCAx9gqdEys+RhDNn/9c
4QMye7Zj6wYZ8HJ8LQ8nYAU58oW8IUAbkecIjLtPdQnE8/Gn3BoXh5bj6ia+sMJYjStBVLsAiGx5
0M8s7IbQIlZSzGo7AIjHx6G2Lmi5+Hk8UNKB+bkaFsx91e46hoXlkwi80il6C6iAKK5I0ajoLKcQ
otLBzQfeadPwb10DgMfZp34xdxrJ+eOfszVym7uMBjrnqWWtbrQmxSNKDKhm4r4rrh18qPPoNp+6
AYrsb0RyXdSxwPhwUchz6JdNwesNu1J+Admijr0AZDGEj3Swr/jj7XzjrW0v5PsMjzV6v85q2zdj
DUyrAVJRAvm9oc5Ipw0vq2NNH+cFMtLKDaKic308vo1zlCyEzJTbmGtDN5bjCwSqjxMy2qCK0wDe
LVCMLLS1Pyczu5az6++8eDfHSAtJmKRYqFuuJq6A7ODoEypOflR070Rkxh6OPPMVfY3kCc4gBhQo
F+48E+U+WJ+njmVIeBWW8o69GuOMIB0YO4TcU/CqaB+7SJtBsQqjPx9/y63BOcJhRbIubc645bdE
Dc30R7Q8PHuymk/j7Oov6gIga4wr6echdNKnblCmfx4H3doKlJVRFXV5xJmWHPyvC7TORWUOqCVA
hxmPxaRMnp0q8APoE1+eHYpqJ5UYaoGy9LP6jphsS7YZrQMowNoxpEb5RFk5OaeV3+9cgRujokoO
1UkVvBRJapaj6qAwQcxqUIt1VfWcgKmkFZLaSGA7Px4PamNxQPVjKZIwUYNRV5M2qr7fJKXWeAaA
ktc1xtUjfM8cn87HcTZyM5kb6TZ0OYoj1uoAdUSVJzHytiBdaveaKo5yNrJW9UjMaXjCT39r9KAV
Si5BjBBE8u1x+I19LoRqAymhT2ZTn1l+UKfOOysQBvtctYYPwlfn9+C5kS11+vxcTbmyU2fd2AsC
v1Pq4lS2DGd9biadD+U4oaOYYGN1iXRX/GgUiJ0RjX1ETLCozOKhefPsQXJSIwFjGIaq8nxYDhL5
Y4T7QWl7vYtAXYFSxBubvvQZTUh0TXhH7szpz6+2Olm4ClmfjmGxB8XqyHbTYaJL2iCu1iXJNyvM
xHd5sH9TBbROqFM1Gu1aOIYwmGboHuC4go8ZdUf7+Hjg91/bErZLHmGQW+Euvtou0DiQcIooj6q2
or/DODH9QSMCF1SoBy+RS7DEYYJfY+5cw/eLymJR8VrhBiawkLv4l7PHRmM4cjBWwsMQ1zGwedMR
M8rkBUyWf1mE0c4oN8NpjuwsuZrLVbkMh2yhBnMJeJPUAfwIgse81an+hO4ViCIcOkvx/PHJL4rX
F0R4jTEuAzq2VCYuhgb2j0JXMmbDfpg7077Flj9golm0OyPcmEdM3YgpuEdIVlfXo1H1UYbTEvRP
N2uukVGiYI+9w1Hx/eQahop/mxVF39k18uRZLmIq+ZznvGl4tvGeWo6SsmxB84itiq8HuKZ6xGgw
Ic8RWln+Y4dV9U/cNngIQC/a2T/3p7yMbJMP8AC3AV4tI5uoC011ZXFhomF6ovMsbrXh6E9o/RQ7
jcKNtUPdVjOoxVHA5RBchlJ8PS5D0wThUKLbWI/TfIJfDcx5Lj8UPm7ejzfk5siYQapJ4OpMa3Wr
JJkIlTkCdALNOT8X5I0A/H3ljHxOuvMRt6ZPo6zj2i7NJlWsFmmsj7A7MqkhM8P/62slOJlo76Dy
bXym8atfEDWSVgmjspPLyUNluW54DBPScUke+aKrxZoME+5EWd1C/qCqpOBUdI6odOxsifuJ49VB
0Zh1yVFztwd7DV0SyN+t1zQxsjrQAY4I0ZRn1DpRHcIdZudzanIlrIcl5JOMfpNOTrzaDrVaIpTc
Gi1YZ0uKgCrxZcpC80ShvIckDpHmopYNNAFbza5VlSFXGrntqe0DA2mPoXqlIqz26fFyup9jGw0/
nQIe/WZukNVyAnMdQL6Tc2yqOXqSWaN8DJJ2vKAVZH9pW4iY13g0UMoGwc1h+Dj6xhS4vC7J+vgf
jI3VMe8Ke4SWC3RBaea/AiSQabdgND1BZuIIPD8Odp8ncQppNGfZN5ZBXrDcqPjtlIgi4lChAuq+
YsqF0I6Yh6ufYZtLJU3ciiBDULJr2/hkAUB4fhVYsImIz6+wEWVf7SfVqvH2yvPOK9CyOMN4196r
VWoc0R5qdpKk+x1EKDIyKKRc3gx4OdZOcg8SC7yNPuYwjquwvUR0OXdW9EYUUjDelTI3oBWxmj5M
haCzIzzu6Q5M3QkHoBdoCvanx/Mm/8py2whZdJSjgdnCelmOpUC4FjnpEY1Wqek1hUZ/s7X4qzHM
8+U3ItmkeAYPOupkq1S2R7kM4srQe0NgT+jTxC5aNf5NOH2/E2ljLVIx5xGioVRNP309P6GDNY0t
9WNg7jbwIzrrbI768ErTqdIfMqNJPmYTjL1G9NWXZrCfXzpGgQ7EkA4swaa/udr3iPRS1clAUUm8
4hNN8PlUDGhTJupo/sb8/YQquD9nb90GRAem70SnIysRxNpTJRL6c1kXv0XxcK8fIT/beqkIRiTh
Kyqi0qsF6fgYVWkTPMvKmI0PaN6VX0rF1r/oCsjeQ9867jEr8uLZ1xW+vADXeFBqVMzWk4lkzzim
gdl7I0jKl5grlUdtcK2dzba1DTC5o/onUQS0b5fbYJgwh1ZNZNrhGqINOhvotRpz7eHn9/zSFEPh
PcnxQTuVOuAylKbDVQZeDdhJYFsiEGo94YZnHQIDSZbnbzlZQZHQAfre1mrL6XWDMVBv9F7lN9Nl
dlHHDmkPn9N+/PY40tZhRfuNa0aCqmhJLwdlt0bmzimOG1Vddre2bmwvd8D4P46yNUtcqIYFqxZl
TGt1WJWGT8EvhnVZOViHoMyPHHRtVde5Lfqdy/MuFIMgq+YljNEXuJJVljSjtdTYHf6uqtWLCxYp
07UaOmoM8I9Oj0d1t69kKL6cTWmUTNdc3VwKZt4wipA8SvIsuAJ8DpAhasO3+LI1f0KSR5LA1SSr
7NlhbbJcLIZoG3DLrE9JGtisgxI/TG4Asur2K9aJ2iXNEv1fZFedAiEoq9rZZ3frhAfDr0FXi99C
DicLwlEimU2d5HNqz1M09NfHQ9uYPLp2LoMzwMyoa+xRV7vWXCCUIDtoxg2HowmLJOzc6grZgceh
7lI8OSCwkvRn+YwgJJYL3wdNEhljIn050xFnNpRdTQP9HfAKyqXsdfsvUrDkwyianR13d8mtAq9W
DWouYOnNcPbaVhvOPAERL4os+JnaHJcvEFsPjwh5QbvHe/iJTnK2sxc3Vq0t627seVomlKKXA0dj
b25rF6cTNcSD6hCpqFoegzDNn3x0AWJ4GRWaIBO6Frff+OI04JGdomNGsrkMTMpVaZi0I/vtoz+g
R67zVceF6AL/RRwrVcyXonadEz5y5U5BemvIdMapBnL9Af9affKhVFwt9ws5ZDD8Hhr00fCEnLiq
fJ/7XHnbh02sUMEt6u+Ph7yxa3hE8QDmY7sGoLrlkO1iNqsJARyvQwNjPsUdsl5e3OZRunMmbAUi
6TRIN10wpOuWG/eFXjk11GmbOpS01Zlq/2UYQlnZmcTNQJTfZONExYVxNaKonYWZ+okqhZFxcC0w
YZibfq8ju3EOCE7w/4my2pxhglA7mh+qhxJIexG2j5R76EoVIvHsmgh4L5J1WiPwMunLrO4LxKSq
rA91sDZ2of8ZKpP2Tu8ETS5gRMfHq2FjGQqyWqzrbdltXsPncMtx3Dz1VQ/ZNyT3EK5EGnyYbrFo
xlvdjiD7UZnaefNsnHMkLOjdyPwIbMgqlVBFKBSctjR05rL6O6WXv5FFnF8PnAwvYd/nR2uWBnOu
QFn+8XC3JtGWJS7KCRT810sFx7ugzRJWSZfZ0wVGOm6MMQQ/HZmd599OgrRd4iDJ3+8wsi7NnjqA
3wNPqSkuRZmLM2aTe+D3rQFRLQS5JyAuOuuGYTjUTjfVWLmhJFWd3VlUt7YqzCv+wMZz61msSlkN
kXBOwct4dUi7I5Zx2HzpXm3l2akIu+mM89d0gc24VwPdHJXg7FBJ1S1eksszik5NGUwKowqVrrwV
4RBcEUBHyCet5p2rZzMU1x81RcqCtCmWoZIIfH4mUt1r8MS8QVswbyXuKS9slkm+s/q2NhszxYGo
k6HR1lrGwjUhblubL2gY9b8JBMVr1MKTS3DHPbaYRWBcPReXxyte3iOLhxazxlPnZ7mcWsoaIFAC
bw/ykeN+cmWnSauS+DhVQ5bDmseDEQHqfAfdcd8R+RkS8I+lcabAkF0O08K/Ph9CoIIJSsnI01Fx
4DRzzlFooTkHoVA7jxGO8rCyepxTykhDWGF0tZ2Z3TplGDYvd+Bd9GZWp2giNCyiwgiwW+zobxW8
WFQAGfZwoYo2fM+L1oKwhCJ939TGXj58H5tdz7GKhx9VfEpIy09QKoE99pOPU1cRV8fONMcEdbyD
7p5hJDXHygyHU0sF7/R4su9vQsJaGsvYlNir9fsWhj7lrA6SG7bq5klMsf8qQfHu+jjK/ZaRAYB2
84DmflDXg0ucecJDbgQ461s3wwjw0ULf5TyW1ZdnRxImB4B8SpOfrVMILNGpzY1Ch5No6Cc3mcPL
4LjVRZsHe2dQ93uT/rlE6To2yIs7MFlgR5aSNxE4fBdFdSMvEA5XFXSocsc/g35VDgL1750D4X5z
0m4Ge8Ezlzco3Y/lMukE7O3OAqwHYzO6mhW2tjUOc9exhWrbRICGn/s9ZRWJVzzPQ1pM6++Z90nS
YD2FLlY4d5B7x5qDoeDR8ZQBptlZjPd7YBlMLqNfOoNl54fDIOFCom7RoHYaxCGCzjiqszXg0gtR
XxQG3l8Yeu+UebYi0ztjldq41XKFLCMXqtVaAR1PL0CM6bMTCeilJTqnKJHiFzuiWVrVWBxbmd7v
nH33E2pzQ8KZkgQStr1cZb+MGZ5tkAcNnmqc8Dh3gIC9jVoKYxxl5fdJVs07C+h+KxKPpjNMFQJS
blnGS5FrROnHnbDO0d1XVJdH3M9C4xiY3V5l4f6jCpWjRdd0m4cwXItlKERjxhlJjOFolXWPmUDf
tJ8iF5F2rWuTDnrwaP2F00r9MsB+fWcp3X9WYjOXgJdNyihrFlU6aWinjgXqHWVcvveN2L/O2LW+
GAy9uYSq1u1kxfefVeaIdH3JdxxgiqtnIRY5o2JHYjjWRsWR7cbjAdUMnE3V+uvjHfmzv7m8n4WE
r7q67KPJBtfys6ZhDRfdDaYjXrGoMQ4Z4KFDbeKNCprP6D73SGO9tRHUeQPmdkLcP6YTcpCK0JgS
4Kh7GNLM3mmU3l8jQufYVUmQ5QW2BvqhEdWpgIT53L6KyyCqPaFnDPn04/HY5QW8GjpULUtmJzz6
704/OOHYbGlmD6jfR8E6A1V7BOFTRRcNo1HgZwZoBshQzhFpztY4ZBPyeI9/wsZEU2aR0anMofkg
F/0v+9V0fXRiE4dFbanJE4lBe1VrS30BJt7YeaVuhqJ5BsuGkx5c7zJUExvkHo02HPVZaTE/y0PN
9MKmQeJZGEO3czBsJGFUhnlcGYDd5NtuNbKwZyZUlEkQPBqU3Ot0DW400jkvDFipXt9qcNSNKbpA
CXZeN3MdvA1mbY/SuTXD0GPpBjmAtCH9rMeMVKCuFSOGQpr2NOkGxjARXth5NiNLiP0rgpa6ckxT
uPzkLt3Hx7O7GZ59xeEBoxpe6TK8mTZ+mHBwHPMsp5dBXkoLr4cD7cTWiCwi6PcUWhoVbXZeoYg9
NPXWlPMmAwlPcZ6X4GoOWhscRzfW4zHos/JbiUXhJaUocq5i/TdOSC4e1jK0Tyoga95KoHVOq8/D
iBpKgmIGlsnXYbSNM4o2EeI2ent5/Gm3hgbKiDYtXUuNlGn5aWNcMBNTsLyq3h0/2gQ4QmJsX8Zl
tAfb2DqNZCFEJkkAu9Yrue1UnCIjgI2JUerFLcwdVJVwPsNp4PGY5FG7Oo+oR3BvQ2uFRLtmtYp0
6sug4IYrKsN5iRuqdfIL1IaKrp0/tBYC16hquafHQTc+JBe3rL1IGIX+E4rwywmEnKkYggTdPDso
B1zDMAc6loZ0BaobNL52joW7ixT5AbITUmmKrQZp4HLaoMWnZtqJ1muxjYgP+ZC5T2lbmn/iWuq8
jpWk3jnj74YnAyL4p9HIgcm4PvXMyaqHqQBJkaSzuJpm+1FTlPAaRY32O0MT8lkiuLkgdy+HZoZp
WVUDkXCTKK9lhQp1hE4Z4n7qeOvQ6rg+nrh7OLwcmuzq0FEHFr5GcyKrH+ii4lvmGeISXaiGX0ba
7y8Ms8dGpB5FBF/TnP9KozF+CRhSea04QXxF7q17dlmLnyIxcRBFBBxpZzWtTTXUvUXrxeNfqjep
nxlH9BohG9gdqcvjcW/NKC8IznOI7XzrVcLSa5qRzILvXNJ8yaDdImNMywktSUNJxvePg91tSQYG
ZgsFAipOHOOrRGzEx1CZbYJR+Zz/jBAL/lp1rfuuCCNECAZ7BoACicr983HYuyNHhkWMANqaxBut
p9YUDX/ZQiEwG/3pjBCNj8tGoZ4fR7m7nmQUcmn5wgV/vIYdG1GHnHxNFGQ/h6M/INTk41pxwHYV
vQVUW578No2e8OHojr6F4tLvhJf1CdJq6rCrDaMEI5DCwuYsQMPpko8Wmn/9hKTp3La3WbTzi5YT
/eKix3fArd7f2T/3U0tphl0jOUCQHcxVEbgexipuTbXHynKe/xx7/JD8VlCdwiO5xDjHF4Ny6Auh
7iQF9+uXRhP/yN4yC9jSl+dEDl4J+WFa5kVCcL61+rax6zeoGqtfH3/gn4WuxYVC9clgV4I4JA0A
tbUMNSFEZMRNSLqVo91+GlRHeatFZpkcwqlO/lRrW8evVyh/YZqUv+mcEJ3hCC9tJInTr6XWK089
ym4fctUvdpbe1seHnyAbm4BbQZoufxlyjbmRCPBAVuxH8aHBoutQ9wL3VpSFQ0wLMG5GYH8PGXG/
4tnMBukQ350TxF4lZC2tMGHWGIy7VHOrQzEjjXVIGrv5k2aVZuMrFMQXoy/7v9AVnoMzitJjs3N+
ybNwPSkAoFQJItbAXq2OlDlrSjEKjKTDoq8ujZr2r6OgLT/riMl9RMfj2Ukgi4ADzEWOgwyYlGn5
qWeBqRZ0sM4bMry8k6hKjvhQdp6JOtnOltpY2oxIoiYAZAPnXQ0NX61G1NKzPuU69qQ2jedTnTzm
iNPsfMXNUMAApaoJgr7rGqBCw9CuTHBqqhu+xmWr07yMhuZLG/3/PezhZixZRuURAdHNWX1BvRf4
3pdG5ymZrtUoig2ley2SZjirbj59frxpN5aH5FuSQ6PHca9bFIau7D4TrKxohVNGfR0jpYtR2CCy
I71irNwfB7y/ayDTQT0B4UWFg8tguT64BSKjrVkfYkqH17PPCaiVnASPo2xseLngqTUgyYQ+zCqK
WSeojI4Vss+zHo1HII0xXlZhlVAPEy6WGLV+iksf88XHcTdHR/fLIj8xSASd5eiwo7ZxZqo5aHxF
ymlGRXSBpInQ4+M4W2uEI5ZnJIfaPb9T7WhDU+/svFYW3hoKcZdsMEIvMoR5/I1Q8q8ZtHDI/1aH
WFKitj1ErBADcz6PLEl7kfX9d7PLnR2MwP0jXpIceIrAdmCnkbAvv54ClceB089h4SDnVptN8U+R
Uw/BuDO5FbNiP5mt+T7oB+1bjAjJF5cbZefDbk0gSQp7AmoU5/NqtCMmRa2rcVOE+CJ4KNfO58bp
91QyNi4GRG15AlF4Al1srLZ4OYRZQTO493CrmrkGBv/WY8d6MgoHEb4K1DP6yohsodt7qQxYyc+f
UhoZQOlcGBDG+qFulDW273QbkNfHtWhUkuqIGCWFAXvce6hvLVRSWqkHRe7B/C6ntMH/D23IAuRq
HiOnWE3xsbfALozozO7sve1Q0CwZlzzPVlMHzzk2KhUl34Dn1je1b8pPUub2BqTV31mpG6FYHeBj
aQmh+LCm5aAJYubKDErW5xVyNCHGnpRRDIdsaNydBblxQFPpBOrImOQlvloqA3qoWpjigYNF2nCO
9LaPPAxpEPdv9AJWcmKOt8er475Gy5sKSTKI+JQ7KCXJ1fvLG73OMHhU5b2a4/iVHrJ0Lqy3nTIM
2qloxuq73ZpR602CZsfB4EH/rsqElh9DrJDfjIlvBCccZ7Xu752ftfXRwQ7R6ONtpGlrplCMcY1C
SYHrHtr+WRnspDp3LU6eNw6N8l/bwrHNm2L66J+bcLBf4dYeDdxrOdIfmomtihn3qfE0WqE4GyON
yQ8t6LNyJynZ2Nqy10QpmfY6WcnqBtCQj8EBNu48nHGno53j3h3Akj25VfImqvrsxmWl4YdVdWfZ
vn7+HoCeTU1M0GijaSlX0y9TVwiLd7mNvlUZRtGhdy3lZRRo39QO4urj6diaDYPnjMQIWpK5tYwU
o8asVDzVWIHYzMBMafB6RcXYmuHkPw61cZnLJyOfFdgCkPRVKBTtwhCqCCllWE0vyzqYSGZrzGfQ
Xg0ulT7ZnlbVeywc+VdXiTPKaPCYmEZIRuveloiwaEKEqPeweUPTUx/TP7GNzHdQJhvLhSiCLAVo
Jx2R9faOdC3uTUrUmtbhXzq3+suwSYy/3TgWZwW1yrMoWvsY4WaFinxjvn/8aX/qra1HCY9KEj9g
rcLVXU5j1KMBnQ0Y6rW9W5tX3ffRFkO1xp8OPj0R3/OrLvZPOHoo5skPi1bKgIvm39gcpx+p1al/
VXlYXYrOiM54GIe3gTLpp0ZJIvsUUN1rzjjZ6MohSsOGKtHAYXrC8s0uwa42WnR1rHRIsQVS8lOK
tGyxM777NymJBLVoysSQuKmUre6fBLXu1iY/QpfT/RyV/cX1bdzcsNI+hK7inhMnSw7DhDIoVh80
9+SBB/fnaxbZ7/I2uJlW++7xJ5cHwOKLyxVlQ+OQFZ57VAze9ZUmOuoQU9rGnxOeLh+xMRpvTYMX
mGixlVWixv8kstQ6P458d5X8jGwAzZbUDhpRy7kusTA1cR9rAeq7Lo90tzmbDbqdsz+JU98lzc5F
cndE/Nw7NCOIRSd1vW8z6ldlOFmtp8J/uIyjjg+gidZUC8NjJ9/fCkUDWnZqHZLvdQeTV24MWt+n
5T4mNbZ0Q34xzVk7Zey9nQt5a/6g/tEV5iXINbTaMV2uW02U9S1Jag37MBGt+TeOcf6Xtk+bY0zr
G2ObeHzdTfOe+N9maOrLDjkOcjLmqoxhAN+B0TwwgbMdnuJKN6U/BRL04xA84esYeKj7IyU9lsHl
8dLZ+r4gdzWdTE6+gFfHVKI0ITrcLbW7cp4PbarPaOfhPYzo8R44emuV6oC40IYEoAJUeblK0UO3
YsudWk8PgNFSUZyOoxvNB3wY0+Pc2/oOemIznhQtJZrU7lpd2JQkmWT6AZ6K3Nspi/PkVJlmiWdI
2DzZuNTs5I6b8Xga8i25qjmSluMj9YrHYY467qxkeN92lXtstKa4oQaPVRcUw52U4F6XjG0IKISn
FW13qeS0DKgrRUVdPEPFugV7hrtWnFXnUOktzTM6Yb3JYjuj5+yKjqvHVYI3hWq2w1s17FBfd2NQ
LQecQnMHA6fOoXGJDfQX/qP+AU8ZvM6fv9DQBuXIgM4heWjLH8sjdNSckI2ccOOf3NGJX/uR9ElA
0v3r41D3z00+DDLKvNRBW/DiXO3kYIhozJYKLRRFVb6yZ8uviTmbV9FN2re2xpQIK8U6eskpYL83
FWf+V1PrztmZn62txeua1UAdBviFsRwxoFwsWRBF99TUn4+d7sR/T3mr47vlqOnnx0PeWnvgoYAJ
or8naZjLWGFgpBhywF9uO6N7w1XUdgc8FjCV4ZGfYGpd7gGu77IovjGHFXxwg7Ir9c5lxCpISk3U
EGl5zCsfgbRhfhv6O0nUZhBZLgNAS6q2Lu27yETOg6DRnfbK+MlKFPsVLov69fHH25ooyUz87yir
5aJpdZOqTtF6PY7jxxCBDy90U0z2mtg+PQ61NU+cEFSw6FvSuVzd1Ejy9iJrZdbi1NMTeYT6riAJ
/1qSxRUHZeLU3bnVtgZHJUDiUjgDwQUu56nXQc4q6AR4WoligJ+I5hKhN3fFgCzY2eI/L+N1BiQB
8bAlVMRI1zCJWXCUjwY3aNiPRniy2sZ4p1PKsc9uGNUflAEDAvT8qjE6+Sb2difymQCTpTpvP2lK
Pwm8VKRZR0gr2cLiuh3zU67rPV7WaWkb8GlS7W2MCwRluFRPbvHQKeahN7L4n8FEPA++pd/oO1O2
+QEZDY90SCZ32M2GObELy2k9V0j7UKq459ZIVEzElGTnA26tDkq1UioI4RSKEMu5Eg6m0LlFBomU
93Sq+8z6Rl0McybbUo5gxPaetFtDY+9qNLQ5OXjyLeOF6mxgkDgTT6emmSsdKZzIYjIs/3eWIdgA
kIRIoyPbvwqlIddMrZHOrkj9yAuroXqKJ3wkmiaPdh6wG8kUtQQejyi5gI1eN9B7S7F7c4J138F0
+dfXrbQ4lObUe7aqVC9Q58pOQ6kWx8Hqqj289MYX5ZEOnBg9eziZa2VFuEIJ3kkQ7mcd0zG7stpr
oswwWrUhOT8+SjZDwWJ1JDTURGVgOXkCXUyjykktoij40beFcdbLDh/aZtiTipZzs9rWgOgkvBd6
KctylUghN9jOscp1GuRKcYozFCtMq1RPzx8PEiO0D2giQ29erRCOXlfH0oHKt4U3D+7F9fC1wvWt
53FZpt9+JxgXJaKbUs10dXtNbqNaSkSuZkdzBOVyaF6kSJu/HotG+/Q4lPxTd18PEKaUZwaht+YE
jjMeAXFKPUVzI9x19MK9IATdnZNkQJ4S9C8VaSyVHwfdOEkkS1dmH5QgeDgtF0eMsge+fwQF0uI/
db6rHjtj0M+Tr41ej0n0zjNta5A80CSS/r9eMct4GFNNQkRc1Lx/K1Q9u+E9Hq7mleUEIUmd6uIW
KUP+/Iyb7FcWDSW0np7kMuo8mo1F5Y1DhXzwnAIrOyOOOZ1DK6oPQRc+WxcCWR8aJvSeuLmpA65W
TQLGsohkER9qXn4C56deC2X4Dllpr4+w8T0lNx2kIcANqoWrkcnmQtsIpeGec8wjZkf6F3ymdPVY
qCoWVeB3legwtrr51+N1s3F2kmpJQXh0omior9YNh6lf1TKrG2tjPDoxRu94fxWvisycvRFkHD5E
VkjfJqt2XmtbrxnSdSTIfgJJGPxyMmv8lt2661rPrtvifceOeaV2c3+tEi24+jjc3aiyDm+wnwhO
TcZVJWI1O8ddW4BErdt3CC1j/WrayvdyUmucI+Oiff6u4oDiR8J/l5fL6uuUxmh0WI2SS6nacFKs
Sr8FhuEfcredbnZgqZfHs3EPzeKxBJ+Yg5d9jKClvvwmRu2ElJypC2gKtXqvUQrSpUTPIueKGd78
Xpvyxjx32Jm+oDyL9e2gJH3smeVU/+idnkzi8Q/auHP4PexxEN4yYVjNkVYhkaar/J5wxHstxf+W
HpdmovIJOPVxqI0TTOIJaZRDCgAHsPrWsH8mCi0x1QI1r8PLXPG0PEzCwBWwtLLwdewaWEE+jrm1
67hLeWlIbS0EIlafWwRqphd2w5vGGnhKzc3JwOfnWJTF/L7RYRZ3hqXvDHQzKPeq7MlwlburZ6KT
pdVUB6gZJkETf0n93vaU0qleOGUWeoES4AqtYC37eKRbEwmphLHyUOaaWF3pThtWuMKiVpYJvILN
AW16g5LPRW+VcGcRb4XilMcWhAMFiNbqKFNmkYZWhShlXBi0RHGcfDVO7j+mi9HW40FtLRnyZmm9
o1GBWYNCMRVMh1qbGtiBdni1miF/wvnlq2I3wdFteSQ8Drc5MIlUBDoJBuv/c3ZeTXIj55r+Kyd0
Dx14s3GkCxSqutqQQ9fDIW8QJIcD7xIev36fbGl3WShEYVtzoYiZFpmNtJ95zRoSMHchSQ4Jx2Ee
0ENRrbI6pKUhAl3jv/0HQ9GKkaPBtFpLzRaO3cMdiQnUNbbHhNfmkdT4z6q36/9gY0gAJigvEFU8
P5dHQHfDwcF7j4ecLA3olJd8wbKW+WuH7OPtj9oq0wC8gUQAsIiHdd0s9xIsonOX45YMTsltQmkw
Qb4Pc00tCZZs7E9z5yqBYzYx5ZOivYuEY+4kC1t7RtI7YRbQXgbBd/m9nSsa+oo86ZpbZodmKYtv
eu0IH3KVHTTN6wX0udERzufQMb0Qq1bX2qhmoa2WrGQcorBkpvgC2MpU+sj3lDsv6tb+lOg0qIAG
9ad16Ry22Ki5eB0f0GIujxTF/qzdqPlQA/rYmcStqEF2ReFvv0jQrG4TiotiNBCUPNjS4Dbx2uJL
OIrqiQpIQRkqWR69rIxkTBHt7CGZFKyCa5JXAlxaQOyldVPWnjLHrTtKN/FQaJ/LKqmBdrjTzkzK
RbkehV4ojzCCBmusQzcAerJrqja6OSpnoADJl8Qo67vaHaejMcK8IHPSz2oxqPQp+mQnKNtcSAm9
+9fw+qp0KjATtAuPjyyM2qYRPlnvZk9Dh8lsk/PtM7l5HFB8Miji6PSTVitZ9JrQmojjnxQTdoNz
quGAqAwmSlr0A7RpV3hxc0A+jbDaJtZZZ7FKmvQLn43sKkqIwNRmrI5j1YJQRF0ba4094sDmVpWj
gSqUt/bqiU8t/DHFIAVCizh/68VFeDcPZYYta5FP2TFsTeVDuvTdh0Vzq50H4wXIsN5HRHJ4LlGt
BwwlF/qXJr7dQdHX3YhCI32WGS8WAxXGpViy38E/qPo9CamjSc8gdI7SPrZ5nfMMw9YYdmLT1Y19
6NJG9aA7AIn0w8xrK3/Cuxhpx8bR8UHHefcz/tyj8JVwQDL39ubY2oc21UiJXoSMvg4axtxyl0Rw
oQxaZR71aJlQOFPMuD54UaO2O3HD1kr9OtrqppyrVCtTnZtSKE50shvU3Ic0Lf4QSZE8wKCLmChH
O6hKme7IemztSUoDuFiSMSJat3oDR6Bw7ehRicCBbjmQoRVndTIQscnn6uS1dfzu9rxuXS8srwat
lWyWq+JyW0RLkRazQvsWzLTyaJgCIxvTnmfVzyOoPIfGnLMx6LU+/j1lDX5Ms4mJ/O3fYesilVQB
rmRQ9KggX/4OeFnFip0JMDjzYjzj3Oo9R26xBxq7RiXw/JHiSUwvbgfYXV4Oo7OUadhSTK0q5IJQ
iNTTPyMxQhVVOAaGH9rhp6IsoHohmVkEiZbHP53QbRLaRqJXqB5GNFTGaSreKCVaR4HW1jizjIqx
9L4riuVr3dddccDzFQXltFVCy09tTMN9XdGK+i12rVpyiHL0eYPR7ZpXw3TYG3RTqYNQVkIyaHV/
Ok2diSJkGieEWX4b3JCzUavZqevUnTd34zDytNMtxs6S4vS6oNosjdNkNRWXrLFMv24q60yYhfYT
WtI7e2Pr3pL1FSI06tJkfqvNkRQjEY1LVQCaaVoenLqew8MS5fVXzOGV97RZU8eP0rzw7qFPpwZa
d2b/qXKN6i3KKja72YpGHKQteNf+wqPyxqVUJvxUrXtsm1sxvm9nJhWLX9Ord2JneVpXl66MD5A2
l624KzFPSL/Z3KaUg/PMTI61Ms/nvLO/aWHiPadhHCWca5jCO3flVuqOah0lP9nWl6CQy51eO7nd
JDEZuDBy863SjlZAEwQD+YraSX8QuKzhsj4O2cHNmvE4zIrn2wKBOc66/tftw72xV8gupbwi1Tn+
kYf/l3cH7DvSUvjPH+AaGt+TeNCPWiNVVNthxnv59mAb8+0CcCNbkbhirs/LwVyFSoTmDrywYVM+
uVlnHIZ2iE6kfzUkNr34algUyG8PuvGFDEohnIuFcHDdaxUOzhumWGhwjU0eVH2v35u9qh48rfsP
+kGupG++POJU+Fff16jDoreuaBHaGYojdrJGMGDNfgwN6iK3v2prKuXxflFWuwa+Lq47WUVO227Q
U+UEFCY/tBCa7uwa+DBubvGjY8bdTrC7NZVyCkkdyKWhO16u3zK6dqRLEw63b7SDmabdyZTqPh0K
Q+fb37c5FGEf//As8O5cDpWPamLhc4XfR6HHd9J//K7z6jFAZ3wP9LeVbNJ1hbsCVQaSwhqCniRq
BRiAMkSZcNIyRDcONIniI9IWRWDnUg8CR/VjmtRTgDp15Ktj1u5Mrbb1weghSklVkEZXGoymU6v1
EKL6v8xF25wqlvUTRYvoeRG10/kODP7CrzNcnc5uO8B7nNS6rv2i63L3YC9O9OhoEw1BKoD2/VgK
y0NoYJqfby/LRvyDJg7h6UuLH2Hiy2UZ4qbKqQ2IgxtPJU2feDkavfHcCi1/CD0r2qnib0wKDDpk
v6j3ERysAaeVOoNjsalFAdjJf6ubsIKBGUZPdb2oey+Z3Lyrx0BS5pDrRWCINGcVVBL1DaExUXKo
mym0j8bs9IEuTGM4WENTnqeyqUbkBcLxTjNm5Q7ae1T4tmIpp1dPsbSdIViAEYFaxuqQ1XbcOclE
nqUOcxxoYw3KWk/mo+X14rEqm+j32+NtzjEQOknPQT97jYipVdKGaSFDN7zeBmVGzE7ho3sYqA+8
OjAhw/EM7i0UG7g/VtFzNc2a3tmGQGc09874o+XYlcTqqWi6Pdzj9VfJoRiE9hqkB3u1UduinhA7
s8WhV8vpZMEc9tUh7E95uMsTuz4TVOABidCa5CUFvXZ5JmKPzq6iK+KgFqZ9VDFEvydmxv4QjvtB
n8M9ibWXsujlTmUCyQhoXUktrHVSEJemU9FG49uo8WO6OrhWdRoUYVr+wBn5ba7nRvVtPJkQ87Y6
8xEdA688Is4StX4cjeQQxhjlgx86ZZEd68I2HtIiHP5M3UI/hWHSZYGYJu2JuRuzoNaN+F0UoVZ/
vL3zNi5eaUUk5QNJqbjp5SL+EnyElTLbasbMZaY5/qSsX9xXTpvdlwV8NKSeu+6IgKd3h1aBeu+5
ofrZqi2xh03Z2irQxV540GyVNbM8rqquLfIE0209Tt6xS5K3qWXkvjPW6d4Xy4r2auloWdAgxBlJ
ap7LvfTLF3siNgxFXmiZPVtvymmkvGB0qXKu89h38/QU2+b4ZNltdYwSbzghmXfSrHJPE/Y6epCS
mySw4M9flFIvfw1zNkK373hdjchE41p3+rspx9NiFC3Re94l58xM96r9G+eEQBNsNoVAKQSxWu2a
5GjKW0scPOFCBnKq+Sk0kvbt6GWIK6FImO8pxFzXCRCbAG0Js1Z6q6/jldFRyyqckCVvcgWsQKPO
h3zUxZFuIf52+AAHdjKqgTPozafbW1uGzet1pnWCDjstFAn1v5xgyoJTPdYU4uYYR9S6rNI3Lt7I
O0HSBtKdD4RqJQUXZS13NaVN32ZLOHlcPWaD2kRoz9W9286zrBkTImhzPutHRTpqRzPl1zRR0k9j
kWiB6mXx+84d8uokwjg+LbHh3t+ego1jxRsGdBhnULkMq/dUaZMs1ZOMgCat9E8meNejEwGACbSQ
et/O6721oem9SqIIdib2GlzTUDmnYsZgiooQGz4m5iHuXOe3zsvCQ6PwaFtUynYG3drQvw66yuit
ploKW43pxPeZTX8CGURPIV4w7VD/baAFtBMNXW9njqxkSgKUImtd5/WqOqboqAwC4z1vvgd3Jvwm
FMqxEtni9840HilgmneRuuwpuFx9Kf0IqDgUgaiLEpGvvrROnNmm9w8vRsHt52yaIiqg2QoX+6Rw
meszamLRni3F1QYiGyUMInWDNwkybNUdDJc4zecI1nAP37q403ujfbJEiNCdrYV7N+LmYNBhpN4H
ddiX8PyXi3lusw7lnQqIEbj3xyzXrWBQMifwmtL5dPtgvKS5F5cDIj9UG2ikUabRrmSyZswvi1Kd
hyDBAXPU/Cksvd6fl1J1TkszaMtx5A2u+O5i/k73xGpPVp6ama83nZocx0aFdtipaR+eMrVs3+IR
2s13OHRo0WkE2vLnEif91151SmD7aY+IELeevbxXtEgJgVRGg3u062jqHjig1RuUeaL8kPBU7OzX
q13Dd1IyZD5fEoZ1c6KEsJU7Vj8GXjjVH9VqfIhGpX5K+9x5yE1rTwb2agm5biVARVbXLDqh8ue/
LGHWw6aMARMGotCXH1anzg8VakBfTHSfd75sayi0U5D2IGWkpbwaKrLqvFHK3gz0vqzfG4VWPHZ0
ec9YbkTfbu+Wq5uNr6KLTPkClC5Q+FV02bcx1ok9Q9V9Pz0i+ugGWrfED2mOXQTleP2JFqW5k41u
rBwoFrRhmEkALWsCqrHowgmr0AiK0i7fJ06C4nKJSqAYcWftuj0CwNY3/jrc6qSX4OukKIIRLAVe
KufOjdTJV5eoodjboqU2AAyc/NZ8PbCQyQXmRpWL1xN4snG5ZZLJ1UOzR3F8nCf1S4aG8B+NGjXP
eVYsO5X8q8ubsAcJGkonvG54TK2+sdWcMI8kDqeZF/XYJo16mnrjr8WMk1MxKTpaLU7xV9Mil//q
DcTADkaCLCYZw2oDWVgWQ4ZutSDrnOa4jLryCQ+vv7AzHt5OHS5/9qyVx9tjbuwf+FicC+kRyx23
+tjRrR3qvow5hOCUDmWbd28KLOmQYdFNEZSYZZ5uj7hxIl9q0FTdqJ3Qbb5cybbpYq9famBOXWR+
0dSufTubqfe9xF1iJ4vd2K0IBbysJpc4cP3LoZQcd/KidYkbq06tC78TtAveO13pIMrf6fpBF677
bqxxrH79N5I7gNgnTyeDkLP+ywWXNCgSG6gcBqlmLMtxQKP4M5GtcPzcK8QObHNrQtmsL6QsvnXt
JiwcvcsSmguBNS7T76hftC2m8655st1k3nkRt2aU5iGtEYmVuYI0gouGYzpbWuB4oWh9HDqGx95b
BC5QYM6OeC9QQx3zfqeZd9Vc40gSLILnoqXNuKuohlt1SRth6ihj1spwP9NBOjthhLNxM0fYlUF5
Mz8URKufisHq/ypbBJNvr+jWpQD8V7q50kThF7lcUbJMxxrbxkAaXWijby+a19+ZVW59yzOhEuKN
1TGGHha0c9Tu6dtsfT4hHa5bFH3kHFwObuhTP1X2aARWGJf5EQBd1PhpqDcfMw9LR7MKs0f40HaA
oMUAFMV8NdKM+YfRQPOIxpF8Ri9/gQwLGIHTn4GzoFEGg9upflJ75lmpl1eXgxhKSghI0SBkWtax
Qaxlaex4THQxxlGQx25/VyC3f1+Ai985pVubmSFA7AE6QfRw9aboUalFhZMa4HGRVqTBkYkAY17z
O7WUyvZ1wq3HQel2XUav71wkdjg+KF9D7oblcDmbkVXVIbrFC9fSOLzrKYkdQSwUns9/nb7VKArv
pD/XH+rC1iBedqDTYfm0GtCLMmG3Q7sEuaanfzSN/ohsjKL5mTpbBA4W2Yk1TzuX73XzzCUVMMDl
g/uUunWrIzPpap4OiLgFSRXB1JiGSXscTSv8Npq59TEP5/ipi9raOcx1aZ+B9o3wwtwBKIen/nn7
9F5fkeAJiRok94flXhNkB3vO3TFTUKaGzP1Jdab4e6k25pu6bMrPt4e6PqsEgZCP5YtKMrSOHnQj
GoxUpHAFq4zGRKF7x9grVWp3rfUpcWEPMCbvQJIqj3VdhTt7emNvEYNKTRLQTOZVbTyandJGrnnh
dRVJecACXo/8FIud7GBMVnjneXm1w+/b2F0S9APEXZJmiNAut7ObmvYAG2EONA+P4CG3BZ0GxTsm
ubN81xIU8jPdeX97lq+vY6iYcCXpBpO3kGxfjqkYMRCtBvKxaJPkOS/0d23oVh+4DpWzhhCFLyhv
BWAD9vi6WztJ4gK4LsjtKVlfDhwVeVZ6caYGudCmu27So0clx2g267Jo511/uX8us0+AvVxOLsII
7KQ19g+GnMhHa1oCA4Y+7o5oMtJnRoJAUtvftsU0+vSnnSDVx+ne0aL5Q0IJ95MoxuhB6fLsjd44
0fn2xG/tL6CWgB7BIxIArA51OxVphZTxEiQLzrd+bHdO5Zsl4TSG3lZ5X3pWkr367ZVa5MDHefgx
FV8D6NMqizLJyg7auh6fvEXTf8+GKKd+ZhR/lmLOHrGWcgItoyD7H3wtrxEocjJj6L+Xq61VqIMg
saEGcO+7t1OrVQcMQ5TPUEC7BxFH4c7lsbW7uD44ThaekHC1LscrQC6OMHB4GaKiP00TTx5M/P6u
mtxq502QC7XaXFxTzKZsXsFuXoVUVWEkFbK7U1BkU/ce7XyTZezG59sTuHFOKdTIbArJZCLh1XFp
1CSb3Tadg7gupgYBBMO5b0rVAExSp2dVix1WNemQqKUEruzsm42LiUiNDIDomKRqXQtDabwZWoSU
gyVaan8pm+beqkf9bd/E1SNK7r0/aVN1vP3FGweEcIJnXXpm8eqtltBCQs1KknIOoqI1g9I044dE
T6yTOljP8Ar1u9vDbV0S9EGpOVARowinrt72EXxWvQwY3Xuz6hyQEHCOaLxgqDNa9nt0CquvmomU
86zw3ya1iZqjEKp9l+hh9ilBAQQlcjeLd16h6x455k9cE4AzKUYiSrzaXURxeGq0HRJLlaO/yzxl
uXeGvvmI+Vr5PRJleFTROn3KRhH/UcNW/JFKYKkPlbg66SMQH9rk81PHDXRWM8QBdyZNLsJ681Pr
kncqG5OawuU5m5W5RjV4mKCPVm0TGPU45kFid/qXVjUU5+QoQCQfbDWKfoxF1EQHnDTUpzaysz2x
5GvGFDNF3QiZJp4y6WV1+asUKZLlNLaQxh/auPULos4T4qvto3R9IXVMSuNhVvP5bJfzeFdUXvlD
4E1bHY0pzA+No5Rv8Gc07xKnLp4ysEif0SVWrJ1dvRHVcAESPknlMRmZX/6WydA4aTmrU5CG1VTD
fTSTR32uikdeSO9rZaooAlZp2TGVJWo9ajeHv99es43DDEwO6XopCCERBpe/gdU4uRrVmJlECVfH
QxSH+UMzxMOznbtYCgxd1w7H0Fnc1z8BlIAZElqrlONbPQFp1+gD7jFTUOP+lZ+EALH3MxaGUp1K
HSuec1I5hX7/6o+FXADoH7a6Sxl/dXzogZtlKRtek5qI+mukzPE5xYujuXOzvEr8CAya+qAV+qv7
/kwvODfeBZ5ZBCFWBwMbPHMC2UU5SGR1E8ypiEPUJ9Qx9OM0NKq9e2LjIEohNhIhTGOIc/TLVc3S
XIeNlmmBWSGwAmhjzJ5ss68fvWH+bkA1OKVq/06PIufeDCt8Gwu1/3h7ruUBu7wLKErAIeZ1hx2N
hOXlr2Aa6YIGltcG+J3pnykOWXi5W5Xyvi2XYadae91HB3RNEVPqz0N15Xm4HCxGMmVQF87Joo9t
9VhwN5WBkcfOF7MHQvmmWObZPXmmmEHrW6PpHdqwVczHqSuqPbue6wgAfBRMJIC8BLT0iy5/F5j8
ixe2dh84aU8jsm00GHr083cO7vWDeDmM/PkvtbBurHE2do0ebIzrRhiruP1jW6NF10yiRUltME+3
F3RrQM4q9SIUdahbrPZUl9q9NRXZEKh2Xp3dSnPulWLGwlsrYj/E9el8e7ytecS0VS4nZQQ4cpcf
6JaDhkNOOwTGIKI31dKWn3Rr2n3o5UWz2qca8tj0Z6mKsF6reaQq02PB0A9BY4rir7TG6t3DUuDd
UHjItDeFOz8ucW/4mZOG75tMMd5UdVQEXT+6725/sDwR69/ERGDL4o4gnlmTASMUdHW0yoYgbGx8
ELM6VT6nhe48RJqGdU67iJQgTw9/Eq9ne7WwjdCCShgFG2Ta6R9dlecbxVCMCKFNNF4SXLWq1gsf
nbHNHku1sxuEFBShHOZO1/6Iqzg/hGbd/941/Y8i7oxPbbLkx6yOp0OlDc4TPZvuw+3JuX4p5a8n
TWZlQ9Res/wqUAS5jkIM3id9TYUZRdQPil3Fd7NSG4YPW8cBVDWMmV+kBiKX3Bc7IeHWfuSJBorH
JUPysnopQ7c0Q+HxG4xW1Dt+HBYAP1O33anJbh0ztALwhQUOAhBydX1knTsPeh0NgaKow3NTqZl+
nJFam++8ZWlOA7zgnVdx88OoZNkvBr4IBlwetDRpzdHJQJWWSlv9MPqieut68+tr90ToksIOSMMB
s7E6zvWglPAauK/KvFOPnRI6AYJyatBUwJ9u75WNp0eKvjN3Enpy1awPecU9Nwa9qAxueleNoxfY
KIQew8ird8KYzaHkOskSMoOuNkWP8F2egBsMQOgDRIOif9RjPQUdGu+VSLY2Bswo9gV6r1SE1hPY
dcKtLe5fk9P1W2Ln5rnTexUOeGV8xOP+1R1eKVnOqwo7D6zF+hmj21DWveLiSoHD9CGsCnEnpiYK
NDGEp9vrtXHxvShGgIiSSJl1HR7DLAORWnsIOlR+CEgWT6qppJgNDe1ZjzzCd8WcjpSPw50zfY0f
YkD5TAP9lPUgexWlxDp+WHRl+sBU4va5zGYnCXQDxoaWUDw5N7WnfZniWm191VoWJFhHypvtTITq
x7lR4mnaqf1X2QM0zpE0SwluT83G/qJ1Sc1ROjhI4v3l2axmt27pbY0BTng2RP/8S10ay3mJ7J37
deMSuBhode20IXn1GOO+t9DGn4IlrGLk8Tqr3am+XecbJIfglHjV8S6jTXD5Qb3aNQhTsYv1ZUEn
ahgEOammHIWpCN9VS/WtImJrZ9Ctxw2WiU2lnkwHP/bVI69Tpgc80wxBn9pxdViUuXuP5H9D4W8s
9e9KXaglo3dGkM51MvoJ6gDvS6OuP9TNDMqIi6PPCHLC6DElIbzjxEyfb6/01sTAQZGtMGCt5hpE
m9VaZps1EMRUU+xPuQWKC9sABT1Zj3pHCuN04l30bw+6tb1gd0svXykvsi6MqX2bK6kTDoHLZj6n
cfUV8CcFginaY+lvnXGJz7MkH4t7ebW/wrRdWpBFhBdeVH6xq+GPTNTVHbI45ZPSDeE9FRbscxtz
z8h2o19CuMoBxCEP0gauIJc7Dh5y2Gm2fFARf2+DohXV22R2Is+fq9m6g1WfHwpSMfyKtXo8o7Uy
BmOLrga2R+6e6fXGJS6TIjomoJbJQuQu+CVqT1CriIZcY5WLNr8f0paCRKx+7hwxP9hTs8cT3Yia
GI7061/sgTVzUaGJMKQASwNdi4cPTQxzECeg2jpaYzPhIBxPyWNU9tZbVzGr3xQXi6LXbzBZiKG9
TN+G2OTye3WOHaRirwsUR3ubK5nx+xyNNX25cbr7D0aikUonW7qjrMFyWVHH9I4ZiVB0OiLvvJwV
W1SnzHL61wfq0F/p+INdIyJdlxHScpmzomNvJI4+JsfWtZA7pyTpY3XbnoG0dT/xq1KVAz6e+uuv
CZrFKIHRFgIWuDaD1fWoyoqIsftSsU+90nkD7rrz+MblvzYHs0y7h8lu3OPt2d3YSIBn6DpyW8iM
frWOiJRgN6OLLqiixC7PmQqvOjUVcvokVKYPk2OMzd2gK8bHGbPTDHEMcy9D2bhBQGNQirVlVwxe
w+VWskcLT2olbAO2aXby5vyjA1/oOC56f1Jrr753KzMOWl7r1+8s0AnSA5FrHYaDLLb8cmbDxBHe
2OXs4TRxvwpVMe9AFdd0icp+5xXWNz/SBjgkjwzQ6VU8UqqLGy6qtD2bHOu7qLr4gdaQfieGfLhf
uj4O4siOD46WlL/3XW7b6FABllhUc8aKHYGSyEf/arwfpskIcCnOEUaeSwfYUWq0fzS1Ed8B6LR/
G1GeMAJM3oavcDa8kflcxoc+TxoshfBK8ykSlYcstZtzPGOXcXs3bX6lpD9Sh4PbtMZFum48Vl47
doGwlOqTMo0PuVPY80GwxXya27NyGIGtv6H82ewkO3KXrJJs0EOkOlxKeFuuN7JeJm4snLYLOj10
v3BxfmyMClYIzO40sGL9+faXboRVVKRos1HGgLe79rbrm9SNCRy7wIYanx+gM/a6X5TT99vDyDfs
6qsI0pGBlVoY60a807ThUMZKF6hNP6GBkBVJ5Ft1Oz/Urran47h1FwBplY+YC/dMlz//5Tx0SpXi
lbGQySnm/CxcU5Tvly4M1QNSgcYbWif57A+UEozDTDZ9HDOr2klOrt068MOgeYiYNOKcxMWrc6Ig
pjwMhtbA/Lea6QA9PtRT36vb8MleSiM6oBolfteNyizeODEcgDrvcMpq9E77MXSW81Slxbizq+Xb
vVoEglo6M0TqYA3XFxRKL3mTG0KgbO2MT1K3AM1VqzsVUTkfE9GibuwNKKLdXvqNUaESSwyRR1hF
a+hyNWI9Q9w/U5pgqFv7s7RcM/w4y+ZPGraDkDyc2nvM4r768fphEXyVYp60q6+UG4UrBnCjMcOm
rgqbBzvpp6yil3Lw1KiAbZGBleCl2jm+W18L6IWGDnVtyLGrYM5QEy22w6UOhtLyPluNPpE5mGGK
b6yI6pPalf3JnqJdd5iNawPYBxGy7HjCp1mlLWqpicxFVDyoM87WG0NrywZxXS//PlPT/pB6wsj8
3Ojzcz+bpY2lQgbXGrvHRgdpHi8P3OspvfQFWVLfwNdW+Fk32Ka/VEr08/bSbFwGL8mibEGzNOtI
SLOyeKy9sSZVL3V18M3cS+Z3sA69Bb5m2KMO8voBucbp+EkEB4Wkyy0IjqymyJ3XgerUYO2JovNH
kdfJQ9GJaK+OtLEDOFwUJuQWYMuvdkA/ua0b89wHYZhan1thP1f1UrxxkyIKpmaoT0kT7UUAG6uP
EQuR3ks1mg1/+YEzPUMzw0kimCslBCKYt84h89Q88hO7GT833rhXlt64Y6VNHNwt8gSZ+1+OWESq
uXRdIShcxWMGfyFdunOM5QGE0cTzYn/RlPiNA3mteBiXxlTw+RW6/u3VC4u2NpRYWs4ypl7NdUI3
ICxE0wRaAcB3doThK5HDPRbr07Bze27NsUNvm+z8JcRbbSIvpwLAcW6COBXDh0jL5+dMHQrE6F33
rlzqeKdyt7GPkP3Chs7ixoZ1rl/OsGNS2wAJQkKYa817ux4mBUZ5Gk++a3fpb00dEuG5w7AnAbER
EcCJA7YBhAK61rrhihZ9auktraoEDMwxthM90Fzy4levHARZytX0EgxsyFY13UT1EsfL6jZAKrQ6
VMKcH9LWSdFuz5rXTySdKJoGxFRyzFU4sFRzVwxG3wVeaTWNH2Ugq7Iqcj8wAz/h9DgnGAbR8fb3
bewWz5TEWVtK214BppO0GqoCW/vAsJPyDQIh08Ni2uWhmGf9NCKusVNS3tgtHlwSAqx/ve+r+XSz
DJvnhvHsvov/KtUCpG4HWqBWjfltk6rZ+7LSxR+v/0j6DCR6Mp6gZn65Rfu8FKLXqi5oJtPpjjyx
6XJmtr1HNRmj37tC1/cKBtciRLQdIItaslImxUVXH6plVpIP80DFQM9rxR+deZxPIxXwIvUTtK3S
oGlV41lLnCW71wbKq6dobrq7aFAJOc1GDQ3fMytL/15YZZG/yxqOwb0Xt5qGzJ5Ii/cLh3L0rckI
30VtGf0Zd3Xn+aniVU/DsLif88ot4Na1xuScaCDne5IKV0vJceAZB9QD5JtO0upqJX+bejSQ+UJw
KO9T3qlgMgR6UrW5nFNr+MEUPN9eyOshkUWmNsGBh69+pUcUL+AQs7KygibFV/ERTzuM2ayBfNWn
UCCWk5IR6zz0QGv2wsOr64aOJg0X8leeEbpnqyu8TVUXo6fICtq0gikZCXcKkpC13zmQ8u+5CH7l
ONymJAV0v7EdvtyrrQuMQG8yC4W6cZz9WUziUE04vNgA4uKdgOPq9DMYvBPQgTxLRL6rwfDNKqU3
lwVEszTeZ21jPQlh4NYXh8eq6HkMb6/fxngy3gSKS9aIfsPq/dedQih6IidRDXVI2ktszW+XdhkX
QPTs4Y+eUcLgvj3oxqahT0awSQQAyG6dToimVr05ElawTEv9OZq1ya/pPtCDbfRDK7rsscZGa2fQ
jWUkxqEPTPmB4vw6lKsMN+7bJLWDNm6U5yECNHZOS8XCl6iOxOn2F25cNrTFuG3IXgjpaDuvNo3e
52qde0YALDiv/baLzacmB0zoE3ak71W3iYAW6JFOft7ooiZBT5XfNBwnPiRmWvylN4Xn4X8xF0YA
VQUvAVtth+lOTzBDPwBzUc7mkHS1j0fb9NCnsJZ8vVNBLTphV6W+qiC0dmDp0q92lc1fbn/edeWZ
FocqdX0pnEmY1ypJNWOLiM2TSUOUqE+A9fXR91AtkshekQp/nNzeOpLb1Y+9Jazm4MyWSH1lShzE
SCrDKc63f6Pr8pL8jaBO02GgTEAF5HLCsdKL8RMxq8ADaTYiU1hn7Qk/wUU5etqs0+JYFpKSsgWK
4A+iyX9iZJ4thy6q0gQeu4o6jLCbWPgqKPQSiY2oqNigqqmeEogA2SFp0/Rd2ag5vneGPX+h3m3V
qBHitypp2t6nWXcSXeqNxSRMmt3dJ8voJf6SWBocmzirf9z+5usd7aANzkWB4hx1w3W1Ys4biE9z
WQfQ7xAIrfT8LIoOgMOCr8Htoa6vCYhANHDIhejdX5FGGwEzAxNrNNdd0X+JB9OGR2VrBxvT29hX
yQZ3TuvmDqOvRZIgIwRDX6WlAsHMQoJRA71LxyMPe3Ywc5EdMeyBVDmUEG8aVwVjtljHBcTGucTk
EAuZKvkXAuu/f0z/K/pZvfvXTd/+83/49x8VCulJFHerf/3nb/XP8mMnfv7s3nyr/0f+0f/7f/3n
5b/yJ//9Nwffum8X/3Isu6Sb3/c/xfzhZ4vO9suY/A7y//n/+8P/+vnyt3ya65//+NuPqi87+bdF
SVX+7d8/uv/zH3+Tlgj//etf/++fvf1W8MeCn8gZi2z9B35+a7t//E2z/i7BDOgiUxYm8HW4vMef
8ifu32UxBiNq1ItovNgS91ZWoov/8TfL+TtBFT/jFZFlKynp1VbEi/zI/Dt/HXcELFz+B8Lo3/7P
L3Yx9/9vLf6r7It3Ffz4lj+9fotlXoFGLftBknPWAO2qzJQp5VgdxoqMzWuwUg5RSD3OSVPt3Cjy
wrh49uEOwF1jFHY8gEo+6ddaYJagfmD27XTQDQUnImHopwQpgafJGcqnGGTp3SiK/DmthYsoG8JA
vyzJv7/81y99qbusxwfnQUcX6ABh3eoA9GM8h0WES09iZlH8TtNj96hPbuKeUmOgRKOAMTGZgjmm
RaPB6jjEcaR9BKTs/IjofL4jnxFOIPJZLfw0sxqPzBos6inMlEI76UtalHdQece/mhGsblDacQPE
zmVKhZIjQp8O8laPRVP+NYUV3nGFnqJTG41N/In941KJNJvwe+TMw+dhsPRntQVaDAxT6Y5jmcfP
tycE5MnGimA8hkoxXGeYsnJz/FKd/d/UndlypEi2rp+INubhFogIzVJKykwpbzApB2ZwBgeHp98f
WcfOboVkCqvLfdNd1dWVDOG4r/Wvf1iEnvTuQjbAnAc6lEuKmpdmcrw8XMgGqEOtcO3vemUaL9XA
CCKGRM3AW7TknCO/tLpfK46WZlhkibPXsiqlFMhT8XMwFKahwSTqJHKawkdqlaZOcahIm/hpKAht
h9Qpx8eEVBqGFEVVvToy66o9HJxenfl4XT4pietllLvJcu90dV+GSKMVagFXK6o48PvxJ4xJ9TiQ
w1VjdO4u842xyOxmUkNnXgxMx53bLJFFuddrrx7O9c5pJh5I1QQlsrvLWLnm2O/KOXCXECeQrI+z
OldehMX2+KJXOrGnDWrv9nyQDNOvV7/1tHgYLP9HYnR+edZ6QGe7bOqNdZ/3alO/JHTScYPr8QMI
WJreQfpQJgGxfvbioRF2z8zWdNRh9hTJ5i6jBXPLbVq7XTkmlgjF4DBs0Nfc7qKsz/UyLpzcB/ez
V8cNuxUUVYYW9hcUdhNCgnhc59K6mrQk8C6HJIEAnthudZ+7Qa7vPKVBIjZlOsNY8aveO8sNFZg/
eWDXuVwS0LkIOkuafykT35uvk1QLkv2a+yLf58VkVPuKVVFHuGaY1XliWRUgJa4x5g7zj6C5LYxi
LcOWidNIrTVXlFWF0d+abrO28Gm9OYhmZwDfdJJpSF7lX/G+PVpeGvEjLSttXOd2MSc6ozivJMYy
1JvaxwCjLHqxs2U10+skKt/ri6+fAj0+2owY6mz2gaCe73rXoXCWctJJSUlbLzi4mWHHgzt0t6Vh
TvjDzKParRME80kvBF5TMvnz+cf37vwnBWmj7m0QqL2RTd5+eqNBIEXlV1MkKAN2I4jBpTnI/MK0
a+PQGkFxAnn5gNYC6A+zcbN34+Q4rp8pxIxWGDYZ0c3chqO9Oaqqpr/M+9Z/kRCBzxIYpfGI72y8
dJN+XjEBfG2R4S57rOhcuJJJtV8dzbq0tIL4lM/fxwdTGljvdBHOxi+hNDqaTTBLFsbYVZiza0tz
10IqPEirsHc4/YOrpRAuoiJV2Vkz1R51vKJot0Z73be1Nh6w2DnFBXnXDEPxguiCSS+hk0i0jgpy
+I0N0YNw5obapomacBMKQm8p6hNo0QebMNYPsOaYxnlb/X+0CRuidGbdZyQLo2q6y6piKHZsZ1YR
1vbg/dZUuxBRVCDyDfU+6zE6X3KOaqyrIeMbckbZVfYLGV/Oahl76eLcFXvozw+1NiQ1GtgaB7XP
f6z3ixfwlRqZankTrx0zzWAlO96UbLc8reLVsNrhkKik3udekz3kK0Pvz693xNknvRHGHVxy5Gsb
V/7dmELzylammqlHk1bZ37qEZjTMe3eWkZ+utITd3GSH2qjS2wJ/tG/zTD8Rzt1wym7y7aKgbqFy
AV1DoQCvAh3k0VebrY4whFHAnfC1+UuFrgijROZnJx73o8tsgXtba+0D+x6tPaQanIxl1kVaq4L7
pQN2RrdXu/c58SU/pS2S/Tj069daVNNVkhLtGCm9KfCHLtyyZA+vy/rgMpLddchjT8xT3+6c2ztg
eAw6BcCxuUu/I+f6hTnYCTfXz3Vy3jm+tlMVuoWmnL6msix2vj0Z8NLL7BLbpuHh83fz0dXBVgmP
crfI+eNoobw3h9SWroi8dTTS3VjhM9qWubaGS5YOtJetdl1O5lzHhtDlrvfW+cfnd/C2aPrn+UnF
YcDDwAxfke0O/6toYtSUUeSxBqYGdk80igQzCvIE1F0r3CpM8Bo6MxeUUJ9f9miD3K6L/BaEF0YF
mwVf2NvrWl3rAmvMAithqyX4E0vPr1XaURqR5FVeU6t5O0jZxq1Tu4VD9GU2q32OFBgfZ6daxR68
OlPx53f1dif4e1MkNW+9CxgB8NrRrr2N3a3K0shpTLDI9Ox0PJe6kt/syl4vp6z3v39+vXc7AW9h
kzXiO7YV8e/Ez9Y0yKFtLXzOKhL/1jXXYip4Y19iULgrDVy4td4fH3Ct9/H+Yrg7mb32787Sv0+9
SfvZiZC9byDm259ihvFfOV0/RZXI6rO0ypNrODDE3kijecSwqz8MUnuVzPb3dj0g0c699Gswpvq1
vRjBxVC3ZK72dvPiTI5/4gM5Mpnfbg7aEWOjbQbJtOMYlqvalDoW1XrkmKVRhc2IBiWaFxiUkeP0
5c/cKbCuNYtivS1MZdSh8oDNIoLozRHytCkJYlqaRQtlNssiWr1M/uhFJbCa6TS7iZHg4Gow6EuR
Y4BSVfLEkoKnxev730bt7+sFgsZqhicBhz5G3WUrzWEJEJIMYr5L8TP9AhdyEGGjg6dS5PexV4kx
NNdxoky8cWS9g8sQO4V28LNSlZFbFOVl23u4aqQ0oji4Wj2HKD6pbhcauNb/JJ5szKMhs/8iboVF
Rgvmuk9u5gTFDt9NdWCmVx34vNY7Ow2+F6meXnkcTMmu1PzMolfKPQ5rpxpDimv5x8mC7MnWFJhc
M2b5utOh1BA3P+h9s2+UWH4COHfZbpx983yWTg1vuh6RvyalmcR94zpsnP4inu1u1m81Yfh1WGfu
1BEnzsUvSwyM6giAdPJifUzyW1ObiywchGGe660IhnMqc9GG6LFcZpGlcB7gTc0JPJuuMMLe3n7j
ZlkmLcSfd2poD2qrPzS5MQ4Xy6KgnuREBgPJ5/4fv9O0JfThBn5zDRnMYUd7qOJ0KNUQOmPX/zaT
zKsjy6mdNRaVll80xUDNnmoNDieTHB+VY7VPRNQOv/3UIv0DKLNxYmfoi9+ZQaNxzsdlQx0bFpRT
TADmV4pD0iZX6q5H3U5rtXdXBr1nbC+zT8JBgii3wIFMC43WWG4bWRm/SVtXr76RZTe04JP1yMME
36ahKfO9DavwWmpGQ/PdYlUb5vgmzZS8plVTYkpgxGSsSyzAlT6WO9drGyMUKTtlOIuVO+P86fyb
Slj5U125wQItduEHHXVgxxCn2b6DZJ0Fh9X1mjxqhQhiZTTLGiVMV84bzPzWsF8kpLqZbvHXIsv1
m52wa4fT7CTn8HcN4Nt5GY2ohHWL7arDWCs0q6H45reLfCmmMbAjq9D1Z5Pq9xfNyrJxmOr1j1t6
6VNGnGwTlzoC+nOsSx2oPER5PPZa2T23ciYQG5rCFw1z+CrWF6u4qNsiFWHZ8M4jM5gDBUKxqptx
QiZOVJ61eOc8l/eT+QLB7kHtlXxjrW1dQKZ0kwOdERhBz97b70zhpNNlak80ocTC+eZhUFqa7if6
LabkWekmMZbY5RQuTt7S3pZKnUNvE05YLZrFY0hfzy8sklLKOJ9KydpMOnvkGMlofg237V7cGkVf
BKtAzBG4g7mGSrS6EU1CdX/sSmUvPkkIfYQ7B5HzS176sFt12YownQC6eJMSdLMcUulfLL1ro9Qu
S+18WsxMi8qsWopwpJp4TTR7VaG3dq644MmFupGLkxqHMlso7+Qmc4x7oQod3ykDZ+xptUAIYO1Q
qR9sMTAnoL4XUCpH1x5imehLc8gH1kmIO2Zq7SuialnYY2s+AQvMCH7yxLopWawq7BHM1WemO+kQ
HJFNih2UTrxX7ca3HgMsLuBowuq/afmN/JhuXRfhxMct+AXz8arT2nKIU7eZrLArbJ8/sE7NpzTH
5iDsHLg2dGyF+20eKnOK3RHbhahqkuLJtqp2wTTal9p5Cfr/Q7TIrOIiaI2fyh3FF23CXS+S2uK5
Bw2nf35zzLkv+5XTZQfI4923bp9X5K83fErVaAXPMHr9PyNxtU+Mc9fHtq7k9l7V9tlZwfC4LKvJ
fa/Cb3YGTtVO6OQpR+Tg+dqz4aQUdQSCB5RQmWPdpUa+1vuuyIh+RrplXmNVJ7DiXHk1O0dUXoRp
XAdUISb7PnAq5cRe7+OK0qquY1ZayvlBLBwvYTsZw7Kzl0LqIeB/zwJZp/oqzw1HsGLHTIQ8t35p
6d16N6m8eoCx3CyhqIhyhHrVO4BFVZa2Z0EBIB1J3bTUzscG7cwamymLBuUaN7CZLLUHa0rPjHVb
+c1QpL+wbMUuVJVKv8hZEShgMa2xr40F37KQLMVA4gk7adreH13KuaGy6XXLAfvR2Wx+kytefOdP
sP8QwIPUoFBd8+zX/RyE1VrmOdPZHDFKauUiixefWQ0u7imksUy38nCu+vwe8x93vUSjaMYS+kdz
ywRpTKK2swAk9T5w71XSLd+KRk1eBHigvmNzrMTFgvVNd4aAcil3ztQ7U+SPwAv4vyxVdaaM1QX1
se0Wwfg8r3/YOY2boEjACbrBn9NQTiTCxGthoYiRQnfPJSxlspt7YgnqUG+rVe6RX5cC7imTJfNW
zracr0gLHO6qDE10vBqtO0GLr4Y66nvVFaFoRP2jWVdvZvPWgbqiviWAghgtOCsHuFy1dW1gvWmE
RgHvFJsC29N2lrlOCmtpx1eRP4kk2be6nMbIFkbGvmFkwwVfjovbWeBOX8rWwUS8zN1vnblo92tr
rOP5WtU4+SiScWEzoQ6MCktKedBWQsXmVruaZSLyMzspu4Jp632euFYTdhO2v2s34OXYDL/rqhLf
jW6+6yeXf2b5FyiD2/xEY/5Bk0CXvJV9m58F7plHlIxOGYL8NVdFQacPIb5nxUEsDD5jCbryS/e6
BztHxBziDtKfg/zoPwXypMfcUkC6k95Yp6Jg/3E/eVvNARXAv3EwPkPZcVwsjxnlfINpOTY6bGoX
k95vC2hurReMK4BHAwJYBCNZLf8GlZ8YIdGXnR8Zc158q3Xya6PZN6YvQdPqazin0Cu378D1yfcA
Hb0dLCP77ZhuVscBvN0+DDK/X2jDzGnZLrlQLWpa9mse3QJ3imy2m8iUJssptYhD7/ogMS7WJuhm
XH2xrpJMmdljDU0bw2lakgdZG1PLeGRJHxNWywtzffjyY4ofKVCq/lytqZ2HZdBJdNhNQnqpPtuY
iTBwqXmYdVGMSmeq9bN1hot/6aa1+7XKlczIrrT654wRz4NllLUT1c3UYfi55s2hIiCY8mgcsSG1
QcDJM2sLe43REztr6LpY4VdqKf8wQ+3cUOQcpeHMcQypwrJrmPyJ7l4R+uD98Kd+fZmKpah2fdsz
UPaGQNcg/DsNiSiztiUnVU2RxM6SjxOR3HO7h45T22Gtt8muSmX3XQa9kcbS8YQV1SPAKS6lQYUp
hsQ2KHHaaqeZzmQcfAIJ/riUOfYZMnl7P1Jz8SWvlshQCdStIJqtFElUuct4G6z4LIVgN9UVJ4CP
kaQuYKGpMkuLkF5TXFPeOQZ6Uq2EXRRk7alwqfdggsM0CGXBRuxDdHvUx8lWC/IqIRCyNIZqlxqc
n2OxUuQJT7sEnG125ljpcVkU+o3bjOb+82b2g+bZAkFATcckeGNuvW0jGaJXegJKF/VZAEeEdPKD
tvQ2vDGp7103L04M4N4jF7inuIywYfptMRJHjyvUigMfVk9gA1365AsMLhpDqr3Pmfg16JkKJ7Tx
Xz5/yKO5899ujn2GuTNsJoj4x6YJDDj6qZggAxD3Ka6qQOFUMOjTxYJNWah66t85GYpYy2TC7K8B
/9d8F/Kh6E+o5T94/M21gUgtRi0bI/Dt69aQc9Cp40BPehd6q3p0d8E8T2eT7SyRlxki0pdSP//8
8f8S795ufxu4SwYoAAmk52OSXGlPXuUhJoysaph+NawGOzKmni15zkUz7kdthLOL2VGbHBpXjU6Y
BNnykqE5saKOgqOJV2H2OEeNa7rvcLZyoqSS8jowG5fIFK+nBrZnfx736EK1Z90aqMJMUT1iNV/G
aVbYkVzLZVe2gXUdwCQz4mbEYyWsvb51I4d8pImpkq9EuNR2tVsbs0mRColeRUO3JG6cMg0bDpBT
BkZLUOJC8qYU7KnRg8D3+et6j3xujhY6EsAt7A08/O1vVEB+0Cle50hiUPUdiKF0oqpqFnXiOtuf
c/SrkELD+B0okwDF4wgEjSuPhUhklI/YA4fUTlStEI53sm2/JPbMTkXR2Oeh2c+nnvH9Z78Zjm4R
KvDE3HceCmuK36CrMiaAZmYcAocogtQu/EgE/nKhFcEpXeUH18O0CWdIjIVQlx9PMvSpb8l0I7MI
T4P1hlOvwxa/UcntyMefRzXzhVO2b+9/xk0BwRvGW57/PCbSeLLlfxcjg2WXAKNs9Bmvs5697sTP
+H4DByRAVwKpd+Mu/MXC/guLNWQ7DL3NBu4tQ37HN1/sZUp7kRq99iTJ+g1xUlfnwHjTzqq14u7z
1foeqKJh2yIQAPwYqx1XW7qeZCsxdgS5qtHfS2kFd4YUKqp1vX36/FIf/IjwbBGVUMq4uOlt//y/
nlT3h7Rih+ZJvXV5yGRqJmGbeu3OD6iwnawcvv37C/pMCnk4Ji8wTt5esBpJeetbY8Tu0in2PmD/
WUKv+th57nLVuXNx4nrmdvq8/STR+SMOgr+I0zQ/69sLogdyB1dnzfQ1JTxxnI0FHlnXTdyhLToY
gxGsh3KWy6NwHW0Iqy6wv2llQZ6t43V6EbnYFot94kzyZlC4kGKqlNqErzlK3hej5hSxLraYxqUN
hB7P6QCJ7PN39sFyhLvL0men2FyPjt5ZLaEuLxYwBoKy5aKXqryt65yus3P0PvScNL1QRKzuhqaw
zitTrc6J7+H9EcemZm8srw0jByt/+w5TgBuJ9QyrZEg2TXptHZS+iD9jUro0q6naSI+ndOoffOzs
pCipkSowoDves0XgLXJAtx0pk0W5Mo25sGCRnRg7fXQV2EMMHvnWN+j96NFabzTMiqtgZ7h+wRNN
RNAexAl3sO1POVqEKP+JS8aSerOOPPoFe2pAqSOQJGPdb/fGUqMdKiya68bZ+s/+35kqbMURBeAm
TWK9mKgTjhZ97QjdmXufPtdsnMtg1PLv7TySEG63NNGfr84jn8p/LrbZsDJUtDiCjk2j2DM84Il6
jgACfgDK9pdiwLtWp+04x1yhiyxD8+5AUoGex24hwzEzb6amXkhOcZMUXK2C+37ipj747P+6vqGV
Y5xDHf72d53WPujyUmEgT97Krb/Z+flL0X4bDbHICPq/SzZogoZCFHnxzAJvQseUp3JPP2qcGekw
XqPugP9yzL9txtTK8oms9EB2thcKxp9fB1LGH3C3HzyGSoP27OHxn4BdKPUbSWOw3FV5ZvykRUDl
1JY4q53YTj74miEhMGpm4Ed6dnD0arAL92vPGqBsaMlLY6fLuTWQPqdPat0FGJwesJ7QTyAI7wuj
jRvC0GVL+OR0O+pJ/ErzK5WS8ms3a3GeYvAfY60WoMFY4Rxzzu3WYtKvsmkafn6+Ej54WujdlAwW
HQp3cPTppYrzpgiCiVa71O/IrmcMQqYo9Dg3PYPsPL7SpbYvn1/UfH9VcndwWUSRuJ3hx9tKixRw
Q5vYVty29yPNkbgMU7PlIh6oHZKQrCO5RlkXMPpIqHvlrtCH1bjqzGb87imzoGUWNg5Oi56Z/R6w
zrfhW8lKheDEcwEwKIwbaGIQWUvf/p2NJAjwpSXgM6mjnD2KvFrDublx3UM256biXB8WbAiT4UQN
8b5c2SxhoV9CXOFTP0ZitKryReuDwmlycg69XVY7isYhDJK8Pf/8vb671N+uGm4h0U0wVI8dHcuk
qHGI8dcIf8zHtdPUIelnhyFjdkrj+W7BUqGwtW2TZgYQaIje7h+5Xy+1MYN4gY3n8Wx0CQbYQUOe
vSFiNRhJ3FliuLfMZth//oxHhlBclMXqYyLCCBgP23dSHQ4Gy0mSdI0Ct9IfGmStobWALPe+256t
y+re4fogQ21lKMZIwroZiqH9YmSdHcoRO82y6IabAS3MKc3Lu7MS640tS49veCMKHxsX6EFtoacx
1qhQbnJNfoN76aSldYLCjvTx+LSke4HGtvGH0X4SF/H23TulNOuuNVWkCJ/197kRaFk0eqIydx6D
zqfRq9onXTkbi8pRPfzBppgZOuKiMNNzuYrEeQZ+VRRknMkhzOj+R6BK/7UtWmXssmZu/GsTUKLB
GEDXHzStm25rfxi7vZPrRRpS/XVrjJy/TUAQdbuNjE5zs3N77kwZMgof+0iDdszsBhCKLICh7vq9
MUn/Oii6pGG6DV4c6mUGtrjYuS7DYe5pvMt1ADfMS/mMGA2apln3sI9A9GQfuhI8Mp4z4T3ibpjp
l30m7fYi7UqQ7bmXA1mhNJ3D+Vy6kxu6QVUs5yLQEoZf7PVaLAimGc4kA0bvHs/IPsEdmwXxx+pm
52vQqemX47drc5bVdRGE7F/Io82+X9AF5EpYe5pyRk89HOImrqdpfE2qxPzBTIb09UlLa8pmqUC4
nanu7saauJSQHyqBnOwhIHewdd7m991m++B29s+8s802RCokn8s2sf8wujUvV2XC7tSwoCVSBsfj
TS5ZoZ6kDC8u1qJskIfDlYJxY6XjAyM0J6O8DkBuzKXqM+4DD9BQJ/XBgtY50Pl5uetqsZotj6vb
on9onLTXD6KFKIzz8gjtdB6b9VsjGv2rj6bombFoNYckIio/ZDyyNCGk0C6J5TCL29RW80/fbJS+
a4J++TGuSW6GXSfqr5rsXGeXYY+oRZlbWl1Y0q3WIR8LnkbZNBP1NkPIzc68FfH9QRJDghG60Psz
cBG/2pedMPTYLvSOLGmNXiKGyc1kvysX1VJWj+YfOx+JLk9AKUgt4WxEEAwxgAhL3ejDpkFXH6L0
bq/h0JEq4lLbGDQz5ZyS0d1spIu61cR5NwqR7uCbzQu0HklwGekyuo0Jb+pZh6ya1atgbGpdZWYS
7HXpDvZOLn1XXLWaO3lhkdv9U88md9e6md9GVdbJa/hBzfci68xHyZi73Q2VSmQstQ0zns0+uA9I
CX8sAhW40Qwa+6ozl3sd1mk2QaQD96mmVHNRURl4APCBQb/U8nkJws7vHCf2md0RqD0kWtwbAMAQ
QzXzKxYXYtf3a/eT3kae16VlYUNaL1MZZ5kMflJJa3k4TN24b+wV5Hl0bF7MNIywuvvZ87t9xliV
n3jR2ipqKM6hkPuwl3Eo4YsMs7oLfjmt2z1VK8B3OGaWDSXENMSlsYyoh+cpZStws4nveUAcRHq9
38kQ9+6MOa3tCi22IDA18eg7k74fUsjVlxW15w2dTTKGvdbCo6MnSM0TNdX77Xirvf9a0sNqwWHr
7TZJQjCJuTNFvp1iK1eONvoGYntOHUfvT0IkS7ixAirByYQi9vYyuKq0AeM/pq1yZv7Ys1x+VMZq
YD+q+RespeHOrJCUClsshypru2eG9qyZlkz0St84XKvZnakF5okJj+XASPZZtJr2teVnOOXQ9NHh
iavPFnWKVhLW61G5NwApToxJ9Qghn9fsU7Pxvjauz+iigKx0yQStWEPPVeqefSe575jTnjddmX+Z
m7SUlxuByA1bafTfGYgUpwSVH9Qv9O84wnN3+FQc23ZRglYNGo6ZhPjCeh2ZcUet3QzP2JKeqEDf
M9oAAql3oRn7m6XBMTwHHaGtsKqao4y5aWwmcOwpOv3iN4CPe4tFT3do5UJsfVqn11mu2suJUem/
7Xu5CRBx8GkqGZSkR0vUEa3FmQlprK5N7TAviRn6nXq2nNG+maQwTnQ27wsHLkfby8jFYMUeP7Oa
AFh9D5gX93jrJtXr+lXZiMTRDqBECvJTrqHbYnrT1vN4m3VDQI+H7u6YplhyyGh6DjKHLUsHO6oW
fUgaw3LdEIK5S4LEO8Plyr8fmEntemy1TuWnvGszthsAuoM4irUdQMnbb7P102VeFdonvfXaOJe1
d2H1q/fiFMXvCXuhJ5XZzvfP69P3a3hLv8DNkERl/MGO3X50rcpqc2hVlBAuzCwtF+cKfgXM0dQ7
scP9FRgfvWDDQAUMK5P+zTyOUEiCRctsxq8RYEaeR9iOJCqUve0+46jryUsvm4ZnYIcqPdiFAwDt
6nl+tSYJRztftn0vslR+J3HZfBi1FHoNApFVHiZHGF9djQCYUOXODWql5IsOX7EOW6dGbmS1PXiA
tgr9FScnO49cyHqHChTxayOC7CXRzRSaE23y5Tw1wfWaT362N+3JgZk0FvUdTjvLFLpqaLxYGN16
UE5Q5XFRWSnk6b5oXhbPyPJdrVni1Rmobxm7zjb9mg3VZNQK1CG5VutmNCMQdg7Ewk1/gNWRtZuY
cDNKnAMcyUnrVt2Xqc78LQm4yNu9b8FeiTq0f6dQgw++LdKvyCD0DNxnMDl8u9SYqozYxGB05anq
ua5d80rVPJ02zXCaoEo0JxCcD663JXhwrAHM4bN0tJGjc8lXSD4UMIExohyzEw2GE86nkcbOFrOw
9VNb5gcrG6c0GwiLPx1By9FuhczK0Qy+J/i363qjONDCVFjtDZST4QUfvHKfteRpwlktrvpCQdai
pUZj5D6JQF/OIID5u6kgS6/Q6qI/sbd9eHOu4+LLSrPtH+umtW72g8amKeoMlX+3cFEJi3HyALBc
dz3RZn+wrUBf5duG8MEE+VgoMEoS+jTL41qY+Id513VXQq76JXTNjr/F8hxv3uXEAx5FMm99LyF2
2xx10yagDD+aI5ORnOWawxNOWYCCCd2ym1w2pZvZe2Gbk0uBnqT53psr8zvWAKgdg0SQLDPCKNws
46flii+SY24pwLNC4rHLn8JPrIoZZ9F9h+s0PjggcGvUD3an9mvd+bf8mba3A5aTu8kpyu4gRNH+
gWPL+FNq0+if2NLeI4L09Uj/camgOMRl/+g7mvhwFfbgRuS7sv+WA0jtwabrKRRGE+zSpK+Rz1la
lE5QwDB4BiAutdFGCeMOV30X9Gefb+cfVJHcz2abRctNXsRRedcbIglgIUN3akSZU8UyegqZip3K
PEM/fHxYbgKsLQ2HzYP/Pvq6euSimOPNc6SnS34mDb0ddwuMU0ydGgK43QY2JIO9IntZAYDG2HDV
3MHLrtOXQgFcE1ZiZed5T5RiaLdufa9TW3gXnU35TU8+GF0kvUV9AThS3/NK0/tozWeFI8yQaTm0
9SxJo4T56SWhY6sdaY3b/qLxNX6XpvLoxXGdvkdxW1x5S5DdldhqZ6GrjUOy93UdsnOBqc93YxWw
30sPQlgEocj9UyVdte6XjPwlPJsL59TM8y98/uYMhB7HlJUzHjyfxC3r7cab4kheJLnA/yILjDZ2
NWSs2ppYM+SYdYLC5xnfwebMe19z8J6FaarqC1H79rfcSbAmmewm/ULpMdj7hAGivNISVb80C8Jl
rOQ8cIqAu5c7b+iC9sHzis7bcaLm/T/yhn+lz7/Of/bt0P4Z34rx34r6/8+p+EGA/uub21wC3sj4
7+eX5hdn0T+OAJvs/++/8I+M39L/g9we7ZOH8AQPo42t84+M3/T/sw1/cWjedBeUmFzk/8n4NeM/
FNVUupujD2ggf/X/dfya+R/+31uHAeiNcsBxzX8j5GfDf/Pdgl4j4HcIr8BQAiyU4+Dt+munLKER
9h7GMnOGMA8qP9TTJDjvxIy9pTnauEK51U3m+u0XbIn969lw1KveYHAxESwUe1kNXwTv85t+nBSk
82R+WNDkPTrwrPf4dS7nTlUV39bFeNSMdP1qzGkWqWxg1VZyvbRHHdQFey3oJFO67N2Ov2+Kcjy3
pA25dBqrKyvPfKz+kkkPR8IQoPRrPdl+wnSSXZeNOH373WKjKAddi/PGc344NTGTcWqvpgttzBpu
TWiLl0XnMItD8lxfuHKGM9x37ujBEBerv6+pjfBPJbK2D+150OIl1fIz+h9RhhjLQHymrRFfaguF
/jme/PLb4Bp5HXb2Yn+p59I7cCvwNhPbibo2Me5omL1otI05xgVcnLuK4w+u3wjU0+kqD1FoxKMw
LgbZNofEym8QZ+qXhW3EtS7U3ew9BZa8G/OCEw/6jNt1fzrrh5OhIUzn+YI5z2tfLldWM+yS+nJt
84t5Gr96tR4BsfY7mLOhrvcPepb8Qus9XXT9/ERuaX0uxWTe9rYPMgng1FuDF5uF+2rqyr8CJb3g
Vd36mf1AE4k6Y5L7rJuX3ZJk6WuBMSuRgP5PxyygaDieetHr8ZfrDmUk6oAoA2d4zrvgnAz0i7pP
y5Csxep+NpbigI1q+6vR3QfOgj/2anwFJX9IHP1smYxd2fd7kkDxytH4q84kgk/mls1ZlfNHExbQ
7wvhi7OlTswdkcb3rqgf+9rorgpzfnEsHKgwij7rSK0dhZTx3JfrYao5PS4t9PyhavPHAYxgDjm0
U+wz57+B173+p2XC0BFhSA9YlFSfKiNZD7N6cLv24Gg1SgN53llj8W22k+VCeS46gD6spqepqlz5
S8vlQ596MabznTNKJxqnwd5ALMZ7RCiau07AGFaa3WfgdEgLYZf0CVIRzTIa7nmRF02AgCpUVldP
VwYOXi+a7jV3w5QyxbRkev4/7J1Hb+TImkX/y9uzQW+WQzKNUr7ka0PIlCLoyQj6Xz8nZ7oHrxqY
Gbz9QwO9aKkhKTMZ8Zl7z4UabMEy6KzzBGtpsKUUTZpLXT8bAiCePXVoORjg9mK8WUlZQ9oQ3XHS
R/G86uPs6heEPjvl1D+ceU3R+j8UG/acasW5bXf3I160vbdok1lnqS9HZ3GSys3fMGvtEXmMcdhK
1Nc+HrSKv2fsxqtGS3nsxvzKGQkSCgeCK2o3vCp95Kd6mvu925h7CZngpi6VecL8ECYE2mLx5+VH
W2+YGMg2/uVuQXwmXx5oOm97CztSvPTZVWMuLmK7CnL/xmC6oWzSRj3tSM2LIC6Ma1y04qHGdnSB
zMt+NGpP3NPXZgmqcHAHfrjuI0pJ5qnD+FXl4gV324VRfQ9raT1WIfSEuveN58Z39YXVR0fZ9S8d
Bfi+qqFfL451LOsgHX1SrGdI14lZzN5OF9Qwk6/mNNPhFmtDotUeYEjHmm1Jsjnu0V2ycG9R8Rwc
7QYf55HsHkvclKhus99WjLmibI6ZgQD/HKQpATVTyN63KIxRWfhwLVJWYMODntYoIZWHjhN5c+zV
WXEYXZGQyfmZ8dKlusYzQxz1p5zKi7UvSdyWz6LTny6moY+y0Ue8gsTpMp5d+pH0UzdPXVxuvP63
Of63xvJ+GIZGvogHKrHd8biE5qupeBzNqD2yxIhbm/eAGistp6yF/lkdmybzbgp8dHf8OYoFzpbf
1J7DdtMqsqOBFn/XotYWwyp2fjYfA5waR8xhz6aPxWKw7bcot2fe8UBmj4ztBa5GS2Iio8Zb/LyN
pyETT1VWvRS9e6BCgyDuvwUhw8WZmrs5dnbuQGQvA/dFcn/eOU7nPHXzyKkeig/8Pjy7ruSFW32k
PkUft1swHVzIakldTe7nPPUpR0+I1WPwDPYrEFadRaKTNidzJBJ+qC9daxw+2sWflxjqiPfZ2Ebj
pgH6Pie1ckZhjIJwMNVbHxxyK59uWjIn2Ti1rfU0lkGfLG5hGIfa9G6qqBhvzpQkSk3G0XeLQho1
KGWlnNzRnnhAdTErr7gMrGwMEfhDI4NbXt2oZpb7ufFph8u54sHUJm0nsullwgFzDio9bqW3HhYa
kZdOiJ1b1zdIeI5qFIeuPrbLVB3JDG+OzoazLp44An0tpoupnTHH+d+4xvpL9PtmKhaCcWINKQyw
rWsAUpkLzA5ltg/4W3Q0bZeq7q07bSyJ8GdeAv6GafGfh2XGUsGA6MemPTPO9PvEkGKfTV3AMmXN
9gsIlXRgrALTX8/HwtXZLgt7/1mYZftuONX2KMIg3y3ZVF87fVk8szGQF2vZGAfXycVpLlp5Ku3I
uDEqNuEGlJG3fGUtEktKEW7PNcwuSre2ubAH/8egjOYK5VSDDKRtPqTlbw85FEjy5BZNomtm7sM6
zO6Y3lap35jZBcKr7fO/ir9/18H/+D+r4P+oxC+V/1YG8/1/sqysP2j4mVbT3yCSYe37VxFshH+Q
dw6hD+YhgCVi8vjSn1WwE/xhnj3r/IMR5JwX/j9FsBX+cYawMBpi+H1W3rj/Sg2MMOa3GpjBI8vu
CIDmWc6PouPvjClQZPTlCNDa2ehF+ahM7brXEytoJl/xstrzkqfIiSzFLehkTV8c0MSWPA7nP9eI
YljYxuDc2CT5vtXrLJxhjGu/A/0bTNoR9SsrZfaBu8jNV7OPzYL/pt4LSZd8H6BAsCS71zWf7Z8e
NdfUvElVkVUeL4a9cAoBg5TuU5BXc5BWVj4uD45uvDqd69Gb0mWbvWkXblEAvhHJ7CXemYzsDKua
5H7F/vKwlrrkII2kuCFivssTtDk8Mwzv/S1Bxy2/hBNWLAxwLLAFL6TRXVl+bvrJxI63jTe4N0Zq
LRv1MPlZGStNHMXD9doYRmUkrguWt3hzh6VbZCKk2vxjYI9+8ey2NoaiXTUFs/VgdOsSHnTpOuIa
18v8CNQ70kcXJXt01+dzZO6wpi51zLvum2x1R2JA6vBskcxxhe5Z2vK7VJI4xdhuuk3E/VBXZ1QJ
HVTsyrU7Ll3UQFeuasCBXat664BlLhRpFzgNtwA6KD8xlsHw632IT3mc9oMqNXAU3cOJG3c1IBGx
nXojnzLsfUPnmqfKy5eL0Dew+CrbUh8krco56bl9612f13I0o3iw8032e85VsVYkNluW0idhu0WF
yF64zfIANCsQd7Xia3uQSS4Wx6hcGjv2trPZOIQkVt+AVG5FPHTKnve1Ea3gWsay7OrYsUbTONbZ
FLC7nOopRCBjYAibjZCSuLYoHBPbN/tyX/rUBruoJeICUGIfTem26n4+ic3XN1A3tHEwx8UtDyQV
1cuRU9ML76062tZdVZ1TgzIx9Zz6E5KgZO5rjDSRvTZPvr/698Jri7eujJia0Q7aT/5m4sQqyqC7
24wq7ONatAPzB6WuV0nny/Ie9XYcaVyUJLN24LPox9wIM33JGR1O0r0wZSe+A+kXzWG1Aub6KhOu
eYURq9QwyZfl7E7UlX+kouO1JRMRD4RufePWZynjxXMxw/g5a8CaE/5O+boUJIXvhrxWwKyoA0fw
aG1uxV4zM+ox60V/lhtO3eQMair5uNbGndURhpUIW4zErTVmpPdLYVh2gprQ/2lF9ajj3heRiWRn
bnBOGg4cyjDM+in2Co/3DB4WNtEQ670kTVm4/F4yIG5sw9jyrvmZr9NSG9/s5wY/dgoLk6MZ2MgU
ZE2AdSKGYVax0qGBV0M0xY8IxuyYlmHeOlcIB+VbpXrMyVG/DQzYljwXO6cbo3cDgFiflo10+j0E
C4uAIDqlg2c2Wbsjt7t69lqGWQnlIHZzntbtsoFX9V6EvS2gPFhYvTp+MB/ceWfKzZ1OZU5o2a5s
XIuJ1wryuqcHWIrxsI3Rgo4x6obwXYaEl54MvdWs+VuTSM4qdnnW5t2sgL49jlNbmLd4sHV1H66e
N0zM1LIGs100EYjLsgw21vs8zdOSJSIbDLLP6Oul/Fp6TgkerA33v9Qdao808o1o8+hIEXy6qYea
lCQ8ZKnli65k2BxpntBGGfi+1cNCRcU4ISNk7DLYxrb8KUsybLHlLkhVH0pJj5/iLAI9Ayhp6omP
4Pnk9Oa8CJlu7GCdtfVZAbau84lOidTmNFA6x3eHUIZ886xxjeDURX7WPWc4lNxDOFgyusmtZqjT
ibKyXONcdu36Ws+e09yHWRVNjLEjVOixkYUuCzWbqfYLlNLBPp6P3jrbjaGRI00qpiAUX7XBowW9
dVsBDa/1ZPixARDf2cNW7ZpdHrplkBRdgQ3emUnXic25b7uLoWnC96HI7TdEGYbxME3etnCcju69
mzHwuFuX2nqXm1GGANQYB+/GaaH3djDpy1erRpizX+dsZC1lz9UGGcA8xwGN3lzdhJ1BivnoM5R5
RGChwh1DWh9TjzuLB98eaapMC8NNEa6abndckLXxEwDCI9JYyKKwHbHGEvPPVZUt1I0VWxSRujhP
uU46e54Q/HhdzwPZormgdSnvWQvI+sDGc36aWk+qfbS4fY4ArpJAFOeJBwyxRp7t7FFS4Ll2OQUl
rl/0yqnlZb1zkVVtxEJAKrObwC901lumqiY8FpPhGXA6zhVulVc96JUVv1K8DCXm7WpsMrp0391Q
/IAjbPdjZkQ2RSeNYyzZT/2QVY5V2IM9sTddptAHthYm6S+NEuLYSJdUIehT1iNObhhxyMsc/9rS
7ohIZ+pC5wAXb/uuQyRHgO6U9ZPPca7jUOe2SBvEpeJ2nNhVxXlA43eK5r5j7kZggVEtbbmveB3L
m3WCd0RyehjJAY2XtPROSpfX2jTzKjpttQr3jAcYLtl5gbnVAwbZJYtwKJAemtL2UPYU0lS3jT+4
ZuLXNGpxZU7TQ+EXZxdO71rfI+lPNcvKiuYH0BCW+GbsFmZtjDzuqoL405i5j1fu+0VMj2sNugAM
Qd48TIXyf8reUhlIAZ/c3qE4e1oluP6SJWMHE0WcNyjn6saXu5Ia8AdSeegRlV3XnG9AHT82O2vC
vW0w6IYOOQIw75qw3VlUVf5usnWgL6mrFnUb1UzAFZGPRDqfetRw+XsV9VqXuyG0MgS5ReHX89OC
kLCASdFmn8SieJhucy0eBytarUsR4KCFa9EROdwuwfztZhZv6SRtDHNVVRoyrUafFfDoIsBC/ec6
UcJW2jvmavC6g67V4KcdMioGYwKsGI6wtTSO+I3zYB9OLZXfhly3vbWEU097jbYmoClrkCUORq/T
LK/tlGdY0aTjtDLjMV/zIK7bqmMlUc9jn7ShL94tQm3bFH2TUkehWgMAR+SWb529YY+Fch10P+x6
HdSDIQ2tDoDW1HdUaUYeLtnOWZzjhjFP5Rzm1b6rUdAkMlcI5qHbkpC10n4Wpzws1ug9bxYEcIMD
z/IOUz45wblhKO+1cUpd3dmhWYwPXkH1nMMNqNU5VmtngBcLe3nAT921y3jwW/4MzbNrYMq2eApN
WeRemUybcPRVpmTxLQzPXGNRmIE82KtVVNzNCnKH0bfDTafgGTCrElULiDMIshjD7ariIWr5lrni
SjxJR8EZDdH6g17WvnvNDSs3CP99lbHn9+XLVpXlPdUViq1AOKMVZyILzQuHT9aZPbCuHXMd230L
EeQz1/BaOwNh6TP6XRiJlYkeu/C9y6QzMAwDb51YoiU/dltr40wr8ebrYJrU7dhoVzBgtqZ3qpYV
kpaE9pNsq9v/DIAePwb9VppJNvbivqxme0lbP0NX6MNn0akq2u2NExH94BRJs94VgcropxnyxbXD
67pnEB685gwERg4m1yWPSs8MlcGNFN/O4k7doZtqjc6hcNUzY6sSe03eLsSpwCKw96FQ+beMqBT2
Y+9wKyF9CcMj4WKdSDfMOh+W58+QK8dshdRGqtRDC3Wq4bAena+gAlPPcmA24aj5ncoRgYme3NoA
B3gsVNXWsG/97SjqSajEb9ypOpQoqnPukFK9QsZGEGrara+RiDZNlYBvdd+HfDF/FdmZBNbmAYPr
AkQKAwBjQgVdQXPw44hG40+187/79H+w4fnfodP/0Yi2+q1N59v/u023XRpubJHw+c4NOeLWv9p0
y/oDARRibQ9BNd9zVif8taty/8B/c97os8CEHGF5SOn/ZE4b9OlkV+KUxbAUnr/k/Ct9uv+7RgJ8
H6Ivlsy40R3UC/A1/7aqkubguG6wD4DHmgdVbRG6v5op9FgdQqcy7+iQvAc8nVzNxQKB44yLMRK7
j9YvYfhYGBqkNO/9ihgpHsFSvapNzrerNxk/h5xWN4UsPL+oIiAEQcM7v3EHBLKX1Tgwf3Yjir3Y
Iqjhc3INNgARrlvkSnXTFElvsLKLVbFWHeT5MXoo8A9i3uOMhB/ituu0m/B6O4dsDgGDmbnRBPFG
ZfbYeqWJAaSU2bcoCTZLSyhW684iJDZKTF3lz+ta9C0nb85PCPKueAzoZSAOG57Xpi1tG2P0bByL
dFImGFamFqGboMZu+yTsenNK8sYant05F8upm9Fg77RGpM62oGWjHAeM8cS1UarqEJjNBINiJhMa
Ee9s2AUaps4pmu9/+sjd/fd2+5+h2r/PW3gj0biwCTDPJgDmpX8ngc7s22zkHxeM6oLb0gzmFyRd
UZf83z/l7x8XaN2A0lm7ug6TJcStv39coqoZxsm2bucJWXFqkK5TH1U7anlE85vn/4+r13d/96RB
ToFV4PCp5AeePYDO3xQQDSVIluXjB7MmTAu9U1avTRTU73kUaZwducEwM2obu2cX79vwRHwZoVBb
NzXviMntLluxsHbaBjm/FSqEbyx503r9i9FEaLWvQqxRc+gqS9wtZC6N8SCG0KT9WLPwkjt6mKkm
uHRi+xzBBvyWyLjY6R2yEiFNL0gHF2hlWV1JaHO16K4ji0DHO4dh6UvorrlDGNXgkM8NJma3wSex
ksroFygwTJjOjqrcCh+z2YHSTZSWU++2YHOof8NOpe6Y6zNqa1DdsVJsmU4I91Hok3sNXtYr2vHL
rLm7yPphx+epEJlus7qTPGrmTMdxU4xvegRa4cHzKu/XQKjlafY6RAxzCQQNcjpDmWjY9XpByJ3a
PQ3dNCatvRZNUjAUulXBilZcbRB36Dy2+qPsN/I6RM8sgPG2TwKW63RLcABP7d0tDSySU+7nDhtB
oKAtpXBZfgxiEs2eOycPk80OSqC4HjrCxHPbusfJ5djvlkSVmbD2WsldMFTOrk8aYGwr5tb2j21j
bAkaRQYzL0eLqdiptXflDzUwB3Oas5P2cNRzIY9ldKmQVtvJFrnji3Qi2OGrCrqGMo/f8+R2zlYk
Hk//1TZzgQN/NMZHxUBKEJKGenNPVeO8bNTBYZwpqFvwGUN/2MlaB23CXFye/6qQfTZ483k4DQYZ
djF+6uWhE5mdU6YCqovNccA8QARduBwWC9IPSJgiA6wS9jOlv1oFstOmJNFyqPBVS8dZjAsJf0Km
Yuvy7gBLhsYCiq+ZJ8Xcm81utAqTto65y3PJQOnXTFrjL4m/bcPiQV4BT+Pm98CMVH2hbIOlaRnq
DmZEvWxHBAHBFfz7CRcHgReJ3rwbmxye5tTlqrAQQRblaesXehb0nt6LE27LE6Ow7lSb87DrlmH+
heIHYSivop0Griq6hG4ub1MxU8RCwarHOgFh5DKbtCd154clUmla3gbLULMWNoRkplMsR70Q3sHm
fvq8xi+VYQjvMuwidN22slhprmc04mETShqx149oIrJc8G5Udh5ikc1bsGHKblBEmLoe953DiIh1
55qDkBBNk2bmOKukCuHQ7QfsDBeDv/XfFQdMw4KTLWLaD5562kIDY1Pj2OrRAlX5yxtnGqfZ8fWF
t8AEBwcRKI/Sva5+8S6WQZoRgo1Fj6al24UrOVApervsvq2kUxyLrSMthJYJiEy7VssWCx9jCsOL
NvwIicy5NmA7Wpfj1oXfCx6N25mchV9yazu1M3rHa9Izjsng2VI50ta5gmiLQ7N8ktuoroNuW77B
KOiWAXadvXb1BDeJj0cepsLqOKY2a7YfIld3P9Zu5dt4iBwR2/hO1nTNu+CWBRGNcCVmFeyrgaXv
Hsil+GyAuaGNLFmtD8E20OsbmLvTLXQYi3kTRstkC+v8qB36QHZYbfQjC4lSi5sgN3nBJvBJoARd
tndNZvZPGdcjdqXSzX75m+cXMYIdG39AVJkIU6spvBoIeA3Hz2ZpKKWNvi/qOOPjyvfMug4x2Pjt
vamXLo9lv/TqGFXABJ1YiM1tDw45GfZ2CSH9PDEdwRrFm+kZKDFGy2OUzdzKSPFCenbM8RCwFq1B
8pfVuhlMDlV3b6/d3CQOx8CUho2d326BB8rXJ9HzmvwNEew6GBM/S6Tw4dHA8fAr92nv976QxOb2
RobOITQaDDqhyo9DA1WH1XiJeKAVhR3iqdNOdxOt0xikNKI5ExC1rtahKgVCXGZKwA2lQy2AcIHA
vXTOcsbuowxN2ICD9UsRUvDl1cQwxGx85S0hRcbrMhVYE9Hz5t+FWMGkZH7VjyeiWiOPGRpyGSxB
GsiVTTbRCEhEjt+wqBmToLcZ0TjXLrMvd2XsiSbQXvpd5fYaEUKek2w6bdmmyTXql4Ixsu8SIpQR
90DDFHH656QBPjJRNj4ZCLtvEQmXt7R/wUurlPnZZBmScJLiwMAGzhauPKfMXdJKWyAyLGVOHkFK
Zg/ElNddJ3RfxUsBB8xN/Eh47M8nLAgJzVYGnQFCer/LXdf5kD45efjL15kSbrX7uDfM4Tbj+GWo
XA3UWC48HfOSXCaP3eeQPwx83lWSrV55r0qbc7+D6XS7DFEFyAjnsMQ7tRgWeNlqfuvE5NErGZts
U8Zzm0zduqtP3sLTFTP8cUXKJVjezYUeuXTWqPWSHMznHURB6snIt6pPVEuditGnmd/9NDav5SSy
L9bYlY79QoSv4TTy5luNcZYgkHcCwzNo/a8KTRhVJCBaN3aiobF3Vbn4j5uq/HdYZuINUZaJkkkP
zJJMYtKGvWeyRIptsTHyYVpgOnFOqopMJzYOr3WT+a9E6Wzenv0WtI0trsp+qS7Lee4IGGCwzUwe
o1X7XVto6LnEtH2z8JT9bFnifHrBPJwncEYGNtrfpEiLmsUxfMQymK66MKgUd/os1Z0Oo4Kh+4Y3
rMPIwJJkY32AW2VkMjfJpkQVMVV6H2QjhuYIDOiW6Ay9JMNjOLhJRh49e6Yux7TtOcsWHIKhMobL
aNNd97IKJ3OTBcTl9GORDfZzFFnNA5KezL6ZDb30R2VscBnis6Zb0W20W+aiHfHcwSK9wVee9QG7
VExEhNli9ZoEsASTEVReQCPGA0xAe+0xYOLS6Pg1WEu9lDkl5an3unrNuNFDgXirEbM378cGq8Ac
I7XZ8o/cYwp4XEUFla9ts8y7qjrLt3HE1TZsE6rGKavvDMICujUxKCNsIFOeJ+nyGZJgXgKkEhgO
mVK5bdytGxioq3DEiCqSBQ+7/LKVVxn7unELsA+K6d0X6Uj8PWHW5Lm7q1ZOxgsznExMFpZcShOP
2NxEdoITpM33XWaTs9b2C38FKL6VVoYF3xocdDD2+RNmGonGrOjDYkQ02G/tE8P3GmGOLs3scSzQ
m1hx6Wy5v6cUsZmBRdDsRiQyKrTvc4kHIIiJhVeA7zeaD5HkEseaZFUUcIuS7MdVt5RbCcGTE7LV
T6saxoill/RR5RDphpuHyZ+rr7EiyOaqgdk9X2NGDYY27oywJOxeLjS+F5mrevN27F3mWTUA3/m+
66bMfrB1F/rXyN8qO1kxdz9Hxnmeb5XQJ+NyrSlvwhkws5UVrvMyy2X91qwM68Qs1XRem/VkiDXC
mV+11Y3Zjq3wdNn7a464qsxmyhOyqD+Z9mvj0aC2XtASmpu/y7MaIbPvDba4KvwAQddMe2EmLbuH
Q23ZjpN04Wy/Sqybfar06FrHHgfORpwXIQUXETxq+2SRLGQmPUNBdkgOLz6fLwLA424IYFps7roR
plYv7XjbDxX26IE1SLnDX9oR/FgbbncqnFrkuyJitUcoCTcv4+2oiFtS336YXp2TMaq92t6hyKC0
X2Fr3y2hw2/WXhZTLVyu7gDnKyV7Tpswu5TBfSaJ4GNyfRYTeuOnXUTO10bfK14NTMmvVafEvWib
rIxFOzFFRvQJimyblvnLNie7uMtalwMbnXjANI04nJU/vWXn61vc3oxb9S/FR0LGFul4x1BtGzsr
FaKJ7cwVsjE0QAUXXgbj0+I6wzPJe5S469Yjx6um3A+YXun5PmxbkjfdxTftg9QOJkmDbpfxKNuN
W6sIWL2YkRCPpvLrN8xK6FEjbggszkXnVPte4ojagY3dPragQPjFSr3q4xYwI6cHmz/3wvaK8LPP
UNZnPkC1tOjgtCEvQq8Wk3RocikVNWPS0rHgc/9XS/3vodk/zhCw/31qFreDRub929zs/H/8OTiL
/iDWAc8O7hZghRgz/2dwFqF8OSOBfMAZuCPO6v6/BmcWYW3MJ875LaZvml6IReqvwZnt/3GOEiTg
zXYJ6A7xuf4LaW2AXH+fuHjgglDggLvwSAHBsO6cv/5PILA5JEZADTXKULUtU6ocpcsPQ5ZBSXg7
WtjExeeNXCWDx3prrGbr4xvwUDXezUzV89TrjdVKW0uQoyV4EcxrnnSWtpGYRbafGIuwda2BZ19R
FZTRyRw0QvJwmTSKZCzjjNrxtb3ko7Xoo8+iIruOZlG9m/OGdgEcshWRIjCF7xjAWQjKaLzD5Oe+
B2CUdmWmy9c8aClsZ1+iy5Xlmzs1tCFeVn9E0UzZv9BccP0XN3TG+Su5MlYcWIPJujhyXozGq37m
ump2LkKPO1URRUCA5bBzzYXiy10VDA5VyDtapSynjyKsIF59w0h41wC3m4wW4nE03Ed76fpbVdPv
p1XfivtxEeFljbMMojtU9KBpgTJtxYAfedRcI2ejKsWlBoTcL/6X2eu3yEZ8wKRtgO+qkNWJOYCu
OrNlbLG4I7Mu6BPcsV8OdDgkfg09qFnTG5mxdz7KbB1k+YfVmIxygurR6xocznIRj5Ho2BMZfSiO
jj+Hu5Xr4imfTP4/VZMOBJbmWyGgIxatTFZmOqwQivGksScl83qW38vIuzCoFg8Mh8on3yFJa25T
2aKGZ0Yi6KiQ+6TSb7x9ywrjEikR61kIeeActH4qh94iPc26ztvyKXc8tMprqKIUDr3gJlfZJXUl
BXuL3O9LTTJPDWa4R8upEcPD85DX/kxycmz7qk0CVKbwhrFOJabld7daT8tJB7xbS3Ue6xBeIC/G
TBkxFYzxAKpPJpE+71rdotx1mH8OkZQbByprM/Zd3imrSKoowmndnxdZHNkRP0/f+IL+dwTjBIoB
XVfQWRcaqD2SHOe6UZuR+mW0XkW9f+PBlrtETT/FBTh61AnKPkBxEteZPXePTRHUN1Bhi6/NBXMd
r3qsL6ohnw6LsyIbcGX/7DeV+WNr+i7po1B+argiqYbWfWjO0c1DYxY3PZ6CZDVsRkNLfpc7ob7Q
1G2JNLb+1KxkFKi6vtrwIlMgWH3MTKUwmc1xcSGZYQNd2h1vQs0lF9osWkgsG3e+goJB1IR+PFtB
fvRgwg9FIXoWw+uTnUeYqDg46ASw/aVV2JxGhD+XG8ODFFTCz9lxi4uhdsSPDM4kmzqXnRaxNWU6
Y0e6DQmN2TkMFlKkxIA3I/OwbWZ9Czyv2dP6O9cZ2Q23WjTbTYPADs6dpy+33KTNYXfsfrXCdUBg
6PlCs7i97Fly7UkEeLXAB+/avgzjNVib81IPRJ2DfBRz53IpBOJdbN8FEMWFt/4kTINpFkmM3cUq
3EfKa1JuIhT3e6qE5XXYWjhz+bqr1563XOZZ9TNc7CqByJMD9SfKFGvZQGwrgrx4sUqmM2fVCYo0
uqk5bRRZGMQmMd7BolBcYCvuUwBn1cvss5nuZ8u9LAmhBQEKNKdlv20G6sueyo/c6oK7nggSVF0e
+SEdSQGxblr9vNTFth5UxOEYJbypRwNOASj2oTTm8UNbpZzOD5g3tORRBC2mAbgUZM4JzzpGgLff
S3cVSTUwcgTk719n0wR5uKhMh5Vf3ls/0Kwg8KF1oj7YIY+wrtA+cd7YqNMhSdW8dfeLFuiuLHGW
Qs9Y0Ggm9k47Xi/n6Wxrdkfq9Qt6g1tjG8Hs84E70rKgraMgK/P1mf701KOW8vkZV2Y+7TDGf7jn
MtCV+y5w98WA05m+/2hW8kbAlEF0WD0MDkkGS7YlbdWnZl/FfPWgLXNfzyh2yRGtkJeEwfrp5g8m
qgwj9N76zULAYO4tNR3ayb4OYWdBfGDeWkPqzNl7hpddoZH2VJdT7VxmS3sgUYDQYXVAoXexFh1V
WXMTKjsOVJF0U7SrCVtA73FLob5r5jNwXHJgTHZiQNW3BsZTjJqRyWt9YuNCEgxgHTyb2Q+nWDgO
7CN8t5QK+WpGKmS4692ALmVhpPrIkQZV3rCmLObeQjMx2zkyoqZcGISM/nrv1GBis7FzdnYt73u0
ZWyJmtveQfUlioeyLveqUgdlFCrtsYsfPbNyb6rKk18GYdTbKS9n695SXK/SINKhCTP/CWWXis6h
Rk9BAKymUjPHXnD2mmzws5OJ43Ov5rze41k3dkPZMUYTgbfzhujbRoaIawal29ZYV8DjPrEfMyJo
kaJgFHOTiX7wIiJ3JVuK4TqTpkbro5yLspfZrb+AFuoD2K2wmk4LhuZkkcgqWQbR7xfuiYMQITyU
pTjv9MwQsUutVh5FF922gVqTcUBvBBCnZXsiul2bgTFnX8azO0xf2dZeW2gxg7Acz759nojotnY2
+5hhut0Lt33wzIwevCb/ozcQQvlQZhRZOF7ll0j34DPV3Z5yej8Xxo21mNt1FQRrUlTz/cRNGHmN
kywNxwcsu5dimkS6TMFpXNFyZvreFM5VP8M4MpDWh6OTxaEy65cZHn9K3TAfh75srvtmDd5nIBYn
9CfYuoZMsymMyKN0zgOFeRgt2O3/Sdl5LMmOtEf2XbjHGLRYcBaJTKSuysrStQkrCS0CAf30PPmT
NCNnjDRy2d23b4kEQnzufhzTjMuyrTC5k8y8VYyX2IK4BDbmyYVeunEgzLzhLdXeR285s3fQdt1z
iVpBa7F/MVQc8K+be+hL1YZVbwwrx8CG6NofYjD9Taz3xsYZdRyGvVeA/Ev8d2MiBAHW6nEs8DJl
GesdOquN5jAg1NStgvODynHBzFXfNAH6bdmK0mZ5FQH0RzSt+xxDVDM4qKWLYtWz8F+11mkYl+xQ
qHY/jDRypCl5WgInia+iZJJFmCnrwVlK8w4myqns0UtK09C2WrawUpjaH3VN9jlexuui59ee9hHO
JeTBIPR0hRtpVE9PpOH/Mp1NQls0dy2sjkteumyzgaBKPtBtlHAwpTqW0IfVdvhxpT4/K5Lsqxx8
dtjMGl1rhvXuG+Wfg7U0kmXm7+amObpeQ+FoKV9dTCmEsumBQf7F40M9fIT9w0phsHG/jPykbc6N
mIrDUkzG2lvGJ9Pk0IRr6lP4xkRuXi37nCsanm8q+Abjmij/nrwcPG4hjfnUJp66KM9ro7xLjA1n
YERCobnb3M/rn9hkqBYaOoNbQ++CMSQvEn/ShNquBr9giprGpbJWlTbfDKHdQ81vbBWkttRxNOsv
JvrpyvExaWWLuexnbeCf+1Eu2s7IA/D9WmznO6HwcXd97TWblM9UJyIzYAUqGDqFsiyTmDo86SIa
VbX1wGy4+LC1mC9oLv69yPL2DH6pWclxEnexOy2XrikWa1dWEv5KU7jVWTH9/NCnMblNAI197uk9
u9E07Jko8KCZwMw4C/gnDbkcYQQB8expubXF5i0jjtoe8brsLaPiCoY2EKKtGmzjqIzYflMz/SyU
/lLh2DkymtJSbbCEXhYaSuFMTl/T2BPawjFcXfDT6tDBEhCpL8bka9RZdMJj0dbc8bC0rZq2+pDV
dzQtzcfeMDQG+sY060MM5b3y1DYj2WT8TM6idsD+k+lsdAaT0bL2r8JOy3FHA8BconpO7TNzAF4Y
DMTG5xDI5IX+l2UIMeo5p8YjrMlYf+gYv3hx3P5YWu7SMUnkH584rstigwqaQefsy9Q913VdVUfW
6lbbsozTUqelCA/oI0hvoO/s7maNIlGDaDfrotu2LrixyGSqTqgudWXwCqTfV9cCEz5ooKmdtOuk
MkRZ28AjplYTKkLPy+66cjPFhMsPS5825luOIc/eNa6famHrCM9Z90mlPqapgfTogSNuCYHh9Np7
bDvmZbAXOoZKvOVVz/WJGxlFw27WbxbX8AEoJjETJJE7zpdNV8ET8cp22OMhH4ZHOZDgvONqyTbt
STcfT2TVZbwKvDmXA9tsO3xWJGIx/IjeTh+SMiibg5Xg1tsvLa7A3ZAWtzrTIZ0OOa1G/XEUHLAp
iuDngk2AaEj3JXO8Ll63FLLit67T37ka4r3VGflXwbx2zQRseBBa5+z9uXIvSekzJeuXlO5gVwsz
Dw+rGHAtrrQav7kPu+wymUPxlMb+uvCSkMdy7zvass6TxV1lGvGs3NOeq0K7v3n76NBzKT9W3k4i
xlkAHO/ZNhqMTNxfy6R9y4Bqbtxeyg1Ob5apoI88EAfXPk27OrTr4C4fB3IjtOwKpfyd7Q4v1WTJ
sNS8dg040LiYFMM90tfxSEk4DU4Q7JY+qTclHOdcyENQxtgT+5EAsb3GcWEQT9COFLjghdSsJ2XS
jGuTLTBU8TK6TRPN6ZRvlkAa0Ibsh7m23ls83twLRAjWQ18BJtiaeffb1e4GcAt1qcHdOGevop9t
eyV7gCmBk73wUb93MrkkNYIJ6MXPor7UXb53Ksq39XpXAgJfltLZDZl6p3Jy708B7SALHXIeHjxQ
EXEj95mklY4gyotZ6VepyJIOxv2tTwSlrDqIYPzFiE6DSRzUd6amHplhMr/Wy0tsj9d8kWdDQhpR
WIRDxM7zJNRReOalo28Mv3r3F5iMQmR+oCmaBLWFWbAeOL7XEz4bk4OxHB6WunibA3q7s1tkLhd7
V1o0PrjciXgNXb3Z3jbBKt2V8i+DLQTO5FL4bGWWtcGxEbH4AjbSoal1yzG5kV1vcQzUKzvSCHPC
EFzHhf/Vzfw+nHnvm9Y7YAryHWP6PidAn8SY7udFvBd+9m3jGzkaevXBxGPPqBW3ZNmtyzleNghR
L1Ns6pveHra97n1qIinWDJyJdrvpGA060dLZqlEkaGGPuzuvsQeGieby2ZE4X6VVxvc9oPdVvb3v
qadbSaI/vUtFbk38b30rcDNV9W7oFsBHrqor3y9+2lSL6i6hJZEFPTSN7DgV+skHoJ7RdXujK/mU
RRgDupB1Hb3sucqdB5UNW2iA7UOK1owznN+y7+69IN1DDNj5C0oB/z5vbA9bS/HYaGrX4YtuvGqL
YPmoc3TXp/guy6eXSY7iuaDEkXaOtWcud1aQP1s0fpNPOCSDvsdGvk0X4IzEkdpWYvtHRJw8GlsA
IG91czwSNt21RLp9Cr0TlT9j4Q5dv9jQnQUNtno0/QZ671gcjDZdG4OdngLdOBDZ3+rMYS2lPYu6
r0IMaL+TDWMRw4m11e3uIGbKBMzgas1C7ZKZF5x9Xq48RrtEnB1YoNjO5/biL5p/P7jynsnJniHN
W6bSH8HBcGGLXvuY0e/IwPcnfSSHxi7+3iazdQwaE/CkSb9cwoqRDbdqo2Sm56vVggsyFD1EWcXk
WFfuhnsUPlDDCgnC2zh/JxIDoisfmDDDajMbirzZftsOjxBi4D3q9SP5kI2faavMVWc6556cHNrw
GATXnlaQbaXdIsmEsiZDMtkItiXpYY+5zmFp7INBTbuDGGDnnbZjpEONGlRX03Yeu4Xn1m5C9rZ4
LTV5XKRvRzghyi2Djgdh9QfGWdy7mUnuCJpxM9QYZA87SoWqrdS9yKQ4eNXVztdiJ29KCw5e3myY
MN1IZSiFdl7dWZkVtjrsipjlKlcdvgbv4N3kDaCRWdVQJgiDxy92Ntjos9betbU8laOkBImiT/oG
GYTQVpYHQUha9KdKyeo19Ck1k89poltnAi2njZt1IONXVVs8sWqr2LJBKIYQ2y+s1yvkovVIbYDX
cY4vPUs747S/CkicReVu5u6KQ3vfSv9ZNwH8LuXV5BduB+2+N7mtVZzRDY6kZh5hWISFuuhMB2sL
6KVwbO7myxhxBa85Q8hPP1k2MQ1T7chVPC0yNzIoV4IsgICpdLkbavO3KrXdYix/OABCPEe0r7Zu
wTstbl/gZiKbhqfUG84w7NFxySNYhXtN8Cqv/MyncwB5ETUb+I0nfwZZoeOPH1h/zsVInbQxrd1i
eW2b4t0IEG4FynrbuIxiKLTqtfFCjeemcrrjXMnzyJnDo+6qqe2XacGJnRvpa1bm94NBTK5Xx0ra
d2mmeWenZO2AbsMKlhNz8wRp8tl5p+XoPnfau2oGd23AkGbFp/qdMqA9B4kXEjwRUSQsmfU7E7T9
5JZb0ad450VMFESMJ5JdCFtA5FbE51CAe/M5FvW6A2/PZa5Dccqnc7b03gpbwKOvl/jB7WCNQTlS
gExWRqqXYW45h86pjMgwYwvvU/lZGCUJ/UGt+qnv/b2RQNXiIPJuTxwoZROPUWEz1Cbh0XLZatpD
A5diUyUVQfU8/er5CNZpMHrb0VU7zoPvudL00EjaDc4JQdqtwp2ugocyK54hxwbjW8A1iqNsas9Y
HLCBYcHBTUUXK707E0olH+bOL2Ot0B9LlVAEvsEeNc29FnppiwpIz15F47dfms3abJCNoxFc3lUl
/mxFKSptfbQzFNJtgUL5vJRYGvk8CLtu7NE1nrCiQz4YZEI1LXmp5r3lrF5EKSus4so1ip/aE+MQ
5Xnn/KX0Bl3rZRivUvdzEiABZqbVxOnJWykf48MqLuyemWajLWrjxm3zPlqxAU+EtGTNTcqv2OkA
rNwt2ahdoR03b86CEyDEcU5W0ZyT+S0QauCerZI5jXLCjkCsSbMlYWr76TNMGuRLJTC7EGYYAXjE
U7WIXS4lH2MwZRVPRGM7rdxWyeKpPcWOrrHiY6exsc9Vzwi/8rXtNNflh5nZ3cOIPnhvTDkkm4pS
Q+Nfnav/K5ntvvmtHrv297c7fzb/LU/pv6Qu3b7ed82rSoC5U//3H39J/FvfCEb/6R82FQWU80P/
287XX0XS9d+1ptuf/J/+x3/jHz3Nze8//9M3+x42jusvmZHqP6KRyA/8dzrb+bP4HNP/73/4N5aS
839ugW/X4zkDR/8fZDbLvPnTCZI7QO2Q9m89DP8us6HNkUW98W1Rv2ilCXCNqxqP4T//k4YExzIB
S8nlf3IsJJ//jcwGGfQ/W45hxzq2gZxn2aSVcDn/v30QZLUoyDZvobvJJ/omgCwsJ2XqeiRyUb9A
aR6xm+oOhl/fbqOp8J19UpXqkga9y/jOLI/KbIsnt0sZauday2BVX2jda4yTChj3OzdSb7woPK42
VOQD8IZ63zTdvHaDLKxGeWzd8ehgSPoljf5e3hqCF3HtEJb45hoMIYO/dkeTaevUvNidPvOdTCBk
pH0gd3VsegP45HhvtTSjzk0l91pQUS7KgZYdtQmicR6OOlozkRXtTzODVzKWUbz0G2Aoxn7mNrGa
kIv6xtY2k4Z/rBmJPRL5qblbtLRFUkg7cwl5kvJzJuGcT6mz681sYoDn8vWl8QgPJQrgMna2ZkcI
CU+TS6d2g/MUc2gj5K7LunXQzrvaYBHvdeCkw6iI6CbJfcUZtxVANhPYJT1XalvLnzlJILXgrisC
8lHpK7OIUOKOGYt0U+f4ztzmQzAbpb+E83Bmmb8Me5N3nYbctd45Mz0ShrYuG9D4vSysPcY7n/NJ
EE6Bv/HGuNwBasHnVCX5FdTHkbzxNyHV8pgHPoEoHOchWxuTpV7/tjq8UJ3zk7BLJrr2AMXIwUjr
lBF9xueAQX9ZjONn64z9Fn5jfPWN9k7m6tB0r1XOyTLI15lC6NFv6EBzrPdjZ7zxRFElAaXZDLor
TWynhjsxPC3T3JJZuyzV/Nt6QbaGG7APyHzunBruzDjvOPNIVN/8MPbcgdql/EnT/psAM7Y5nqXW
z+lzlNh6U02EoA3+HJ4tLo7VvnRExPx6XinyWUiXqAJTwb3Do5IceibnyQFq3a39JrvPdDSNniIY
xoTLicSZva1gh0SjJa6cRiKFL73IIK7jn893ekO/wZgyWCjkt+iN7wr7aj/TY5L3h8zjQCCgra5a
w2hp48ao2MTZhaD8r0odhuHLn0mGlZhXN21qI/21WysKODDoC0QdpwlmjjnpM7OU5zxTd3GjP9oa
f6L0y5XXIXKbJncFf7I2nkj2NaobgueX6iln95bY/Rzs9gsf4NsQWOioU2bcM0xfA5N/CmogC36K
gaQA0ZKQjBfdD6Mo2vY0Xnr3ERd+dZExQC/LqmqcXwysstj8JpVsHhJSWWvydoyGkdaAvWD1yp1P
c7Q2bUkpeH+beeyDRcImvywx1Qwpbkpm/piCZmMnaFtpA+OHc9LBFDBg+gN4g4XT0DCRoe410+fl
L1ZuShVBWVI1vrU8LSyXlqmJiOap/TAsnhlaUxky8C6MBWgJSz9VxaulHglErtsSSKIN5jvle+eV
p2yLSfdWFUXoNa+D7/4kRUFirr5hS83UXS3Eee0YB2BwGzl+jB19pryeVa1h4BJ4kDhvtciQpLyw
kDIftJL56uuzNh9oH6VP1UIwcL6dbLADutlZdaDYVFBg7D2gYD350LPKHcvQn728etBdZVf3HoFi
msxRpo1dktoiPQRwIBiAoh033k7M5nzTGSyRHxcc+y7NDWZsrindw7dJHgFTmNvF1hfzFP9eDzBB
rQ1NGx462hqIEjH/3E84swME8RKxs8uYdcG/ynwSj7AqX4u8mHAaz3pDplha7jfwTWzJLSoVDV6I
CqzO2SI7C8dOLIMbucB2N0VVSAWr28Loq4ZZKzddrxVZtLDfOGtl4vBqOEiKYFV1Fk6yWxH3ZTE5
jyEv+CD/bayYilLVueCF9x008ySOVy4uibNo1R6T5dqZu/ytWJziUy3GXZUV9zbXvHOtqH+vhRWH
sOFwvtvu/GgZjb1ybK97p92mWk9CvJBOyEKSoz8Byt6ua6by3ugGXh1m8S3F4n4w7SqzPWhlEhwk
xMxRhd2UHzuikXY6MKqOQ5AooUstTj8opj/ZJs4HfvH1ZbTUzb+7RTYdWg2aA81NG1baeQeMg6PX
rYMwqjytPA8c1tZ50z2lacpVZhDvSCjojY13IuWDRKJ+F7sAUkLzE5LbrkxBdLf9SmLkx2GFyT30
8qjPqDm3CHEWGnmBEYfdQWNkItpxa/WD8+FxawFmjyo8OS7Ha96ivRv3L25CjcOAUdROD2ppSKZI
jJgDr6Qpk6ubirPfxNEyFIzlHMi9NBY9xXNSnqYZgpipazQ6TA9FrZV7uyiOGDG6VQowLHQdTAVk
Q7Z8mluSPSi2s/oVRfHn5xj6rNZId8kwo5YFebEjSE8owgM5XjgoqM1M5IF3bxmLjY9L7jJSvWUM
5R+JkJMdd1vhqjUQtjs/ebfsWUVxnR5L1Vw67pqMvrjQ9Ks5BS8W31egoG5BtZdEm0741q5ugWjO
+QLLEB3xoU63dtfkWwjKO09v//S5u3hWWdxXfOE1MDcEXNAAdD2cBqe/8yinB6MazERUXQB8gT19
ivFe5MyLnUwLtmNpRElahsFywg+HijqsB45LbKX+8FM7pNayjDZkj8W/m4xko1EMhKpkRV6CVtrM
8rnzpsOSDMud0Mqdq7fxybVmel6Y9TnAtKoA9K42lZfSobJjsLOnJfmshm5Tpn3EXXrPPcVYz+Rp
RdMcEDXfS/ySs4Vtr0Z6EbIP9kaXHf3anhHqeEm89KpIZ7Qkmz3W5Ukvd8qvMZk2bnDU8uQPZ/mm
sLWvoq13fs2DhJo1TsUaIkTYBbidWskD0ENp2/5DPTcllJ6YulRjF3vlO4jgc4MoKgUviO6tZq36
zbhHjkwT6BaGs8FXxWHzalFx7zq8i6K6R+biNdRjn1beqdpbzrS1UNBnNUVjEnx1DKHt9KLEKaE7
uQEZqEESHH0W4+CJ9MJpmXTON8+DDaBLd7fd+CottdNnt3jpG0ZpC7XLOrOert4jWe1Mk+ISLQiJ
NoWO577q8nMote8gT9j6T/h79N+0rI9mboYwv1Bn4NaKYNun2nNpALuIM8/cVrlfvjRj8Ir9rHjk
nfRXsccuV8fDuXb0bQylzM2sjd5xpJEQlkLU8xVb5USMk7r0RMl5rRwyTk7ziu2pZfxgEHYZq61T
24IzdLWOScXo+Pw58dHJpd0kSH7kDzfemPlRpQ9l6myy4ebGAOAT1qQb8LvVr46f3mGrydcQP7c8
at4qTpgNpqJnZsiWodefk90cmTTeBbmh7WWKuX7K2l1Oi94SxkD9E9DGstgUrYrKTC1vYzqQumg/
miIghiQxtgTjsOm9bazYyAedqKmGKQ1g7E6Ykk7jUSAy7ZpqeuP6/VAYarpFGN8D+TXgl7jNioZ6
BrEsvAevSRHTLZ2VgRYh3RbEMfJeRZkrkEZBMqdUFdsZz88MHq9270gw3ghWap06Otm2pmyfEZ4K
eKEwL74bn+YeVq95OFmEOdZY0ZaI9hrQb6aWn1U1Ilw29lML62IFOudSl/P0vkCu/0tT/k6c6PQ3
JOeMZ2jT9pegG58xcnOyZma3yH0BmgOzUhsSoQpnCTd/jk9W4UVD40aA79aO7DYOvQChVnrawzLj
pgrKZHgpkuWpNDlhafNRdqPaVKTeQtqUmAAar3i5j60ndugv+xaLd+FrpIO94ORPySlLidwFuAMr
/7Uvp+9GZXdJ9RD0zhfwgtvm8iaRddGBNkRpN5nP9jTi8HmihZ75mUvptLKLvRa3O7erj0a2nM0s
ZowxkN9qhRmmCPGDoz/itL9nohhNggZmW+eewMV1ZepkgxpCnCvF/S6MM+Z3jndpGCoktr0O5u57
KGt3x+0hIXmMP4z2OqUwqNDoGA4NvzzlIMzGIBZ28A8YdPdc5qBAr/QufwrYZMHwbltT7K2xf+Yg
eOhJ7kdCYTWQcj7ADOBM8Cox8od64pj3gAq+nVQ7jKxfgHm+gspLNn0htgtaWuc8sK08wX0JWxum
Y25hnWtbZB4N/sU4iP7QTP1rbmmhm/Z3MLPJKbbG39imvzTy0aabvfRBf+oTDPWVkb7ZajrbMwH/
ONjNfCyu2DFy5sTxITzGRtwJbI63deayv+obTHWIU1zuYFJVr7Lug5ds7ruTZSOElTdufdFHtqHf
Lyk7MoNJ8D4Zd0IM869uY31UBQxdRIU76mg/5ZJu2qp8TggchFkZhPALf/ouCAtLegc13EtzDoXX
7mSLlq5rErHMvvhe0j5Ku4qyFg/FYnI6bbzmoZB+NC5467Bc/MVLy48ozJolguqPzmRd1QNWrKAf
NnIyP5mxwoGbrR+RuC3dE4kTthMeL8BfUev8YxIfuThGV3iLESy9oTxij+WUaH9SbsM6Evjc8J35
0V+sL0gfT1zvDbtkiId+wzy56/uoLIi/qNyL7Dq+jn0TOcK8jlm8GUwPB0i2qSE34Lvf+eP0CLPo
reHgXsA471FDPBgM0j8GhR0hAaBmwHUtH7zAkVfhQFIehl1rd7cjzqpJvvql2Kbja98L79xKFOdu
cbOPPPfbjW3gtIJRJK+xO/TcFC69FyTfcZISPzfTIvmNrX45Z3ZGIaheV8aeJ0qrN13W8wFzIFkl
9Wjtk0EEG2yr5pMyzOaiG4t+ynOePRwUdljoaf9aVkVPGhd2R+G587qduTyLZTnLkiOu3TDbU05d
R5znE27UPMAQdYy1640KUyLTSacBLRfoX/gxSRHqkPH3ecnAXTpy2kkYe9t2EB+amVTPhtZS/uTH
5lcxFfJVeYa3TVrU3SD20m0lUAagCaq9TRj7whXWQMXQxp1gTroTckj43ZcSZlPiW89WwiAduLCO
1oClwrw6i8gcvn7NNUdj0PSENyM5NJUH2Qjc6M1ZbbLMF/iRVwjpM5uGm9cnthZKDLxsKQjjMea4
9UyeSS0YQHwEwKrKx9ilj/n8Q5e9F6KET3tWoHofMxoF/hlrh1skym07O6xVGzMwSM0I4mu/0RNv
es0DdBoHYv6barwpXi2AvNY93+bVnabxT3CeYlTteLTxDWKnIyjdT6Kcf3LMZPw4JZjouoKBoKrY
DzDxcguq+cnqU455YGPUzbLtkpiWkTb2sQDZ2WfcK5f86px/sZAfhrxINgin+g6KQDet2ammX0yr
zVs3DE4QmrlrPY1uNzO8r2yU20lvMBTbYjcwtd7plNKtyZfwDsFqVM5gwY6ugJv0snzy2Q9LbJGZ
gOeUOecSKBptBVoT9vD1GCJ5A0nM23yxYSlxrUeGMCKn1M+5c83O+5podXrSbxyV2bXMjBx5o0UN
SsrTMCb1sSbAAX2U6jJAWkfi6jm8HxJFG0uz+WtGve4ePLvRP2In6d8TaCusqV23PBD34ULij2Xx
FacVh41J1Rpj+VnuPNkxuc5maydtut9WpZM6ILSLgUi/tMYkFAJpXTppewRkmB8crc5OGcejty4f
5z3UFueoEaqDREFFm0Zc3hRwALputfidtKOibh2O67UkhTTkt3QTm4zQvT09seR6lj3Jhgeyqhnu
1+A69fWnKdqtbAUyUBtvE8PEAeUbXseBg9rZfSe6rrxZn5kA3PyqVISVznwkgccyAr6Qq9J0a3kO
8WBs/XQc1lzkhycXQ/K69S3G8B73+mrtdp7D3aMSEdEYwglcp7c2A1zsTa4nrvVYJVud38rszAi+
vAPbXHSUzvY5ZXekvDWx1fg6Ues30NRVQszR98ZPv6tfhyEwLhp4ac4B1bGwxnOjedUK0Ft3E/6y
B2NZvLNmo1nYZYQQ9TBPath2QAL6HXrDEG/bsffOk9fJcg3trn+Mq+Yjr4zbmzom3b5MM2WHFuFd
GoDB5BylbjoFTkuWVABi7RZ+1pcjOljkBsPXc+xUcERmwNMnTsjkvGftxg+lexQo3gCP3WhqooB1
J7ZuG9wQzk3V/BTmwsxz8dyYT3QiHdRX7cOoc9Q2Te5SHEb64T1pSpzf2HYXVr8bYRigKIpSauh2
SHKpfdaUbGZ8g21wEHGb4X7witPi2cMuM+M9vQAemBC9P49m428sYzCfKFi5HT0Wf9iPtlEwU/SQ
0DGGGWyveaPwWtgq6omwn8xb1I8lxAgigFacSh1kIoYqXbdnKLNJy1uAsdc3Q9yDcwFX+GXIPl2r
8Waxd13EGrgnOPsjLbG2vRxPdW+OVxNdFTaWpU/fFIWCRgaCoHFhzh04SrGfhBmb+J7rlfx1UpWg
cqms4LsgcFuQjTxP2GWO4DAZl5hmglev6ev44M71hRxOw+GnjNsHUiN0Y3IHo7+wlzAftQk1SWTx
0YKwBY2iHe5NL36xe/mc45IInS5+MAbIyJVmumtSi6FVc6Fn3GHz683GVY2JgNTxY2dul1aM74HQ
6lNhMWkrvOJgstZytUk/cFMku7Fo390yuxDgehqE8ccygiLckl7IuIdrdwOUCA4WNdMae1xLXb0x
AuOPzOKtE0aBbOjTQZdlPEs1ebMa6qmNoMqRzSliAtmjKE/Sezdr+5FJkkHLLgDFoLAuEMlmYIL1
tnS8UOW1tktH5wWM1g31YHcPzJkuQMGilNlqpj9ZiwEVwsm/JtY/AzCjyQHRlqcem/8DZrvbqVVL
b1ZHrJgdh5OBN8nXNOKZzOvwLESgas0PMZPOZDOgWHIZvOe0BXuvtDDv9aeZ+TxaoX9PcyQaa1B+
F7Z5p9s1IDtR0U9JfaXtZHPUOHr97fCsNKzKa6sv7vV8AIgnBeK/tR698ZG0eLdd9Kq5Enb2cSVM
J9ISr9VifauOPHP2rIQX6pAz02WwtgWp8QIFop8EMydQs2GcNzNgwc8lcPklpt7zqAdnmIojLrGY
vRb3mg2TTOoGwxTsbaAO1jWzMSeuccwBrFMNiNpmw48aQTnhqk0YodMj7s0v0+yxr4OkDIW8Af9o
Sk0zogeZbV9pmxWMTdunse/vRUDangv0acRskurcF1J8K5t0Ln6Tmwbqo7YOusx2Oec0ciuwwP04
PecGhzzftyJLq8QFdZr4fND+Wi4H0gXb4YUB8RW7H0nCgbuyGJ1H13EOAAjStUy9YNMRilDpuEPT
sd/6euBW0LwUbhJxL5L0CpW/Y5qNNEQ23ZqdCfwnJQXas0XCfj8GAi3ecrV3JgfHvmJWTXnpi2/i
9/GmaacP6kHO9Q/FDUS5xMgRrS7/6NpkvKX/Qa159SV8o9rCowz1jM4q0vjb1qeyi4nK85gyNddj
+RDT1XFg/LyctVRIggSxiuyivOHKvH4tFbb6efpwi2IfxAa/OaZhK/zbT0zjtZUq9QOJSkyVkw3+
aVaIR4gZe2cuaXGk8n6FfbU+1zAw10Hurhflb6FB62sdF87EFI9AQoKnoXCY5UxvZPtBOQ7BKe8X
84xB8Fb05I8PU29oYadzi02COZqX2t5wM5hXU99RPgqVgD13OTUSfGCTwiONzSfPlOQzssz86J1k
3OmYyu4sciKEXYI5u3czKKGD5QKgRVkLp+7Hb5WzX3DAPM7LkL+zkU9HOii/Fk2k7/YS+3dCiV3V
87jAxeJ6Im/ySEYyp5EHbkVC5oIwsQ8pur+lQnKLd8JX88mFKBJZlrm2i/ok+moLImRj+MHnJBnY
MfbQGEkhjAXWjFfYWI3T+GuyLssCNzs6DLBCamOmfLcwxWFFE2Fh1nCfYYyeTZf3tCGhrez8x8yS
qJr5qTnmrQjHRQV0EQlgcV8YTWgbN0RLbm1GTeNDMjlTc48T1jPAAewfiOHMo7u/TMm3JQ+SU+Bl
ayg2dOnCY+k4YayseMlIP2EntLNDJfW9Mhym2izRCTfc1FiGDzIE7WagYnMFg/J5Ga3vwUuPdPcd
iPHusiLfBpB1PEy1ZMh3CagcB9/lKYXWdzfqBvzAAFN6Y7JUB7rA6tMuMwjR+AadDFjUMn5IZld1
c5L9sjcVxjOV9c7OCAheOOXOboqbPxHmzM2bEGJGf5pF+apZ0x8qFj/ucu+a2Gw0+3ZCSN4CBkw9
NsO1VbYc9Uf9Mc3S56klyn/LCNoSW/gkjqIyzk7r/gt7Z7IbOZJm3Vcp9J4J0ozj4t/4LNcUmhXa
EFIoxJlGM858+j6MTlRnZldXoZY/0FlAAhVDuotOp33Dvecec5ZYG7Z+l5k7njkYW2bAUHvWveah
82SzywE1LwHbjRyz/Sazo8sSxctGLN5Lu3TcOeO4Ojw958w65NGKEIT0DdQgS3+P2W7vBhITrgt+
koMiRXfbVPBVQo+6TT6DkW7HL92y7LC49VNnyalSMrBPif9msAWZwD2plRwFHZuBryujJ+VJmBcI
8tjX3MhheVRZ9q5s892eWCtUcbPv23k7JjdgHfhYtT9vlpJsOegW4S6iw4wcC9tTb22IwXYpGxJn
r3hZr3XuMKlVeIbGc45eMk7ADnrxVtv2ZZe41anpeDosIaOGQsGSSS1o47W995wDiqZtmy8nyE35
pm2UvU1RZe9o+2+qqSJK0HPYdKFTnqR0jykJKU9BwXx5XBwQSEXQ3rq+/IHXgKPBOq4rzgFP7tYX
cbrTqVPv2mZ5A551l+dXYzHtq7yxd0vp0sCU6lFzFXACOjzAHf/RKXh/c86RB2pgVzg4ELnQ3HfQ
NL58+0c+mPGjY3948IKCF/9m+6sAR8XRDTblO+Ml2yKQtzmadVYi1XMhiE92o4WKe3iwqDVOqxIt
ivp3w/0FJzsan8FRbgA1MKTu/Ds4FqeFNCX+GM4Mblig9WzIOdonnuO2c2/7MF8ivqyLyZ/0koD7
GOWXvxzqlp9442pV7Oo0eRUmP4woaY+tSO6WimUjCsazTha0992da6fsnVmRJNVXApmViXa28e1l
PHoIYE8cNbcgpKFt1kcZejvdYziNpmRb5/FlMlaXUle0nwss8gC/XV7Li2h1jBWg9n5woAB8jdzm
gG78qEjSwQCnzC4Sq6CcNR5i9vqWr1YBdX65pxfC9MZSLlYLSTpwxlcc3wA6ZXxkAsy4q29Occoy
2Pmk8D9VqXVdN/T2eFs/k3a89kvz4iJd4qOKAM1+YyO0hTyP+YUHsmrlLpn1VU1RWL2UY3/hAIxh
VsRMze+zZwizB7mmYGQd0i2YJT9GWd63I98yG0OY63cMHzPUoggGnOQVeTrhOE7zBXBnS4uRHDuO
EBwn2boqmxn6ewnxo0N2XaXOR1/46lr0iMWhFl/aCTTyUqJlGBB81eP85tuVecmWbjgiHIPxzFBo
R8146mbrO3h5xG2aEZ037tCBINSC9tYGxdmtPss8vunqYUsoHafj9LjSa0J7fFAOVHDRfTHrZJ9p
g1xr4/lpDPPsrR/qbzPNKjAo5JgDNkaLdijUl2HXXYqm/1Yv3xN72TZhhXbAAQsU3DG2O8rUPfYx
obEoYwT3YizNcXIY3qlg5unchijiRyy6PJPk3O6qIYP+G+LEGvg/YXfTNhzNeLGRK9yyHrhoYI9N
Sv6wNM/9xHTX9WBfmdV4pHGHt3eDaKkzkXTUSX8ra70b5HNF0jm+VEzKD3Wgzh1umzRdSwF3xAWJ
59ZJbdBOnIih9WppZKo0WZdtMKL+mY+OxMXjtFe5ig+csniS+/bCAdhiDSc7xMHnce9l4bGb0x8z
+sQO+5KtFMsWTSmKvScJHltm+YWKS9KDvIPbcKRHxSo5fUlBvKJ43ad5uBm8VO84INMvkinOXiLV
dvKLC3p8vOM+MEAkTfgpLow/X7dOxjcLnowukhccv2cClcK8uqPcHA85W+IpBw1W5e8eobGJaz12
OHWw1uwJ0MDARd8g6S2Mw9pAXBL2e9H4S7dbYOrjBibCl7dZidXM0dopYuLsVC8oAUBOh+1ydOL2
XOUoq3BdxGX17pXuyxDMt8zcCI1ltu/Xl4PRpxpL3eLp9M5q65i4GHue9oE9M6fPm/mniGmd4tn9
gt2zLRculNfc21HxsHjnCLXhXIqHrB5uRpYmPNgNHVXT7qco6/Z5USCLUEdWjUjnB9BQC5HU55nz
cU/Q+I0ESPyEPxcoSJQycGWcQgLE2UMRHvYlfaiz/GgpnNBdP0Tl8hASjJP1IXvyKkJ6Guorbfc5
9qpmuVXDdDmJhVIn/vyDqu4fADj/Eh/+S6gmHLnOSUllscO/RsA2pPrEBRp3Hl2BdzsXsa+Pbt0X
n3Vgyhc9rSLJDCvj1TQ0SPgRZnRiP5asev9FLCwSu7/9IWQbNd+qvItCZngr7gJWxp/JFBleRr/q
cKci32vfI+DwQFaZCYJhr+riXleW9cnYPnwse9U+hOg3Dywu2w6Hg1/8/HVZ/i3d5f+qpvyjmPL/
vwzLf843eeg/3/+k0xT/TTeR4W9AAVbNpR35PlE5cE9+j7B0fguhiXjcQwT3+IH337JLIX4ToE1w
bQQiFJBH+K3fVZfRb8QbA0thAM0tGCLc/HdElzBW/3QDBRKYiQx8ILIOL+jL6C+5wm6oCzLi/NfW
LL3/mOpBB+E20WTZmKsQzmnwM7FH4B7wFWB3mTe3A2w7E8VbVyj7JLMwdG88YH17iooGn3UVOin5
d1G6RMfWXcpsGzdSduJGEk5RiwNPXFrwPPVyt9xWgG5bsuKo4dkfj6D1yCH22/y6Vy5R4208SXGT
TxkYEURYWT0icwJMiApF+0SfHZOpDf2PJE7zuTiEagalxv0NPCM4BYWRA11ridqQDMvU39NaRO62
nhaMCRnpOVRaocKcvbVzAWTj0HtzyZhrSaYRobVV5MEZO1vSM3xE+GR2KI50C+9u/SzPlm487zOv
+WKybzdef4BmCapgE6cA/A+BaCsqlwWTMyMw6ERbBBEOxRQ+igEKVF9h4FHG6XYwCO2OLKSmuwaJ
wog39MYZVB/QkaL5kopF5E4u3kojtWUS6I8cwJ0GvJEoTgjP86CCgwfBFwMJboBcSzSdRHeow2bZ
BC7Tn4uuzcPia1YA7IlMFEnUX9oANYu9xeQd16oocaWEEpBt7HRwA0NjDRcpZHWWVzTjSC/LUn/r
NSK1zQRt9YGPy+ufwCB38lJbbgFBKa97yXAwZAKpCyAdiHpol/I+af0tNmurW4XlI29PlEypKM9s
RrllXYtPrwuikvLDcFAU3MDNrkTOxhJ+mLsaKGmbqD3VvPhMYgltX8cKfUkwo4nd1IVM+jPQdfsl
tAfWxS4UDw4WD04mSvylCogGjFM2BeMKu64VDgXGTOBx+bvAvWroUQs/sEPN22yCoV7QU5SVS3J7
22HzDQs5eABPLeGRaJ84aa+28aRTypwyTiAVKjCXepM2og9vaTEzj1oppMfcFfjaP0c8GOMRyaWU
9sVA8Kt8T1A9yVe7UYkKNoO2EF8i33EHcQHQYmWZsHWLx93UGc5YBs8AEycws2LXJ5m8ZdLNRM4s
q2LGyRPe1JKppmTAwhAc0WBMYtJcRc2MK9piGzOlUHmgZbafbm8YRSx5yMSUxWhcotJpVg7+zMxm
4yRD8o1v7PTMXctlHLGKEQg65x5+mnDsbg0oRUMZyGG4yYcYQoIa5jY6RL1svkdy1C2bUhFTzg4V
iuDcdG915dsPQby4b4s9Bs+NpvFBTSnrq9IkyjmBG0pGdtwpfpGWYELgbJ4djcDufc6wxYXFuyG6
wR2BLokAzlfFEoFpbRhl5+DXBCgcfXXheqWaNp09DffYlMwrtUjK7HBORwe10cy7BmrGrRKk/vBd
uzxiNlQy5XhqbHdWV2axlkMwemX4NgFIR+LZujKebmFuhEhPG1CgIzrhCglBOYVtfe78zCfqb2Sr
tMuV8Dpq71CU13XSKVS746JYkiO3BlQKiocVXU/9WOXo+TzpBMsLcV1Wem91UTcRKYQLDxInqsoF
cg+TM70aIPmaMixkvKNxmwnkw8PSeMlR4M9gCBMMhY1Pz2VIYi4mLgdJZoNCx4dmU/uXFvFY3UWh
PN1ew0wJGRiyTA3OwAnqkO18RJwMHAOFR9EStgmXbUd8Fl4htGsq+SGknQ5vZMcbhisIgdlFRsqx
XlCUgVQkw4Mhz4Aiw5qQKG5SF+DPR4S3YCkuahIWReVvEmns/BSNACSeFrv1bvHemxZwYuAy8h3Y
kCDaceVR+INhm1P2k+1Xr4LgNjCOg1VLJobMNOYUM13CORG6l6LPIJ1Asu5eUG8XyON6Opf7OoM+
d5Gm9DrsZJVIiTQd4GegfiUsCQUi0nypcPvw6Xc9DrJEinQvughPJTwAO2DOFXd3odPClTF9DJ9F
VFY+HaO5ieOdzkeYRIMWKItdW7yTe0iKThX3EwsvO61uWoD/gGj9hflFEq1DSTsj+2IbBe2aAjYC
LLr2NLgM5tA+MhwLqjkOqLQsbmB+LRymrdeh1CY5QNyC/Irno7bKaiROJ40h7mUpbuNIsYpUrrGZ
fPmd/kkKW/Pq18tCRGuUB9cDxJ7rhLNpvTVsm9SlirC1kYo6J+QSdMsmHdvFvsj8ltNTce6KXQzN
ojkElvKTA95aHxJQ3gwz2565G94tVTWfCR6MApOf0P4BmUGDujyP/BYdpstUBqfxyC2TtEw5ROza
53FWUFYyNDWrH7tq0Si1zMrB5GsVhcSNVH7GzCvE1RwSa3qZSY1nkKTu8S30HFA1k4nS8hDDWcUr
VbAd3KRDmTASCll/bmEf0P8Gicumb4F5tkJJBuT3BHgckrzx3qYmTZjjAjJt8F8GDiKgSVlmOTGY
6BBi6jb1matKeRzwNagzNxQJ1zqaEJwZM/rY1TTbq5zp5qcfI1TZAtqez6JkerkjUi5UB9k0g7kB
VWPO8Evv6VTYDMGBKG+I5UIlF1pz/V71bfMIwtRn9jz4TIKBIme1vNYeTc1KrXbmp9kHU7hr2gwt
YNwKwRjLxZHSamJgb8u0WNRFznpTwUdP0jueJPK7VHgPT67rZT89PmUuKFo88Tp0wu2fatB6/dGC
P1WDdI5ScQ4Hd7CPdTBoejlYzzyDkIBBDHC15+w7v9KNdTd5jew+STfwBbyMLhA5W/ZoQfGciQ9m
2snDqvIlRyZ1bEJzoWKxK2FEihBeV/1+5lrfi0EiWY+ZLawHX2oecaDbn6ieerBpaUKmIi6w5Uc5
cbsfAg843TZsV5JYGtTBezHRCeNyTh142qEED0b8F59wC26AVZgsxr0I4LR4FRdiQyIK/PU8c4fr
NHFwhRjT2E+GRPARi2dEUZHk8HjobBoHYqTG2rmvhzbjcdyVvPncWfQHVFHW7bGddu+Ro7qzb2T6
Yg21undSfxZ7MApuzlNODXDYPPbwGZFifIjewjos6zrd7WpO2Is2t6uvgTHVVRt08Vc7DfZrT+nX
HOdBekefjBnAQNkyMi8hNwbWjIWsc+wHnHGTp+NnxB/tV+pFKn7RhnAgTrammvbRUKTi+4SZaHgk
IQyiLpFefR0wbTeOvbNKegX5L5Ie8JD9oYdcW4BA0qKQCeoKnxHi2iL8gW4YDSggLH4oINy44fkk
mrLE+2G3d1nA5o4bczC/e/To8rDI/YMW+n+8Jssfug6A4KRY2K4L2fGPr7mawwbyugIwgwWZwbIJ
j0thTQgyp2VflFzsf96y02X9+Wfk9QKXIIs1ZyXy//p6njUh+uFWJ1Q8ufM5b7dc436PEhFLs8Wm
EYE0Xv2+jshzm4bbf/7qf+ZHcoXdIIhsH1wuHFZSXv7SZC2FnoHWYJeYlG+zk8fVMon6X0wl1lZf
lTNU1ovP//cf64tEsE0Ejabth1Av/xKgkXfsKSYe5mxz2AU3s89WupXktGMUULA5/87v/Acf3z9+
LXx/PjtZGQXrx/uHWyZ28jYBq+IzSKyiXZdY1YtGF3bVmxyV2D9/Led/3itAPnmhkJ6XoctfZxyW
o0eoQY1PT8PTx58DqCljZS8no3UH/KIc9w1V9w6ouT4HlQw/LIJ69qnUFJxNwnNhDN2XadLde1PW
83lBVjL/izf5Pz9h3mMQ+D56HZp2+ZdwnSFh6IdeDpiJImGtB7Jyci2kUr8uxf9NWP7D5W79+w24
Gmd/N8TevFcYYrfpO1+Gn7+MtuvNvv7p3+GxckXEkrNFo0uFJWweJP81XnHkb27gC4FYmnRkqpK/
m1oFv+PZa+iSy+/6sIT/Pl0JfnNRvvIotAXTGmmH/r8zXeGv/vk7Kda35QIZhw/E/8K/fvEVixJX
O/65twp6vQ1hetV4Yaw0ai4wmzjbEHy9xQA17KriUbLtuaPQzViXQd+EoqULKETFEj1GTuK5J2By
aLyzSs7Yr3qgy5eqzvW9CBZwRdTKUXTIOeFjOtbF6pCiFFXWHFqDs+gpdfqIMYOVOYJh9JBnrEea
xBvY6Jb+XMxYi7Cte7nBC3rhjQVW/RyuImRl3x5ORMDHrtiiluU8aMjVgUmN6oHtESkIZDaQVeHa
xzbDEEMPyJRBJEzne7fGWVtQrmEhs5Mbtqk1Un2PuPbVyCawx/lW8YpKMqpOKMgc/zUkZfE96Zpl
R9Iwwllb1wKmGlEj0WwiZW6awFvQjcVPfU1mMY044uPWA5ji0aVAKPJXktAs78cecx7Wz0pZr8b4
Mfy6JEruc2SLeB14ow1SMCKOdHnFPKnykCclFR22ScP03rZmLAKbPHaQimGxzX9qQglybxsOhTvt
QEe6yUOSRp1371nGrQkZMGqVI6RsiyXMbMcOHbrVwigqqWD+Qq7NBploTAkqEN6Df+vOpX1q4yan
sJFxlR3a1uuvw6pe8lvvVz1oraUhAyeqxOVXxZj/qh5DZY8/c+EU6KljPwXSmXQjkUMiSZpHnUXx
2VgAWO059E+2O2R39TIWp3F2SNuFljNt2ryF0xOLVD7MI10Qg4/ArVAlZUGy0ribdfa4JamLkTpE
rojA6nokj4Tldi3Wwj4tJx66mDoC272ErUFVA2+N7IEtY249O4ySQsOUK1qaCLYSXFEmjLsAyS/X
91d30uNPCPaTqwSj+2RMnR1Tymm+SBwZtPtGjT5ta+ZX5RH2QAirqfP78zLleXpGhI1tTMddz/o7
7TsDzyPoMa2ZQtcXrUJw5VP7bTNrIR5QTe1xoN9bz44mGPZ24zdXM6y2G6uqWjb1awMHGKm66fGF
1azvFwsuowVmbkBd9jCzqzUoTGZzmhw13CVpM98iovR2opgn6yZsdX83osgOtlOL4nBXwQF9diyr
PgkQTlwrZj/pvp0rIvlY8LP7JkL1QfxqStMOpmajhXs3IXN4T+rE/x5za5ktHCCg7W2Jm2Yz28sC
FrZOrHUlr2RzQSxuVexCsKoYY2W0Tmp+NcX52h/7sZc+Tiz8bsJiDd0esMO03cUs0rbST10/5tn0
mYopjxHdx9ipg8raaNwzDDog6o+6G37wVHBlvyfFUCOonoBIIx3aUZ5y2hObjWW8FMfI1FPoHKWt
uylgQDcmy5twBIbQyxSFQPdArsCAHZ5FDvo7QkVysezjiWFxdVFEkM/UV2NGOeQouIs4SPMdI8kM
yshU5w2ku0aFg6n3dYRVBSshUNaouoTdotnNh76eCJQaUfihva+NDQFtkqN7IEq+Zpg4BVz8zdLZ
xWPMADN0ruXYeuP4XKGtmMH5hAbgOGr2tLSPWd1agoCuxk301h/WxX0bwNR+Uvj2WQnWwh/TdzdK
2vqZdJHa/46GQBWPTH3G6YD4WZnrqOgyc+2jKcdPWaQGh4Aa+7r/ZijJSJM3uSJzsxgrlMDOGJA3
5fnvvfYgn9iFDk4wsF1EslCFFCIJ8mwJmCNoykIClMsdiQ4w3IbSegC3tvq3SmCtKBxh0IBW283C
o9EW/IeuWdqZc1j44X1aa4JNBmINTCYBdDMH7q1j1Nv1KQAx8F3KUWwrIyKzseTS74axrA5ZP9Cs
M/xzjlMVlc/p7JEm1M01niTFik4wtt1JJjlQ2AL3ApKXddv7zbgdjYCP6Nf+cW4S4ivQvREwP0/e
2zD3AUyEKt1V/bjsYMgQI5cO6iricY4PTi/zY2E84k6QwGMszD25g3CNbUSISRxF3QZrnI2IDi6M
8WMmUufJKypwl0SZqKTCS9Oj0HAt5zFoaHRQebroYo1BmZA29XM554ARcJN5R9LUP0DYafOWJjyJ
zz1+Yv0Zl7JV102m0E4x8ucDZ+kGW1hgQUCywmH7Pat85PE72F01fahXufH1ZBBzfhZZy6LW98nt
8ae+SK5MXZC4C8fCimEs1AItH7fMpk1EwNI+ycYQ92tb3yEUbVhi2oCjUMTVN36xeghdYsMZnIdB
PR9W8zW515gSr8tsaesdNGMYaHjLj7lAqoOai04yiXILGnY149cEnL2XCIIjGDZFHgFcA/cIk25G
tmhVNHaWg4Vmod07lvRbb16/2Ds9umJV/1n5XYVIj+T4wr/vzILQrEWBZTZMI6eP0pLjVSaL5n2c
QKNt+6wrDrE1zs0e+FrxQB+/Ms+YtL8Pvs1nT4gzx8wmX7KChW1KpspNXIBqP8xVh0IB09h8CSlJ
XFVsUYJNniCFmQMr/ZoXN5mP7VIbvvQM7frq2/+V0N38qyim9P3fS+j7n03/UWY//qa+/talP//G
vilRf6qp+ev/VVOTO0qD7Ds2//Bv6VEf/15TO785dDlORBe7tn0urdrvpBj5W0C1bEchJEw0FEhg
/15UW95vyCXYieLYJrIBYsy/U1QHwZ+LapwrdgS/hsUo/0kaLrk2p39oPoFPOX5umgNETOR6CR39
dSRmqM88THR9hQkeWipsMZKJRuJw0I+JybymLiGLW6wnSm+j3iLkcyFOMd8x5EYcm+Dst6EHsg/c
9fkM66KIVPUwV6tIZPoVIVq0c/ZMRgPBomWyhowq8k6rnVyzR+tfMaSz04OtDqgnUVEG/XUnVay2
CxMweep/5ZcG7pplCic9gCEMEINNT5RMz6tEGFPz0DrzSxgYHIfODAd7N6CMRg6fARcVjmJKO3gT
MrAmtxwe+AjhWcdmq5WeIS5KQ5yozWZZDFsMwvOSgUlTlSK5q73sOrJmfNfQifHaLs6akTbQlHxU
gQje8KXjz52kN6PNN/jXF7SPr9r0PIfIwexuirBuADZHpfOlOjTyfFcNe9PIVf4FIlVgpjCvSqCV
Ds2vbAjCw2WRCLTrrqVYFo9OxyRNMXPdekvYPKLNNoYfKZvdnS+1xeKuK5aHMcsoFeoaNgqZmUrt
R8MPs3Oc0vL3ckLocbSb3nBiy+6tzQai1SO/Dr5R3YM165m0su9drAo1sAGEXDLw7reujYhqk/ll
/m4iY+6ZeWdgV7LOB0dQjsMMjTiQVziylv5oY3SAfONkPLpxl/TTVsImcQ7GDkB7Mwvn+axDP8/v
J4OX+X6p9JidiIkYWjwTVtBctH3OxqZy2UPuk36JZuwis3L27KaQ4IsG3uC2bVqUxr6xPLMdBjE1
R88HRrb3km4B7exldndVlFHfXWWok6tDysh/2jm+sUnpEGijzm3BkaPLwMo/QgIXV6X+mGF4s1Dj
bRiuaWdFJUKgT+DC5LtqcpNwW2u5KOCaVFDbipVkf4X9j2Ap2jaNUWMqeZzrxkzmZFUj7Uww5AWj
/mYguZRiSifWo6I09w6J0xQsEGerzc+mGK2XrKIIBEUAxG9jSETLrrKGbdd91hM99+SV6JF3E5il
8TvuHgTlaTl02WNppWN+XdSIklDMYN/Msk4MN0CZovEWEHU3XgBLRmjWLDWSgaEvJA4NERXuF+/b
IqICs6Oza7mBvAMh5CRlBwqe2p03rrukBMFSdkipQrI92yqv37Ej6LILJw8BtxqC85YdOFVd3nim
CsLbkrwKgg3qyZJn8jpUhBbBs50jQnPvi9BghoRuAVB4TwYTuZo2/BvgMllVqoMGdkv14FHmnCbZ
2bjbZIniNSToyVwnOPoRSrFMq25wqvDkihOnE59oAdg6V3bcd98iBzP5tge/nB48beNARXPA1lPb
JVP9FBZkd6EsAEuEc6y/Kxg3ZSeSbHR1TR3a5qfRNi00V4cnz9qrlOlF2xIwcSq7Gja34D6iM0yH
ITyiCGM5mrcerlCQASYmh8AhhsSTKZ2Yat3JwJQpM/eB7SXx5Q2UDTAq0xw+u1HB2+HT5y/VYH5h
PtSD3jEMyL8XIjBfeo69r7mYHDiv7axebBCv3hb2Nr9gpQNzt8kmB5avWGVcop3jhj1bZvO7A3Ls
mXuoK/gkXB3tdRyW5cFlDnArvI72lX4yuAFWYX+i6Fb6VM0F2bljnKfYg8cg++kIHdwUbKKA2YJh
f0l9Zb46GJDxqXVd80XH5n3ROrMrL7TCQFojz+TLmpZE+DotWbKeatUn8jZuHxbJfEnr2mY108eN
ATu04B/cNMv8PRqJesZ06xN0yfeXfXU+rdk+mbdgAbFlj+hC9DbkWKThJrswIXFsh6WOp+cRa62+
cqqseEQZnRbH0TOjdTGYbFJbDgyrYenrylcPq6q0TolAuR2AsHasnGi5Xl31c4FRqKsnJDOwr7tV
NV0NkCFC+TMbXTJ3/aif7wd2kBA4JgLnt0mMFyhNPe/CjwX070RZcQTTuo2vB+HKT9NDQASD5CNM
RpJCzCWhZMQEx26PgFPJsrsSyidlz4nmqj6kEDtu+rFnS+15M/ibpISOOUgWqzRLLnMit64MpV2c
gbGU1XzH/sylvwHTFm0CHRP9WsN0CXbOBMrpUsekGbJet8Wj5uXZtlS1xy6yn8VlnMAI2NR+1GZb
opEAV9lWtTyy4WnvwnLyX3KLloB0RRMQM5ChgIzlkL7iJ5Q8zMyUvLF+E3zeFOzYCUaE7dsg0gsE
NtmVj4i9iyvfJi3vAEoI9DKG5esxGp0adWtc3GiUOC9NV40vsKkFWWnTKvpzBQ5tVooJWaKRw3Gj
UW9idkgGvWdPUz05nc4Jj8ZjwRkTVgEEmdhKL0yeK80gYLZslI/ukBMaKaB482xrBNsqokI9Z1f4
uUAzw4z5U8S1sg/T6A93Q1C3j03uwaelAAK16qcNsvs8HMNbioDOsOlMid1Ias3x1rCQZz+LjwIS
puiDm35StEVEBZn7Dv3mR9GHEiScP4UczFIyaKQvyLlCFRgj7it8RZsOr/+LO9bmB1ZSPkrXQEHx
XUZ2R8QO5O0NKpvuA+naHySaZE9lFpF1hYdaMwWbsmbYh9Ei5FGyabtRpeTKtjptd41gQQwcxjNv
IWvqj6X3ykdBnPqlA5zmmfzYvti5oPk+vUBUNlqbLI2YBwDw5gCdMn3wIzBAm9J47gsRtLlGA5ys
H7LvOCdlbGNt+xAB1k6sBweLv6H9kdHUpVsxKdKHMbFhGS1RmLgnwId6ZiWKJQdhSDc9WFnZrJmO
FTApC7fUNy0G191zPyU/Pa9P5nM5D+l3oiOBsVqsJ0lIoJKiEJznkKgv5GuQlOw1oAgoBU2Msdxv
3TjZ3PrscogdQAENPVROISYymDodLuqShCkGvQsRtxxGZ+DLFsOosVnCnWOrYu/oJnZPcRnl31QD
S+RQar6yW3s9Tjd27TVk9fn1+D1jL37Z54JYbkOi64QUYs5DLLcA9FbVB6BAQrGmeCORLwUHz5QC
kILXkFmc1KAIHYAZ9y40i3I/F0X8DeZfyui1Js58g1au1VQhGeY3zlqSA61EfhmbiB84VKvbTmDv
4dvANuiJwm+8rSkLBjIXu/kaTZJxNx2CQf4YOi4CwlItq60elhqCXZMx8UkBcmNFNWP9zqJZg3nq
URbthrIFtUPkU/BGgoT7nKu8t3akfULzybmiPcplGe6jtFblOn8rRhggLXMM40zzz5yRF+AaFPbb
0s/me+WV7Q9ZolNGSTgNr4FqOT7cSFaETUYsPNeimTo18wXqkanpc7UL0Nh+M62V/QjdyvvuhPk0
YngLsOkUPGCpsxM7b/YTozec0pl2xaWi1rxLqoqARsRDjFB7WmQgDFL7d8AEcI/OWKk53v3000ZG
E6E2GZYnEizU00KomQtPC7Lhxk5bGzJAbBqGDcw59xRRHELRoApmOmUSMvCYe4npKizmN5ILS6Kq
wtpF3+ZkPtmXAKDvE7S/0E9se2AjGNjFzYQiFbKJDYGWei0tF7xvFQV9nCTuj2byABsnnhpeO0x/
8WbOHdwRnYkNW/WCWBjTCbXAprFHsCNWPyI71yHWYUR0Vb2NDQIHVIy29aLcLvbvW69NPwwoqbd5
GZNvYTcXy53nt7ClmE2P/iYFBG7BSYh6ynWiIO7mqAMsTM5c43C6GQJ1PLg8V2wca/QmvW+fW49R
/DGuWSlwaRfT70IPvws2Po8A9kSV+dYZx/wHIeb2z1TMWNiJkfFJxUbeedVZPc+VtkACiJAdE3sX
+qI8+BLPX05Q6A9UETQlc1yOz35j+pfJyfWHGCbMtzmn87PqEcZsbUyHD60q0SZFNUfFRuqheMmX
mobIyrl1tj2F6p1LeuvNzA7+e1X4U7tFU+54R4Hu6nvAKofQYaXLBA1/gjB10BQuWi9sJ5hnpR+R
omcgz7gnCSWZiQjAbeB27+DqMhIIZf7RtlH3mqzZtURiOyFIT2yXV3DC6Qj55fq+wtzyRntTDts6
HPtbz7jta5Tn+F53ACny/pV1ZQJLTdK+bWKCYBkJulXxVJA8+ASK2vqwI3QeKDcy73URYWLRAAtu
+3kKlxzyaNrfG7af5IBS7lyzVKi+lnGaXgA4Lx/BhLBpT0ff/uxT1FAHbqzqHNQ1iQe6HHKmuXmM
GyBpXUQkY2sPr6WO1Bv4S1zUAZVfvslQXgLncjCXbIwHJpGTjON2vxS1/0TIuBlvkEJhZMsBRIXn
vgJ7vyPs2fsiEi9N9jZggE/6MKSSi0zc/C5dsOpvhRq89QEGlCRl7+JtSBHhF+oxTGg9Renc4HBA
jRYAFn1xvZ5qvXHiKNm3KHF/tMXgmKPbpsUtRbEQN30Xc41hZttyHxedWh7ckW4KFklHkE/pd+Y/
2Tuz3biRdUs/ETdIBkegrzLJnJWaLdk3hEfOZHAenr4/elf3llI+Uvuc2wYKBRRKdohkMBjx/2t9
ixmiT43u6SzbaHUI2GUXaUksTLK0te7IR9Xygwq33Ios7wViX7FR9HMdhfWVOxdE2NCBM5w7Wo3N
8kNoFj+Pepuwl1KajqysReuSzdRjnTLwxTyH+lNsjvFNKB3KxNw8Gnin/19R+3dFzaKL/19X1GDD
y/ZlBW358X9Yy9a/CPWg3evwJmPo/U9XWjf+hZrP4NOA6l9orEb/qaBpYJg1hBt8CTSdn6Ig1/wb
taxrdLkN5P5AcixELIz0fyDT/4g14FP/l9obzAMvhSKIUSw6iOy4bc4EvEQXWgV0atAUDAsonsNX
fRS7vMwOCySL2BCosc2mih9e3Jg/yEWo/b0d0UX4wqiCX59e/MuKncxpqlJTXjySzlGgu8/JCX1/
iMVh8YcxLBN9MlomW1/+/4uqoKVjpwtcB8agl+wXSpPuWb+CA9WZ1fW4+smVQlH8Xq8Ocu3uPxj7
dUXSXu6og/yDZ4YaVeUBvR57wlWd1QUR30H9PWquM1pIvNZHmo2rMFQ8Qz3nBHPk06+/HdfB+8Mk
Ui0Gtw3n4prjrpsiYr2xZ7aECQblVqm1cxk6R0v4pgh9fAe3emZuHevL+yMvU+SF1kjnOVoWzVhh
WDaP8/Jmtw6FyWnSU5TnEC5HGnUrgV4+61Gt0Vny6PCbHzzgN7OWIdF56NxiHUX1oud4+Xzj3gTJ
3zFkI6dvzTj2BxKeERJ2yk2v2o81sq+7ZkHcvn+lfxjWZUwkJig5NE2/GBZdeWWXcQLecA6BiQ6a
/i0NuoZOZronzMET7sHAtvj9/VHfvDAO7h9MOcIwl4z6ywdbaQ6HhAlvAAiNZqmWtNnTlDl06d8f
h3r95XNkAqH6swRseftStmRBiaybqsARCHm8KnFoYjAu1eI4TOEHN/JCMsaUoVgmTEsl6ttiTbyY
q1bYo32oEJkWNnuN+TzqLDbzB4O8vW/LIAgKaVAg7Vlo9S8niSTLAbU6pZK4jsGs2AEq7LH3379p
f7wSjEm6sFxXUH55PQje9KTuegGbNcL4RFacXI2z/CoSNfL+fiQgaHxJkC8akKBej4SiJ9F5x5kG
kbpm3V5jUECvr3xwQX+6a4Zp8qlCzMcX6GL54liIMlSWyTrUowfbBN2XyQ+GWNo/FzONLTpvkc5H
Uaji8qYpg9ZJdeTJ0OSoidgS+g0+23LX1+X9rOZeWAyw2emg9J5Q3HRXo/dZ67Qz7/S6Jx51bOkO
j7BuPvjF/vAwdctgwuh0pzgeXLzfuaKB/QydZE1xD9USzB0AiwZb4Pef5NvPk4O/A78e7/Ji3rv8
BLaqpLBGcXONPIjDkA2xv4WHRtPbU1NT8XW1/OnapfUZTQCykdKCNK5XXXOgLpyeqrBC/p2M5n45
yHd2J361neA8lonIm9VO/fH+r/t2fTdp8NGrY5LjWxQXM8JCaZ9BwOOuTPfZ+MMOztlav53E4/vD
/P4wvv6OMA6yXMvQYLvyPr2e4Jo79y4qcLJvekRyssedCmDgzOaVvjY9YPhSdaPZIBJ0qmD4mOtd
l6LbrZUw3E5KSpiaSiLp+7/V2yWfPZvtastuDPfl5ZKfy0ZXp67h46aEa6eewpvR7b+m7a4z95QC
lV1RAaF5f8w/TEOkOkuHVGXzR87G6xthKXnBcg/RtTJsvxwc0rtjktpQqL8/zh9eQ74prCYOl7aw
5V6PQ1UOLwgYRbh8hR1iIwiGDbmMwd3fDcMxm280SyRfTg1j8sX8STSFRkTO/JGUdK7dSAReN+jN
Bxdz+fW6HGW52BdbvhljvsiJjUCmUelehDtynSG5POJKqPwsr7sPJsblQ7ocb/n/L8aLVDDsfc9V
mfWVQcJ39Ql0xPs37o9D0HvD+cJu3zIu50GpdnS+GMLNTph8VjmmIkh6H61Gy6r28r3jSgxDtXjt
0MCafF9eX4me4qUit4f3zsSEh1PHIqtIjp97O+rPKp2kr01DbGC8EAfz8abRWBxnEh4/0nZfrjO/
fw+EBvbyuok3l0vLUUOPOaVramLbvjABcAUdy59q+q2u9j7upw/mzO8Z/ubS2YiwGLsq+t+LNwB3
rTDp3qRrw+7GrSHz4DZfHF0oROELxH1yHzQu6S1pYJCj3NOfVnRwEtFNqoXkWCdnzK07Yd9qdFkf
2io4//UEMAycGA7LK+7wS7E7Kh7ORsbArxcMzXfFEemmdBs+hUEwWh9Mgz9MtldjLe/Xi/lcOaI0
dbwnC0aaBHlB/IVLNGz5wSUtc/bNHX9xSRd3HHffEA0zO/cB5+kJ3OMhjYP1YBnXFFzvUCbSziq7
r0gKMu/9m3m52v2eXr9PzuzV2LtfjIz6qMU9BRbGtAh2G2srPdKK+mhN1d68TXy9dMILOQwtl3np
huAbrLZhDJk6XbJE45xEG459wKmoWy5Q7iR8LIdw5wbFoe9IBXOjDxamNzpztu66BZeGfCbXth3n
YiWk4l6PM5lImIXDH3ZLyrnI7pHs0YnIo2utbh/UTvdo9K+wle7fv8lvZtHF2BerYlv2rpo2RCXV
4vvQ09Fa4gcd54O5qumXs+himIvJqsmhrAbKCOtqIEvA7na2En9tKbEgapEHKw8h20x72NZ7klmM
FQqAyNMAJr5/scuMeTWXl9/CdgjS4kCDn+diRqV21ajxAiFv0+SmivoDzDQfhs897UI/KOlr/f14
yzqA5onJbBkXN9eBDpqKEZ1IBMmWJWOLQsCzmFPIMMa+/GC0P95kW8e2wHRGSXJJg4gU6D1NyLOs
BncXyfgQmf1tg+OajvytlrhX0kJipM32iY4N8UQT/r2p/miNvtyALbPZxsbEv5GeI/N6vS7R6Bho
KpCkM0eF0T20jb6AiJXGvsZGYdSfCtEN8j4zRFkRAtZL8+79m345o218oJgQeLq24bJbuhi/jXoC
XwfuQpFfA8t34dFacKjeH2SZry9n0jIIjxTaMyvGUtJ4fZG9gdTfjJdDTrzPUxqHGMN6AcE3+WBr
+aeBMBC7PFGDja17sTbITDdyvOOERI4VXrdgmxRpfU67orqLg+SDxeAPg5kstTw9TVvshBf7l2RU
DN3JWgbrSR2mIm+LTVPWi97og/v3ZtXlBhKXxQeMEiYNssu0ONUm+IDiGBKqZ5cElY1VP4KCk1GH
+veYjYTOo3fQyg/u5ptPCkUShzoshV1qNIZ9sbMtGgSwbcu5JJ0H8D7gM9D+/GV1bSnEsDlB+Uqx
i1LxxfwrE+I/9JErk2P2mZ4zPIGItpl7Z6kliNrpv3NJL4bTX8/EgQCtOYLZsEZL0a0wKx7Gvrv/
u9l+eUkXt21ElE0hamZe2B0JvgO6nWKRTLBS87344IL+MAkdYKwUKCkC8VW+mIRx7YahGlBmyBpo
2CSdqE9jgMm5SLPSC8pE+WDSX84JZiKnekrpBBhSmBQXr3KElL7OJl5lN4Vn5gA9wPqk+e/fwT8P
QlSoznFZB4Xx+imZKjKSISYvw9ZQFbSkm3kg2j7yMf7h1rkqrs6lGmIt+/LXo3Q8o2YQ3LrCuc77
u2L4YUR3dfbp/Wv5vbhdLH4M4xoWvQ7oVZefNRWUfCqTkfjRTBAolX6Cjfs1s1t2hdlBJMkNW8aN
QPuGZSpY2bWzSxPrpNvd2h2cR73gNiuNMa3d0r2xYWt88OtxDOA6X/6ChF7yeUdqz8Slon/5Cwam
4uCyiBTa4+RajM2ka57ZaUr9q5utKYOSp+A4bdDC0NukWX1fUtYi08HqTIFELJATbq8mMa010i95
7SDBip6i0DEzMnq1wj7IiQwvsM6TOd/rsz2es0FTnqdCtY9iVuf0S9NUcCyt1iivBzylwSqWATTI
iYxMhm+cbpfWVU3UxpTLn4hu9OtA7ev00dVm2JyK1s2nYXTv7GTJIbYV+9F21Px20KPBOcXYdJyd
1fdYDMi3taNdMzTlba2WYq1pjRWsrLkfP6mD3nPemZ3p2lDzfD+ixfbVSg9+xezan+kwyyu91Oxz
YpuLi6eVO1hAv0yzmY19Q/uYxPReg2weRnNYeWNpReu2NtQUeEAY4hVBVRavabXrFa18ZG5Y/NKv
GZEYm9jV9ANiMnvwyYWJ6KygboKb48IOaILiFOjAylckG8z1AS2puEnbZANYIDoOZhCQ+5n2myw1
GmpotfWkKilR5uakqSdVK4xbdwSWOyXzPaEQ7bmKi3Y/zBGN2bR2Nk0XbaBIF8Fea1x7TUIJSE+Q
+e1OQc49fGvMjJ5w25WEw3cG4boitq9RA5OZFaSy83MzZ07zSD1tUmb49kGhP5rtCArXmGNpIleB
xL0nmHc+4uJT0SLq8GpTUutKpSOepwZfKcD3LVFkcFsQCCFjQnasVttcpvazVWYNbetW+FNfX2mY
S5AKkNmpTtVNjgRjxdRcxCHjL8fCKITIME8RkhQKvrl8K02wFuoAkzUzrB8Q7rG5WHjI0iUVQ4kH
i6BGGxKtboTiXOV6eqPZinrL82qvxxipJqbA+ZuJKw1ZSiEwnxFATJ5qgZMOzfwBQ9ov0ZMWoybO
TbkUrdGtktmDEH0oDR0Vsmo8pQ3CABFbn5MMIJDWDNIPiuUXjFNJzoYl93FpzxqmVmWvS/2XFAZZ
VOkQVSv2Sr4M4RRjTVOy9BHlJYk4stw7PQ65qDPuguinOzVkYKvhpDyjZrmeSp4xXzYNT5J4mEVd
ApGd5MGWOR3zSVF2uT0Nh3o5TShz4BwlP0ocd6dfxy5kSBDf03ruotLHdKttEJRdA2ZDOW2RHTnk
1CezgS1H5c+Z+oDGhzBrXjvC3MOlpo5ooUK9/gWfGTlIZt4BX6++C5XAgAqx2ZWrafOBcxnCV96w
H8PYgeMUVmQcgvrLnCVHqv4aanuIo+6zjWQFAP01VJPH3HyWgT902vBYMj2KWxAcY+kj8ig2SDG6
XdS4eHGVtEjvB4Vu8ErVKv0ev5Qx65mnOp1nRXAxs+jzrOtfQ4VpNrKjWtkKPi8effuQUkg8YuXJ
oLsbsadVieXTgItSMgsQKfb4djql2nSKpX9vYgV3ctW4+xzAk+2HSMLUVLuqIYFipUPxhco0dM2f
dh8fm8w8gKslERcPUdvwAqUGYboA1f0eIxi+OH3u1zDJCKhsy09hn0nPwl+4whmx0gZcmXGOBNHN
HP78MG+NKNoRJ+OD8NqDCl4ZqovDibARZLktO4xsjje9Uaz7BDUPCF81iRkO1IeWtT+6PGxwr2LI
1Sy/NaSPm2snu10iSEo3SZtS0Xv1gceXYNWjgW93vbTEU4UBEVdY88w65rkwP/qDOoUHKmlAd9T5
lwVCyoglqpHM/kToY3/GOjoSRYOKp5rTUW4wuGjfNJVYY+TP1wrz4oDKcr5SU2FVmzhhZ8F+gqoM
IQ/N9yapvjuheTurWbYjj4Xc9TbIq2uJzMrvlUQj8rxw7on/XmBaRnQNKk4pyUaZ5w0w2upuhPXH
8xYSe+Kkqze6RvqoMRnpN1I7gn0/BT+cBr1NHvbWJ7UIs91MEplRBKc2Uj4VpvGclMgdnWRawYW+
sUQBF7QRu3Caqxsz7au7SsGCh9KK5ZUw4RiS4IgM2Q47V9ublYa2sZ5G4zZ3aXJo46L7idzKwE/C
92HOgqe2gJ+EyzPJ/LxA/X8IqJpsXWJDgpHXG3tu98vIsfz5yRRP0UPRFtONUNNxqyi5cgJpHFjb
GW3esS3wx3qTMzvruMmNK5IPDrxy4clxyIchfW0tG5ppEXTlAf4+phgNtOj4pPajJQ90Kw0wDkPw
3bUnhIAIqQkBMc0bIJ6SciAG3CGVZzRT05YzM2710aMY4aHCO3AMQ5sq/RYVuR7nxhqy0rqTzbiL
f8fW4AQxaWEs4QsWm4+nJCOi96DiPzDumlCIn7VGPBS2yg78je2rtXUFleuK+uuWFHZ/tgcYhehn
z3F/jhvaEji21wl+g32WGXWzHijqYi+yqrt6qrsD0KoBCeGivNQGJ3l2YJplhyYacWobJs7ZKIdB
Vk/uSJwVNlAWvkqv97W5T0JRfyIyxTxAwhGIWgtEbw5Rd+5xDM15XVH+BI2TqMm6bfBcFRNlYno9
KPqiGaZ7OD/A3C25QFm1j3M9YOjHVs4JF2pj4RMENe/ghZPrMmgkvYrie0PSfbMuNfnMSvWVRhp4
grw1Gs8d3ek21JUBL3xenTOlT2zwkCoQNehf4qwg2C3h2I0TcGEXEgfZVikAvMTB0DlpIOCIXCyJ
nZlUQiVE8qjgzR9WeZ+MO5w29rqkSon2U0Wuv8NG0DXrGl7AmbBZ50tVy2E7uubs8kkxx9DTUaSC
UtcKDeNs7Fb4s83yycWbmySgNG0SiEWm2HhYe8SGurI3ZXWPDbn8gkWm3WYGHHFpEbDO3RsGv40H
NKoWLk7CEkmuUN0nkbTVlbSV3ViUA+aZyMy3tiQRkp8Kr7WxLMkvZqVWBNQrrQ9ItUSTKTcqWW2N
mdBKrQZo51PlJldtDv8uCcPwGTcBGxQInKyhebWTbRFhFzLnz8Y0nQusNsmOFN0dzK21IsI4Qx3U
l4iXnfYUpGPynTQ2Mr0L9uDUo8dbgqO2dk92idlWd2UUxkSBpo3XRka6yyH7ndAb7ttIFUQHIKmb
5/wzfJj9UGQ1MVXpbR44D4Usmms3sJ9yBctwWAhSe2VD22E0UdPQ+QAv2efP4cxdOWYNok/J92HN
mhacm9Swd8bcXwO3usfuTvo3QXes1GmvEp1t5XdCY4+LLlySIMMeGJJ0ZtwlFQHuiqWoBwiA9dHB
Gv+cTeNdmGm3sP+ewEdsBztrw12GPzfIiFMk4iLmbyTAGsKf6P2gFiKHeq4lNyLmY9MG+xqK402M
Lh5mm4m/YoVprv424MN+agOnvpNsfME5EMcLjk0+dLM8TtASCZAe5F0cu9CH2nYr0tYGWyDTX3Ok
wt+ux2cpbdiVdkwnqMqMTwDcRopF+le7i3/m+TyecPOH0ndjE4MPrsM40Yct0mexRZVIESaNPwkw
ol6ddqACRwXbP2S1VTdkR0S+5nWYJfrWNAnbM3q247gcz0iFT22t+y5ofA+a3XBfwRz1QAeMgFGl
Dfkw/mrVEXZ5af+qbdCBq1aG13nnHCwEi9KxNlQ31hZCGTwkyrZN2A9klShPgyaKXQ+ua2M5UbOz
NKfgO+xAiVfsJES6qwpPkdBgCUovI+tmguHdp3p1ZYOpox2dVsnKhD+xdVMKJIPM+HDjadH7ozB7
2OxjHWyt0YJVorW/yJqmm6ROddWsylHNyUhup5AAQNb6LrQDYiQH3CpVNHypA3ZCZhx+Q/fdY/gh
nLOMmjsXJSrS3sjv1XAm9gdW3Io1ZIINGUTpvsb+f1VJNllR247XWL7hsaPGLzfA8saV1akEmsWp
GtLkpxmxcoOo96VmbQgkq6GqsJ7aWCGr9TgHxS9dRMq+HiVhakmVkHwUwi30E8Gqin2QqncVl0Sv
Il0e5zbx8cB8KybO6m0QEz23xD4N7KimuGIRT6NebrK6wzlqh0syQMpZr0zHTwUerpVRKvjs0l8l
kPrbhKxXYPiDm13HMZ/JXcsySjBON7AP1VpqvJ41wKb1eHGKr/PgutWBY3MQHvtZl8UJLAhBLIu9
sADjYsbunRss+i/OmOHodZrTkyMYtHkKFLKrsVSSyFPZ+CDGsb1K89am1R5gM/WA7fO7TSDWrbua
0rAgYW3uNS+eVHfPaz9Fx9EuiEc0NKsIyAMswH9TSHUQtiat4kW2pfldNonpKa6p1KxDc+AXSBS3
IbKEdrdsSVtIW1TPq9AifeYJ3lkfb7FkDdUWDF2C370DxVFZAex2YOUkPBqmmj1ODdxKH7n49Ejz
MBXbSk7uz1BP+9brDVue+kRENzaswXuXrOvPnW4GhR8CsSQIOumHAz+pKV+G0AnzLX4151OUz/20
nkrQeN/iWLo3HDtKVmWZCHHNhsQePkWdXvhBGLvQ1gG0OZ96TBrBdST7xgFXMdrxCdqWFZ5LMamm
x/IkWZJyScS9255IQdZ2Yz3cDUU575WiMrmW+mfdpuM6ws2I5pjMVKRLrVmLQ54SEvxUFn3XHel1
ZQUx4oJMcZIJt0TZdO0ObHLrUSGE7QONNPX5eAcWs9E9TzChrxD4fB205FgoMI2DotKblaYUBJ2w
sqXfhzqsH2NtiE6gt4iCou3LMthhSTLL1hgfY6B5Q7+VAUko93FcH2A0chBPWFVIJrCCRbm+4cMn
++hcgkZKjJ9xWN0TdSGCA7UcndjkJYaMv8QDmh8P6lZTb82UYzHejGz081rY+S4iz8Ncg2HgwKY0
mhdEes0nuFO9BgDtKZggyG8ACvq9I+bC40afszg4CnKOpQqxgLwJGxODu57JFN8EYirPYVyL7Lau
dUJZk3w9kMlE9Kh5biOzJMvAxF18w4Dl86BrcjP0RH4mbPfDGXqDdjUHT7XjEQpFcf5I8F/gRYlJ
iTepq02UGN8oeChrPMoG2vq6OMGMPEWV2l4RQqlYDoGD3CVrgDChQW1cY5UcCExRt/04qz9JRtY7
WMgzsVwUMGv8tjBdU148QDdBXx8p0Ik7oWvVp0GvHuWRimB9sjsyNanb8LfXyTrhvK20xkkXrcxU
mALEA+aqn+ra2argEbGcWy4xjiT3aZuMmOjrGFc+JOIu8jixY3thsxcp33QcIdai+LfaGbvTN6QN
HchouZ7wl7aa5g99YbG6k30Z9xi0BnaH3CFbEEYj0T/sTaJXMp9sswWkI2OXBQ63BGVKK7qd1Fwo
G6Muo/YqN5VDpOtf3Hki4A4zkFfqCojKcBAYVJiQHG7swvpapDBfdjCXMUrR7CtOToqHbqOMBGjq
vHNe7+pYHwF0NOeQoHoKOiJATUgUNrdeYzHoKtt4aKfxmHYhQGi7kJ/HVN3bpNOxhTO6cfDLkBl/
ViZtWlVd9FChYJX+YBs/G/C3lHOf2opT2C7PWwC9FQBKz0YLcdYKXC4F32Y/5T15YE8a3rUu2bRE
sIV+EAXmXtcoQc2DKq6dqWnqTQbb3MF+grfrAaSRQUJGU63xbcOSbkAqqWH7MFqFtL51mhqcktSx
qYDgzBV8mdf6bOrCgDjOeoe9E1KTsu9M5SpNG21TRvVhKPvz4t2l8ubCMpPy3KkG6Xgq4e+d0yxJ
3zOkPfznphYiIB0EXZhcMdMTpXPYTwACmVJzYV5JqAL0Mnv5FdZQMq4ndtqYQXKdekKKnJdiwqis
Qb+O1z1BZzezQxxp19vlryyLsuS2oLp+D7SXY6jWzDjt1AybUZpEpxEvHlHuhTqxy2vHYE/GSU0w
Tq13BIzYZF3Ph95sVFK5c0qiQVCSXzrWEbOMVD8v7dngblKqF8T04Ct5iFJ32M+RFT2V2GyKUxPp
pQKwLasgKlp6OlxPQR8m21mfbHgNMnxg+zQpvqsMc7syxtH4paZTPvj4RBpIDjpJsBRM926ht98D
wxoeGj76PzIcqMq2d5T8dqYAzsaUyEIvlWnF6QEr9rLU5CjyZ/RwYGuWrNfwezq06tGFAL4LgKm3
68VtIsBlo+bb0xnR/MnR6F9tksYeq2JD8Vrm5p1s7QgAEw/e5Xu3xOsQovp5iIXByUsxRiKYKCzb
rPErtQtRMmqbKJj5KxCFpIrSbWcL9vE2kpLCgFnEoMVDmM4UxW8ExBYw/iBcp4X4THpT52mdUDy+
oUNyWEwpDwkY6oK6hFY261ztHYPzGbgfX68myvA7CE+SwNhVWutzpXzFvKWsFVxfQB76EUA3wUdV
Nu3er/T/od3xW5VpIU5F+/kbNfJCAUMmwhyRnVzjGIReTPlrYg233Idg/KClfNnSZp4jdHQgk+iq
szQ+XvdV8BK2rtHT/6Kt0K7tRCd0S0ue0sh64tA6eHS6W0SQxt+2K3+Pa2JGoS2lCnXJmHgp8Ylw
m4RKRmuqz6GpqXWYnkm+lB+Iqi5VEcsoJmpCGr+2yb8Wf8SL2xi2ShtFGbcxgjwqIFyEuV5tZtvZ
QIHv9y38gw+6v394cPSzEabSI7XRGl60SCNSccim6irOiCR4EfwMlW+SxR6voLYWCI0+mChLd+1l
P2jpAsHNgH2jGYiYzYsrhNklMOJx4nAa4A7htM4c55zAqhbdBFyv3UxR/a1Ns+e/nZ8GcmmHHYyh
0TiHnPPqxsa8oVVq1/TPZb7l6XpjS6pPY90FrfNBf/HtHWUow8TlQOPUxXvweqiR+B29X04TOaWb
lMotghOtZiv8wVx5+yagq0AaymR0TdKgLzqMBSVpFwBKvV7AJLRSPJJN6QHNOO5AmQG14iv2wWR5
IzO2ebmF8Vu0AxeXXu3ra3MGS9SKzdtHsK7AtqhtFxzvsk2hnaU+Nlr6uSGFMKT2CHtjI1JO1qK9
gzdYffCrvLl6Y4mCWRxhOCCIW7m4y72iNdAxmEdmzNWK23Igzy4gHq1mK5Xtio9cM2/m7TKeSSMX
Hwl0YHExb01q0SpkfCp7fnbTHsmS9JD7PbXb9+fpmwWAYZYG+CJwdwFDXbyO8Bl6iizsxyhZEbBg
Vjg3g+lOmsoDH4p47ei99z8bUX/9SN1COLlOoX1tZT9AO6x7UrNUQaGQpJEk/1BscuHwQgxPTA6a
AmxeYIj1y3UUrVLVhg5CFll2B80KzgK8gGQfyRGmDHf67G5C8swjCI+/r/OvkL8PZc4//2v5M99L
jPJxGLW//X7/+a/tz3JB5TaXP/Tqz2AS/GfchbD76j/832zd2+5nPd39bLrs338/LO/lJ/9f/+c/
hN6HScLs/V52HO/420Jc2S9tkujBXzzq5e//58/9m/W764rwaz29+RP/8H51nJUgwUhAWgBgusUy
9g+bzPqXhvTiRTLS/3VWGksGk8lDQ7LnEJm0mDP+cVYa5r8Q2yyKexZ2hER8SC6clO85K2nPXEwU
dVnXMGli8lhGQin0el6WZUI+GRUSStzKl2DcalV2zy6qJQoxM3dC52Q9tbm6cZrRU/XgTHacurPz
meqaHYmNXWr0OZfc6STNHwN9skgnmWlF2JAVlGFQiVMtxQaa+eB3WiiuJNiVnYQmKZw4ubETGy3k
DKyrLUv645n1GfLRj97e5l3wtW50wO7S6Y4h0ZY3KCCqg9MHYq3XRXTUFymjjAmoo7kzugdd2Dgf
wpKCTWsSu50Ee3pYEXgp88ZU3C/JVEQrKedTPIwnRVsqg3qrbCNLoZmLVGLTK4q4Gi1F+KpS4X3G
Y438xgnsTQaPn5jCJr3Dkr+Er7uJ8xBGZeWrbZP6Va46n8beCXaClCjgsLC+OKdZMTk4VtypD5LD
W8clKg/Soa/BNr4q1gaWdBrLuLE4s3MQjnHY7pyuplZC5AQN8Yq+6l7arvLQ8RPL7ZTt4I9mJPxO
bdHfEQ0VELxEuOAxJvXAowxElpWmtgSIhLADCHiC4BnSWhtJRSjKZzfqSVkoFT8qJ/mFjl64UbQp
bAifNhSSbXs7vTfC3giIuJ6phXasWYcJfpPrK1xospop7JyEQX2KmmwOmmaOY5/TDUA0Mq9UlC8h
UT2dRowWTBctX0PT1J/6aez2STTl+yqtpt0os+9iEj/LbL4CB2f5WWlMnJdckyqgwh6pTJLqiibg
UZO3WrhLtJZ0lJSsIrgD/TqiILZaIHghMSnd9DxpUXMcES1+VTqV2j6tMTnSwY8bsZ3p1eXOZNz/
xtI3vfm9qiStN2IrbVJ47eBbmYbXwAi2NMp3uZbfYXXiArKWpxpO1k2nu9rPJrLghJVIN2qTp2eF
kcHGRh1XTqZ5OjnhvlX1Rz1xiF3UcvfGyFuc8CBezZqAgB2Uju4USpFvHU2pPFwD33BM7+ZCqF9H
V4HoRIWNoHY2GpgA2XvuIRa6Z2sugNpknT59mtg5EsunEsdMgzw7ZdZY+/BTb8lqh3MwSOdhqpr8
dpw6a130JknKPb6fllbEGdJQTt9MF35o2GSBWtF0pMFuAwHZujZJD+NQhn6ix6qfJdn4WFeciBNy
Xk4dbWC/rtRgbzVZuNeDzHmG8CeuyO9RqGnhf1qrrXxMivqzDa0b+gjVvXWbhMGq6y3bK1QL2mfa
rokVepZEb7NtqLStmwjHI7QKkpVZPnLIqM70bsM9gUx87bOQxI6WOtdIHflkV/33icgduvGcBch0
WVqTE4EinIx7BztvQBoW7zU42yXTngzJmCQIT89K6yqIm/COAstwMhtF3WUdZZM0cq3P7F7vlUgn
l7JM7uOoOFA7ZKHS++IwsKrdjRM537bG9pwqzHVZuNuSBBQKsXRXaGnJ9qrI3d4Xo20dnW6orvIR
WYl7X4Kg9onOoRcHO88ykBbNiY5gcCg4r9PbMJ2wvA4qcgfUwdqqujHuxWzDnRMaFGpW6INk2Wf6
UTcBGmtfVaTswAJkiQViMcFyGwagET1aqFJHhxFvK6fYZnHJ4sC5xSG4BdD0PmmG76QvwA12zc00
LEWxLpwDstZ7KGjRyZS3xBp3K0S2/ty51EbjHCA0HN4TFBfAQNrPykFxw+Uc+qlGtVAModdHmSS+
hEa4yoaeDX58C2jH3GRaih0/cOYNahAYSCO43Uymw40J7Wen9oV8MFXkD8VIZ4GGTVQLwmryT5OB
Xwiv5Coleb7oM38utM9InlglHNrhOInXahnXK91AoUHwtLriTBc/0P3NghWcs3YPj/gwopsxCwok
+qBid4HOx3HVMSZP7+3HsSj4651Y8dkl8QxSKjhl10Tc/+IKTVm8TtMs2BnmzDFw+oGUYNiqYO+2
vG90v8X81PdoMnrFDD1C7ronhFBeL8BwrPqhGZi/bn+T1ASThh2NjLKVfoK6y28hYNc9agBC6Srq
NflqctE5tTNcFRQ4gJOVG43YmJugIixIasV1Pjv3EPaPqVbyi5E4bDfxjRLIzwNKHF+20eRbRGs9
m6BiWGtzLpKFZ20DJ9RtqMw6CLeDaFqEPkTBrUh79QzgiaCdxXlxU2+nQcxXbqKNn/qwaukUzntn
SNKtGSHPyzu18yJddgesIb4GWTQFtug0xEMUFU0GGqzaNpgo7EcVZB6CO45hUu4idvEr+IjPPXrD
ldLK+7ypnQNBonAJiQ7YhjV1raGOSVfu8oDlux68LClui4Z6KV1YgomKbV42GfqURj200HQfWu3c
68ngdXNvcd6aWz8yEtUvOQyemuTz7BSoJNQADVNStneiVcxdMDG36lZ5ipoUCSJcmJ1d/W/qzqM3
cii9ov/Few6Yw8IbhgqqUiplbQippWYOj+mR79f71IwBAwYMw0vPYhYz3a1SFeu9L9x7rh48zBWZ
TbDG+iPXg32oOT2iLgPNDFCryNF4de7elZL4XA0IV+hoWcnfvkYL+k2swNvrDR/NPHgvVkkKrjsl
wmaV0Rh0fF1+H2TNz2B6sRhRpcx5+qfmvQhnf/pgbsafhboUIVxF6a2K9F1oi7xkPndeWurkZTeb
sWewxb5d76dQX1zxmXfDkobkAKQJky/Q3CXHTcxI8dCozIpyyaA76Hia1mzecaK/SUEjPxn7rdBO
qi/Pa/UOwyley/dgqu8Iyb0XGxvNtds7ZcmXLbcuLpuM0Xpbu+2pLZ3HrPoOUB9ZQb3LguCzIUDB
qG6DFDSlRSrb/A6M7Uu7DgSn7h6+1YGRbdxXAK5ysfqJvsF8Ykl5IRdOvxGtG2cGBJnCG45gNd9s
XVviQncvRLpNCCyYVfqD9dBdA7qXLtEWS08m5ChJ0e/Z5+061LR28b4JZwddadjLpiV0qb7XkTpC
OXvSAvne6/mNY89342TfD514mHhgFELjcALQHY+WGpGPFkOSSvQSsCiOGhUrDftWwOlmze0YRnZX
56SX90Q3juRV6/7SR8TPfvoVad154X9qlTSTceRxIYFWR0KFPUjwXVvZV3nNjkusY8k74qCxMmQn
wjUPsmr3DHM/lOiJhXMMxYowfRCYfg622xqMmlOa2dV+YqhqRRWG3QRBobj0A/+WK/rsT6EB+s6X
MjERGSfZUDknZ+4QE81Ee4PYxtMxpLtiyG+bTfvNA+92IPFu52ptTHLMz5YHt5spwmDN42DKd4Bz
8MmhCrIKNDbW9WV5YninVuPf0JHoi7jwKZYADm3vLJ/5HEuECzxoDcum/g0u2d3su3+wtD81ZLve
aXr9S2HW33SOY75bg/XY6BOvqjZDyYrL1Z7sxnj0l5FHyVzSe1SSF5EblxlB1MBhMJI3yJuI1tRZ
2/3GDzroetZ9bUyln4I6W49F+Tt3dmQ2IMnJ0rxVNQXPUEPqtsftk61ncwtFywyHvg/um5rQ0wag
7YXv1IPf1D+s85LONrSw0xryK5lbJAwbkJYudMvxwLrobKUsUGb03YnQM/BFI7yz2vaeJuTTOssm
9qV+0XvfBLT4EYPW6oyyNo+zjAtebB6oR+FPcb60HOadYGYsVyt0WPsQDQdTJKiYHRCDda9vaoOp
lFFdZDkCUbM/d11FNGxFEtnUVR9zml5c3y0+kJSdPW76qV+CJO8pwOGbiVNjjMi2fIieKJRVaHQW
RA85219W15uHhsAJVgQIda6CVTSGFtKcMlv4H0spThktg2ba3PuuYTcn1qPLqWDpkBge8kST8Ncb
RBzD05qr8X5JCzfUba95ZvFTxa4ngFJmDW8HhuvgyG0pTiDNsh1EQtLWN43EqTpjEhVUwSdhd9lu
QqYTjZzpe0VqI5Pbcow4JxeWWMg40NjCvK8R5wjb/DJ6GfyABQOPivfg0tYCZRwgRyIQQC5LPf/I
CTHdaW5mHLGEk6eKi9cIM29G4TVkxstquComqAWlvRYMf0zyDneQrk8tkSYkplZG8DLM3MNLoLmR
rU8ebFwzjzu/2RIfaWLoNeyxZ17Vq8Z0EWGtIDNgzTmSTGl4h8ob7cPsshNbYGdpB5xQeD+n7U0y
hiM0vbdR7xr1fF8G/XbIqvUjV03dxvD+QINdqWq3zuam90NVmclQe9secOCaTL2mbqt5DGJD9WK/
jcr6DGRn7mZ3kjdGSTEAXZaTmHWNHgVDhq66QimyuER9qXbZze0IRjkItJtgoSE2R/VCFJn+JhfT
YMI6y1dFpf26bpnBwmQmVrdEgoVapTkQkzKjTSnqi746SNq2TOinVMxjzOZuTQYvHW/rLSXpfC6N
exGYbKS8cvi7WJME1l+Zt4M17QujvazBW93mGv7X5tXzuu7LyJs0wWSocZOn5sHUwPnhN/4TtKO9
h8kC1TrdCM8hl7Tfe/pqncvNSSN3NOyHonA+RKA5Lx1cMgQl4BERcmRvm9nT0zguonmw5fs0R52a
uZpzW+XiuRwckGrSdtiweg1Pa/MxXTMVEB7F21CON259TcUcWz/aBt0/mddv5FoFr5XRV4+zpa87
JtRG3IMGBaTxlx0vpR2u/DPJ6CsxCWJ9EIsRJARnvLN+S/eLnaECWCqC9EypOI4yefKASJ5LSL5L
0lROimZdlS96t6k74ht07llq/VFDhMcNovJgJYfHtO+kMaTv5E2KwwJ1MymW1NkFHVeOLj3vALeI
IaTHfk+6AUt+bL+YImoabXe6WQgaO6bMLB+tLNgOAvr0vkO81satUM67KVAbdkZpXijUnG+W59Pd
qs/FTBFoyXvBmc5JlNs/WssA0mqWY2aROynStHls3D+5OGRF/yAmVI0yiBtxNMUl76aISB5rar83
7vSbBj05/pW+OSCwErvAEwFlJ1uvcyAc7bE2OyfMqmp5tWyuWk1k7R+eyJUZwoBc3V+yM2aB2NZK
RaiRlb3zxpcnoLrVr52yNty0Ae4TSS3PtbNxsJass4Wuns2ppV0gJx4FihG8t1fxQMD+/2Ndiva4
pVb5OdiA1hUaHo6dBYAd4NCmO2wza8kOEc1CZtJPF5Q8CBNpbSPHkqEIO5w3VLla3pHXkSKfyD8a
q3RDOGPTaYLNYCaur+lM3ofRxt2+2tplpailr1uG7N22M62i/q/nj2wVpMzk+tpdWrftHip+x30N
cdFDT79V582ypZc4QDjue0q/Y2E1AnoxqLycvjw3bs21t95cEHt3ZPytVA+GrQUh2ljMwy3pyk/Y
/YkisfiRedIJ904vjPpV6w372BiaujTjSGfKjr8/DpYPB3zNRfqcS9xmIToo78FWlfOLoWclqbra
uMTAXyNnqdwROGPpnQgiLPZIq7Y+EoRFxzSi5rdTe2aor6nGkjmjexZmnzhCQyiNnZZmgTBRqwxA
unhAP8DceyhWr6jYk1tJFs9078F3FqiHBnXuS4fR5AaB9HjCN8C0htaKWCYReDCbzcwlNdVln4lu
Dcl+rca9mfpfDgLhZQ6IkZ07Ise0tkEPlFU3OSK1yKo7UmSxZB2deblZSxqmUju1ufU8DAYKOZPl
fyZ2E+0Ikd7pI8BjzD7UXpFARBHNIzrKWRH3GQzDVXS9H+zbvgEwUdTckKn5yG9xNJ3p3Xa9EOx/
Us5+Hs+uOPpDG5XYKN3lXcglKj1j3wSSMBGsUwVBpxI1YjBc2BGPiHdw1RPZiKoF6AfXeifAMDmI
1g6zvDL7cbk0ybCUkb6+VrX7iA0rNhu5Kzb/GQtTUoh0ieR6kPVvNXKhLbYMCXS+OGrsnukMlz1p
QX91z2oxENDcLr4z2QBGsTkYi1AnFxT/TTBXblSU5c7Xsz8yy38tY9vOdlHhMHIkngWSBTb4rqhA
6lemFxVKK34O4NBrzOm2h8fY7tnZnlodzkuTOyhvnD/+eK3pMFQQNuwHVPA68C9aT5s74bHKlRUB
7PjFd6UTHF80F27gxOu3NTJKZoCe9EPN6Zl3mAwrc9vcUUTds4ZHzl2X6OuCcoOSbNghoaKckI7/
RXJrjFZ0x2Dvmk4AspVEKDDZeAOQJa6A2WfWgFvmXJx2iUtGKJjyIoZAP+bq3SsfIxBtPOLzlzYl
rUorr05BWkDMU+ZXN7Bouz6PHX4yftwGlg7M8uJnvLEbTwXMscJiE/GomdvOlj0GpEyn6vXXpLY6
MjL1JxsFjH8VKI/OiZiMT88/iAJ9lVjC2gueFXahefFPhkzDALpB1VDJev1JEVUdO7n/kmIMF5oB
rxZtlJy0e7Y8+7lbv/S8usXvypTLXGkF3MTe1k/3qo8vNwzliMEJdy7hzebgHAhgu5H1cKFSvats
5sNd7ZZJm/ofonBY3G/XMz27LC1KU78IcP+l5nHbsOqB1YkL6SAVtVVcC23fltaIvsEIrrEVRtgN
wj5y67+WaR+lDB3jZR3Ppd5fVhVntXk06PvpEeNOx4NCgxdEBcsN5K+K6bZt8TQ2SbZ4N4xq0CAP
HsfPQDgrsctIOMm2DTruMz2FpdJ3EUJxzusl2vzuIL0W6jmYCuuBoSNlP0FWPQlHMEdwGMq2DVve
GmZg001d0d+6Izr80XOjWrbrYSAmZOvRtC4rMUHM/R7gFe3APPNdQ/Q7LQFKU+ZsDMqOxGnAwpUX
Zel7V2h4X1B2+DR6yHTLLfjxunpvlShj6+q3H1Jm9baabjEa6I/DuC2xB+WckhJcC1L+7DVoTDvG
RVYc+nQmzsS1+5A+6AvcP1+bnKe7027dhgOvxtPgL0s8oJhSjNjm9iYXIt4C+2MYXg3MWUsQ3JMc
GZGZt/OuWC0CJnZ44HBfhJb9lBbnoPDjDjJ/KO00xhQCFz6W4q03fv3CQAjLl3o0xJBoo/9QtVZ6
xBxw6ghJDHsxq9O62LGX6g9EHt2WSCZDDvlv8gTu6UCOjZRv4zqc9e0tMMcL6kvuStV5iRwpCUYL
jnBR7nPaFMTr7FnykQQJdJEzws1s1V4087bQetYZML71+aQ3Tug3KlYloC59ip3mjLTuqBX+gViL
7DTw5yRoDGPFuP7QZNuuW6BFnm3mVBRB9o0ftPu0fmHuEFbpi5B3CwpAduZPhjkz5J9wZO4X5qKI
iChBXXpG5tMkqKfNNaAqxXh3KsUbRxEmQDpEHHApXG1vuBRUpKst4w3yvqmsB9d58XFXGOaHs31X
4wubFpo92kHug5Fzt1PraZigBJJc6b+PuhZNvREZzDsAXaIfbO8mjZnbjFKo5Uyjn3xb0XJGflef
IKF5xFUE6/Nob1Y8Z6DTTRY1wED95yUP7F27mhfbm7dbMQ70IaDwIzX92quHArZLbHO+J2G52QXF
QN54z5qB+oXgCt849WmNwsu4E9jHB4FXgSk0H1mOlbPzpzHKvU6dSfeLIQxbcTl7h1ynDTWB+5LF
+Fgq201cbZPki4HPjjY3O8HI+mwdq8iYl83erdWAaZF2dvAnZzszzrLrR7IXfrmCmH54VDKQls/X
8FKkydeTHGn2fVpO616OQR+Bw+Lxd3csM96Rry9AktX4KPUXVvJ3FXKHWlp8l3PLvS9U4B5ZNDPC
nZ/siumwS1sjBFfHqoxYpdn7NNnb2ZPOjtqaVd2CDWELAxiS4By6s2k+qIGb1twja98Oo0QjRvCx
TIzVe84VV01gnfRSv+/7VzksTLib50rzsGZM2BxqP2x1g92AvZOgmqGAX4emUyMyOCP2cnBqP90x
Ci8PgOexleaje2frq3uspv62QOrsjT121/zSM8hlzAKKOmiDxwavJL2Ms/J3KcU0Ju661R+8tGGm
FMgs6miRcCSy4gCaPTBDLmvCWU6l6cyHetky+pBUHAIC/R6NwHsvi6wgRAWZijEUICY8jMUA4lFP
01k4Xu/hhG2OmGvu83wHzJ5FqeF/Q2/IQsckWFBXtYgdU17awWtB1mn1ZU1xdfRefrL9KrFyX48z
Z0wWmEhh2rclzg/7uNj1EQp40tt5GvX2+Mos+3mayObACaReNW9Dzb4ZpBwGy7oTPvWSnBKdWgOZ
9h3goep5IxWJ2xsYKg3dZS2Dr0bae8NcztL1i72yW2ii2h3ThZfKqQ6asx6M3n9UZWbHkz4zxLra
URbnRuX+o0WlN49sbsnMw+ZgFQlY/5dGNA/EdyItVpPNPLggUwjN4q0xTmbi2HJJ8D79zamqQ1X6
w0F11Xe+pRSNDlfYghthP+vFV+l/eUo8ek5RMYWQz8isb4vMfvFpHjUm8vvCopDKCNjd0d6D9xHO
sVnNICp5e6IBW1UqtasXyld42qaq2Qdj/qf2WezljA8MLsdMfwKofcQYyia0oTjWNx7AsmtxN/HA
A5rXs+qMbxFTRytZKzSEYd64S3nD1C3doX3F4idSjDA1hsHMxleDxDt3B/7MhoXPnSVuZaFFqlb6
S9b4KLule7fo+jVXoid+nqZlyUnNGtuVOSeb16hA6oor5ZHLl4SI3iyIJBPuXrSSGDemFrNbdqg6
LWNHGACg0coA3bI5YFtq674o5XTkpcHux7h4nIa+ucmExRHUr3OczsOMfdzy8NZMn2mOKYwZhhlL
HC5AwpvdqhlPfB8fwI9j4wzogWpE4IlQE5texXAsxU757tZUlIPcJM3bIE6y1ssfd7CxWQsEwarD
gQ0lxGaot5m7wiiID6qgthVqLoAT5UQ3rc54RKRe8t1sYClWyMkLqzRCsyznSFP4PawVGj7uBBHr
BfPYuWhFMmT6T7UWb1pDmTeU5d5YUCCYFmkXBGYV8eT370D45geTDgS7pRFc/NXGa+FRKJii1mJJ
0OWtpcjpHboFGzNMmnAMyqdtHp43L/2oZ/2qFlfBmWqxDxE3XHGxEKMJJaVf0d3bjp648IfhpGXa
cDTISnjBh+Kfx7l3sPww4kYpyNB50x/M62ZZ9fV9R3zRHt9F9zN59nxYzUE/myILvjc5XhXK7fpe
6C0+5W7eGIWiMPca8YlFAutmp+56N7/fcvOiLeZ1TssL8DvVPa3CksxDWWKUFiUgXto4MIKfqicU
NFjaxDPxDjGZph4qKjIkuBzChvKcaMySY8SuiXfxTOlessI248brX9yAEqc0fbQGdrokIwj/Q9YG
2/O04nz0SWZ5MbXxtjH04pO9Crm3WTsgBFxvG5f3sLPK/YJf5eiR2BGRa3o7t+haUg93kdU3O+ZS
Cas5K2mmtjnm02bEgyWLY5eXuw7ox3UQdtul9XAv5fyVOiOJFmPFiTYqE+dqTiWBUxYZVz/ckCe/
ZfrXxEAh14ydNuZYbMldGvAjhrmtVjOcZ7hCbGWfRn2c9x3034PZF9bp/67Bugei8TQNv7/T7Vf/
/0BlZaMs/J/Z9fFv0/0ZvibyIP/3YEj+pf/E2hv/QN3kYgvhsQZQ5CK6+0/xlfkPA3ppgKTGY5Tm
BggA226Y8n//N+cfCOfQk0Jmx37lGT6SyPFfWHvYuiSxB7oVuIjS/5U0+X9RX8G0Ql31XzJdH5K1
D5IcYAL/QaRr/Hd5pd8iOloDkhG2VRLBytHbhONcbH33t+MR4eYnBIIi02pqQQEgDUz9g2l+9Kx5
0bu6MsvIGwoYPTu6VaWksLjsGybmr1jwmnqIcdqqYk8NxhgIB8qXO8/ZU448Xk+QjWrU7ynJXGE5
1HkRDqluWCHZGfoRg2Xpce4TGxWWBnzfSLGCJYTdlcXZzsqJ6I9gXvBlbqv5ptntYCGRqeEukBqU
JZ1FjGHkphmMP+gaStvBFhny4yyXCddETkRElLmK2SMS/w/e9Mk/dZVbaYR2d/VPOnjVtANdkN/O
kA8Av1ZuTd2tvOGGr7Tq8X+7qo4Gn+C/pN0Qg4RyEOlLYRXtH/A4ambIisIs3Aoir6jnCM8aO5lq
+HOL2Wf6pbWfs003HK+jYe71yZxUuCLJ3g2kXRKC4UzySYN5sIUTgFPBNoRWShDc1SM/LIWO9QDQ
fWjwFb+G3xkSuo9wtm3fNfAOInNaeyAoZHO9y9Zkc2QjPmC1rIr607e7xogXc+DnePVi/2WSq+4b
82ou6is7u6y1puwD+WP9Xw84CpFS1B/rUfSKoG4t1Qu1CzYmrBENBGeLbdvdGpbT4HC1wYPmHTHL
+YlkasLS0eAgQCsrBy83UApK8cl/dZYc1KDZlUTDpOP4p0IfwRLaW/WTQp36aw3Z8rpYROjxZOCp
CNHSm495Z9s/3rwIIyyKTAe+EdjsfxnJ46Gbe2srE7V0JM+ZM5tDJlAwRx/zKaV3gbdiayldJG5T
RmGFLLBSkhKIpb/JSBNqOqH78LV8fec2em/tF4Q7n2JatzsdCIVK98hx8vYAzi/bwjqdSHJkFO6G
6KU2fbol5AXT+DirjEkYDCbWYcjrhnDxZMFeiOCd0X9MR08gCLQrErjPcJtBLkQMb530bphMAZJC
t/lvPxAEp7YEIuHnXBzmgAR1VjYO7ZRkxc/NtPk9AxtHXdJVPIwnVQbBcta5C9QxZQmt73pTYD8x
6KqrBG9i5zFXrczupvdZpaPfATMFkFFjQuimdaXfapAIWKnSTGRPirAprOTubONIHXyFEiIl9vtl
IR1ZRUtr5ulnjVKseaUCM+Wdnm9EN8yVhhEP13dQn1pJNBeww1n0hJVlZV9eao+A8N2K2cC+6Fy4
4iomSAXTwxUrf8/0djn1FbgEdHaAanjDAsSQjM59adHhb5LpliCSh1zGq5CgJQHnvuRD5McY3lwW
JLNbzkeNlShL5kYYI2mKhfvd2E2fx+TJEkKekYqGWqSU9avUTFdGrO+oZzMNWCS92eafN5flbOmh
bIwayUb6CGuXXnepaNmlV+ECzBoSJCNICCuQZk2nck05ZqYdpaI1f23csU9pWWAw4twti3itg764
Ra1hp4m7iGa86C1zXaDLvv3oQamqdjk25Ed3ZeXO555zKCGrkCW/jkOAdIo45G9GUMeONSPf5gLt
CpMsxBKseidJ6hTcLfOJ4OKyeXJYMFwK3EBMLGgDMVnoGOqRAWWLweQOW+NOR4r6WI3b+EcV/vxu
V3n/p/BKfd7RBMrvKvPJJWOCPCAjmcoiXz+EiaaH+QlBEQerck0KjYD0IOrtgleCTcnTkkEW9YgU
q4B0Obd4+tAMtlMaTVvBm6UhNSNBMUVDyXdQbPc8A+zmipm1FiQnu7nNTXJJ8XTmyouIpfPaOJjr
7n7C3VFVjAfZLf01+7yp9szA/TUqsnT1mTTXDUO0rvD7/bLo9Q18NMEaJACycFe1U/VCQlU7JFjb
OXSDVHcf6sr1KApxEBesFTULEUJeFIR2LdYHi1IWPq1r9B+2W7pOIjc2uiGCkBFIi573ZzRaUx0Z
RuOufIBme81DZrcW13ydXw1BhmRiLPk1XsssJHF3pfdE/ugwwtkuje0Ww1t1V0BP/tsRC+WFrQ/t
o8umUe6FwYN3QPjTXDdBeYYQABj4c5p5ZLUV64ygZeDOCaC+MC6IbGNBh0NAVbe3xFX26GEMZRxM
t4W4rZwK5sMOC2sOnYBHCbGESSJq2tdLQoxAXScLitRHMGbbB3gFs0zyqnRqNBsdtXNha3p241tp
zsiqGXsRZeBUaZXyGTkbNkX0Xhs8otDSLKw1PLnWodNGgCoKdzq6WFCjTZKXaLaTXOt0Ui3ZgYd2
ycAhas1idKPJVIN7IEvsqgDp0efFjZIaS5NldPuYgTrQVkJrvHgq0ZWaHVGQwBe24FKzTk/Dmjnf
d83NjCNalRxnTaq6h5E1eRptpWG9LL2y/BCkyXjPM6F/lsKhQEYpAGJu5N34pqJxtJ30pvWjbmXz
bfisPbmRTclbbAl2xnNrac/5aOfv0B2DH0L/JLZbygMXMGfGi3AEYjtyrhqdazP3jyVwh5YNiy2c
s46CVQ8BHVQLCYkuW7YA+gbPPWTwcERZ3yYN8aTOEyPEQoIHMXIValmPnWdcUdGeyaTLmmhgt/Zb
ZSPGbmTXjH6yifmlynxpQjg36Mt9yUJyCcrufqZHhvtUjSR2gwAf7k2cvH5Ucl0XibmW80PqpWLa
s+ij98fB7iCxTWljiN+sGx11J2fTMHWpYMjSMbaoNKMhHnlp9SKxe4s/nhbsCWg+gQ+GheipU6p1
zdNdVuX1WbKx6w9jNVOgSVIDQf+g92zvSA3bPpaBhe/eWRb11xowF4T2WLC1cAQ+njP9lLtenz11
dgerR71ZaG9VambP2Zb1buhPMvjuiVqEe2nW22+je+kcKx7MDwBHQbOTSrPOQzqPC2xAWFCMYuju
WAyoL2uYIR2YCDknBLEw2yPl62Tdjpvev86Gx+ezmaN3Vy9zP0fFymESyZrgYzIoh/Jk4UE0IY6J
9EZ3FmElAmjdY0s5+yOz5jqngZP0NA61+AyWtfzJphWMjL4g8KDVt4pPITPAEk0xtC9z3m6/WFX6
h1IitifoWA+eBy+obsS1r6N8Tfn8DDn84VYeHrsegTVxoYYHo2Loy9fCKYy/5rCpp6AT6iA1ZClR
ITTzcyHf9UKS2bXp7Gr4lltOqr09TsAR7JF+Gsk6mgavdgCgZAGf/jy232AABzSD1RacJ8ulvsIl
TS4A1SWhezwpgH+wfrHXKRkRlpZEy9VOtUIUrZs1C3DV+2cJSfEq5gBLGQedJhviNb3+2xUCY+NW
9YCtpmHunzNtlQdA3xge2mz1HwabsXEIApQFkK1U8LTRETORGtV2NDjyM0JaKwJk+0zXuHpqfNQt
BzdDX8W2nsXuiHSPbh1xO+Gm2huoCD8PhVvUVeI1uB7C0UeZtmPtMv325jh8shDHu+xKUjISkHhd
Gdomas10beQfJsD6c8mJQcr2BPgMHbXyXrayGgDjqHLudsHkqoNSqUWxUHdBFqHb0NIonVaXCHJn
WkBk9HnBRDLFOoa3RNkBwgSQ5hjKh6pNWkiPwWEqB8bJSgC+CJVHPR0NZcVo2ulsJjHpZsPUoj7W
ntMRN0ZkaHZ/w19JX0VRoiEzqbM0NpLthum48jMUerjh7VvEyEhshkC5Tii0mtWH7S7uG8KrEWug
s/QFax0q9miZmt68QnauwIum7H7XdXEDZIrUu7HpDzYlKyphyRbLKr8mnhKWF0ycBlYYi/65apIO
cMl7RLmV1oysT1Jv8qNe54cmWFqsdz7n/sGokNUMPjikaJ4HeadpQf2eTuZshh4zLB9cnJ+jpciE
v/OUlqsTvWXXxHRgTO3bKpW/Smf1y0sy4GSBNpqyHV+X+ZB2wewkqVlLAINEuHbEz+hgMwZavS5m
qEUD2afO1kZNje4IJVPt5jt7hQoZL6mgsRzNhgxibarN/uDrDTyezpl0IAtV62lsDjlrdtAqS2Jz
i2zlo8lRPMS1YzT9ftzWAfmZMeESL9l/ho47rXQdZExWoW9rwsROju7pTnOmUcCsH5tb2NSLuSuh
LncRNv20CxuHowwH5+bhrFhWoBhza1NveotRj0nlpoAle3JX3afaInAytrSMlhRHU5EdOqvjmlpT
d+ohQzJv3TeqQvsD2+oaB241bnuc/Nonyb2taBFKqNwy1BVx8lfCajDHDjcLckELWfqeYmZ8Jhi5
q25S97pXt9DMc2RUBjCuumddGC+Z49wFqsEtQXov8pOG0nY/DkS8hpuLhO123rrrQj3z+dUqODc/
5aBhyhDetR82dLNPd9Bc4BCxAhi3myo1iOWp7Wl5EXU1a3sC3667z2A0zRsW9UH2ogdi0nFVVRju
4cbWFLAAnNg91NB7iHrW8yBUI+KVGA4QupgABRy3KjvJbg/tyc8Zpi4FWceLX1J2WjXPr/3PnPYR
cqEW0xKKNF5gVdrRMC+LEWErQL6D3rFOb3JrzOl6kHaSAy+8Mseik2feIeNi7u5S1trlQflZT4Y8
qRPFgfu/yPh+X3PmA3Rr07H/Z/48iDWy6Cdx/X+n9ZpR7/8zr950UCg8UGaz1YIFLsyflG1BD9sM
DhmrCFu1ka5ltSBI0+KmNOpGlfvSkU1+6OFmGwkvsOp2FXgYK1FOQ6M/zc40JNU4pn2MNovAdl0q
Y+9dr/cYy1dg3eS8NIX6v3P8e8SnXX2neQXb5xWxMEJSSMzFMXA2dpuZ2JD7a2ozC0QGZAJEyPua
/nHEPVLgjamQjIEz9IxYC3Ty82w9Tb05xl3KYqkwBTjYxZpHeZRr50F86Dd9uatJq2hOBmdE/YiA
ayieU+/qG5qKdJEfi5PxPBJZClLxsiiazXNg1Q6MQ4k5bbegLX/b+mUobyRPdc0OsnecnRUUafrM
Mh5mB7U0wsFQzaLd2O9oy0CbzuQk4YESAUw7fn/CBHM1n6tJGCxehIU3oV7tzI/o4fsyFo075Qez
tHsjMeupZwhfXwleY14YY+K6bVB+V32nvfte04ibvhuvSdOm36H64y1udj5M3Ok8WOM2caMWGwiv
LbO2RIlZ9nskb3SZvq2Ahlv9guHfNDzka6KUrZHYpeHjF1FmmSfjRLZz5AqYiscCse545IKfedKc
YUDGbtl5eZm99rpydxRGEa+yhLFzZDEjvjGukh5DoSGIOou3kiRxFI+av85bjA0BmU3vZqSdo0ce
LqVbl18SbAoR0mNfz1jlBkrfYVQa7oKZmQMr/Hq8w7jiPegruv5wW+r5059IcVXruPh7cJiam6yD
Grq45RV3Sdc6lIR5x5EmW3t7KqCnkJGrytWON7MWfDLK75/hsiNKzKWB5pbxY7slJQPBIhkqD+Ek
Dir/P9g7jyXHkTRbv0pb71EG4VCLuxgSZEQwtBYbWIhMaOUQDsfrzGoW8xT9YvdDZs9UZkx1ltXy
Xpsy6+pFWhZJEHS4/+ec76AtZ0t5xXgAtKkL5/WE0RuNy7oB47nVfV49B/MM5dlQ4XCRLU2laZaz
0qdMBuEDo37dbhaPu5Z+2cZ/sTKYndrSi8E1J5a8iQ3t8oiYsulgCYuUT2FznVktmSHyOK84y84p
di1sIqVu8UQRTiiNAVUYxBu7FYvNFo+S3AO9J/0Gj48eDMQGX3b6gJpv6UeZcT440WEyP4wj2Cwu
vpScGgmLshUtJjWCWsyTYszP+TGBK+L6AiS6KFuMk+VR1siejVRjcnKm0RCYiRd5RpWV+Exaj3Pb
EaHRWR6j4dHYzXQrT+4o4mZrcSVxVDkXvWGFELAi9LGi3Rdh1Q570xtdZrXkifr21izQNjYuAyVv
58Z5od7HYLEtCoZxEiUySiXxiSPspR3HyHqczfoOvKzb7QJn9kbEkwLCbRIwL2r3DW7XGM+bGDtd
bvrUbgWiEfwTtJspnWDJyswYeQKEpXdcAkMro6kDp3XgLDgtO1FwgEs3zshU/EjUsFjkUT74i/UK
xSycbsrErIJjBF5X8GV7iX9TF6aev/RkRVcRuxw5VZ4qaJHNEYMBkyMM6rjLk4cDcspyUbTIXO8p
AVR1braSkx2AK5PwFwFijP3M6arEdjZK2TYx07GrdPcGVUrHL4PtFeNdEVcDw8vMjDklbMbGYzC2
wck35Di6axpsn9hQp/2dmywBLXBUhqQfdmYoajBYvGfv1m9DNt8hDffAZMUQZjYzTDHllwm3RnPD
Ayl2ycnJvG0jHpPDTqCGH3In0fcwd2ZUJNqHoDEFo39hynXAm/s200tDLMcc/Tsv6mxjdMkXyeok
ptWrAzw0DkhA6YznWs1p+cXUcfcF35L1MFhASDeZ6sx653SC7WHWeWnL4koF6lFCWQshDqtejBNR
ZHUdSWPwz/x2kNahbENUWdxXMfqTJXAIzE4dzEcEi/FYJORMYZpyDmcVM1p92xsBRjHVd2rACT+W
NFZxvdnDdgU8166rrQrzAyZvjmVWT7gxZJrEeMjsnkKrTT+MvHRDZkmFcdumDQEeytUre6eZMNEi
XvDDPkElTq/QAYn7Im4P54yJEoXzVAFRUg1xOAaas3tV242NG3cY8NRJ7OIzaV+FMzeo54d+CZUR
ZcCRg81kpPPIutK3JJb8OPtqMQXlI/gpKMhKujNDAHsmEYR6kfTkMILpvXMGfFtMy0BnBfEK6Mq1
kk9N7WAeD8rJvkGDnqfIQuB755i2phnK4gaVM1VbWnqgiw9ed48vFp7OuLj+FA0DLnIG6au2Qpo2
DyKzDeA/9wNCNnczp/HZsTqAR+3ivzQgf1pS17b8Mvl4+qPOnIpr7VO0tAsWn9tsMpf2GMqhuolr
H/AzedbpRnBAaSIOeemXgS3iDeMQrs40SHU7hHrlyRlwtrkkvXsFb5QMD6bVmFU355e8ZfeQZ/tW
BqPeePCNsMwYjXqsXNPjjNHCZQ79jKza2rUEqAlHkL1ZppxTo0oZ/ZHBzWDbZ0Ruq22Ry+DVyEJF
QtJsq69NgpNnAqoaxQyJALOyUJwZscvjO5NVzBmdQTSPsgxu8qais/0Zl3GsI7iLTPsVxqG7GOkl
PQlhfSlkqGwOIthtudoKSLPneIVxygwkg79wjspolWyb4KwCNmdgVsQzQ8oVKqasW2M+sTMRdNsy
LLOvLqFiAtNDjVzjtsA6dsLJ2SfnyjKXKG9N3Bp8tSKPMuF1Yge0kW0bjkojPUgMVmyRBwZIDa4v
DphmYXN0ZW00oTUZ1l2SlJOJFp2Zwz6ssLhuQpYlAbguYaePFkYElwkNcpAXSI6crTQYfHDo9fB1
OOZDMMThsq8WJ712pNlxF+VLnm9KJk0fBYs74xDEYPgxDbYK4KGVMA+ybQlMzN18b/FLogkKI/sF
rgpMrT72wOtySbKMuXijR0rnB1SvsbTjOymseGRgi5l360hi8xsM+UaG8SgOriF6jmTUm5K/GQ99
2GGcMEm3ACP2zGgsu/Qp7GYyxdXkeMdLjKF1HwRMhgksdhgZBk/jgRiAj1cnnP3sW05u/gGXViJ2
vchdWBBxW/ncWehyUINz8m45kDw84Z0j8+d+aYaveTetIP+qnD58sVTFjTf0QxjZxEAY9GQxQhBs
6/EGZmJonHp+7VwMoTv7m04M+ZNXlea14vw1HIlWyOys5/2ddUEe+hs1xsuDQHZq8YfZ2NxnUsZf
RQu0ABafzS6DwLeklcC30pup6ptXmiA66lrNrn/owtUMYrZl8/7XZffz7F02ffN1+Cy5/8RC+X9O
nP8lAWULyEU2P0NT1iLI7yK8BedkLSCCIkZ1O6WJEEa+i/DBb6CpPCweNoAhUGMOJTv/FOER2hGT
QQ7ZpumvlUm/E1BoncdrHpimRRekaZq2+CsElE/VWTDGbChA3AfI+qEprPXPfyCBNRADY/Dy0YTh
9tiL++UUBws9jhzB9j8YFq6+i/p/q0dcZBw1+v/z90+8qn++Ei/E1QAaIT6BVgaLR0hcl1FZA3De
pp0LIIUHf7GvfPPNo/rxLzaBf3tBTzie55u+DfD8E0SKk5xKRZhHKSjdIznMrNx4L/VXHaiMrpdV
FmWDLoB1y9B4+PWH/aPL6rmAlahQhrXmf7qssbKyJvUy3NyZWUY9v199JLDaQeMGuFH+yaX9o1cL
PKwJjrAd1wo/sZUYgw81P/6oZeyEFyGWNftite4lFCLodPXrz/YJifXturIW8tFsjwIlk7v2x1sm
s+iFaChmkiBujgSLTTQUPmJeTkKr8Rkjg8S9Kuip/JPX/cSsWl9X8GUK16XKHr/WSvL54VadPPCw
7NmiybMS5pjd1i0GzFie8x7LsidABWT/15/0j17R90yoRSG6jOd+uq52HSBASwgyZk2ZcTAEIgrh
4526rZ3e8rjFP5+o8fzXL0qZNR/kd1MMH4waeR5GpBv490rp+vmD+g4j2bkAuzAYPYcyzrc5Bneb
Wf7ISvKhfDs+TxuQ5VhlQWnvyS57J2k8mnfGbCbs5/yeDofO9fSNNjC2RrUVOF8skJ/3bu4M5rbN
5LSse1qToWE9NmcOJYK4EqyxflMSWBIpe1tcGaEn56PZ7q3qXpQFhragVv1qxp2TZucGnctQe44n
H6hoTeWQyqeblLn/HAUBkAP8rPhDRlm68Q4gQHsw7CZzoiIvsVaamc9wELC+qznA9zEx/8If7S0u
BrpscFg0zWmQZMWS72eJmLe3EY1IR/lVCGR121CrNB3plmg5+iZ0yu3MrBNRaaw9VK9JVR9DCYud
eWDmEd3MCiJDoveup7B190rAH4paKhpFtDadbsuuDrvIcTq2U3gnGOqmOmOM0zKL4Ucc1Hh1iXbl
e6P0l5epAQaHHY8VncxE6zw3U583sDeNkqm0bIqXxMMltJGCeysKOWLcq9YSJNn7HpN+YXjgu4Hl
IOn0mHa5mcG9Xrj4iAQNaIE4MZF6v2BQGTCkBmH+AdBBs72J+3zZ2bC0D3Q4TOCLGzGJBydN6pXb
mxAfqCD1Md3n7KCfQb4zqld6cq2n0Ek533JU6P3qwkXU05jyIB+hY8x9nT7gImxM0oxQsGPIPm3S
XrNfMY1T3XH8YVIyMvCIN8Ukiu7JKBLl7znVpukFyW4gHRuKaDri8oRJRXcJljCVUJkake/hPrK1
LTMG6FurmT3FMkigPmQnMgTFjelmWXqoTIWQQPS/QSCluY3UAnkxwxcEIPMqOWMA6BpPacX1oCNo
NoZVZ68I8WVRoC1XP9tJVuqzwJc2UmDnIGkP+TR1H13D6ABNGk8AeCHpDRN5BXyiwruwRJwl7+Zo
NNatCObY2QfsFZGv2s7wXeIY6ayeFpOU36YNUVRJykgRP/P7ksxqRtOGLuUPkgPZ0PhfAdZAHsiH
ogi3xAMVP8cwGBPoQIh8+LzUdFf5HTt2M3EY2JAgWH3wntBP6RSqO015Ah0biPNqSzMUdOIsro1b
pFZwDw6QhFHwkN5S9ZZaGxlOLX4kRqHnpS+9Z9SgmEm8RcKOoCBjJ02yC/ZSFYoLs+1H7BDNTCpL
LByiNxV6U3rGCAg4RJlr6zb1LIqJnFK/gwSzXkNZlM8Oq8h7Z4ccQzve07BrcrO8SurUfJN9gJ0V
X/grWQzSSSbI+oGgfocKVY5wgzYQRI1rr0tjhwoH13lPQJDCAIprcVuPadvRbBVyPSsOEXeZhc6D
ULI4INN7qsgcO3VhUYgAtRC9L4HMbRBXFJicqpcuc1ztbH0XwaDGdl/nz9aoFv6Lvi8+9OwkLTJc
vqQ7isazKExFkeBFqdxnrORUDXQj9CMkkDzG+z2jwbag4QA4DPwfmQVYNZHCIfFQJE22toWUwKom
Yp80rhBsJeqULPDRDREvTA2dNmZQZa9ULkJODGmJ4jYHFa6gdryT2Z3h1sxoyRCyJ5fZRPUT5mdz
E6agySIZrziMnsDdzYDUgz8i6GLudyGql37K+xC6lZVVe0HSciQUkBprqcXCJKNCF2tOIbl0wCDC
JWYwYKR07kkr0edxX0HzNmkQuEEMxxpe8bFOAkb86SVWxkztqj5MUYD4eyWpTLvW+qqVI/N3xxqx
8M7VaC8bvNi+OqwmPe9odSV4kI1otCNb1SI2SWM9EWLdzs6doWAKHqrQWPaCREPF6o4x5LYiSUlM
pPMkYXBDc9KsVO8kkciV1Fuj82bY4Kkrhp2ilw+HT89MJvkStlMS3ietnyRnqakLtV/SJSyPiNq7
4+mQl/ge7Rbk9wfq4iTPZBfoam3aECi3gM1I/jpadVdFO7TilDXXz/ghNgT1bAqN6DoojL59D3VL
fIB1zdjFbAUVXkfDNOtTLYh9nvO5luWpHwP0tyGJE9IMazx4uCnymHqxyWd0uQug7skjNilyOvV6
29QH6qPyct8ZYUZWCnh5tzLT7cnasRAI0nj9SNT0ZFLAk7A19FUWtdjHbpvAXJzjlqWv2LiTfZ+M
Wf81bdP0RqksO8WICdiFQg7jA3xuf2wFFR5KbaGLH+VzKvytpb31lycy8nuTTHwyWx4vtYcpxfQp
DBJ52gToNCiHFWfrniS02qJGzv0RLYiNjBhg+e9T0OG0mZOwP7IyiEK7uXKH515RX5LR3ACIXcng
vdd1w/qT9R01KTzKd0XYd9i5EyupjhMzGIgHzXX84AFTIE/WJPQQ7FUez0+O58xMkWhfPHWYjq3f
t1pKxCrk3EtNDuPA0z9r11L3OJgjL5fjGbGefjlXeW1Zt86cBg99shqFg5boyK5PGSFt60VNNoPK
nHmTcoH2305wo4OTRdC7HSXZjMMC2IFfHSZfTNV5U1voxmPnDtVjBnHOgwbjr8E0o6HHz4LhBWx7
Dv2PBDTtEwGL8NUdPJo31uagXTp41gUeReTkrvD0sWtmxDQXVHVvh74I5XFIGkXKzpsxBy+49mQE
mZ3YfcODiYY4oMvfOmhcQjWs8nSr8fNR9Prp9bIik0wkNzubCrpmSl7I3RCt4SC2pvPY/CC4pMaL
3Xr2OVIiQ7nOTeEaAlMhGePE3vLBjKE/awq8xeddPWZqW4jUN/aeO8zV1qiSQD4qRrLGHpuO473N
gSZD6Bs6Lo+Rpz0koxE7BPo7mvehD4q5OMxGwMLJBgOifortH17isOrcCIyde9pJ3EF3Gdnd8QzB
a0pPTaZcGCAYvLdECkaE4E0OH6QghpPww0AO5FTEDAh7Q4QWK54EaxVpiXnIw60DBL9kZ+DXPZ7L
Mk7ZqPXJYe0SdrZDmLZvvrVof5v4tmZDGurzRU+B3MmYRxE7naoI99iQdRpVQ8EynFN/aGEZGR2c
C+0Qj94H5iCrQytuhKSE0XeS+CtBjUke2RTZZcRa0ix/rELGqLimuHzBe5h5dJuV3GIPwHSaNyN0
iWcnxMUhs5l+s5pWbPO1SUy9HPBr+lmUp6n9dZrL7GJQ1vzcd3V1s6Ru6KibDDdOE9kodiHEGEI4
w6AGmsHrVB+B3/aMYz/v04s6K/IXj7q2R9ilcBQID49eNGYTT21IEtkLSo1Nx6YoU0behOYuZjDy
X72lQeE0IH3A1ZAS96TOkeIKhZHFE4OoztD49GUq4ZVtWH8TY6N1QdtMATDyue8FCoNNbl7vslEz
dyKdjI+erbFA0G56+3XJ8uWxhH5N3Yj2s4+gyyexs2gP4Ts0XXVOZLcnjl10weuYht1tKDoDLMbY
m8eD1eTNbigBmWYVQ0we+NI8Xky8o3heEjVQDGYZb6lySSG3NfrcrEwP9gVHexQ3XZSvYz8Cl1So
2GLrVHoios2zPD1x+iLoGa5yRGHLhcNlg6JW3S/Y27odvjdc/h6HC6RmJpjJNhR2dUUVWVhjQuud
p2ao1GOru/pRlHFxwY7MqvdsRJPzWObyWfvgTveoC8WZ62CjRzdnHG8J5eptjl0Quzc1pzxNGda9
sFw5JGqcKX1SsVUNGxv+5CEzMuasvR17j1Y+9tc9cM+7ISl4SMLOHdBlknlSGz1q+9StajdlqG0N
BJBzgA7Yrplst1j76tM8nYUfeV2Mu67PwjFk5h8IQRur1tdly8R5SyBTnhG7prpzhDUbYnoqydML
tk53gxo5BoRsqC/MUFf13mo8DnE1qdUzLMNAhfo4n/V39PNfQiL//zkXdDm6/+vQDunEhmHoj2Tk
9S98HwsK8RvZG4etKeuD6xOF+a+xoHB+s0nK2Hgz7ZU0EvyezTEsEj3r9IM/DnmUOSGzgf8O59i/
CZt25pDmeHZg69DpL4RzxM9jnoCUnEPLAuuL4NjHmf/TuEV27GvgVWKATkYJIctwNb/hYLkZqXa7
AaHg7mM1utgHLBilZk2fIHW61a1d9y4lWBJ2b1PXz2VZzwz6EondOhTUzExmnTbbdPE4k6ipaq5Y
ByrIOm7qn9eYaHmkksXA39Qn451y3fiBMlV4HtCYypdW1tVZU8tmxQeQZRkrCXrBFzNsCxGu+kfc
npMoWJ506gtYczTOIRo0UVal99him0dDOVDBzbLFZmny1DsyueOJGqtgVwQqfszcpn6HigK59Yfv
/g/mn/bPY531grqMdAK+P5xjoWN/GoASPLc0zGCXw21p3dEOKeH4BaDQOToH143urY8B1/DOW8SC
tDmo2dxy5u9u+L0Wj5p6k680amAFjAfMn1WM34pDXXYr7YpCiqYW0yFPSxjKVN4lf/Lmfx7efnvv
wqUI0rUpVGB9/DSSIo6DKUjXbEJqfC0qdOMjSsTgywEsAPSYmd+XDEQAEOV/cLGsn0dv//MF1zf0
w7DPic009RXzFM75qH3YnJk/WLA3nVFcU4C6lz56o5iDA1r7HrjzWbmUF2VpH2SsH4kr7DBhAr5S
x7/+FtdA2u+zue/vyzPdIOC359Mh/2n4act+VtzwLpsLZEiOUc2BkFT8JzPAP3wVy6abw+GyIxv8
/Olbo+cx6rfcKrj5zqSkKLZzxulPvlTnDy4yA9V17s9Y1XQ/T1Qdp1gynPEeDn76bDZZI4xpA/UN
0kGpYvrMUvp7cVXpR5OT3IN0YS0SvTDz18KCbcfB6IQ0lCgjJ8GXyvxjQbWvquKLZZc9B4MltuDr
zpjTZgYOUVwIXNp+zDypnZitheOltZb77HLGg7dT2ddPHUO5g3YriI1uXMLltfHKsJlV/Ya8ac2W
3ypPZnOiENLK5+XEqR2aqr59xf/7uPq7vd6u//p5dfuPf2/+dtdU//iPv73WH3+7kv/4z/o9a7/8
+AD79p/4/gTzf0OXwibmkZ2kQcJaM6TfhS2PP2G540FkOehTPI5+F7Z+80LhkD1d72wXdYs/+q8H
mPkbmhZYLP5BMPOEa4u/9AhbawJ++LHycHVCtDN3fYSCtLY/P8IYys267sZNk4ltqMDgEuju4aoI
59gsM3mOz5+maYVGjXWB0NyJTzUhMNgldQ5TakxlVBV+dY/5rLtyYx+y4JDo5UV3E2CcMGio7koG
+/vt9y+XPrF2b/y+xKzjf8viCYEqSMTWs9xPS18hGl1KH19iiyklxjB6lWaJBgZU9Pl14mAPSoOp
vhbOCruvIG1flqRUvwa27Zw7JWgYp7fnB/TffO0nJwyWwJw4ZSlc2G0aq+Oxaus7vmgqwSoTTudg
Zt4ZZkLIoUFWGu/UHasvZja1VBHO894dnektF1N2jgnA3+GmojBYyjo/0/AbCS+ARMC3ZsBXXeiJ
3xAs6r+6RYw3O2vcM6c03C0ZcePPqpI+rV6Iemyd0BNZIUMizMGnZ9LA5qn01+vkQyYww4t07OBZ
y0bsbH/lwVnyn1/N/64Mf+fa/et14d+WL/LtNctff6oF4a98Xwdc8zfkQJ4hHDTE+jvjJ/19HWCP
i+BNjnwVtAKb3uD/XgeERS+IYIkwWT9YQ35ImTvBbw6iqYdYvvZUMR/7S/vYT78m1hiLxWi9fUPL
Nr/tyn7YSNDKSxhshOrtL012bHSx8WyMorr44YL8+X4FSc4GEct7RXBmuWFj//MTuw75nS4UXxFx
q/0T7a+d9DXWUc/W6hEC4oeyVXs8sVfbtT0V6NCh2+MZys8rs9Dh3MM0m0dDnXnEtukmgCgxbWBu
dX+tzGl9m65l8j4cF2GRff3PbzNjF9Db5FwZJov+CN/ampNfwuR0HOYvSVrG51kAhGtwCS79yRVa
r8CPy9q3l0bBDVn4Wfq/bUZ++CLqnF28DoDCLmlR3pCOGx45d5u7zBnlfhn9joD9EL9WcYJfKDWH
xyZP+0cx5sAtPAmUfdInv35LP++yvn1nZA8FtxpvChDb+vj44R3l6boMj0z2tLRHbISGWexL/NXv
f/1lAC3xzOP+W+/5n1+m6zHQkoead1Dq5Ek+KJRrV8k/8QD80YdhDrayG3AyYQP4+VWwstYdJrF5
l5X0nZYp5UaBGb/9+qP8vOR+u2IcYjCdeNxCHAfWR9cPV4y5pwpgPOsdBDHnHHlTR3qqmxub3ovI
4WCCR02Uu1+/6OenuMsKEqwHJs/k/BFY6yf/4UVJAMf1MMU2WoF6aYsmu1pwkGxIdCYvdlPH9DsX
1b6vUMhCpNmHX7/6/7iu66uzguC4AQ3DduLnV1+ICM3oNNBQp/LKDaGJevE03vz6RRzn59M2V5Z5
DDWD66libSP6bKpIWkja9Ffnu64xdKTcVJ1jNM8PxeKUa8gtyZ9J3xcQz2p5LpWTHC12JVhjoMOU
Y/8ltOfhBRhTUWwhe9fzRkyOeklGywX776rTlJPlYQQIsQcANrGv4BP58TJ3JLI0NZ3WQsFKvIze
c9xNaNdGYfZHATGrgW6cKdtNrkfLSGHTmbmZQB/cj1Ljlx8c+7SXbnk9O51aa1y856JolqMcl9o6
nsy/+gwP73K30fsJ9kWk+Zo1+PeUXX/nTQdBMv+cWMvaP6GdvdtCT3C68gulPO0XvOLsaOb4MOYB
WQZF4mNnu1Z8Uc0N9A9nht1qqjI8OJ1H8Szy7vKxQD84VPxtuidUft/z+8f8Z2S637YJs+eEK1Wh
IrTWM9AmBcuifpxQcrdoxbhIWuZrZzmMsG3qAfUZ/WTaGzG4asYgNtGCHpJZsNS4I0s9PXqOr2Fy
VmHEmB65NcEwElF6v7wmgMI3QvaUZEyVcErAYBSjSjz3N7qyp6feKQMK1rFQ4qN23Sjz5uPAG4GZ
NDRnYvmHQdznzrE/1PmJL4ziSDau0R3W1qitl81PKV0JO8+R4sht5+QYC2GCs9m0TqTReCd57oGF
U8F0MooR8jRv9IYszAvhHVjxFHUvixNGjWcMV9CdQpDAAJkHs5mO4TETx6PxmLIAEEzGTTIO+qQz
TUI//tqL2+zJndZnTH5esY8DGDVRl5j3i2MJDGkbEyg4G+CLkbnqSHwDG8JoMh/y3Ih3Rtf0Lz7l
1A5NTVtyBjtJ9VVVj2fEjeh9UdljacmoL8zTMbPfxsoi/C/cq6zoyYvgfsAKSiNrk4RXngwA+RnC
PoGXcoqmSQ0v5aSM26ZjYdovQX7MvPl9cMqz3hgf6gTpNtHDITbrJ7d1KItJuGKlhwpoVS70tCTE
rY2ld+t6NkzWwpoQaEDFU2Kslx2B3nlnIfKTetlgcQHuJuzbhqHTsSFzEwhdmESFWMa9h5kaev91
AOh7pX6QGkudSzPICQ4oO5KmqHa5j2WjLQoz3thAuy9EzEG7t8KTPsAhM9b2ctMbs32SdlN8FcsC
rcbDlK7H6dzGJ7Gri2Q+LGIkmG5IzHu1v8uqSp9PLeEH8Hrm1m376bhvHBwc6rgTqBCm2RyTEnqq
J5wezexe5kt9bVDLdx82zXSFTyh8BhW9nKD1X3b1EF6hnEN+VVhlLEPiPJHTBwBkIurwrWy3vfKS
+aguso94XGIMp4CESfmv1blkjYYlucdDdNa4c3kaF1y00HqZshY11Qb/WdQ6MurgjTDOsdVbEzAq
ZqIBuUd7uB0Y/NN4v8jdFIDjNhDF3xNXH5WOf5p0cHaB1z9ZzdI+Gtn8YQQBuB1Ie1FZGsegppeL
fjbejdSJt2UdIrM5uaMvNZs+bOv4B7irwOIQawFsA9159vq3WEOdrbz0SIXpi+Gklyijj0GWduee
Xw574qb8QNdFUFPlDBkU4z+JCFzbQP19WtetGJuIR8vOrK/p/kKMpheowXu1pYVh/TmRJDKbgMyE
47IegHdPQxbw3ifNOBxUl7/luT6M/ugcaNJZ6OzSr6gbsOQFndwtX3HTjo8yTfCeYO0ZQ/+CSE+9
A6+DaCUxWFEJLN5I0tISD27pJDPT+7rPn7QiuvvrZ5X7zRP6004OUyP7fDYb7ADWUebPj0Q4D1Rv
ZT4yh7HaREsSZvXedrP1R+HGBJRjZyakbaQuzVaAP2PvGNnfG09CD6f5ri2qbolwDqEpzsOQ3mRZ
xX0RkyZIorJqmjea5sPXuGQ/vQcyVO/UNKi7UTX910R0FGRYFJiZxz0TSTIAKOsvOgvTNyPDR7UF
TjawwaqTGLjZ6LZ0/gzVqyMsY9zNtee+15rtNyEYSoNUheclQnervvqlUbyOgnzaZgEPygszFIBz
Z+ZNz+PX76nHy+bqjdvPvhw4XF/R8g2NDq8Tg3CdGtlV04zNsiVYnGNhN8kuWJXdV4esn5S7BdWx
unYCSCaRMaIyJcwub8x2IF8Z4AJrT2aVzK+pgYDsEKBYXtVYztClIC0u16npxGv1qSSJALvFDKJQ
qM4HyKFAryZsywCyVbXv72H1Nu8xZqN2T/jKhq4noXBsRDxUl4HIaXcviVDdu2RMsbLYQ3EV4C3i
6eJOPRcTERqfC3idM6NIe5/jy7cAthBkW3pSCSrqBgXaiFnLdON42D0JrUjRbZTtr9ETK6w4UJhp
jBOkkNV5ZudTg6IsCZ0PNiaAA4qICnfSUWBMSK9C5YblgC1L1XnxOPsGXRXZOAEyMAi26Mi38fNs
KEKwwXePdaVPQ38m7yjdIT72vcQlymgWPtS8URCMKXJoLTSdrcm50C5xcuHsbPH4EEf9cFcIUFTG
SeduFSjIMHINN/uC6MxSX02UWKzmkhZvVVmzUUipaDuyu8qkIoLAbMUjfMIgRr1b5R3zv+kFkdT2
TrNq7rrdaPPYoLPOqChRd2VAvKcSdU9eiWFNnW3hCMv4hNsC983Uz6CSjcTOTghoT8tDGEyGogq1
ix8N8l3OFuxoCJzRz8QhJ8UhQfkwKt2OeWixUwrZ1OyGah6pIzNZnhtmqrdq6ooiSnky4IJylQ2X
hfvguiPXXEYJhA1nMxcgBratC9YGeExv7Vq5ICPbZkKno+3Aa9xA1dLWRpPCwUjmF/LWa7LhKbUs
PF3WAqi28pNxW6R58T5ycHslbTe/2pgBEFRH2IaTkQFn1bbPvNdM8ukSoEkN92+p4DNYJDw7Fijh
Pyed7RJ1AqBPukf5cNRYRDMTh/aC27WavOE0GwmNRWVBmRvEGhY6IyZlh0MwVemuci1pcb9O7k2W
YINbkz9spqBhBSHlOeyxI7dN8kfDCMoY4rwcM86Xy3RGNCt/JbTSY3T0wFRthDVnmt9QbzxY4Ldo
YmitedqVqFrBpqlSGo6NpLEPeOeH4tK3MKkSHEHwXrfZZxQJtg7PNoVuRcQMkkoVhBia4A/E5zI0
seK0ahDjpkz64EU5Nd5FfiuYAFdr4GWTFPiP/Cws3KN+wNu6FfGYlRtZOCH2Qz8vT+l7sUeUnRG9
a0Q1W3EuTQ5JYTTnEzYpFAUIOd9r2dje3qK7rOeZTR4aQ1bgPlQ6NydAclVbHGEMXFjARkhINkwJ
b1P32v8otVfsZkPq7nReGiCzlIs94rqyAedzd2Q7iy+MbnvXTMvDjFyAP4z+LQ4O2cxChDd3Vse1
JUNck4vELNgSvL2cld1D7dFFfN35A52YgzmRSYK6rsFwTP5COZMspbk3CmMBqMWX98H6KkAFtBwh
o8GCh7bpw0zcApFI0p32nf5qobkiu7TIGHRHhUur7+TSbEYZQkGAqbdz09xAuMKQCtqPpFLLlOMu
dDNxB0qZSe/UdEEWpcFctBvX79Sl12n5Bmk4m1njPVopTD0s15w4cojMKUHJZnKdSyFiG7vKYuHp
4hY5IRPPQYIkThcwVlaMUCgEpRWhXxerjY4Dq9tatpQPfuOvoGxXYPCbOXfJ085U5B7NMlVvadOi
uQBsEm7ktyvZyquBt3nGTAyuWRyHvG5HYBD0s32myra7DmC/vpNrRSvRHGK2cVD3r7EwzJOqCGAR
VGbdB9u5did4M3yyZ6qtMDf70Pq6CL5Ae0+sfkh3sB5Wd57ibZzoVvmUoucjuVfyCfG73c3ii2l7
OE0cx5iuhqAxvoSuQTFBYeNhieY8UUdBQ89ZVEPmeTGrpKHszRmTx4qVH9OC2QFIkTA4AKcEwJHO
Kkt6L8uYtDejGsg6l8R7OTNAUQCKLVaYcuKH5Fl93Lz3rNJkOvmm2UViJPu/7J3HbuxIu2VfpdFz
NuiCZthJMq0yU96cCSEdSbRBBr15+l5ZF/3jv7jABXreowKqSlIaMhixv73XZh2brG4ddzYO55eS
A8QUptmskoOLUHbN4Cw/tHra8BwQtUNhSEVNbaCKgTjviKEdfwxbmfVQ2GP5iVd23iaTjo/SpB0a
Vo/rTBvpZulLL/qEbZZTlLCZ8SCT6uotAyRqp9HDVwwKQEuxeiC4VoWUtEFlWSMKO6ZnYrY0PmJW
qx8n1jEurNu5xodgbsbT9Ng7gzWHuSfl/dQTLwxXHqxAiFwaZTcTGA0eeFlZfuEEvlnFpJ4PYdu1
3WuBWfxqAfuwAhLeBofWiiAzXpkpxTIONuLBJK9OQQHgK7o/RU0pR5nELUsplWZfajQZl0o0+bd+
7DnXzC6VABtNo9Bno41j2ewq/HvpM0Ezm51/nn5oGD7nTZJr40m6QylOk+41lwLh4rGdb6Quk14S
ximsZ2lQDrhltnJkDhv0c1lD6vJj74nHhd0GAGI6rDsugtg2c4ie8ndx+pLUYWpqmCr/JFmPZbEa
MLy/cUgCroHzb11futgyq4OguvToQvv8GIE04rHigcTYkAfkEqFc9k+KDB718EPeO2+eN9gebrcV
P2DkgR3B5qhPyBGz23bb3jDjd9HbPKmxOU8P1KAWXuSygYBQJvseO1bTj1zSbOJ21ug3WpTVS/Nh
QRnzt0u+LP5ZTVAJNp5m6AykNRMbr0NK4NwNYhVhsqZw/AhL6uUWKILYrRKdZ1tBGXxq6YLljJBN
6Y+L25amOOlz8dRpuoqNw35uCGKNWGbkY776IZTKAmLSN+Pcdi/5MU1kr642k58Ben7WxuF/v5c3
/qvsRD6JpIKp4w8z/X/G8P+urTn+TI9m0hNqFNWzaSf+zXsPIp5cuiq3dWMbz0pI4y63KccxFKSP
QZIpCsxq5HaBMuMdGh80Z6s0RdeLWRU41DqiSkTIZuM7z7Bz/vOa//8Q5n+K/3YKE/xQz/5Z/o//
/dtmfz+rf3GA/306e/sN/zGUMW/TWb5WnyEiU1r++X+HMob9v2yDuk8WIMYiN4jvv4YyuItugUJ0
SMJOrs3d+K/hrIkniTQiwGDGsox7POf/ZSjzH0Ohfx8H4Eq7WWBsgY2JCS3y+H8+RBIoIRDR3jAT
UtIH0E+is2hsVng/Nc2x93ar/3E6S+105Q9/7FXvwmZy+qtibX4z3HG+ttQf4afV3OqGd6ThzM6+
rKbmJlkVhZ1geByEL1AxRBiyitS2Ln5ci3M217NDMRi/cW6ymeNY+cVG3giXDnT6pnW9+i2d6Tk4
0NDLzHhQ82siVH/XCKt4tKdW3DnGwhjWqxU/ndPTsjYMW2u1Oi9xmi5UoefUqgzdt003d7vphJke
Ooqm9gqJ8jw5qRVkBj8LQYIe2LhEAa26sIvL/ppmsriyhf7O89690JyLGxrc+yFXur63yu5bJrH2
llWyv2JbdIOcSsM3bQbKgJ2z2g1MrQ9yydAHetX94jv8GuXNIclPcrQE3VBY4lkbpu8Gn8wJP39J
GISXPE388XnWxG+jZe4+ywp37635l5vwAa6uVVyBENBp9M/bSCvXwbTO5/TPq/Qg5VzJTbvsHdX3
lPFTxdqFkBiMMOuo2UNtcvaV7tMfqPXilzrb+s0fQLoHqTn118GQ+l4AFroKPwZ5ZKRzCHuDr8cV
v3yriNRGy5vQtVu/UtcYxq7EAvRi6XzMOU2NW5I9dEaBh7oQGXP3nDSL68L4LBqapbhONlZ8HtC5
e1kdk3ei8fLpg0BkHEjAU+1RFoLSulLf81Sdo8rgBwBEuFMIh9L8lgO/cyosEi3IhTmunNuX1yzA
Y9raLXa3DzdP6YpbZwk0Vi0xECS3/Gqqkr9oTd9QNQjOaGZgNgIgPx8r+3N379u8ZcqCjdBqJKBa
HdoRaAB2g4nz63lL+ytAVh+smi+kxM+2z63u2wLAdbFp6rzQGGczAIHZih/gUkBsva8WHb0Z3z7M
vO5Vp8vGKON6JE9XmweXHmgEhakpn9qmd6M8ndyrltFYZvRxtiM0d7PXD4b3SvakDYu41a+CyhIG
lhZkAl/Xo4SKIro7rKnecsLSOKNP4sIJGW1CzfEJP6F1Lio6ol1zaD+yYp4Cx56BO1lFGjATHMPU
7Qn+a0Cyv1fZin3lVnMcCrPmND941rel19BQ+oWWzw3JojqS/zRy12t37tFbaI3x+p98EiXIMp9J
IZmAlVo0VC7X87rrxAXv1S76nj8bt0IVS+xcu3Ae2Hhbbwqc72Nuu+xOEzNtNqW1pJ/JyI2wrg6F
aJDWyDEs0yOCT37hqr9pbpoRVbPdjEFBlDYE05xcOjCtR3ed9K0hyWc4XY3bKTGcJqrNybxoSxM/
MikCaLggo1KbUYQNAOrA0RvzXCz+eknUDCQiNq2Qinp265muBwvLBhUZ7VgHSe+P1NFArgWimniU
aqx55E65c7ntJq96FU9Peo1BvvEGPQDXkYBFkTiR0W+c8zQU1pfkz26XuRSHAbT84Drdo8FSicl4
nMWxlEJEIFEvTmZp0NVi4nlN92xUfLcRVb5tZOmxFVkxGtgNF721Rm4JXBYiRKK1D8g0MUwgOR1H
zX6tQQrcp4NhXHLkghdk7fZoVpr9xbSEzSZoIw7EoNNwLTZ9cZSd6SAeQu45GMp46QBavPloNW+D
cmC04MBZ+yl9drOqjphQeFxwJLFWQy57JHR6VaYq7Y+IK/GrMDUa74t+2ccET+8HJx32rYRUw9ZO
gPmwij4golmcAM5QNAVO5RHUuB9AbxiboNUHG47eBM2qI2ixVVhbwSRhgvkGQPcDkJQuG23eW6lB
xpUW66cB0/V+gCujBwQ93Z7HTw7XeGYrbzL8euvyyjwYVCkEE2iIfTunbkQEr73w+TNNQmpiNivz
K/HSaus1XvOSTM26cWZDHFMimPc07WrAcnsvbDk2fsyWm53SleqGEU006uhc24i5AfhQQGxOzYZ0
UEvuVa/NFqOrm3yug8l7akmaYNzrQ33V3os1XhF/2lrjVpkB7q3wZM5w+ZLQbE3zADSZRFqGLNBW
FXO1yaCKFzy4H4kh3Se24vaO+/HvaA/nNvdmDgC8X08Tp3KGq+Wjnx10Z/Hp+Cpn2KK1qE+lpFOi
HRZMVk3N12GQcoMgPlrGKcVde6IX7xZKak0uKEPQtqmrdM+mhE55fV6CxY+nQ6uPzls7UgOoTd70
V1sSjz2Aeu7GKju0NHG+dMpfX3GBeadlTvTbLWFdAOaZLML2Yh57kglssxOHziJn0sRDlnXkdlZN
HEAf0q+61OveAnZzO9iUoQNqLKSn2o3M1SgvcC0ZqaVdsyNf7EQaFN1g1GtuCKwVh5Yet25tLEpl
Yv/KybiP5oZABUSU9MDzLj+Y9LY/aEnyiBy5XBIx+Segd8X3MNF4XQOKJFNRPRPEY302zClQlil/
mBtWFKL5MAXpQNjEuV1v2wHAsCy7J2rAMg4PnD228gaqhFIv/Y03LxQOs+B3ez+W5smrCGDqtH9Q
zaEp9+jwB/FAj83VV4X+nXuOe+puEEwyLx/a0tknfcF0sontodqilsiHsnNqqjxY1Jy6uQWPgbC3
AkrUze2XBK0BuozajvhKB/TDTJZ9Bx/7rDt285C5pJEw2XC1t725F/z+rdDk/aDNVZiN1fhEhPwW
E9Qmmm3lVaXitYBGea/pMeVvPUps3CRjkEI5QZjGQ2rJM/fqTaHjIiYdfZw41QVSKXkFdnbfWTwA
Mmk+p3kVOnL9YgdLy9icpdvaF39oReUy7T0LrZNqMqA1AqohcwPllk9W5hrblm7niDGVfqRWXFBX
6WqB7vfdK/gIl0bNvoqMiWIfgDKIJqoYv9Zxrv8A6gHEFXtZe12FMR80GdvXrtLIp9ooOBm4LRq/
J1i1frr+AtM/tpM+Phmii68NksFFVN4Y2Sg82xFQXyibVoTO5Fk7ZCXS9RmsOrPWmIFptKGnk7Vs
88WxUBMH+6+VeVVUpu7SRAt47E3Zdy8OD7cz5TnNrXLYAJxl0meKsKaZiPZkZgJPOvTpLZX+4s2U
3lJqW24rNr5UY3WA/+AQhgsc493AAGWbee68teq533ojpVEki2U4MsZNfdHDIeCWPlqiP6frZNHD
VzpRh2uaIW9FL28tz6VNULQhcb3zx64Cwso6QWjSebGI3uWtOUUrw9SoZ7J9cDjj7oSYsRqni4y8
0rGDvLRa2DxMUB1tegB+SQAHeWTDw+HG+3QZDzQscUkt1n1dact2pXudYVtvB0DnudFQSk4wk4Eb
2dOw98Cm7tSSZzvNbnSq4gtnR8iWqGyHr4D3FJMWpAGQGrD1fmZTUBVN8zdxJEzhrP3T+TDFbGoP
Hlb2Kzuohgw2F3SZbvQuSqRXbWXvZsDS2gD61Z8YLl5BcqabykzosKJAaMeDgQH04ppjRDN3B+9o
tT9Knm5/43TxD5UaubpqfTUOVTV5xhaYnWIdLzTrTEgQLLCBTQUeKyaKE/pviyegtO65Y9XBYEh4
9hQjlU1j9Nm77nYklfQUYOgYw8FfFjE/w5JoPjP6M0Jl1uneX1lShs6gqK8e87Msp/XkeZI5bqsy
h2wqatZmGI3mEXG5epBM+j4MCyBfoCO77lDkkPh4qsBDxpGy3I9Joz0O3KIomrUVfwmo6Xv2hN2r
oJ0KG9wNrqxlnf2SgWi8Zr7Tb+NcNDvaa25VcnmJRJQrz7uffKXvXU0vJ55GffNAC2DlbvALMF3s
qnE4rDfIs+VI95sHxYpSNI5m2DtJeu+M5rrra648nF3Drmwm93Wa8XhAKsCtrsOzPid+KQ8V7ar3
mVUBHzXHDsk/86z8nBbizKA7DR1Q0MdUNmnKcQeKtJszlJo5Kj1q9HzAjMy2tFN49IDJzyJXSUgB
8XjyZuARboqTZHaYuCUj1UiUsb7PHeOFSTNe5K31onLH75Z/FSVSZ89YLyzSPKfvGAnaqPCcTuSq
uqhxvU8ooCiM7TjskzYd6ZzRy7sx6T8LBth80wOj65HdeKKxWY+5aL/HHhEYnN+juyqqpJk08Fpf
l8VtA3MqjsngTNE4kDz00oa+NTnUcKPEec677AzHhQIGsKWXMl3sX8NXxgPdOnRqmhRJDBUwhnWB
Jjtb1JCy/XlwK8auBmRcKxsTKNAWRYr5MEXLFDtHXLtUAza9FhUWPVbZ0NzNN2SzzqGUhk+73inI
yxfVDsUemr/xGgutJea+wHPRgLEKs78bi+WbtRPgZZV6e+na27pNi0hn+Fdq/mvc0lA4L0+yF3Lb
U9ob5NnyXNGgqrcdFIJxepmle0vJ5fYHjZxwnmXu3ltLXL1oc4ODwbVe12H8oCCouh8EaOMFdT8g
+bCelcp5mg/fmaLStpDG14wthyApLXuDR6ZVb50hmCSJ79xa2xddq+Vdzns71Ox3t82aPyExHNyU
bLFdTMV7iWlnJK9wRUFAQc/aryXTv6rbXirTrOd25inpU0AP5j895vTyBbMo/mgUZga9IW6Veb9E
ROHl1tdanz9qOu62zjzdSwEyo3K75S6OHe3o9PQwro4VlhZE5jVOefsVkLrB0N5A+LHAaOvdNHg5
JI8CyVpvKHLpCvNs5WqkUM6uj0XCbrLXlSDW4iFY2KrceUl+YVtqbHLdJjJJ8iXSiedHDMspBDBv
rQ/9cMeYpv4715jxbqMpuPHCWAHzerhJ/Xl+RiP3Tt46+n+w/2MS8UQSjWVybHST075v/dV5clHc
iwdE6MA46nMhpLhCTxl3lN7bATLQ79K7wwEPB9MzDfAlmElzG8dAGeeBbKTj/6nt8WltbZDavnnO
Mv8EYPUXov5fK3G2VVMcydxAhmZPkfXCJ0kWn7Ka5yZKzoXqjl2JDKRRaZM3MyubLmU0d169Zcrw
WpXaSfNxlGVqOttq0R5pM/cY9NS/DmSYoTW/hbYeyAWkYWFwkutFgUtDMa4YFED6Dt9Obxhvje6/
Zexv6aFo9mMl6J3hMefhH6KAuDuWoAW7khasbNKcp5GHZMEFsWFr+VF4jHZbYsm7BDjJpFNcoUEf
HjkWghhhnA/MlUhcvYtt91rDWN1AASWylcshLHvgDJ4J3ZARGDO6bv3lAqf3Ib/purW+i+X8qhIh
H8hUDDvNr44euWIEgPJFN5KdLLU8AusQ8th+1Xr/TmFPOJr68IM+Rw5NLXRZ2J0GR8N6hgnzJi1t
faD+4qPuWparqXs3tOahFsaPtOVb4/tf05L85rZ3N0pOLhYTUsv/TUrj4Cn23WZpmtTdMG6Bq/64
Dv1nWjfTidwsV5uysFmV3SHpnfZdaWBNiKcU1163LPaKenznyjqPhGa5YZmkBRtNcuXUi5sbrW38
PU887EidhEVTEliirENvCFcBhNiNVDPOnYXZzqauPeFUpzn7Jlm/q3XGrwCzfFNQK57HzQcf5lNf
pXtCoJfKS+coLcftYJU8VodDlrRQOplXUJHUlvsby3lLD5JzrQYtKDmnbfLJeAKwlaAzjVtIAnh9
dB2ObUb/pKseC/bmCelnNE+OTaV7T3B6V/vy6I3Ooc1ojuVUsfFhu9JNDbcjzV5vdAxtSfFfDMmn
k9MX4eoWu75ph9gUv7g9lYwYs0ltkoQeRxfnlcABtmpn7ocdv+XRWfOrmbVdtK4CT1p+6OcW5LFX
vuVJ9zgqHpRxfRI6G2m/GcI6X1/UmtwqH0iyJwVqBpUlD5Ln1oYRwqs5p0e9jK+3aVGcUChdgv/E
OuUf0qSIaYsf9o6jkmer8vsAMvAH/LkT52Ew/5WkPK020r1iKQNBBSNAdS5Xb5oiCdcK49y6lu5n
2zIfLArgAT1FYV2gFaZ67NT4gkho7LpSM5ihlHrQA33dFVXXlFFc5d0rxSStRQ1bjYDh04/ARj73
N8plVQS1sp5rTP6HoYaCOWZUFE9V4+LiyvDVWkhDEYle4+jQqvBTmqN3iIGChKBW5q++rvxNn5EK
ZCQ8ntmpVt9LYZcM1JP20DG9PvYuyjAawQw4sp1l9eRSW/437qTxgcRm7wFymfeEsbuXtssH6jeY
PJl9rnMs7+NjSQ/UMantcPC7f15S/crOxKVinuOP0XDc69iohrTD/KyGVp64bakEdis+4IUS6Zi2
k3sPgPdtnegwGaY30ah3OMqlRotjfB0jiAPrFcdefF5IkYMj99N7SitWoBWG/14Mg3Mr3Rx9yhia
V3dMq+cuLYvPZCma3ezV/TYteSpZU28edShTD+DwefUpFHGA3YNBdY/Ku4+8Teno7mcPoAwcc7bS
Zrn1bY5h+tBPOxJQ4x2ndQSHDhZ2ww0HhwDVQY2UAkIgzEKRifjJJXsf+hPjXxcbzr4TTbkdU1fs
m1zaeDBXnMR5fOYtxQesXOM2rmk5cvSEA6+R6NkBRkB/5InSnarSa3bwQAARuq1lvOMOHs8cOqoo
5eG7XSA9hxOWKck1UDym/rI8pcxcDy4w+e9h6N3HVHTvlhDM8l0qTSWHwRA2tY19qVmPqjIfHIq6
AiwQdQjDjpu7QdFoeUGfceYtT0p0VKf1gM6RuuYd25jhY0U3ODk4oSgvku3eblotGHqPjatrdKc2
0coXkAuchw1WbFXBdkrrUr8beP7ddY5mh7bvWsekWGhUzlFuBtEdvEoNh4IBfSB8W7umev4HIhq7
VSejfY1ji1TNtS/15E7pikGGVz1ndm8+UvVjojVXdbrBQ0Kem3YAxC9d9GFsTky+7bw6lBKnjirW
4q51gNrkU1/uXRrRQqDezLBlWo1wX1T9dy3G4QSCZuHEMGjRkNy+WFJl7TGhGIG5Cp8DV2aUxI5x
noAhw22YnrAx9dGQ6w1P8zmmMUSKQ+VKaLf0EEWAzUoqMRiB+5TZbDI5VKE9j8kxy0vjczY4I/YY
bqPktqqYlP2e55m/yqGSwhMvcSMQV/k2roZ+l/lmSw8Vj5tkFuKK2/t5UMvyCFw/BW2D96ZeKroF
0joP3DJ+6BfhbcXSYsNYivXYUIATUoWE15fh76YBzLWjY3uKINTNAW1iabDmafbIldt/VyX2X8fB
gV/mzEwY2LhhZrbGllDiUzyo8anHmBCtDG9IdkzVW+HnA60AtKDjJ0txrUx1WLitgsmYYge2zGaH
1sLYxNHExaCBh/6hvHnAa+Oc4xlEPq/njIW+QEd0rDPMJnlnesUfu53SLTVG5WGIx2YHTBgBhTOX
FJjSFXPDI/eveT8a03AdKS0JTAXqJhVTARogLbeYV3HVA/CbCse7A/lV7TM4VDiX568RQHt4izbS
tWDScN9rs37px2L8TnKQuhsJw+y4jFO1S22dlkuga2dGUfmWDeoWjSsaR1rtTXsw2G9XoBfLyggh
bHhbWn9FRBM03c5U4OxmVIgToqUeGamdbXNR/IyZtOBHpfPBmtUUJXpufNEO6UWtwJuRJp0dVBjK
gtZBn4VK5G29tZmPYEiKwJnAeFGB3mxntVZwehrW9XTwSEpV7sto2bdOckVfc9p1kWIWFCRo7a0q
SWKQY34upryP/J6+6YpaBdjKXnsk6uCTcpJDeaD67JNhY7lrSn06j/zfgaWXGuNz16TRShfP2QrI
sy8xW9SOuEulzdZ+FQP9oUWDeQ4jKdgkyZ3uah1vcnQwg7SwA3g+OQ9k1RwMN6qjk0HRiPc0Amun
olNMm9L1s13q0DyC5VVVD25hM4kiLfVi4Fq+Gp2/7jUqc/7q/aAujVinH21gkmloI5ahuWQoFjMx
PC9qbXbdXHIMQ1O5XzPMk4braii/GfeAUVkHp16td2O9yatdKV89MUp0V7t8dTj5hKWO/szL9O+X
jCnXTM/iUbpMC1d/HF/GZvzGIZxcZMdeBl3fmV7VqM0XBYwm0Nfu28cPxBSXXzI4lRaag0tXSO2M
9jtQc3WvUyLNcme070DJ/HtLsyUxBV0ATYtZZdiaW4X+RlmWyTzYGT8kJdpNoGrYE8FgU0OvMAHT
qDTw2pLU+8URO6G3kigJPVnNYYct4ojHc34Frd2FORvCPwD3tDcF631Pz15/HBxv/AA4Ix+M3sXR
nZAzuljK+50qAaNKYxb/QQ95d3b90b66ytCPRjEk9AmBcr2ZbVnfXGSOlinkuU36+m289ccznPv1
SV0c2mUhvJwy4MRqxlYMHyIjMIpSg3XChUEgz2E0QxHJRiT5V+P500NjVdMBagzyl2bru4b+iCul
tTcbmu7fF+0UHxJoSOwm8U7+Jmnf5SHIHTD/s8/2yjWrEnaoVoXliqKRcumYHlN3gW8oDpTBwbpd
+BcB+bA5xI+Uh7rs+Om8SqDA9819Knxwar4dHwzMon8G1uSDpbf2e4OtCRNhwSe7Wmrm6MP79Ufm
3CsG0vcqZii6GajrBTFWdlo4U8SBARlB+EwmimPyIlZ5o6GVX/jG85CZEEEMN8XAC4lb1FwsNAPz
8ouxVuTxXHWsJw3rqT0k+8SV1pVFlfQDwEe0tFiOAV6++msRyuq/B0c2Snvgz/QnkJCs5Umme6+Y
c52wZmhNlbu10lJ0+1Qq3it0E9auUEn+ezZaKLt9uaxAjDxmctZXsxYYBGoyfcOOpECHMRkg2x6t
z9pICxpCuM6eEYGr4lK3yi98PIa1ho01T98x0m7gVyWlMz6uouqDMXuLHVZXyXxuy8pVbNfp1pXj
gLN76dOG+pmexr+4TPmjsUFDwMWfVf5DnkmS886pYblSa3arZK9d45Qv2WpHeEJF+oiX2ryqWLc6
cBzE+PHgyRrIBtVpHU+TteS8zLpgrySLhvk1RkWJn1qIsEOoeckjPiCajDZMT506lIQS+FCX9ts0
DMVEljuIdvpBru0FG1pB5XzXte8YCzn9onyXryunHp6mmLDeZLJO7lvl2LncFvgSJva6Y3GiEZPd
xiIVuSfT7x1SE27uv0+iMNszY5qXwfwnEQWt9JN0WLVe7JGWDyKw3nD0shrYEoQw3XjN5pouSJqI
dRJYvpEQxitpzRF8LS8UGHFkNuhHiFw15O+66MTnKMb+ok2jZu1llpiKcSzdAgAvk9LFj0yDc5Y1
1YOXJHrArMmA+LYkLKR7lyvqRByNIh/OpwnQXMae4U3TI1zW77tGO626E2+mknT9lnQ70H0AXMT/
4VPullJ694jbrBFi6SRnmaln3sw+wzvaNj72t6mL52JnT4UuA79Lc7rnGH+Uww7po2IgWvcNjfdN
i1hJF88tOw/qt2VyZ+C/TcecJJKHa2HaYIKW0Gwr0kfUcDYEFBL6Au/QSrw+EKnj/MTAO5Dvp5qD
HOZOsJs6JbpfpcAKHNSm2Xynggza1SxqSpsdM1W/Yk2Mq9boNvlN/tijvzickS13XZmEwZt7JJlL
G3MuraU4MT1VDkqPyq6KjmA7GibNH48Vr5rjFrFU7PU9G9c8hnFg+3X6YI+mG6Y2l/uG2jJ6lmRi
aSW8XRZmrMI4swNMyC72noRY6UE2vtSYlhTrwO9Smk8R28yo43eu/TyoWubVLiVHIfdf4MfUPGjA
vQ7WuhAE1HTniiLS7bS6r+4MGipvcNwkQBzYkfron9klW3xoff7D8QS38NwR5vDdJWJr51CQUpav
7NHOK7pBi3E53mTOcsCW3oaa8PyALpUxqJu5euDTJJfQLe9avXihGy8Pbk3Wi1pepmbK7ANtsP4y
j2T7W/dvDU/iO5uBeLqk9jZ3tD/kU3DW9sZDj4Dx3Q4sFoqls/dtuTOmDuNCzskE9fo0I4KE4+TE
d8qxnmTbShh03sFOADUXghOSwGe7UTU2dJCTKU1JnKXDuXZJj+jsqJo+WJDSsLFvhgRkNFuV7aoG
H5haBd/V0P1gtTld8/1Zz6vgIQvn53kl3oNXBUW9TmDgaixjzKcidx7x5CaV9+ZZFpVgjcGJMJ91
I8gJTKp6MaOuLWgYq/FmBlWGCtTWa3XJsjZ7A9PK52GqrrxTTdU8i1FQ+bskL7Jhc+gu6tVHoZ1i
AFSTRrntP3BklcOguVAw6FG6bgraRPQmJjXGvFqRwCLitBa1iOzamO8RDcbjWjOKZPuT7fpeRCkN
wRthlCd3mB6ElCFu1Xub+hMU4wOs0TpqbMB8na7dI47BnKzZX0jZPsQxkFSPOIukX3muAzB8tDW3
GMJLprmdN2174CQbBqZ3eJSzQEuN60C0cONXDhVLNtynigYlhl7F15p37hZ+R/VEEwupCzWbwRQv
5o5xnx6gBJ+GWS92FY0vcPg5+G+cnq0jgDyaXdOVHTlHID1MlpT4Bvnj+8ZH8kzbfpfoKn+QpUMY
DwIJKMRDYpQR1VD2oQafSFwvnPom2SMDomjFqiyPPgHegZWzfmVWOn2aWY2I1tNNY3rZm6bS4lRZ
xR/QCind7+bHDOIr6Duymf4EAIj67W7ntElk+eNWNat5WDxBCAnUx6rHjy3ZacJRsJ46e1x34OeH
H9+Nvw2ClyG4XEpZJIPB0lJ4qsFrT53wLrgSEeGgcN6VVaHdBo4qtLrkUGrWfGPZmqEpmDCS6V+/
WZkyhGDcFU5TG3dSkFsokV9aRJ5N0mRO5KREY3hQDXNa39laidKRfHKOeo9paAoGAxuKsKcXQXAB
sZxwEuRKSjp017vaGQPn3l4+sT8Xd1blcADI7R/LlJj/rbq6esbK4NpL6y1fqxPFHcaScZ4pnPPy
Txe/+G0cy8zLHHDoiAXkIPu7wPXsJ8ZG36XWsqmYZw+RMe9Dd1kpvK68g1rcF812Zx742Ajx4DCK
0C3vo8buvbMtphiL2KN+aEE923/oOU53WatxfPgFH3FHqOyvN2BVcUzSG8DB2a4kVfucDwyVoB/v
fYNcbZtsB71H9daOi3TuTZ9vvTO98rDUlnlZ0viBKDTRx6faya8FqNGo8W0YzNWJ3N3Ftnry4rl2
byZK28ue+pfBkl8uachFJeeuq+N3NdZvBVXPS0bbSTMxbm90N+zaOP5Ld8s2o73ruRUm88jlsfU8
ZC3PPRpte6HqvI5wn+NRL/5wEA49lf7qfQ4d0UW2IQEZTS3ym1do2yyejktJcpOaQX8H3oIdulNf
c6DdW9wpy9EgAoGcmcRRl3vvs63gztM2kQE0tTd6bsuNbs93c6vzGkd/60y4ZAiLJAApTXEWHErk
ME9X08mujihfvMQ7pDndZpqifQZBimPIyFlr/PJz8O6+TP2o1vILTaEI1G77UvfpERY5gC1FxGHm
4KXRC9VVfzth7PBp9+QC4AbXkPeucQ/u3sxfE7fZAczGRdg/+Hp96ozq6mbTfvV8Eu3l3sr6S14r
59SRp6AMMScCbxDf4UBHnKzKjrbEqEfBFAWWM4a/FgmjquuX1Ot3ZFHjh7acZFQv2nbt7GM/FD9E
3S5F3Zw44hi3Htg8zDVg/XrFVV+m6P/e/2HvzHbjRrYu/SqFvm4aDEZwuuj/gsnM1CylJduSbgjJ
tjjPM5++P0pVpyTZx/6rgQa6gXNwgEKVZTEHMmLH3mt9S0cXk0yPYkqpGmhnb0Fqm/cyRTk0RFEM
UIDgXhRI2SZJSpvjtWGt8zpj12jTSDvPHj+6fSiPh1HQGxcdckdR54iGMCkUfo0d2eo7cdEq9i2D
OyAALx7047wR3XO4AC5Vkgbsl9iB/jmDALYet0Sk0MLos6sgPxfHIgouG0Q2lyPmNN9EIOKmvLBs
ZK4FheNmwZSWmelnh3J/E6HVPXI4gWgktrMroURi9VRLDb1abZBU8RrBA2sbQdbxxi4CeqhRf8z8
crhUDaZ4yVH6CkOjJ9tiZLKXVhu7N+uzInecM7JicVml4yFWwX5hFM5ZArSunvZqTwvHOelJbNqP
7XTayeYiFuZntrZTvSAA3mioleJMV4hYhXWUlh03wajyQydHeVUPuYmPF+2okwZnSSi2uFqOOJww
mqQzlAbVPqqb0ZuqR5rTzBqSTmxWi7NaHILMzOa4s8czrWvoAoXnQK6Pyy77zE6EXm3ySdz9VGUj
Cl9cvTT6qbPxTQXONwgm8EjJDzP6LVIZ8/uoZHwO6iM5YzrpnoeMQ0+iuJZ4bKkJ/WAw1TdLUseR
8/WUumyXKE9yPy9AZvl26xwE1fFmxIfmo8t1fTYd52JkZHaWO2W++Z/tjIfUkAk22HKNU9KTtOMf
y8s/2l6r+bf/GBhAQHwj8sd4ZT/xH7qHP/AsMBu9ICDpf/0PP4kfy76LXxsW1r/xYliAeqoEYzod
bwwGPkP+y7AAKsq2hcShAtvUWFGpfxsWjA82DgYwqKuFRcJ5+pdhQegfXMFxCqu66YJvARvzT2io
uBFeW94lyFUBcAyfgquwR7yDobqlFmI1sg10F2N4hFCw8xM7d/evPo+fUKR4iz9exZEI5QR0HUd/
R2eCo0kMIBohdh01n4UUzp/BYfwOMCdIiHp7HZBHAjeH4vMxOKStENnXRJ1siGJpjCQFpD2+KA/X
wyx8FK8Oo6HeaelE2MonHxFv7gS2ZhNWtBWxnA/dVeVa7Upa6YubYh6pfMA+i/KcM4chT+pUV5Ac
wmai8uRwTi43xs41SpBUuPUAOfHEm0Z/rBLMvmSaT/1e2IuiZ82DPfco1zhC8FKGtkLH0QccUFDl
15ySK2gOEv8qx10OgIcAFVFxpPeQW3x0wpbYIhCSX0HAts6Rmro1f1g2655SEN+uEUVzGdBEIZKC
zfd0tKX50SQ3IL7UywmJDPJPzOtWkn4aBoTuWxIZygsSd7oMpnuNLJI+IcT8ugtQBIz9WiwzMqDh
gOvVGb2UZcjxE1jWNscIR69wP0YCVzwOWWUdTYTbfy7GbmDgAqkcJRoxRhWgJjdI9n1uNRkmkLgY
TnGjM/jvMOjAZC7m8Bih3NKdjSaGsgdVmgjrLeYKxeeiUdVpkyyqPkKFPF/hnGaqJZpRDmTtzchd
oWygdGzCon6Aies+tKRmfiqcpnoacsRT/Ak03ZCZ232s9+ZXZBLySSnXLO40sEC0P7OJ8AJR6IZz
5EbUkAgj1xxgXLDjSCrNWCUQPEGffETKxWAY5dxAX7N22vpUh4rteLmYqtQnraY37jtcrtjUjQlu
U2d0KgQanE3GnrRt2vEzRKvEW4hoQIuoT8l03MBYIgDaFLq9kWHSwRZOQzHeOmQHENVhpkV1VFcU
jXQRhrP/LM8vyzPCmVfr0Q/rM8kNXdxGf3wm+iAu/jhuMyig7evV+vkXvCzXWLA+GLaOh9wCs8ki
/LfBbP0jxuOuYwuk22+xf8L5QG4YjwAcZKlzvGEt/xP/yR9J3RZE4jm2jjsMR9g/WLBXLNffCzb9
UYiQFl105IiuwxL0zl42L02D+tByUSQ01UaNE+jYFnTVsu+z+enVx/STZXtdLt9fy7GVIxiXQtZ7
v2zrLehhEqAC+H1ApRfOylurZhFwo/Y3MLIVpfjjpRzHNKEisnSs2+frlXtaCpelgre1jAySJfom
53Ox4p/FykSmTxMj6RuOLSSjfjBWt7ON3xgbEATR8j6XT0OIhlGt2phc91GGkeOA+1siAh6UzLdR
4v/6o3kLjHv5Gly2M1MYbGjOM2T8lb+UWReTplG4fj8joV3amh7oWEJbHRd7JQ3TSIM0s/31RdUP
n5JFdJoER6mDTqYoeA+oyQDz9DNUripx0D3X5SGshyeoJtnBmprzMYgKL9fG8hzdCjEDEob5bLnn
gyq9QseOX5PIHsfOgf4hEZ2IaCRyVxY3xEWfJ41YmlisuUGQm715sWMPZH+9gSd1P9OVyMhpvx4b
6zANIKM6hSOM6HfgVpYTbdl0ABfoEXmwQJRIHJkx/HBsyMNq2+K4/dIy35fTEL8sav8WKrvS5N/e
OOBkqanWW9Q2LP739sZpxikc8cm40A/6iTEx1T2NVSbPdHZjQaZA34a3uKGtjWiDMz1wT7KGjKoK
K9pvipy1JvvxpfCcAPnkJdnveYhzSXWR4zz0dRcd0zACV5qrafaS3MlxUpJsksGi2sZ0GtlEPagE
NBPxlI9m/WUc8Gn9+m75YaVYP5m/X479vrRT5LMzCUJFokGwCUnuYYDekEbSf27GJdn8+mpvSy8e
CK7GfSnhJusGo7T1z189EDE59gqTOWfSGmO4S1GwDStr+M0T8OyefbMkcRkTsDcgUriFrIJvL8OM
eM5EPLi+lgUclWADymnieBn357lGKyBMFn+eHHlSRRJcGYeq2a5mHyeSHZlHrYVkKiptmm5T/hFf
SkF/bDgqCvubLLDxD+55n4ngHAccGfSI8QKijrYEe+81pVlk56EDdIcLxBPDpo7cT41JmzLAaFIx
Z/CXFvxGHUZ0LQnQ2VaEu894AC7E7Dsi7o/rkI5pAN8OIYS9R1qXb9XUNqvK4kHTk29pMd4xTKnP
nAyFiBsuPllNjWe6LClp/Ik0cxjEVi0wr7QMycnQ2KYkOQKHxE/262/zp/eySTkNtZGAVz7ut59z
NCEyBxnh+naWzduZ7OiEpDlZmOVRZ2o30RCVp0KPrJ0FXYB4bDxGyF0z09kM/DXv16/mrZn/5d5i
weOQQveTqIF3e57tViiDOEXTjHHIsm/JrMz1EiTKV0Y8VTvCBotIf/w/uCiBZsypcP+Y7y+qLyNW
HJKeMBFeMe92d6E1dJ5CvLHEWNKclCZamNz9+qI/Xc4sCEE8QKso7j0jG3YJgU51wvZu9sfYM8TW
mRl2IW4A2aK5G/xH93aJcm4o7ftZT+NTzCRHDnq337z9dzC0lw/dUrCyMdK7xCO8o7sGnYl4og9d
P2xGtZnXKEqmpJEX2QCP9JpM+wUCw6YOp+aEOBl8w23nQKjWLiqqkhPH8gmfQsA8NclvogrMHzZf
FgHuS5tiQbLUrCfq12tNGmchvQ3WGjeHZlEz28U0nHaeOVo7xgdwjVwdMaVi7g4Pygrmc8VByRvM
uN8mOaquFNklJ3YSx5iAe2Xl3kFZNTdZyyw9kR+RKNF8ahN3jwmX32ZYOg0s+FQOZA1cJbVDqEaV
a3cAluClM7SxwB3rKAc1opviKTtD7XLkjiBBpMZcsGd6gLAbAxMW+QcAtKgG4cu1pVjO7PCyxipM
jFVOnzFsTzUdBSoAN4BmfNDYJhn0z6g04wU8H+O0Q5yqy1/fdT/bKWzDxMRsS8q898dmM6qrgnRQ
xx8TjAASJW/odFujiz/FhtG8LC3/NzAXA07Uvvn+x/lD1f6x64tvDx0umvcB3OuVv5bV3MSrWOO/
nv+YMI71GPDmXyCe0rI59N+b+eP3ts+6v6rw9Sf/u3/4Z+PnZq5o/Hwte8xN/LaQl/XmPLHS//89
d/yK19CVf3yMv5Y//K2/TiEmXAohuRcMCSdYrAvBC3tcs+wP8HQpwqRt6CzN6xryV7q284EfNRUr
Nlujsl7Bx4UNzJwqfs3q1g0icOx/cgr5YUVGw2LZSKZ0Ug8U7NG3T6DE8mMVE4GUGXD9rWVrNyPR
a55hJU9jTALZAuEN/Bpx8K8+p6uXjf511va7Do9Jm8pRtrLo89Bk5mzybiso8OQMTAdowOML2VZL
P/qqhXPEuAD0U1/QcanpP50Aart29P6aUUWBeC2JTrJs0b1UWfGRHTdo+zpndRhozpmVRY9z2fQn
UVSv4WX1qejT1b8yuJchBJKTOpu73+yvP6xgbGUGz/na+FNCvj8+jJUScUAO5jYrg4bIMVgSeRBf
mXAuSZEcUD0kyDx//dmtpdGb0mklo9OWEBSF4MrFu0qZwFGtgxEZboNKT33pZk+GXdy7ej7+5mz0
Qyn47kLvaoceC2DsBBm9EJXdAwoiOTt3b379Zn52Dd4NxPf1rqbyfHsDdr2MUSrh24LO43jo1kaY
DU31m6/p+TT97jMD/bUysnlmLPt5J3pV1VpRpYNjzTW/wcfih1mG2cr9EsTm3kWxNTSACqEN2rTW
d8kiDrkzXf36ff6wNHPgdznbWHQUbGnr74p4i969WyW4ENy0PMvKMT1fsNeg8OoEMobR/c3zJdbf
98Mbdlhw1hwTw3gf0BObC0yygrBk9DDMqur4MWIG6LWhs3hBZl8Wrtl6uJYOZp88DVZ9/eu3y5bz
4wsgQwUyOY84XTDnXdlBDJOmFjKMt7FbnVRmfUFEE1GYLCxhXy2H1MLsjptsz0FLgrTJHpVMnmSM
CIJxjRfl+PDSZzO5vkQ7yfn0CkfjRR2bh9zOzxzNumAE8qS3iixCJ111uxxjRw39ag/fVGBZOiFs
OrpKhag8+kDfhgzAHhbreEMQ7mHB5+YVABMYeN8DgL1h7n4oG/NAc7RFqRp+SiR2FHKsH+3Kbr16
aVp/vdrYBfjHeRkOjWYvLOwbxBHY+SdxYFT2GBAg47m9fufM+DWG9Y9QeJnXejB1W8uAaZpFTnNk
tYgdooRLESpE+2c2MAzP+nJQTenApOFXV0N+FifGIWkdMtbXd2Yk6pxMwflU1euaF2vpttAo0XS7
Ts8hUN+mRcm7svHxnRfwC8dpdCjeOmML/f+ilpQhi2nRP22LL4DeAtCIIFVLwSen5VGyQemJ47No
3b0RlAnpuPmjBSBmwkNsJl15lLblQnZZD3TMdG6sgIk8a/iCtVcNGzuikjRlGO8KOsXokOwL3Dts
JWR4klxgTx64kgNo3cd0lp8NChLftVtwnVG2zW1eAryD+dP6vQZ2gVcRoU5GkO5l7xLOntiChBaO
SCb4OX8AMbhVEc1y1YLKmNYP+fljnFSbeAnUCj/qwvmTHUpjqxOcBtS9dHcF8JD9DLeUSbh9AXfZ
3ZvoUvf1bDkcPOJHVeCCBMhR7WgqoxNyR3Q72EB3YytxcZfmoQTHTVwtt8K0TObpyMeAPnnZISMy
tslC4GewKmtqTaY+IjtUvDn/GjCK3dZ19kRT+taI7OPn147JqtjrZHEU+YJ8agKoOxhPVqDd1FNf
7aKExxVdnfSGOnqy5nDZEWtubFBXuRsLvtR30ja7rUPO8lE6ZIfcikuoh5NBXgWvO3XjBcdme7sk
he6biZX6sQDakK1DTdHyOSFKDncyKeZ90fII4sC5XUxuAHr8Txr6uX05N7fdZMPeBDvhIYlkrpvz
ZRbNxPbK0ZgsBXFwRWVs4oFXpiVk7WpBcbY+NPrALx57fghCi/TWx72PUpQyA0ePQVMgKaOAX93D
1CYX9ckceMiyJX+MG+siGsU5aMLLWndvchB68ALb9LyW3PAL6/Y+DowWTpA6LMGwApYnB22idVEU
Alx+FtteBzhGzPJAKioCBCt8xBFvbEmx5RpBcwvNBw1MdatpfFLEhH6Bntz7+sgXBhy72hgMFG4S
RG7nkR3NOGSDeEP4MY+ovXwdGMVtJse50ZcFRUOu3ejAZL31v5Ay9tS12SNEnMJDMo3viKpqXXw7
YKocrJrbJDcODaK2E93g4SjWG1+nlcBoJKC0pdnXGSP9vRK0tmRMtF3sZjqp4m46mfLK8XOLbh0g
JrKKbRVdSAJxg40K+Trtlq/GJDvF1zUtYaDNa8KsyiNaZY9mZ/EO8mgAQLsQkVvXRH7DXP2aLxHg
SYd8z4onvk2aWwwaj4Psb5u8uc2QClJqlSA6LWIPIpv7xIl43aUTPWVxveyen1MYHjc5GtA9KQjI
/2bUvA25k0eVQ/hxgpHJ1wZuEmfQbqY55ebS3BM3zaqdU87pR6ir2ecBrSDx8KSG7xk6fSd8OfWN
SWpbTfG3At044DiVjGbq4KFNTMRra9kXuOvSWE/iTNolCIIU6O6etkK9ZUo7XoqO75KpzXTlSBZB
DI0p2Espj1URut7YcGsHdUfSLF+KdhTGjeNnjfYAqSW6kg4afNDQ5VFPMryXmuWtFRdozkjYEWcq
aKudCBfjI4a5YL2h5+Z0sNH5AZICmtpFGlKRNAJDkooebZDiJTNompGmkZHRzAMrfS4PTWSwLk54
O7u0SkmcjZP2S4P6GbFRkW1RSz8Q2rIOqehBot4gJzySOgIeZZ622JF3AW38OwFUae/goz7X1mB6
X0+ixzbUUpTW2oOoU8jCcbJ+f4lOQyqAsbA1RmFsh7FWcITS8igWEnwUthAWdKx3RRhm22nGJhaI
0dnZ9aDfjkn2SIfurFoXpwo78olkw3boCrBTNbfP2yJ16wHNtrGF7F5tWn3dF6F0neZrsZE7Jg03
7sPC5jGoWDDkMvCGEKudKqQwm7YdL5Eqx/dlwQr+vEaksXWhM2q91orkMSQ+9qQKgTR1pRHvWOLX
PSW7yQas74lF72pdjyf4QhsyWJ76yrjCh4vS0v7KAPeusNPTdNYifJnspe0UAaopcneXDLoB34oH
zmCJ2/XoMhAiZZbHrBMrYArRG55RejbD/t6uCdx+ieiewND22EiH66Qd8h3ZBL3fTeZ0hQcz2dDJ
mk6KimWdivLWKda3aegQ0HEC0H6vl/s+djmaRo/YcHnCmvipCvlpiG48tGuB8VwuwCy+hX38WCd8
msBJ5NZ0YG/9ulL7SSeWYCgGEbq+ZtgwbH9bgRNA1/atCDXftgfofjbD8OhEquEQpOjDK4EPATUV
TTpkbdQF51YHh9qubxMV7e0UFkKu2FcXJSmd0mSDKwrZWr3DFnodjnRrQg5QNGHa46DTv5pOp5EF
rn1h5nZtVvCGhVPtaoBfkRZ+Ei1YQSM7QigVems9OGTBE4Er3QZ994kV1pRL2TBdmNoK6YIa4hUB
Cygt/ONxraHHmJt3/e7NRF3IgqefYAVtm2esVC1s7Nmhv8uUkf2LninVW4ZENQaduhmdGetfldK/
qRa57TXjN7lWPxwULd1A0kDdAFKS5DDO+q9bXWWFIq+NUR5ZBsXAkBGxQM8A8RwW84pVjA3u6ddf
rP3D2Z5L2gJ+JA0IDvfvW79GL8GTBBn0tPWT4stRx66ixJQRPKG2Xe56xz6uE1Z3+Lr7IXAu1rLO
WFhYc5eglK6jEBcLe99au+gjpcj6LTdsyhiSHiGHpX7Oszwg1pwRUYAvbI5LI3uqq+ZWVlQcBEUc
zEQeJkZP+NkRhsUxAQHr9mtEcbYdOnUwFCXcWvZpCzt4TjHc6it1grDsLaYDzJcDCs0aTe32ubYa
mgppNuxieqU3o8Y+AcdfOxIAqDnzmxfVwk9yoLmdEtHelK7BWK8d8R67IXvjErCdvuxQnH3CkQUa
nLi2nTAApbxExioGRp1dlbMn4vCfoCPN2lpgtT5HhkcIJSlQWXGQcX2bWgvGObsNTsLEXO6fv75/
1F4j6pL/v++TvW6T/dd5/LUpW8qKX/7U/nu5Spza9z/0/2DLbZ22/fuOGyK+h65sYjCz+z4uvj+8
7rutf/Wl7SYEWi26bi6J9Iz55Tpeeum6mR8sojbXeGrazWij107Bn003+eH5p/kj23DXYQl/9Ofo
X+P3WQ49MpezLJ06wvr+SdftOevs79M5r0eaxGfSErRRfxEO+W7NBZGJbaWYN0MRMEjUiNGTe6y8
FaOpPC5uTeSEjV9NrjyHZAN9YurrYtrnheia86xCRkohSLw2yv+RZhgUUih+AQOb26K1Wyq9UZ9g
YLla/zUuqQHM2tSzU6VHbeUtUi+5l4mo77eIXihjizmwNq4+qm6XxFFzGajUNTzToEluB8XSb7VM
VNEuULhT1TprO+tRINee6vNxPH71bf6kL/h2zeKDoZ9Fn9RFTPfct3jXJgkVx6rKdDwbvN6JHpf9
rRB9fjzBp0BKqok9JnGTuI28DL/8+spvG1EvV2YciTKO1Zlv+F1XLRK9krwvrE/YC7AIdxfzJKrf
xCY7b3t3/F7GQfTtuDOBGyP7ePf+8G3OTW+lm5a+YIhyFkU4FXlqHnQNYq88xuKGzMruzDo9aIM+
HKANRTGKIq3vWQ9HKKAxmlRqttybmwpoVLuEDYcZsI9eitm89bQslPQd4T5Uu3xWne2JguwRLxpb
1cHXqO1Pghi63uuajkABiqFJQV00CZOFa0CwTBfK3reHWV0jFFDf5gqmva9H9NfGjykFF4x8Md01
tR1dpFFkPDXlZOGop7JdgEoY+gMClDKFnDsPjWeIOeA441AnzHNdPaJ/y75XxYBbXqccqU9yvFoJ
vY8JfEtDazc5nyyIeb4qc5S3bTPQ6KyVXt/Bs1P1Fvlc892xAKkRWEDM3hZ2ZFyjym5tCKthRsJf
OfeWDogga+dDwN1+5YYgo1jNyyHZqsoQt0Y7BAFc8xXBH4dD+T3vjWU6oh6errEaQuLIK9eoVzRT
pHF4FjE9Q70KKCADos02I3Ka0redRsyo/crQAI0SelNg1o/KDLN5PUDitf71DfpulEuzm0nYqrtE
5OnSQHyvkNCIB8Ua/Y2zV3liglk4MDU3K7J2CToYs8Fb6qrGgKCXd2NE3ztz5EVeZLo/1oyzMxGF
L+O7f7RD/fe2n8vqe3HdNd+/d0yA/j/Yg/iMX303P+jQzh96lGgPRfxm93n+S39OfdCX4UNHPsGs
m34vQrO/9h+N+Y3OVrKmYCobBcTamf1zAwKJLpGXwS9inACBntHOXxsQTHSGROuUYd2ceIqMf7L/
vF3rIMKxN7qondAdI0k2jHdrnWF1UJL7+D524PdmNpiKfsKP/+oz+clS/nap+/Mi5G47ROviVXo/
GlE5QTwEU9+PThodFXCGvTbWtBO9Yur/6yv99O24Fm+GjZ1xEh/269o6NAmDcWf3TsxImzwxusPH
bqYV6v/TyxhCSdNZVW2Aotc08deX6UdziNvSvB31WujbQs/7m8nEnvCbz23d+/+uDdbPjcsQ67Gq
n0304e+/HES/jlPL2yXKaWaagfwSOnjrgh67In2pboeeFhNinmXHcs6q37zJtxvwy9VNaeimBPbB
cWD9Vl8NSlLuwr5R+q3MkQtK6BUkbeozfiNTA3WZ5gYuBSvBlBPXvxlev5/RPL9xdkaFMJPnhofm
7aXLGLt4Ixbs9WGXwMZTeB71oRXtTrFhEX3TiDDckESUPnQYeAzfmgKbCAhYfPa2dKqx+s199eMd
zGgPoT+xqrZjkFz79gVZMyFsS2XcYvkmyLQObzDWh5sU3N4/vhCTEpQprOncXITWvb3QqGnRbEfy
lmNtvQt6s97CFgw37hSGv6mvSNvld725vegNO/xn00F5aFHlvr0WrWiNGzi6WGYZZsjW4gg4Dj5s
UsUAFl/HEBwEqPnUVRjgh+DEdkMce7rFgQjirwXiNgFjGXktBGwCdsogeQxsfM/YZiz5kJNVX0Aa
70gbWoiSgqC0TGm5HWQ9LN4wc3DD1xMjetT0EIMm2Vs6GhzauIDjFrKsYI634ivqXTVtk2GhSQPm
SxqeFGkIo1uFzFSLWtraXmO43J4GUjCAMJf+LF6WedrlZKfEu7HuqwcHIZs6bzU3wNxOMtEXaVG+
4LIk6fDISEKSvlSSIPZI6X5dVrVF1wK+DIfPxSJDGFS5UNfWgHp1Yxiqq7b4cygvcnqT8LnJAfyG
fYFEz0xHe3aM9au5gQ6ju/inGnDvNCw1+IQxfaIqqCJ9s2hWCd2uMSnz0eTER2EYKtBdfTBPJDeS
uHZjw/6Wp0thwRDP03i4jyj/vjXYoWh2NrGRAteGax88iMbRQ06jVvARM5fWXQy9FfQbRDqOFW2E
NWl8sHtdS6L6pO4MGenXyknoHfoWG492KHurtTjdBxPjHiaCgIqX9Cqg5QUSYZNrWQbvnEZNhzVy
O1dVQ+dYVWPRapzTQWE2dxVqOo72xqIqJz/SsQCQgMojivoOt7cWWNeY7ckh3btN3cybTvZph8hJ
NGkNlV7htVsAr5sR1T6ODALMMGbks710Dr3kEPUdZnG8s0LfhXbMl7/RhBmtjnORlplU9FEwCH4J
BnrVyouV3VfAieoyBNcxVJZDUkCPUqa7yWCwUg1BBW2emKYQC5YYuoVAgOqJbNezQYbwrq5MI05Q
B6Wykk2yt7BXjzmyWUA+xac2ahKo2iRHcnYBEVHhxFWSSxGqE4cE4cL9gi7Rd7WeA2nUCYcdhsDS
962Mm6dxLsfFM2XjnLvRCqQkKcn5IpshJJZIWdn3BDRE+ARvv1cX4KGwTzd1UNmXRjhol51DkvV+
6sHIf54deOob4eB52DMWyJeroDSHA/uEGV4SOKVhgKyLBHNyl9h7cEYOEJ1OLYIPA7AioSGGqPp9
tFiOPAOpFllH8eg2gzcSUrZ4wEBEciqKqL61UkOvCSdoIcZCxRH4f8F3GXumjbBtIRaCXbZCOS2w
TSzBj4JFm+iVDGEf3o5BMjS7zi0C7dOMflTeiIV6mySsXmQ7Z+a0fpvMqSlvUFXq0Tc372qLBL1a
Dsz88lkwpTH73Ci/4GV2tcSbeNzdc5Ba1toi7xK3Ox/cLs9wdurdGDhYwpsh+ZSi58v6TdygbKND
hQEn9cCfLT1rDWeyM60NF77LCNBQIRLrim5gVmwdS+sdrxgZobWmleLSJJqUya1p1LMntEERAJ+0
GOxx/xhrzNkSQY9psoPAUn3VNwSMQK5v0dcxbYDcosyAA2pixuKpr/lAd+shAqxuO6hsIyvbmn3o
JHTa83GIznNWFhA0CFXiPUxjdlvCGvN0b0xWcAiJlv5Mmx+WP5lpPC6xVgY6H5HFNtSGELC9Qg3D
TRDa5if88gQtKtS7oY+NuRl3eAhja4fHfXWiF3RTNgHY/fOwtOO7diZvjmU+ma6Eiky5wUCWAtho
A23cxEU46IR5mfnlKBVLu8Cqgz/ICO8ddF5E06VacKcbpBf3mT5QBY0Mj+zISL5HahnXbm/c3ltw
BM6rGjAXROIYxDIEOj3ajroz34HhyBu/BmVebSLZQjW3Rene0/cgiaIA6Hy6zCFS7xAW+xe66dEd
fvr8MaI3N7J/FPVjl5cMyyyIHscVXqiVE2WMF8Uklvw4hRfUQ+TKQbuCv40fTdTkBwbn2SdCVuVD
gsLY2gzODDxr6Or4WnCuuo8moT71ujZ+ZYWCRVLSo3d8tjkRb+hsGmS2DY61o10IQ0dbIvtpCifU
FAuX6b2pHiUOTp0AbXAXEBu9uev1j4uh0AQO3ep7qCzaMBuUGaDKnDEQ2o43zfAoX9wUHg8PB/m/
djdDO2EkzOPXG7Pyi0SiFAboN16AkhpPF4rT+Wo2lfHUo5cnO3oYrzO+gdGnN0AnuUh7Izvn0Qku
4F8atY/vIVg2hbsAqJZaTSKq4zTYmRd2SWYgMH6/QppeQdnDBMEck3/4dU5sEmk6N4LZbc8aayH2
CUABzWyWF1kb2Niil7F6bEYTKXUkBr4XFHb5g+U0oPRKizJjJ2eS/jxid4hM4oCcViSRVWOw56eb
DE5fO6Swi0uytVNzgEZKaneyq7UgveWRKcR+RLUdbQzIkxjFsm5MN7ZRmR9lG0/L7rm2/89Z9n9w
0nt1zPnhLHv2/fEB5vTrNurz33g5yErrAyLmv86u0vyAl5UzCbJmICvrIfSvo6tUHwA26oaOLo0o
CSrLfx1dpfyAy4X2qeL0tFa4/8g2Jcy3wiK8IYxQqMddufq6aJ2u56dXJ5QGl2IZ5qmAYh6T9pYM
afgtc+UQbaBpp+e6RiixnXTpXW6X816z5ybB3JNq9/RrLCLt0VV865NYkJUB+ONTzA7ySMMTQ2mD
dusqCMDMYW7UggWTdl7chynTdoQ7E3KMVEvPODalBHo1ULm9vIW1BMdsISwnaQaHfKQqIUs0tMRY
YR8Jxqesds1PReYmN8lQpDcBCb8DwiPNvi7tUbFDDao6y/N+vMmxRV5oA+kGfjLE4VnfiM7aZU0W
RMDn+sAXAAkbdqZVlyEFHazObVwyJcw+vIjahbUUDJH1qR+AAPkNlcu0B2lTVadigIgNunQuvKjP
cIU6JmAfryEW6y4k1zQbmzQhL6rE9UgZu605IsAny3Un3KjaRa9shKNOxtksz22LQoK8mQvYSWbE
fB5+3iYN0nkHQAU+Zd134c6Iyg7jVFcbiM0Myi+E+abwlAmfbdNOun4C6ayQOxgi0T1n6HD0imzA
6eX0TIKJfUXr4cnIYYsXYQEVhP9aPxRKq4keArxnbSKRjddDQmh925r6paTUZR3q55byEyISi1mH
0tiPZqEHe7sdMeq2AOEdJ0A/IkgJQZYDg67zarcYmRCWyFJCqpcrRfQcC42wsaXEaTXqfm3L6G7q
S6xQBRh3us/T6M4b5Vgl7BHQoUe96I2vGZSvvb64Qb2bmdk/5YZjfcMdnNQnaMcysUkLzfrO51Xn
flP3AILdek07tmc4TcbE/BmAeP7YzG2l7SyddG9cJUyfvIqjCnnSscL8BkKcoKowSZsDCQgUSgRj
SRIedSe40eVSP5F7oQpWcpuBemqm7Y2qlvw6s6nJIZYaHF0tWdUnzWLCAZlHE1T3Gv/zn9YgkvOV
ILAqpH8xnuqiuKze9gXXv/GymioE3/QRmPkginw2l/5rZTU+MAgCBaAsfKmMhlhz/5KC00uE8E07
SEe7qngA/15ZP2DrUZBeEIIr8xku8JcU/s/+HCr6f+vAowHwpjVgS2KB1o4lJhHBuJjX+HZlTbJ5
0jtrWmFYorRPhrwxr9hwa43hgRGSD5N0IcCZFRNOrCEeEkg2Q7pod23TNKhJE9aO2zpqsMIVrkWA
GRFovdGcxtx9d5K2XHQSTTKKfXtqyPDQs8ZJQaByWjvu6iSLTxoespARWCLUPlns4M42q+AK1WGa
b4w0JTJAM+eaTrch8m8kMab3KRsBcKC0bcI9BN3lOq6p2/24YbjAA5dWA4YmiqpNNo3xQdayuwJ7
h9PJhKox7XWzAYzDL6FkX+oROzj4jeYUPl9IVgzWSY7xod6Y+7ow1yCwOBkrRuZaTDTS7GIVgzFL
j6YpOzfwB9WE4W7KqXROpF67+iU4NK3Z56Zdh7s0KCI6C6GBitGywRNx+taafCBxdcK+dZmU3cLc
ZnT0mCUyqGfaWVYC4hlBSAfxvLIWPar8woaiuTXLpiIX2CYIEL/OlDAG6Oc+DZdrOynD9mZI9f/N
3nk0x41kW/ivvJg9OpDwuS1fNEUjUiK5Qciw4X3C/vr3oaR+Q5Y4ZOitZ1Y9HS3BVCLNved8R9jT
PirssPFgMkZQhM9R5Cq9vUFoF0LArDotjOWh7XWn6W8NLcsx1WcNqGPabSSwNWCTotbKqul2cmIj
aZcdD0XidNLkNYFQncnZkT4WOcsQcmrpbuhJNUB/BfbJBUk+Znle2nE2x6SnyRNs/QKj1eCGlXfd
j0zf6J5CiEm6rMlcClK+l7UVuziNCNoR+S25TmZyaTaqSbZuikSaEO0Y8qOTe1O4ElVrqIVXS98B
qwP2cGVGVM73lA8Kzg1+0sOFLvpKRrtx5jk0R7RDe8Q8xEfkQx3bhPxYRxQE6kqqDzj1dfPMQCFa
XBZHdATb4fxO5qzyiwFC1nXQgSFYCZMxt5hmBEWjpXgQVTB51zR8BrGCT0OxyplN//xCMUGZMwlA
HqkAiRkND64b98ACiHSYx+2RIuAciQIdtCiElE4Lxc0DUkDKHUHBxnawFUEUFrDDEKStByaot+vB
eDI0VQGFikjUXhRm14ItGowOpyLCtRna7wdlfSNk7d6i0Oyj3dDp5JtUkw8ccEFtoBb3wBH0bIsS
o7c3EWMdQBsh9e2eLlpo7H2Zdil492ay40t7ZA1lQYTX6TwQt1DkdC+dMEZVp0jqeoCS7KqrMXVU
ulWxSq0nhUqRo6NNaAGAKiU1jCQkKxb+1TR0vXlp8/F3h7AiLnRZ5MouvouYDAN8aKFzrVddjsGV
XLl12yUWhwAnqw8iqaoDvBtsbKIT3k01VS3RBQOw3YVVNNo5mVyoqPrChJQI1rm0ltUQiWJp24l+
YwR2KtY6pVZ75QXJgNtRT7Jg7U6EQrfeDBMj9w2El4j6aT2mdngTDGay5aoZejEMZJSUrLAjS6LK
iPl0WqsLN3QBor1rVYUF5X+OZ4v7tmi37J/Lb6BsR2zCfj9wStTnTQmbFHnGHgeIXs4YuXFGHyg7
XXdnzWwaYf8XFJuWVpF0NmF5NpE7JKgAdHcLD0V60Y1fG93UkzVh3dg48eqIYVOR/q4WNW46/E0S
zEaijd63YRKVhVSt0p9QbOliVc3J8Jz1Jf1LqqlnkKjRuFSIB5EYj7aZL9Q4oAv1m5C2aiF9A1RH
0lG7MpxQP6PNXDJwdDP720WbeF6r2rrvAFwSezplSFhhflf9J8ee55GRgv0zpXXXPovMRuBajv3y
jvQs6wA6uBrWTqeTHWH2bJ9Xg4jHg4N+NlkbrZ4VDH+n8bZIb6GHRfipb6Y6y0ggCZVD+q1ZNxF7
TULLLhLmvGs4Lom9NqecDyowuo4iCAKdR5KrBuYJqx1vqLgGVDHHwLdiUDFG612NGl8yva8U8v3C
0PXAo+jbSFUsS6mj41u5iclPUEMELtfUevGfc/jv5Rc2YwMUGMXktXANMuMWQtGQhfNeQzBbVj3k
XqTNNZXsUXOcmyiWkTI31PnYOCa6PVHiamL9CxViTZ1R552TMgxleMteenDuZG6JH4bO7n1N4k8D
Mj+dqcg6XYpyleY1+RC09CXHZ8cUP/IGhfjWqCUREMlQUpxZjPA51cYc0jnfQyM+BtQ9oPU+89po
lSfgmSsjD5NxQfIlfFytcnwTPwOV0fteWtDcCet0Fk2aVtd8Ajwrxk0aAEeKcxb5PDYiQkjHBmOD
cNOQTHfREEC7jo1AtudOOyUGQuSospO/kS64hE+EBA8vMk56IGyHtJtvEgy9PQfP5aSSuU762U2a
EfFpG7bBnRbaWnnQiWmvvsUNYtYCkCLMagJfbQJ+1mqqEw+yJtiEaJWlU0wmAWJQtPpeOWRLpKea
jhiNaXoJsT0GeNC7HA7o39dqXYQKMsKkp+N1wstLFtSRIuLmfUW0kt0R57TmkJd+5b8bP7udkrcA
/ijGGNSR73q9cw+kwns6xviqerBFbxBvNAwkGEw9IREL6m7yb62JpwBZWpsfkNVEnyQqjGtD+lDS
ER5PX6TyrSdutXuMtXrCuRGQkuXWUXmTOmF9ZyKOCPD5D0m7ySyWxwWVqFrNQ4yjW25EMMqysJAO
mvOoNxehRIy/aDh7s5UxCzJIbBkUnIMGAHjrPhumC7/pIfoJ8iJ3rKiqx0zbJRsnwslO4cxSZ8Dl
QYa7SOluNXuYa1joCC6gxtXFOvTs4jNoz/rQQVdFeD+V8a0Xl82PnrPXbZL4sN2FXopgPdKpBALs
V+z90EATV2TZEHe7HKPPhFrI3dMABEGS9qVwgA/BpdhAjS7ubQJmzrQ6qOuV0fTlDzVRlFxQYUWQ
HhQoenNKUd+ZYIHdDZZN6FY1EKq64NxTX4VumYdLOXUV9nZysIinkL5WLhlN/U7lfoQVRhA5N5ql
wYbTK/XvThUmeK+jvpa4oCQcPm8cYfxklZPfUasy8/MhC2J3Zj6w58nzQgGKdWqn2crQGzlq1p3z
qAssMQtKzU5+EfKBUiSWQI/Q1LQ1dT0lrHLORBCIDyVpsqvGVdm0SK2meyQENX4gSwFvRJuFI5Pe
5CQo4NnAoEvlINiigBaBWrbupEHC9VDgxlYWAba1+GAQsY6+okABNn/hqNG7n6/frxtQTvgnU7PC
R4+U20f+U0J0kqwYVWsu+kALCRBAeCN2RdAPIKoJBb8afDMkow7FPXqSeMCnEYKqvWzdohZbjd1g
tHXkxN68xNBKcHbY6rsh90nALprMWxdp7XubDGLJbe9bTbAdMZLoGjO2xRtDtT+Z6TKPW/u54JH0
T8Bu2hWyoiH/XFg4LiTRnlYkt10Wc45wpTHpt8LQhXtXNxZpHeR0NBd+kXYaCUeqvNHoRmQ8Xl9/
kRWgdJMwDC9oNuOk1czIRHxqNm24nnr8ZdUbZVoQkOPD9hoTPnlFZTWa7E3iVfKmnqR3FQCxhx8c
tsOtD7QPyKNZCsTFeDDRPbONJHPLKDKTmV2fc0h8lbFbqICErKyske0m6MrxsxekUXkOq1WE64wQ
jHThZM7sLijK4GtpetSLaM+NV6g/um/GQALFKslFG6/KDNjVz5byfwua//IoLf7nE/hd+Pw/26/Y
hF5pc+Y/80uaI5B5cs5G2wANArnfrK/4ZcgWzl9wIigrGjAbDNMy6Z3/cwo3IUbhnUAkb8yH7llF
/0sbyl+ou0itUfK4NtVJ2/4Tac4p+w4FBtAq6qhIQIQJJsOjyPqyvllyjCAVO70xhogjIMRr7ynn
JH5j4pKLFvRM/Ly8wnas5J3bycZfDk0l7zik9j+mMmUVpRgUn010ZXuWcS/9Yo4IqkG1xnKfNoX5
pfMjQ9+akM3Rk0TTbeHM52sd2kN4hqzM1S7oEejxrh/b6J6eTfVU4wLpthNjVm3s2m+qy0gj/Jv4
Mzq1yxprr4JLxHY2QaVCRkXlPcnII2eXMiZJFRG+IQ5rLR7YBT19J1taEVCdpQM6nXZO1zd0gkMf
jYUkN2np1VptLse2A7YwejL1sYfnNRzzyGNdxE2mE3JSeRaCBd3/3pCyhWnCSIj8mPAkBOsgp61C
44fmhhw9wJ2koVL5BL6QdZvGUdRn/QBrGm2shoxt4mepnKqui/O1lgzdXakr66CYd2FNV+yGcJR2
1owDl2zqartmG5OJiswEQWZKvDetcFxrdLVmgrrMviR4ohDkZRYwoDKZK5iy0qK1A+i6W2JmiMQa
UUmar0yzI1CHqrR7iDRmSIj8pQfIu/f1gdDJGObV2Ic2W1Y4h8NOSwtUjCglZhTWRJafCIlylBZb
KrJh6xHboVmwySSHIiarvey1Zk3zzegXXqa7wXL2AaWQaLTpTo3xqIvPsOYjlh8Sg/lThAKonaiJ
2VzUTgdmuCco4yLtY1q9ZEzQgE9KmfVrw8isg+4lzVlm65B2Kd6C64H4O3kAohQLfxKTPgPymX7h
fye1X2VFbNrvzWo/te7aImqar+2rXs385/49syHnMx3KgTZHFggRL2c2KtbgTQA98A9HzsM/M5vx
F3OWh6wdoAq6QJTt/zezQSj9R2+IHv6P5rXXtUVmNTSPAHjgvVD2ZlKbNXwvujbkmY6d8OOrQNcc
yGSNmtvPBhoVnz+0LgetvqceKLSfI+Y/FjXFiQ/+eF2k5FAuPAca45GO8+K6Wd4VVUcqA/OCNWNA
MaKFmWIC6S+cKHu2Uo4NfgToykweXvxCb+gf37q0YeI1MBCX69Jx+DlePjJH+yrtq/qqi8z6vA+d
tl0PuWltJFMAQmz008HlyLZ7nw4mmwpaZxS5+G8J3P7gTl63zI4vHyUfVWSU58hS54r0yzth8xs4
1hhe0diHlY/ozUhXTYofYNETckFJl1ZCvUqdXHyDZt/Mu17y7Ji40FMuA9MLz41YU5Q82BxV/49f
yKLgzIBl6y/pnr2+ORIOK9EZ2kEvKR0vusQf/w7jFmqGNbNRV1ZXZ/fjoMjXykeETGyl1YDVv2n9
DxB084VeK+MA8uGX4kcTVOkFH8LLt2SPnsWxKrgiuMj4RpBK8Y1sDYfkuCE6S0lm+wJx2r3WZFV8
1p04WL7/I82j4bero/ac3wDE7FNnQKZbjWM38hCTpfw5cgb1zTCNcBMoI9i+f6X5U/vtSt7cRWVs
SvYtr58Typ+wi0A7VIWdfvHDMLwxenn9/jXeehpbMgV5luvRMz753LvCDorANw+UXChbWMFwPwQU
eFWl1P37V3rraSDIEVroQfJ0j6jFFx94QuhVrJEGNvAR3VaNU11x0rE+GBpvPY7HjhHsCvAyeiSv
X1lLJ81o0ugqF3Ks2IOF2V63KuuWov34Ae3vreeZMV0k7WCCkaffatGjDPGj5IpApRaDXBgQMx+0
7fDBcHvzMi40EpfzIs908tWBfxhdlURXrkymuzgrg4smwqPx/m/zu6SXpYXZxDT5uBG2z9vwl58U
iXdBiWrtqoh0Q6ORSll3k/tAJwA6EpRlZuoTFRRbX+WDMpiJYy/zljUWDXfr+ILP/P37eeOhZxYe
7kud5cg6fegpdQo7S71Do/J6T7dE33Xs+NbvX2R+ppPPi6kW1AyBUSCVTslGJbo0/FziYGDAWcQt
acltkX8hgPQb5eUPXKVvPBANQ5p/HEDQWOgnUxY+oUxKezj0fkLMJ0LSlW4G9kfLx/y3nDwRcg+G
CYd7R9jiZPTHZE5KPTUOcuyMMyqi6B5qgr8YXMWysiAdVT6IVKMYISYafmw/2A4W89qKzYup1fy9
EaX+XVWp+BOqW/aaNB+GmZUd39qtzD+Y3eabOb1ZGGgYAQwqXtI4UelbrVFWhmEcHKPWrqaiK7/R
6UNcPFok2IyBjlRVt2/f/8nfWDlYNv59TeP1MFehPgBftw6xwT1hKI6JAR6G7Lz0ED2HZklGVp4q
F4O3nY4XaDS0m/dv4K1x4JpADaiJkJd4auhoSyqATCoH11dIibW6uRyIo/hgsJ0YkI7bCD4bTswA
rwwkPvNdvJhqwdxVAnfUgX2GiUd6KIwWHoEASmsQhPiAAjh85MRjP44J2w0qlVbekFjp5bSvdI0A
YjN1tEWrZcQZv//8R1PE6a8+m9eZnJ15I3vyIUzCiEsKMgfGsbfy6yK8RXOYfivmDtWEv/4z9Bvi
h5vGBOia2cMDgkqxDqMu4p+kvO4sLSdTmzZA3trTRZpRI/3gFt9YQ3B62hJ0NBtw6/RczwFL9o3U
D20UizM3LAzAgEnXnTVdY+0Ke4g+tXVTPIJjK87ruo++UKnFBh9VzSiwb7nG2glqYz/Q9j7LyQK7
e//+3hpCmGdQALBVpv1/Moadsm10DhAHSOr5tsklgqbEaz/wP74xNwL0hzeAiYZf63QdDUZBdEnQ
HbJSdPBQlBXeU2mgEjz5ytrk8ZDt33+qt1YgqjLYBdjZUbs5GjJfjNly6nphieYw6K06F4ozdZPE
1lPt9MZ1X+cDOaEiRFY86jBnrEgMO7C1HV0Q9BEfDNK3Hp7DDB8QTmJBmef151NUTgEzqT7YQ6iv
7aS/d43hQhg5OYaG/sEi9Na3Omvk2N6ZRwjYPBpfPLfKDdNPwuaQ1QbpSh7JLWHd1FvfR0MADgEG
Ue4nRDt7lB36kZInfdgCE8coEQ6RGheu87rWP/g13lhIuCnOZDZwSvzXJ3MzLUO6HFp9wJ9YLjND
PJZT+9x7+je/gGk0TdvGNT9avN4Y17OixWRxlBTWjgPkxYtISpqJdlEezB54i1ZCDPRjy15aQqoF
xWfeA9LVdjQu8Bh/0eY51GxvCKkiFKp4Cub9yPsj8s37mScpPgIQjvNx++UPM5keCUsqP0gaqnsG
PL2B0XY/eOrfL0KcCKw5NvjsDvAZvr6Ilgd1XxfVISPP4D7So+ZOhIXzx08i8SzBlmC+mOF95uuL
FNjtssruD1lr1d9NKMNn1JDKD57k91mTi3jY7ogDwRF31Cy9+PlyDWG67fQHpffGp1JNau9PE+KD
uCO27oMP9LiReb2KcGBBn0UtxJr9USfjc0R119O7PVBozcE+eeR4hPQ+PpvNMEzrHnrL0iC87V73
s3Y/cKr5OgojPLOgwwhjnKoVZhpAUnh2ij0qCB83kxoTfNtmU34EZ/ytvMA7BySCgZSCChP36XSS
2LY/mr6ByJvuzUL1rZhQnHbROfBNtP5eY9PTMKUEm+T0Ddgo2kTjLsDBmP7hQJjvhIMEnxl8RbJ+
T0ZbQrPZCyt6+ImLq9sGCzLptKve/25OBwIXoThPUILFlEaJ6+TAMnpeoCE/O/Q5CeaYlPpLdDML
Crvx4f0L/bZkHK80n4vZ4sBFPQXiUKVCvSCrA5ITK90Sc+CeIXUyNxHyr4U+Ou6WEPIbVEshEby9
9qxkJc8M5eiPH9zI/AG9HI4nNyJPFozIBUVgFOoQWU1zybKSX1dG317rxHCjyXPWFdGH9ylEJbIE
JshI5LKO3iB2Ltq7lFRTjZSy929pfsnv3dHJB4KVCpCUXx+mXsP0w2T7w0+b9Kbv6fL5iQscWVj2
OklCbDRl9aez2vw+DED4swtaALI+2aK0gB7byG4OboZ428PWtowaO/tgwnnrEeepBkCDjbRSd17P
av5kWcU0VYeA1PAVvfF8y2qe01oQGy8rwodqCMrtQPd+24SR/sHFf1u250eEH8fM7c61Bu/kJ0/h
XBFoXiFq9lCdD71hXGTNOH3yQjfbgy3ExUR3BFSVFDT0K+K9o8UYmcGz3eW1u3TCHoMm+gwhP/j8
3rwzmMR84xyeaU2dHAIBBSpbpA1nnECeTx19WLQ5lgPfL9YeOumj7g71cafl5ddBOtmqjTx94/nx
LXmN7UWRldXX98fib7P1/K7gm+IBmEka/O/1L6U6AtIcUx1UN2qEqhdh8yiixvVQd1gumZa57C+L
amyq9UD9CGcV6bdi5YqgnVtPYX+llZEs6Ot4KH00v223RKabAwANXXRnKB+T5w/ueP48Tj8fpmwm
S6ZJdkEncxiLCmlORXbo3DyY1iYQ45D0jskTq6jH84DcSmnUP4ImrAhE1tV1awfusznhFFvwk2bO
6v0bOt0mzG9wPtEBArB17zfHNW65IXC68oA4c4qWZav3W0ekbffR2HnruaWLwJkFi13JbA55ueeB
RJHHRjQ/t5mjdKiy+lsCQU6sg2rQ9nlVmHiDUQ5Vy4lw7QwKX2YfnNQFTaWbyR+XWnls1NQcF+EO
W/NB9vXteKoOoFzJy8Yb5UWQW+lNJ8LwKcKc9OmPXzBZbBgaKbRysDqdwV2amgkELuSk7rCHiOCs
B6IvPyhOzrd7MqooTcLwtpgWqbPNy8iLLZLLbp22q3dZ1q21w8rdrsjdMW+SpESEQqZEunv/oX6f
IeFQzCQkNmYGm9iT6+VAN7O67y6byGge9LokuXZC4AMU32stsJV6UFvn1Cwrkq1FP/7IO199yA8/
zsOvnppdGt2qmRUAMYAOy+un5oQVDm1bXppYDuk59vRS1yZdiocBSceDbar+nuM4vYwwSdXw3bKw
Zi81qlDN9UChC9BtgBjyMs58Hy+mdNHITX4o231GYAcGTEE4wxdda9zpbKxS/QzjIE432SpealvP
MevQSgNS4h01HMRUJp+q2K6+0zyAskNnFMBbM3mkErhTTt6wNWhhtybJVvvW5m1y00UYoTHOldV3
1ejBAdnW+N12kPPAC00RHPdR6u6G0R7NPW6noblUTjf0m6q1s++jMsnjVJRO41VhZu1tY8EPXcqU
M8cCL4rfbuj4tujcDCP5gZOPPnPfCe22mroCj5IBZGihs53ZJ3HRP5Y5STuryIAwsyySBFm725nm
EypVowRtadMeC6bJu4ois0DbqUy8kIWu5+3ZEMuWINPBbNFZ0esCVBSHNOLHyskoCw2CWWwrSxTI
awh7BXo9hUcx+q4SHVskFtbOWuEXYC3hEDrmGzPxNGjVsvYywNBFItELdLgDkTt5LqHEOWuxtoQ+
1Xq7Gi+Ffenjd8eBJYdogJygyeFaglvcmj7suIW0atXuGtMXf+dxpPcrZRIzRK87ySecM2gTFmRd
Y+wCHpEFC9iO0yEzqyRfsp2rEjiTgMBWtYOSbmUlaWETRMOnea/iPiVn1rKSO6Oz63YluwbxbkHo
X0qqFUdRhNYOGAcTDDF5FQ2/zmqSQX2jkW0HX9ZJjRunJ5/+YDWDy+QHvCtbZnZDTPXUtG29m5WF
II/gdS/pqcN31cIs95exoWheamkbzjqpSDw3GpVfH4jTEyq5dDrLdRJtt7jg6++FkzQTxOwxz5Zi
clUK4VMVnwh3BgA2ggOwFsqMhcBFK+zrURnJbTBVjCB9TCtkftXMJfTl4MKIrmURrGikMqrRMTaE
ZCEIRFVlm/GwKcYclUVWm5gZcHMYNd76cab49wL9cyD9rF6HmWaZF0baxii/yKD5aimiXjYI7TDC
OeNwZ45ovDcWzs9uQ3cMnSk5e8mdPjQeSyIBKeGSc2x33fl9d4M9xUC5wJqfraE5Gj8c1K9iUyOO
WGeE+py7tlluERbylfZdg9TNDM29b/PXLKvZM9ATD3jvuKOAh4pW7y6qcnGBQ0Y7r5wgBN7bCHz4
aP9aZw+LV92pVkZXg/Ib5GXEu/aLioLSZ6V75AsbsETTdTv1FnMIkMpgVWKlbX+uov9VdP0LvsqL
Feg3i+r5cz6yN3w+xn7MHqzjf//LUiX+YotOYh/ld+pJbJL+0TxgO5UAk6hn0nyCCzQvU78kD/Zf
qLvoh1MU5CA5J2/8n+RBg7NkEW/KvyeVynI5B/yRmmteC/+9SjFg5oIv6H8WKsFm67TX6odYhcD2
fbNRSwrjAak7rlWcjWhwH+SQlvat9FWv7bF9xs9yHE0s/RKjDmpHze9XIO8nTW51127hwSS+UOPj
i1d5/fNWXgZxvD5W/7xBlBFH5A5ZI6clOSAaBVyz9scQYtxZm5pvZUt6ZEiVBJg594PmzOsNJ+d3
NlsGXJb5jMOeZY41eblV6fDJ1scInygQwQp6e/q5BD1z8/4zvXUVeqfQ9Ty22UBYXl8lBOWJnDUH
PTtWvLUsRmKRu90HdYLXxcyfzzLjulDIAGvyTomuZIHLwDXIGihFRsx62esHOYTtLnfs4DwJNbnG
r/WMGnb84PFe/2S/LoxWgnYqMh9KVa8fr6pYbXoL4sLYB+l2FGO/r1kGNmKsq+X7b/L11vLXpSiF
kVIDjYr2+utLTfmA/W8CUWxjzgFwMikCj6qvYFf/xgjyZxgkrgZQh2+b1D2KLngkT0aHzKJUxDo2
G+BHX1D/62vPap5HR0wfPNZ82//+Ko8X4txDR1PMIksK5K8fK9bRuVtVGLGcC06OMfktudVba8Tf
PXu3Pj+XtT9+wLf6bVTi79Q5p86nINorcp4qXmzTfQs945ACWEh60g3XU1+2f6P+Rcr+/m/25nVo
B4MOoy+Mruv1dVgCqdjGXIfY4uIBfhjBkFEZf3v/Kicdt+M7xGc9683QlPF/Ty5jx/FoYFsJYSip
lmXfgMEtO2sbBcldWVuX7DJWaWxtGzamVVXvGC67xOn2ZBBfjujbId4XB9OZrt+/r7eenmghg3qx
Tt34iL968Za7yM6LENjTIp7sfC/seCRjBfzF+1f57RPktyTPCac5T24yVF+/Y33CFtBZvOOsBxi1
0EUxWAu7QToOXmpMfi39/1HF9ttnOF8O3/nMdGU5OTXmWtJPNJwV4UKLA23TW96T6LzzxrPPApQ8
H8zRb1+MSCMaNZiRT1upNvnW+Nm4WG9l+S6bdHUjosJysJWh1PONqvpoKP3+ORp8hQLJC/UcOmQn
371vD3HdCz7HDlfNAVrOQyO8M4kUBj+LA2hky7Euwgk/NAYEZ+pyJpVNt6uqZao0kiQC7pZC8OdQ
K+o//pqQWdF9oGWFwAKO9utfGlUhbQIP72UbtMaCW9KXhpmN+z8dT1yF5hS5baxatMZeXwXBT0il
xg0hGekOvPkyDIZVF6d+vw3IBPiwmMcG52QC5HpoOfh5mQ148a+vZyIxxtEcwKTR6yY76zrHoWBM
8eVv8mesfkGOS/AAVSqOl4gJAm9dmR6n4TC2OA755NK+//i/f7QIBqhdsOHS5zrGPCRffLSqJTAj
I3gC5plsm13fTe3A2Zfz5//j13x5oZP1DAdyaPcYC0HIxemOsJxwLUT90exw0pqZ50aexyPdGUUa
6ifrZNDgNa+KKub1Bpru3yJEaMHySj/8u85NmhbKN53P/RCTVq6MqB/3kHVq6FltAkX2/Tf7+0TF
ndACxiwDVRmF5es3S7aPO0aK6TBxNQJVmRo3WUAkvcQzu3v/UtgkTkfVvCDw81FX45r8n9cX0xuT
8rWJCCgP+qbapaJD/GSRHgxav88Dfa4JyzvDGjIwXkWDHsYYUASwUFHm/SF84d1HmZ+TA4ZYo1MU
E8oCpt+i0EC+fGOrX+Xf6zBoCe+py9ZHwB+G1GvZegUlqvOp8h9VObaoK7IcAfuQU9Igi8EYYCn3
0JWWbZ2O+m04RKxBlCuaOlsEavKJ4alLgEpEFfSJthKjPcFELPTpEJYDtLA25p6g0XWzCcFoK7Xu
Bkd1q74ezG0GWlCjdhpHPwItkIoeoBYANixo8BIXm6mQW1BJsm3k7IJQGfSEhWGOBG7At/brldIH
lW1rCTjpjE/efmJvZGYXSZ3WxjZzSMRdmBXKUxqSZteTSzGkbtguww7TLb61MIiM3r+smxL68U2o
dWMtz3XgdHX8GJcczCEMpmEC5rALs05aO+Ak1KKQA+BFIjdHC+p27xa++mpV0BGQr0U37hGZ0DRZ
AUCrnlEKVWSRvpvMhIVEJlWw1eNSd8lkgsHQqSz7UddaCcfvCGloMC9ky6735TXARf8xOgIdQAVg
ICOcC9CDcYQ+iCMAwjvCIKIjGMI6QiJwpEaPneboNShE9lMhNafRpKrAlrB+0DlmN4s4SOFOmKk3
uSuP1waRopOAEIlesaozvw9yqBWur1nXAaYS94yaMx6r9Oi3asshdlYx0XbbaUwJ+6a3MZYUK83g
a5XQb8GO5mPjLY5WLujR2LqIzhk/WzYuWjJXZuNXO/jWLsA462PVPHrDxNEoVoMH1Rfl0UDWgojB
Gjz7ysKjxQzIt3dFQJW8oeI42Jvppx+tp5XcrOqfTjX3aFuLf3rYyCqZHW3x0d7m//S6ZbPvLWhn
C1x+dMMdjXGj6dQXzdEux9YI61xuToN+2x8tdZnZhnJb/vTaAbfo8s/D0YN3tOMl3uDUa8/I4atz
KCVJ5YwmmJZ753nnNFq0j1m1oj2Hm9zZZVAD0mUPRyjbDrGnX7tEHn/rRazCy2LAqLrKu5SKYaIh
tAxFk4Kp4LyAobXI6cqwClQplb+JerE99j6eh7EJn+0x9WGKhM0g12nOcWsxgKDQV7ERQ4ogKXOC
VCY7E+8dFB1/lXRlbi+lAdBiEyJnIRca3FG0cAJv/itpIkNRozOOd7YSyueDGyBlUOUbkp3jKcPC
ZupNF7E2YOCs0FCG4DukDXR/ks0Vx7pCrku3mhAaFDVA1MoVDAgKtemFAynDJ2EqQNnslynMkCan
rMg5M8JZTHL7aCydgagP4JBq+irkZH9JR2H16yHs0n0UmESfdXkZw8XTtfIx7IkueUymamq+wDpN
Q3yYfvK9IpGTr2CqHWPrEMclz4u6sM0z7EKlu8bjkdWbGhxRDBotM5+osadiU+Ecprwgh0pbAaCM
v4f4p7ptBtNiZ3AAIUIzroOYxyGQa8FbQv/U1HEFdVavXKhK1FicBS7VbFxyPhnDhReTqLsssQof
GlFYD6kkLxDEho9hvWlhKwYVfCQ8FSJ7SCQkAJzmRgmLy8yZJai6NeG67TFXLZKZMrvUVJGpbUFN
9zZo89RZpo6Z2Ih/yhgkUx8XQB3HIEzPEUxW4yfliMQQ5E6qytoaRpiXJX9FWItNkyAjXbcE0FGG
7IfoSpto7S1nK+eUfO4d/LbJjv0/+9l1FbV1OWNt0fYo9ezGgBAfs7C0VbUQXS3I+AKqhYG0nVl+
10MXGHutmYqnPiBEZAnYPY9XLkz+5CwsbCtnxsEOvs4JVyDgrMaRA4uwNrPeAS1huX1gbaVBqHP1
c5v43xLgv2aRxX82dW7Dr/nXlxXA+T//WQAUf0FNosSnz7JCjzYmm5Jfdk7zL/K3OTmht7PgGh1r
W/+YnvhjtI0cyic0ivAn8Kd+2TnnAuC8b6NWxd/GRuaPbE8cPF9tihBmz1hngOu0fblT0HmvN0Uo
oro0lF/ZyngkcJU6wlh0gGSLCTPS7uvK0OjwSyDIA7AFH06ojmZ4lJUdQEkoyn0WmjaNi8qNR5Tx
uvloJCind3WIwfBMUJvRlnHo0FZtxypRK3hghXntI8xCWapNEgRLFre45k0Vxfl5Ew8DRngKYxF7
4CTpzv3OSElvcFq1isICHV4rS/42OraxvmctkN0ZknI+Av6NutM4Dd2EsCfUqlH6s+EQrX6hgboU
S78awpj1Q1VYIM1WX5CE4apzUHBlspvisrG/puM06gdmOqPcebLj6AYPNyshgJhtQW9DdH97te5W
ayxSnb4vYjKvdq3Pi1m5Bbot5PSdp+0cP7G3BQGO3cqVtbUt3a5r1+wEFHM5jIxmFzchsRF2mpYG
5bk2QqsSdM4FjloTtmzn28+EQWoopXLHoJtijmSCy5iqvqtP9r3XZGwGp0aUZ4VDhjvtoU4WOwId
B30No6J6IsYs+6rHRpcuYbU7HNI02S7sYMxu5dRP9QIEKJCpMbSSe1os8TNcVuohGuywy1L3shvX
LVusnigV0kWk22F9MUyBVm0CwlieW8xXGiHmjnYPlyJEAwxxolnKXieRmXws196GhAraSwCDNRxs
kQhcFYDn1o6y1Dcrtnx9SZPF/aRTbw4WemT4rAfBQPS5LIyO4pObuf6uGymrL8zMUyvbanKLg7RV
Q1Y1wckQlluqpSG15HEkc/GpdOlf4jBV2PppKTFLkxsCtU8PMcVmeJYKIAmy27CH6Pf+EPfjyvxf
9s5kyXEs266/InsTjVCGvjGTJgQbp5P0PrybwMI79N0FLrrv0h/ox7TAyHoVzogKV2qqZ2VWlpGR
7iDRXJx7zt5rF5YplzHYu0vdEpPig1OKVNJIkmTXp5StIN2jmPzBysSGaneIERYJy65YaJGi6Isa
wzAeegBQKFLTIo8xwsroapq85MXo4rjZhkwE3jsafZM/Wnr7QkJ88ShgJTYrhR5QvuzVY8hkVPe7
ivX8BSRkYqxaFu5rNXYTh8RmK34n7cVG1C4IvUN9MDCfy03QxmPnCgz+IszflJYcSF5MDviLOKOI
8A2jd745jPcJ2si6JgI55bblDliP9pBZTnZBav1UznqooUDRwciX8aBMbyvRWB0jJLtkPiWDnY0j
8cXoMe76YWoGj2oS9vbSbe1xYgAGPdzvW2F8qGoDV91VI0cu0smMzcWA6JWXqs2WdtOrsXiLvS7l
08FzhlZEOUW9nLat43dBE5KKYMvwgzGaApyy05MWigdxkNx7Tb0PAmtSNyGpK9G2j2E5+k1doim0
Q68bCSzWPR430YnbqSwlRu6o0d11ABkZO3prt+nKJISFPpsXv2VJQSUuzLQv16KtXGaOgspH1OXQ
MIIOlHMKoeIjCOOg85W00N8Cx0jS2xhm84fjxP1HVKvHob0C0JY8ZdLHZOFqj25qOo8WlUTpU4+5
9yIWnbXqVSd7Nq2kvLJLwcgQ+HDyESP6j9fBpHvfR7st4PTkBYZkXP3ewQ6D8N1ozArSQ6VzXmxu
ycxXDCs/z2sSPVcyhAwVKFwW4v1kuiUHs8La3QMJeZ4US7muGDqM93CW3Ucxgj9esi8EtVOAZ2Ti
T5SSQ3pdb/gt9NyYNEuMIGdFXtnihsG5PT5lXZDW5y4hOVtWjXkXWzpQMS1SbCF5TaXz4AS6m10Y
jlSdtZIF7kfawDLCmdBa0CDBxB20lFTzjZvG3oum9y44UjuiWPNQ/V5qlUcNKLykWCP2TvMFn4/E
TpORyILtVOmgti9NGmaj0l65QD0M37GmBkaT1ZKqk0owoUsVjP5wBlYb3SoTavvOKoeg9Lu2Di9j
RrCuT4aVuCmUbASFJmprWiW1UhIwnGXmdZXMwnp6sTohx+1Uu4vEagpniSQMqz3ADlziQa/nuZ9g
7L9LXAeiPjrt1MTXqYWgRYP+eN3LvbRdcE+izes3XgZOQYqtRRC5VSYgjKxQpA39OODYa4Sjo4SS
x6K2aNkLo+4eRWQvPZjZPNFGDCwz08ioe9RdpWaVdEylPRA920fbkPuz39K9pd7vyzwx/JRqGI9s
UZv3daDo1UomIAZ2vTl2D8j2jXn/rWbumnTpCEagWiWvdh+HpbaAkBNW+w7aiHY/MHvS/SEvY2vR
ZpExXVciSNQZmmLWy4z83ocpGYd+k0Ps7sMFU0yiKR2lD9iNqjDkwrRmWTaMMHpO8gg2Hklc+nXY
9uPH4KY5pLAIYk2AoqHOn8Mk089oZ8XyotDA5D8OfCzjLtMIyeOuoK+8LKxBjitsLsZ7XQ1Qt3vL
3mA2Ta5t9lAQFXqLBHuetX3+ULSwv2fEoLxrnJFFBXHGEO8Fa261hH3IlDxo3YB9mTYNH+Qw8tHN
pEeMg/Vgjh+jzPK2bjPzcLUiiB5Kdk8vDe0hFQAjNN6xuJodAdUZLQFxG0R1peyVSmPJy/AJPjJE
0BCkjF3oeMZSCxrZfyT6ND4Br7He8jAvi01fm/Y+xI6nLvKCfT4HFYH2o9n/X1X3f9AT/FPZffg+
lmyHfi68jz/x1+jd+gezOotwTXDQ2A1mhdaPyttkwD63QKme+X/62lTXfxXeigZuAOUjPwnZnrn4
T5X3/HdzHN4cF4Quz2SA+3dm7ydzjLnB7eB/IaeHLCU+90mvF05gpxvpMNMRvWiToCtmMYnStZUa
r9y4+Rftz5MeNodjjE7/HvM4Ww711O1vUltagaxYfBo4julIYgBxGuLHvfhvJ0GnreUfh7FoiCKn
REJqnjR0owwYmZIRpqTVnr1iBhKep/BCfHLtcanLsD8LmqZoQPYbGhHYMcLRgaicn26D34gGjkf5
aYB6/BTzSJjwKJuva54M/wSBuHKoehyVlShfEhgg12jmpiSgN0BO+lsDMWWhlBmQEBsaHOjEbp0o
OIpwFaXVVdFN00OCRswPppQfLDR4yUQPVTc15rybtiNHdirbdB83CtI1tcy0nQbDkHcr7yk38qBN
yUGYW4Ccg+ELpUz8OlLJEwdoWcCIytQ3VwQpKSGxw/GRp69JaZPP8Ob650mMV6ZXBRd2BZXZzaJy
DXqvv3MUHRod7a1l3rn55Gv02aL/Wkv+STCZb5J/v4Xfx++vUfteNO17/Jk2P//cjxXFY2nQmUkh
75oV5gy8/rmieP/AM8lWHvg2VdrMZvrPFQWo8myWR8mLD4m7cdZh/HMrT9Qa83aWJ2BhTMRN5++s
J0c9+b9ueofbCwshcovZ2c1sZ147f55SoY4GhShqe1HphFdIe2x2U2telimdvD5ooYBZmXERoQdc
IF4YVsSjOGyCkFaqqrTvIEq2S17n8jCVjblJIZXqbfiimPGjywbK163c9HPbuvRIIYF1SFuaJ4AI
pIVCKs9DavO4iczV2S85hDUlc1WaiaRfVQaafTZlAW1x3oofkUUqGGzHZjnkgH5jRU7fFN6WKA90
Z1sl8PFsx7KZ0lA4um5mXo41AkO3I2M8UaMrRQFH6KrgXlOtp6dvJPGmLYpo7ZENswnqxLkxa2n+
WFP+1lv27v/DvNujQOPfPze/ptwef+DHA6M4PDEYkDwbqYeNFtrlnvwnzIyXMAqQWeEyd8GAe//n
IzO/g7nAiIewugGG0XnO/npknLmdNhvgGOrMTA3wEycI8T8hxTWevZ/mzAzM59+EPASpPVI8HsHP
j0zSDqE08uigsDH5PoD8D30xt7LYWqZFv1Tj3LyytEYvGbe1hVzpvS6nrR0OybvlSsbsadvg2/5p
4fnN22vuuP3rOf7xoTRenTPaaFb/n4wp87yoVX3IDtM4Vrd5plhPVT9mHjkpQfoMp7H/5vUZEnJL
oo3986E/1yR/HZoxLCeDdqR16svMetJ4Oic50P1X1qFXWPs+Zweo6LF61Y5a9PL3DzfPehhCQycg
YO/z6TfywUA2nRxcMwNlGUUif03quHgOXOKsOnpAb38+3nw5T8/sz8ebb4ef5vjI720hOZ6mT9HK
TdVqayNo2LgJf/zzkVjvfz0SvAMLjAfKz1P1URSLqiTX66BkRXtIlDTfJtHYfaHY+t2NgkqCQguP
5Syl+vx1wLh6xKTFhxJ03WaEifYhmPftx6TJtnrQ1i+ytvulyGz9i29HN/vXb+fOTA+OytN7ch6b
dFILUE2HEFQRw5fCJCkj7cMbl9SGm2KQ3W7IvM7PU1u5CYgmcxb/D2fX0+Zb1GTufYqT8BxBPJfK
8dNSXVUiRoWCuP/vPwt4lFljZgQN7+j57P90s6SWi0W2jA74AaxXqaJa19BVXQ+4Bw96JdovhGG/
2jrZBpjoa4h0NDnoqa5JZ8Ns6VZ4SAYBYGGolMcy1uOrUjWCaxeS85NHevJmtA02qCgxmjUQg8zx
UQOO6z+f3t88JjyO8/94LBHBnlzeruhYNoPw0Erqz7bKzGUg0ZVLQlm/OMe/OdJcRuF8x3CP6X5+
jH46x1LQYssDZ99RaTwaA4YP4U1kWNVMEP78nX53ejETM3/hVTOrYk8uZ16zkjkQX3Cba3ctp/LZ
qVL3xdRGpdjifMp2E/9cMpOPkhnNm6ffLaWks58k9XTz5w/zmweX7SjfGYs2E5xTlgWWbauobG3P
M+TAZM4q87ma0mqV0+ADuRbm98z9820OifcLetNvFnj8wMyUeLEg1TvdnuVTlMzemX0Zpu6ZDkwB
pH7kLGlWiXWgFV/FeZ5sB48vFPotMP/mMRfFKe//TxfYMyNevfqerRpdthyqNioXx5tp9LUjH/vO
GPYicuVDTJrlmRIUxgMpHl/pE3+zXn36FCe3GSt94MzpeBSevNuDMao/mjGuN9IickDN9uBQECqX
XrVp2Yt/cef95lUAF0C1Zsgfq4h+skrbRRoB7Nf2LYGI52mrW2ca89v4iyXxN08SVNZ5KMiE68cs
8ecT3fYiUKtK2yuB2q4Cq9M3bZSrfgMQ5yvMzu8ORV9kxviQw0s99vmaOuGE56rT9l4xJcTUEQ2L
iYwxy9psY2PeA9hwA9Wm38b6qJOWB9naSpRaReoQ1PdjJMaDhZbnYgDeSfCjhc7ni5Pxu4cdvISO
IgbcEMPXk9vOLZpIMS3oJZUY9z2Q5pVWeNkVYjZ7w/QeuUuSeyQfTsG2kvCRac7X26B0qu2fH/Tf
FJhMV000yNS6vCtPhbgQWZWuVuxdhrtrH5CMCQrVlCvG/d515Iwkg9ollixtyK7Z6ERnDjSdjWOL
Ilgwh+u/KBh+8zhqsxZ6lrCDGQM78/nSGYPsS9y2u06U2TpACHxQpFm9OD3AfpK/uo1wHHmmJRii
oHXjXZJWd//FKfms7ZyXBPSHdN1wJbCdpiP1+TOQ+Dp5SG12ihE3B3qzzl4Pg+DCaghPEZZT3Hjx
EJ+RmuCdx3YRXo+Nni5H2x2/eC6PaM3P1eDxTMx4ECT2tPVOPogcjE6T5i7Im+QtsC3i/6xhq6WF
vZQdydX+mA/tJmxFfWbUavzhaaJ7dCtSLDVa5dsIIOai6Exx4faj+dVDNp+Fkw9HXN1x20SD8pcU
OS3Wc06gsSP3NVR8D13oUo6judXlIA91/j1Qp4yRMnEr5tAFq1wG+pKiXu7YqEQ1PUWiOL64cPNr
/5ePhAwaASXCfQQLn89XaLYDxAZ111bAVNE/mdnVFDdIklrKkLCqspvRa4QvZfM90mfTolt626Ar
x+tIhNGX4Jz5cL9+nCNJFsMApvXPH6fqG3JJHGMXjmnIfRvY6GeIyFzQeGtXdOeqO9Mcy5sB3NjS
rIoLxeCt8+dT8ut7nMbN0TExU6noCH/+CMy7TAf95k7tWmcdxxmzR02qKWoII32Soy22oE2fCOIx
v7p3f3t7cEwgmYTBsV37fOSYNo2aOZCZiKI7Y1AUbzpyUzEmZup1JjztWRtc8e7lEWtzqsbBdvCy
rZO45kLn9Czz3Gu/WFt+PReoUSxS7jH+UMGeLi1ZoTBwm5JdXJbTd1Vo3KpkpBIekoYkyBoMjBl0
Uu2hjsCQ+ufr8OsrdkbnzqsJpwJI8MmtoEQEFaKP2LkayQ/kfo8bRnjpy58PMgeZndxwHIWRAV6S
GU56WjtZcVvp9RTtJmcsL0a76Zi9KiS0ii7m+znmOuN2IOUriJdBit8ityow4eSmD8tMGtNT2Zog
ngoXI/ifP9lvTj1vGQwR1NC8/0+dOxkqP1vwwTg7+tlAfPMFsRxMmAc99N0C+vhYBoUfy+CLpXw+
rZ+fQPiFFLFz83Lmwp6c9rSFvAvp7dy1UzdbDqUrWr/qu6JYMQqs4mXWB6Q/6H04fLUBPO7wTg/t
zsXO7MygTXRy/7cu5kkibnbCscq9USvM1/oYX3ui3TeEE/no8mqctsN12NX2ru+FtbaUsVkr7CwW
lSLSK1Ej2GCQ297iJrmkdThdT5olDnndEZPTha9ClXeyT4zzkbHBqqiI5CZFTlnZ/PGLMuHXqhxe
EK6y2ayksqud77yftkFAxzIZS+dcr+fnI0P5vJyiwNgIq/YwPZJEfv3nO+bXW3k+oMstwy4E3vXJ
leN2yQlGt8/xTsOjJ6lmnTLJ9f98kN98K55KleRMWttsc04OosZJNSmJdZ4rWnDVOSYRSXURJoQv
adkI2TlSbv98wF8LU1zVAFdQzGE9PIYU/nwai7QXVB3ivEU9tvSaoVtlkWavFavQv/hqbJZO7n3a
VVS/tA65bnzBU8tTXcAmQdW90qfUbNd1aOklqmG1eFALe4RuFXdAPe0gnx70ipULvZIi9JXTG12x
tZvAPuhIQaKFpaAgU/t00s+aUWecMw11RH1I8NIl6O04XyaFa28yxxuCLcpvomHLKX8naLWpb0dT
TyfflBUCgqbOjPteZHTkjdZ7bagjI1gyUfVdG0wH2TkcCOLkXPwlKyLJs1ccCg55zgEZNAvT1pKL
issl2fi2jbfWpZ5DsRpyi1jWiTTvksClVzKMpj3RAn2zLFxDkL9XNsSESgzu8CCqLL1CnuamC7sy
5CsPv/ios2nYpehHUPKUPbEtMpPZR1OB011GqNreSwfKKntV9aMpBv2azD6wCFElnJ6sLE17KVot
C5dKOk2M+tlZfE/QJnaLDt/Ks5kTRLEAaZAZQA3UhGgTM72WWUbiHDs65Y5+gM5AAJUdswqC6IYd
AQxl7wucTgQS6QMJFGGAMG5QgoSTV8IEaCtZbhOwr76OYORdsA/61iJHCRbRYHvcwdWodSsH9a+2
KasxIQA3Eg+6lEW39LS2r9dJhOR4RegZ3AfdwHNI0nZCuJxO/DUOIhlYH2SpiXO1y+xHUaRtvzR4
Ubqz9YIfKZvJM7FejCMC6DasxIIAtH5XKuYULyWN38Zv1aybfHQ6gDAUu5LsoQqIVii7vWjRFLwK
l43h9mcYJEhsbOsoUsBwxDlBc7UVXOaiwy+Gcyyul6kS61eYCZRoI5KuP8fog7xTG2djsq3H1HlQ
Wvg8iJ6ycBWAqi19D65DsOs8gBMriZBxEymp+2ohappziVvuqsaIyVzwcGnf8xgogDZUC86EZ4mm
XRnCHLdGY+RPFFQAPFh5ghdpRfMlKUJFIksf063UHXHPojgMfjgOxh0m9egxaupBrNJmMN7sgvcs
BpvavBEZSPll0JaxXOb4cUbOoTrNTavCSrk7R+u2V03lyUXs3a5kGtWJX9lZv8vcOrM2kE4IrRdt
V6dnYSe8+DyOvDKGy5LQLFAQkU8ISRzFWahOOr4iNW9AbGNB10l2LLVN3KeZsqgcaCvMu0i4W4bl
VKlMaqPCWjTcPHJHPCIR8OQ1UZp7elmjDCkHjK8jqSjsvATiS15gHq6UynGxumUELstlDTin4AKU
HglPYdq92EnnEPhjOtGzM4GQmafombpGUhfuzR4fYqfGxPqQ4ZvccyNLexEWYXZZUQxGflzmaOdD
Mo/2RoaRcdnjsKu3GqL9s0GMdokeANHhahoVyIXqUIgdyliYRyUXuVuhjQpeTDtMKsBQ5GssQ2iw
1rKvc6U908uqfQpcN2kvnTbsb4jIhPBWByiIgAlASForhhvcF1Ua9wR9lDVoj16tXNDrMQtN0Euy
IkVtUDplk4smIq5cNV+2cXdUuKklEYCNjSuZV6X3WhEOYq4ychGdlVc5uUvQXgVAcEQlRZxRplHs
T4BZFiaBJS9hbRJsOtIff52cFEC0Wrt3RmICb4EPL1RsNKmSbzQEeQIhoN01fpqGuuNrYItvbSb0
RA8IegOIJd3EoGGGWm+V1XJW7lVzgR3HuvwWSyDsvtaXRULjO6EikVoxXky5Mn0z3IZlJ+z0/CxM
ysllP9crH05sWtgYTPAmC9salOsENlJADgwltk8yozkxEG26gxwZ/LPwlOW1bTQiXjiD1z/AAOuf
LF3oB86URaZn5CbfuADdTRg46q0eZ4qBL6HoRvjsUFdWJI+Zycq1Ew/EqDE0kGU9LSrWehg7tx67
WYRyJQMFvzESfW8b1vTkofBDMELEDR6vzgNGklrapJJrWqnhsox7hs1d5045uBbeKT5seOPNcvv4
AI4tsfyRb1idWcoU3WLJqx5ouOgvHUSb18HJpb2yIyX/BhacJSgR3r1im/1FaJC4wZwYG80KsblN
wqcZTrjFM+S5S5VY8XTdxr16rUYWyWdt5nFlZrOS7YuKNLpFHMJGQU7uKFelC45m0bZZfxZ7RvKA
xUR7px8bXGVM1BC6q4N9UwZWgDxjmhxGbNTY+yzhyqGrnWJnQ1lPKh4hk7wlYckHIehItf5A6azK
M1bdDnOHjkt+hZTURkyMGHg2elVOuaykSMvzxrL6R8DKtrUi0dHJtmoWJ4+ItlMsWk0k2+0IoV7s
oNArd6PiWCQeSiPaZAB/mJ+jJfYWelFk31INjfciqgP7UlXqLPMlUPx8kQxqCyGHaHnp526ecNPL
UdtTtNC7xz5UCb8fFVZtCxE3Kj8lEOnCHPryfWB6UyBU5I3rj5MppO+QNNdtAV4U51NCIaGx4F3G
PfOVdwv585nGu0YiqT6SlY6UJfJ5IC4RXOJeCrPEVQXenSXdSCvj2VTytF5SDCGSq48EpzSxu6dU
2PG2PxKeasMgX3GYwU8FqFYMBTMOivzmdvRxG9CXoycG7wehHSZ9aPzyht02TKnhyJeqZtRUY8/U
KWj9XXPof9CoMs8+K46MKoaspsGCllmvRLWGF+1kV6/9kWzVzZArc8ZdIb8KO1opMwWrAcArFrB0
6P5oR1IWveKaBcdLbg0bkFZ+ZGoBgoCvFciZtSWCEO7WNCO4VHYjE7ml+Mke8tIaiFs/EruCvoLe
VRQkU6HTxfN30Fh/qAlHNhRXkKE7eEXEJ6VIiXDh9vgNZNIRFEly3CqtWlUnYJJbczFgJsJ1Kumg
rwg0kvd2iTN70dVxRRONydQqsy3x2NRaEixDxwmTtXDs6CFWhf1mo1kt/KKj7KF5E+tvpnT6a4uJ
oUt8dobP1bSEfd0FDpYigmfTGUqfg4oyCs6gH7jU0QsLsuacBThW6qJzQo2CyDWsRzAyEa4N272d
pnC8HWm+3hnkP1lbeIseb1FueEKX1aCKV247dJYfYljctWoiSNs26PqbYzq+W6Jvq2XbGdbd0ETD
Ha5CI17Qxpw1WnrgkEJJSuYlSbRav/Zy4pJvahKye5YlC4QbJnlSYXpjanA2E7bZ+Tj6PG09F9YH
hVqh8ocEySzcLNFdO6Q8P+dIbZetN5kHyJ6EWGtZG22o5VlT+r7BETOntF0oHpZvfJVeqvop/+aZ
vE8xLKNBdYdZ0mUdLNl1dwRF5PU2ISkFzWg/5tcZauYNi0xcbJKxMqdVGNi0AAI9gkNnlmbwHkRq
flNhmF1VZlEjzMEVhu6gn3hPGiyfvd/ESm77ZjLWE+4Dp/LWU45hem1mvaatdFAhEyWu9D60pq5c
vGBNni4xxnL5Ri9vtYOXmiT2VJ4Z2n7htibB5nIq0sU4BdZtQYbytyrip9Ypr3wT20TTPnVRooiF
2Th1vnODcJx80caj5tMWtd6SsUy+t/GQk3vocE2W2PixCCQsnUAhMbaukWnT8ukqLD1+Nrol/LEW
dfwcZIrqzp7yOxXDMGVaR62+wu4ypivVDsKHKgZyzgx5egZlnN6bbYGfEJaY8Cv4azdkB7udj3CI
/OIhdWaG61RT/ozduLFpmAZnRtfcdWXibQyiyzU/Tim2NobQlVVB6WUcBk7OtXSSODmrYsvd874l
MXkRqw7FddS0kloo6XLE7Ew4yptqEt1dYYaqPafMkiaJ/7p9gRzXPY1ZMd7k3FTZsvBavA/KQIzG
Egt4a5+xvAaUfqOmpv6UZPWOWQy2T49G8zx+quDQJYM5vIms5XaIzGY4kHNUTauqabonI+xCZZFo
of42jCisfQLYq3VVj7hmPKMNbjGFlNgkmjG9YCydfThEzPZLsqXNx1K3umilxBq67lArC/KNcVT1
pOsh4z4TTupqbKzqBtllLTzh085OOxxGQ00bEW+UvTQqhIu+Ii18ElGkjnuUbZI7ClNSug7I1MQP
jxd2aQEQeKeZhUued6/dLkFdDI+2SKS5cXo1+MBer28tYwzoebEePc3jiAtSa8d4y1XAbeqBVVhF
uj7ckwLekQXY5JdkVEo0OKBh+j1Ih+w2CNn7MhZxCUs2vM4+YEn2QKgGbtP7XT2afpTK8AV4vBr6
ZlXqKOojVB2LxpxdYR64UN/tyfZc2HquXBFrOrWLOmQ/s2R7038QvqDItRg1jCeoQnpS6grPeSr4
N4cRC/5N02XaVRZwagiMSHMy9+zAe2wki8S6alpHW3QgU7NFZYOQ86dQKo+olkbYiTVT73VvqDnS
0UK5qxM34dxJh5Q7wj48fpOVxXMRqrmp7wGzIHTEyKbMdxJqtRVxtLJbK7lVnFuCKe1aWJKKGbE+
GYo5Velc85mU2U0RWd0BQgBaO7scJs9vcVM/m7oomhVdlyrltaKUpIiG4GRJJozxHkMUuJhY45XF
IGN2k+WgjE84eWoDZsngluu+TNw7gZVVrLVID78dWzV/S013iF9F2ZQf7f+Yf+yV3bKIw6g96rn+
9afL6r24bcX7e3v4Xp3+l59+EOXXX8efEW2f/rA6stmu5bsYb94bmf04SPhezv/l/+1f/kV4uxur
9//5H6+lLNr5t4Vx+VkvqjEP/fd6Of9//6/2/b+9/fdtV8bi/ZN0ff7Bv3Rz+j9Mz6THjHAOiCjt
Tf7qL92c+w+b3Q1vew/ZpGbQ6fqXbk6d4XDI5mjJgmemI/yfujnzH4xrYbDzo8jNkVq5f0c3Zx17
dz/3X2muoVEhagL/KTBo66T/mmTYa7J6pAgNwvZuCABLYIiZShszRuuoOdTnylbEEx7vIn6WbPL0
myaU+ii2lNdd0S6TylBC9w0nOMbrdVRVVvk2yaAxQYnLXPk2BQKwrnd0XcTFIG7roxcDH2Fx1ekd
+zqezBd1Nm4An8bD0R39HBJeCYb8o88jYDuOIWm2f3hHJwgfGVdIc3SImEe3SGrmPPLubCLp5JTU
BCxr0lpOfU4D38P2dq0akdhWsyNlCtVuXOHtNo0lJ0VLL8ejgaU8mln0o7ElLD345paZP5PBNTtf
cFlhg4lmR0xUaHS4sgmbzIRR8NmsldnTOPto3KOlxoZ8ANshJRNzDhy1rW7fT0Bbl5qNhGE5NLE1
XY8/3DpNSFSI07pSu9dlTP0XV8ZcHOIonaExJbvitX00AplZ2D8Q6mKmuzGNSHxWMc7cZ/VsICLu
OEWf/sNYRAxRv52OhiOmuJiPWIAxIuVHU5JxNCgRgadUPg8yxiWrpFfIajgbmtB/Ym6inMfoRAoM
pietgoHES2w2Q81VZLHsCJPGTRfKeC2NrNrnRxMVLtbwwjtaq4yMvoSvaAY23qP5ypiAnPrUv+V0
QU9jvHPMgTdPMAyq+YrLCfSJwQ7MpdOkheEu8iKMbhad7XQpyTGtF45eR80mQbyUAnEpYG05rQQr
in2BX6y2kbzkojPnLlM1D/x0mHpxBGfSbzFJV14lmiyehJshvHemygU90OjsBxs19e4LwqvjhcaG
dNuTmq4A03Gob2QvXYhiOtcMKURrHlG9nuZbEdwVhM2K+0YTj5su8zKI6DHNhHEpqMVJxY7awNlB
bS1CdjSTdwUBdvpeDX3T+KMaeDRZgYhjHIvjebNemcOzq+jDjYYn+XtDRiXzRzuE+tWlehCue6lS
sY/GzC/owi74nsB6EAubl8N9XLdG7bs6MUO+GfI76qprHhMlL67ZpIagacsmfU9qHdhuyWjlJRxi
83bs3b7HJimGMzylAExE4yU8PpZpbBriAKYzzk710Sei4JsB/PmmILS45790rio8oBGGENneIogx
9jkGQN5DGrY/Wq0Fll5a2JgjBtMMQbDSN31KDFyDmDNENXBaM0lNDsftQ6v18qYweLh9lB2ANFS6
VCTkpH37EI52MvlW01rJOtPSjOsBHflCQVOHAz1pm1eIL+plRuCksxxrGuh+l032BbSjsF+LOlVV
qhO8xr5UmGYFzJW/M0ZKiAtLpBgXNSiknQ5rA8zD0AQZHTzQ6AuaAl7g62EynttOMT6pfdO+GIPD
RsRAYnAxmW0nGP1NqBTVlB78oivU/NukJZW5aKwic7dhKNp9qijqSwYh2OC17Dg1yvwyv+agJmFM
omDrZZWac6mzpXjQA9fipiPkdwdbx34px5oyVNb83KJNo/G+kV500dRBdcvGZdYEjE7xLezU9gZf
sLEb4DhjLtcxZ5dOjObKwcH3GOe9O9FtHIv6vCriulnnTWM9ZUnrJFts3wH9WCXIr2Waw5TQwxzJ
nFG7NXqVWq0PjmdX5bJQM+IbDSctlyHbtNucfnAPAT8Wt7Ko5v2m1eY7vncpliQ10xDjUDQ5GVwr
ie8mtcgPlpMzQxducV8rudD8vOl6den1ttqvujCr+xXMx3iP3ZQGok3MYuuHdklKsVGqeUMjQse7
YNCrYx8TOc4S1o54TUWejHtHOkqPGTXJ3oc8soaFPSFAoS/IWjrFY8eoVPZXRkirl2w8PvVCt8sE
vzNZlK+6M9Bk6dOuJYS+Ggvp2yBcKsC60taXOq0fZ2UUgbvRm0C0MDCTmt6u0NMPHYjBExrkMKPT
2kypH4aqR3sV29adaZiODRsolM4CUJF+oHVfd37mlqMOXcewvrVpYNxwp9D1pqtgvHlB2Qv2f0X0
GIYZDfJBBfISmGVzn80N9NRp6Nrp6YALOplb7Hlf05rR58Z7n1mjsyEYjaa8/NGgj215L45t+2Ry
KP1bBtcml5rOfjv3+OWx3e8eW/+gkmkoYVjNw1VyHA/wz5a7ILKmCmlbzCOEosn7c1DPs7VtnjEg
sGXcEJgKowdznkIUx4FEcxxOwHhjUJEqag+mex5feAaL+ULmKnt7xSgYcVgV78HBEnKCKz4PQXrX
HRm0z7ORymZDT1PCxTFaHMcnzXGU0g4Z3Ao68Kigp3na4jRCYEJjAkPLjcZJoWUBO8HjqMYwg7Je
uccRTq72EJRSu52GjXsc9bSuQ2Eij4OgAlDWN22eDjUo4O5620hpT3oZ36w9zpRYlBhm8AuhdWot
3Y0dQyyHHf9xHlUA4LrL847HYBhzi1N1nGD1VcQ0S86DLUXPmXEV5Ol9D46TL7bxTMHKMdVfGAgx
G0PIxpyMc65fB2YNPXweo5Eo57yL42wtb4L0g+RaJm7JcfpWzYO4SpPiw5mHc3OoQ8rIzk6uuuP0
jnIGaNA0JUz1ZN7izYmaZtqHaK9embQzAeyMxlppx7lggD7MW2NEGKXPMDa5aLHdw1rQXG6cbh4u
miDQ+5U8zhz14/wRSlb1vfk/7J3JctzIlm1/5f0ArqFvpgCiZzDYU+QEJkoU+h4OB/D1tRBZN01S
1c20HL5nb5CDzJQYEQyH+/Fz9l67l1zj5DqgxMib3wzr0JJTz8lOrPyIaVy5DOckboZmB83cK0+e
cE2x6/Jqupeut3xHg8UNn6DvNGTSYV8MHbgaM8Cur0Dr9Ex2HKs3PxuwG7bfGcl00cymn0KLfY8J
27y2TO2sKhPQ9jPDAmFn6uMgXKs+igRn+q4mR/iUqmpshTCfugvDeNBbKWvIYJeJtduMDtq5SRcy
V0TpMAoq4b/qZI24gKDmRAJ9TCB9vOmY5E9dnY3PaePgR1ecKttV5SJFULFiKENHp7nrckqHkA0P
9AX/Lk+90MUbXUi3Zb+M5UmnpnCostbAOxxWJFoiDcuqXYw047UkGY34Tk8oN9kEHj8wQbJ87cCr
qseu0prDlKvGV2fouoe4mlCIjYOZsm7U3n1srRkbflLrfYf5XklsnqsOqEM8NeZWOoplnZgBy2et
M70f3lx1le+liOiwjaEb3JmmGOOgov/zbmWCRvwyKCmHQDToR4CU8i2e5w4Uh9pUTy37zKM1DPRY
3MoEzGSsdKICxPm+UNSNo1RQI2ZbsQ/qoBefRhNnTyKPFHWPJU15nZjBvkat7p3Q3NDPBiSlrOaz
HmaFGttSZQiwyGNMuAMfRcTlSZsyoPBcL5TPrLGpDRqwK16Yu50VIVUtEnKLzbTbJXY+g/1ALUpQ
vdSYFtKwEw8lsuzcZwCx3LiyW0mXSwTrK8lGPYeCuKijX9hRVG77su22RgJkYmv1dWP5Tabndx3T
89jXQAQ6PvI9yn2vTacBzmtMOEDZupwZ//w2/X/dPXlNQv7P9+Sb9OOzS5Eo/oRVX//Gn8YyA7Ap
91I0Z6vWZ2Ux/9tYpnF5xnjCVXfNG8H5/ecF2f3XGpmEXUaFqc4deBWp/duL+S8DGQdXaxVBH85h
VM3/wFjG6fybPoQce8wGqOFo3/NWr///J0mPOxem0AYap0Ah6i1jeo6svHBZANF1MQy6ysLQr4tE
AagR++26dog3YhmZ1yXF0dZty+tCi66LDqabwa59XYz5Qtc2dOiGXV0EiC7WlZvopU1n948FLWKY
Nqhsu91IdGKy7ZuUC2mh5LUXji5QED9an5CJgYUHIJLnpk46DlKxPk2qFJNKZUcIM/9hfeCc68NX
6op3kusTWazPJtyzRNub6xMLrrD8BPTkHNzrA13yaJfrMz5dH3dvffLt6yYwN1H22K07g0wbhid4
YeTbkBf6ka41mwjMGDaUet1bYtTS9PWuW0503X5A6LAVNX3t/Yh6Y3yerltV3UpzK64bWA38yGba
vW5s3XWTG9b9zulrtr7kug2SctE9zOveSCBec+ivG6a17p35dRstmejfVNfNNVn32Ql5VrVLe8ox
Zpqa2/nGdVsWmTGe4nbdrId13yZ7Sp7y62auaIm7MMpgj4ekXVR+fd36F0dku+x6IDS9FhqZJR+i
ZXBP8XpmtJrRtEQHrkdJ7zJWJvJjcFEbXI8bo7H0s7WeQa2XOkZgzR5Hk7meUraxIBBGrDacjByy
BqbyrggtMn3r43g94swSXQSXPk4+cT0F4YJorq9fT8dR9tOl4EfY3OU4Pu3J+1rNgKH8OM8G7r62
xSnLOMq+yOvZG63H8LQeyKM6T/fR9ZRm5MWJnV5Pb53x5cZ24zYw8GeRvcXIzHgAOFBhwUbFlCiD
jA4jusJdEwH+DNGHZhfFrmOx6a5CqB7enr4v8sLYR1WBVIp61j4bSyOqA9N+xFSiiBFWzdKaX72r
3MptyBIJVK2sXmc3RpClt4o+bPW1fdlfO5kxvpin8trfbKypw7u2tj3BeFBWqtduaL42Rg2uKpJv
rOb7ViutvljXLmpctSXzCu4r7/gboI6yzmlkM3yyR2w7o1EE1bUvK3KNHu3YitYN7Wvv1llkdayu
HV332t11Wo9OL5hRur5rNkMepPqYkEyTLZHpq9cucZv360gQFNbTtLaRNYheOO2u3WV1bTSvzSWF
8cDaf26vvWgmGPSlZ0V6jALWbnXCDQVEtSY11iHt7HptbHdrizvSB6AphAvTO1OvXfAoaqYf3bU3
Xi4FfXJrbZn3aN8FJHoa6cO1p95UFf31Wqk1OxwWDSaNNijK1ww4Y1C1OsnE6h89equwz+61cx9F
NDP3DUKLKpgTAGFcpMWedjvSASq1utkqcqmfPNxt1mZmftYfjQ5Ukg2dHR4pTA7OzSia0R5R0z94
epx8dSOd3YeJJEevn1DROkyiNIdO/Jin/cM45HSahpqIlLsh0c3bdmafvkerCvTC62YXQjf7irsZ
zT7aDssaWJA7HTaVPoESFbRu330pMb4f7Z7sH7+tK3mZRavept0KinCVhO7K4rnpRyRQv1BH9zyv
grY83xpwqNyeLB426pNvLglwDvmcYPMeUmbcXZgl6vICmEv9UmYFmyskYq9+bLW8TQcetLzJLlIO
xnxBXVPM20K2QPAQpZQiREymLduedCemfcgfLl2kOIgtDLLs+81qmk/vDaVGUeTNfZqES+8ARC36
kZvvQiZnDqa8a85NX9luEPOQvfegLEgFHTKqYGipzUszJ1ULOdNqxq2hGJjvkezQsgwMqMeM6ZdO
K+EBEJQdlr0DWkuDwaQewEoJEy9N0Ye9Mw/5ofHy+q1DW3IfFXOqnqp0IuEu6XHH+m7k6k9zRq7Q
PmPfOs8z0NW7aqHi2mE0zHfxFFeAmQh/oswr8y7ednU+PdgTZFhECMyx1+0cLeMJcLc+ITwaIvWg
OjBex4CWX3OxlqWT26SoTNDObt7fKXyRRWCPbGlzkzEjT1LCjHaKVo/7f16R/T8631jp539Rt32y
WpL617qNv/FH3aYDymA3xAcImJEaayXv/FG26bAwNHwltDLWPBrEyX9WbYpO3eYA7cZ1iubbxUb1
Z9mmGCqsAHcdQ1gqBA7wlv+gbOOP/ypaptKwuFavtl9A4RgKfje5sG7dVp0cGvdM9MM2o3cqKjRX
sXTDHGrkbVN2D5rZbSBtFTeFqhPEXIujarTvbTkeInvct30f+9iTxc7Kx63eqQxb9VgErTMlARO/
UHjefYowKfe41nxd8V8xmow2zo4zdU8h7FeaS9Q45nCLoO9ppjt3Ufp26xCHFXjOd7c1vo2ljmhR
4uIqhzv044dxyN5jk8tkDuHLp/qcXqqhgg1pWB1zxe4lgtuHWi3xUzKzMC7Ji1ElJ0oCIs7M+qYq
0p2t9HeE5EpyOjXEE+1yYGzOmB4ccWPmCRAEjXG16D8tY3kHubXJMxfFaUrsmzL+aCdbbhHbojdb
PrK8uBB6VdLNKoqjicrCcrJ3zOwitI1u6yTVDzR65LnV4kvXlXeCGKLAU4lptbxvVnpjWvEhTV4m
pR3fM9Vq11lHS7NqQb4vYx1dAW9zHGa2tjhulKcqo2fPeQbekw615jy4OcGzTZ+1QQPLGeXr8sUu
0HoUk7lT4bQVhlGGBhYCo4e8Zoj+UqXy3hz1C6gKgukGvJP1OffQgMImeWPLK3yvmY5eHjvBoFZn
azVVaF2Xbia4meAEdJVTLMp2wCvv8RBvqF12IBonwunuzag4G12JksQ49h20P0dpHjuRPcTMUrip
KvUWUCFiQMX5hpHmTnFWcb5LDhpycN8tDEpOZO07pUClNDIv5Ogpe+XEs4LO0FX9xa73fVncFtQT
VJHiruqMR8VNlce88wimi2LIltKrdgAsXhQzPpk55023kCJHYEZaTGpgTYb2QwE7SIVoy/2I+wIt
4By9pC5hSJXBJZnJg3HQZ3kUWbZsiimJgrJo02DueiSL1oSgGLawbfd3XRf9oJw926J5rfKqI8rd
lP5kIShLWx19WrLVR8dBvNHPWyWypiBrvXPazfs59VAXDM4xKVfB2ixuZ4es2aEZVSBJmnJfLeOD
Cbp62xaO4muEtW3rNvmSc3UBgsUELU9BNXM83+Si+9IV3rOqFGenSGZQ3GrHI6hPt2ZVHorFEuEs
sjcptDyMunbcqEbzAlWRp1Gvb2UjIXCijt6AWEfhIs7M1aiDHTvbpIa697JzYY6oKdHpkKeNT68U
LTxbU2o6Grv6pGRtGfS9Pe+IuilBA3ol4s1ipFwpvkktLf0q7YDmDYrFsS5OjBAJhYzHcJDlvmxp
iMsEFX9MW83Jpm9ehShvEL2foNRFfKAEelcenan1FWVq18bQB80pGs9pHrSiqMIypa2auNYeS2UX
5mJGX1RskuIC27SFRZgymLyvImXree+Z1qJ9aLNvsbwZBT1YLo53iTmIoIAj65tmV92g/6GkFJkT
Pxr62Oy5a7Q39G36gGtruekW2W91NU4OXC4OXTSO74XdyO1MdMIX6XWPpIStbN+IC51ofbOKrdtm
8NCJTlbFwJ1+FNmTdihLIzuYygQ1lcEdYlfkeaVXhZVTX4DGn/MlPrYa/Eezb/PjqFUbFkJzJz3l
NDfjqS+874szPmWZfClKK+jKpA7LSflM7dHbpKjQNmocXWKCDs1FP5rjfOJuyA3aop9p21lQz67B
C9XKvicI0p8tKXc9OZZnHa4sAzwRpHEalLXck/xwh3v9NqvJZNTgB+6FpK8ccw0UlnuEDKuHjQeV
fkFXylT7S2sPiPnaUf3MXHCaKKYLtE1u9gFqtDyqFWQjbZpCd+mmG7Wo6LuvMtDeAUaT9QD5uZBv
57F6hOCKkvKhno19JWHRxtkKXzSLzTDSMl/yYn6KisNSr6ElQhuHl9nW+7MS61xCls0iqmMyy171
aZIQ/WFNC8JEU25FqlucD6UTSG1pvqk52+ec2/k5txPiiCfawMXAcEUkCNbQiawxnhdZftVznM0M
hGm/5vNtMZv211E039N46Hfgy43AHKw90519UpMPNECYjIg+bHrJyMM+yngJHC29BRH3slipvSE7
4pgr+SG12HytrglRpfH9kKLjzsPn7LhT2MbFCch7dNBttJVTvGRIG0nZGKtNpXLGtOKcDu5zZ3Ma
rBjbXH5XNfJ7Yy/IrSHoIjc5N7H62fXFs+ZEy6Y28Ygx3K82BNCXWzuBSZ0mFZpeeKhblPhbrwJW
3fcGtP2pFfskwWNndAKzmZAP5qi+TenCKK1KgBh3X3NVGYJKYwOQRm5ve6XIz57HCTQu8i11Ijwp
Tq9pu3ZN5lQH2vGTG3XbuVssUHRQMKveBopfKcuXCRqdawtGW3KgsmgYbxnMfdG1oK6eLKgctDWy
Y1En2UeaxeOWhn3FH3ToCThoM/w2yusgsVPxoSZGeVhmme+VxIS6YOrzy9r4eJu9qrxXc/w+8+iE
nXWx4u1sWdyvvClg6300FPO1rPL+KVNHGSzOawWe/lATNrFNBnOkQCoqTnM2WSV3BtjWAz0MGb17
JF6jk2fOGTNVCc2WRpRXHycmmxC+P1FGGzckqzChUZjwIDD8mqHfGyvHOpSaoj628fCqzzZnmfMA
xWE3wIx4NeM6DaxOOSM3rnwEbdVRalT1RquNYdNzWhboZg80CbkLd/4EvTiq48tQZcfEUw9iIioJ
fWCta7R8q3afRlbYOX3oNEuQO/VNmTGapl1kFtaLk64E4lX9VXAJ9fxIYpCaI63fFmNqBOhM93Ou
PZUegbKilGQkIZFroklekEjvEuwQHM5EbpYOuXFtoLbIClY/0FzfqELZTHHCQICHwYsubiIeUWW/
zwg5vHnibMVBTIh7aprPfYE8TMOhtWRK6DG4sxFiEp/s0P8vVqPbrUauVxUREFcoYWZ3AZDwT70v
drV+U6luuAZUzWRn00Ham9ZdXKXfCr05Lb0dMpgkD2WiXiL2G+lI6CjxrozEPkpBjLf6rnB7nJ3x
Vtj2kQGJu9PwnGAuIdUvnWPMN+bygG/+1qgRxOdMGrm9Lc80CEjIsCV3UzTL+1bIF5erWmjO1wGj
fRHE3DaW+hE79klTOc/6efkxjvKctnW2tSQa66onpyc+GKl+YVFT8qUkoiO2sFsPiZq9KUpzP/bR
ORXdR9c/MEJ8bJC45n0UNsZjXRdvYxO/Vvh0msHdjl53WJTipoyVg8NVvrXKcFKyLqxh04aThAqM
TmE79a3BzHb+UefuF6vgqGJvyO32rXa6T1ONTpZk7BLVN31a7KTODTI1d0mu+1ba7HJLfh9XdoIt
j6M5vi3t3lPjXd3GVPOMC0rvxshvwbC/j7N+08c3qvkQ28t9PXknUSDHMPutC4W2A7puqzT/ojFn
WsVGVk/dqTOpbeZYnEWefrWpdXMgvkEHIDK0mupDb/U9kShhk5+HBVy/yiU+9Fy8Lk3Fj5lV+0eV
s7Cpps2bGQ3EsHjntq0vtdHdj4q1Zf842zZ/IHfvrAkSe/dArvTEDXyCB1hcmC0PyLn1Mw61cOh0
I5QKh0mr1gHQgOTgzW8ThVpkF68Y4s8mhSqpwSdHd15SM3mGFcWsNE7jzawNQaFxaKXirtbUtxQ6
YTjWBhpoQipnYVyc+RtGtdBFM7tM/YznUMHh7x1E5b0M+HKCdhDHuVO3k250O2Eo90iMntvmizOB
0re9b6ykNCyH/EEn28UfbUx8XEbijUzkB1Y7b+M2+VYvTPNczY2xq5pyv0z6LcECd9JeNtgtkff3
9MwjIXO/dD7t1IJcLeaXVPHWG0USuBxj8bosR+9tolbKOMrUSrkhzxMr5zNw2l2j5Pg8vbQPbHN8
qNIxpHl4aadViCtOOWdgouB4MkeOADFZhCVH0NDtt3G8YEO4nePubCjuoydIlemML2aE7YttjzOj
A7agN89i+cgxRlrK52KcUsW6U3HWtPR/2PbusRHu+0Wca1wl94wjv081wDDVeinB6wWWOW/wrwaS
d5dEyq0l003uDkeMMps5bUBe1PcT7oi6+aJnzicGun1JSkOcqtNtrFl+IqNLQ1gLw0zjyKHNbQ3T
40DXKc/4Z4q2qSYOWroyve3vVVvnQdLXB6U29EAWjh4osj8XjbJLdcTxbbLvuu6djO3XrrFh1JLd
bKnw291OT1cU/teilAdFxrdWR0m6KGw2Btd0P+0lZpckd4GYyI2iogwicB1BQtL8ULIBIGbU8TWp
D8QUuhtHYzdPnXEInUEaB03Sz0+dOiCs6SlqkrcGAX3Wj+KGbvFt07Yv40I2F/kS8tgwjgmi2Xox
MRoGIh+J+jOyj6ExH2v4ErtqyGFfUEsaEOx2VKbPI1B+X4/ag1LSEkZU9AXb5luZY9OjgEctkUxl
4MjsW8mlFeHzpB6jGpLDIlzhp679Ecv6Qe0rK9SEe9cBo+Knrdr+ukcGBKsztm9zUyWCKcPdB+mc
J6pfrA0dV9vPeq8HtBS/KTbbgNKb5d5xE7nLoDUC+Z6WncqgapuONcaUpkSz7E0yYBpSHYteJVtv
TqNXTYufkhb5Avfjaf1p4kIbV2IaokDGWbHlyxn9TmG0qupQQV1B09rA9IhoeiGeL75HPBRMUn+o
3MZnnrKJ0r7xC4zIXt1+Gg7y6g53RVFr0BJw6/oFnfhtJ6Pq7KQ6l4k2M0LHJTJoGudhSzSBF9g1
prV0NAnvIYCK/eEw6yV3yJhqZaqnuyFCkxHbY3SD7ZF8N6NR9JMpqmpLbkSLokYCRHAaDYY+omyr
bQugg1N5sJWU4PLpW0wCmatm29lkbeSrd8G9kQoXpV4/2lb5w+WsNebyPYlUd1/Pdc4+nSEEm/Tx
vUzlS5RVB8XEvIaD5bj0HG24euGwEzE+ssynSj9RmpIewV4VdpAI8mb0G8W8wQjoHRytfhJao3ob
rEuscakkB46WUkFVt3pu+DZ1SuHa3YI/T79qxaRtpnwsdh53a4g19GAIw5IBHpskOqRZgXNSRQET
dC5dfdyU6+4RnbI4Os+9YfgdafABgWUddZ3+QqDJB3KfUJu00+hUtyYr0e2TrzFLrXKUp9TtnVBr
8k0EKA1V2japupixpMZoZPAJpo3ownAsZxgOSVXKuwDw9AZiia+LeG9r8hR3IkbsNW8bTZlCgcIq
qK2KPq5xm1GqlXp17GT6aXr5JjXHo5ca+7FMTmb7wdz9mcT1u1GOgalbW+EiNwBoOwp08AIzRTr2
75GXBn1RfnS5vG2L5FTMb7Ejgrqa7w0zvjBM/IIt6abJ271F0WbXVlBi+4XleO9CajbS2QdGlISV
Im8YC9wZKMyaXtzF42s7ZQ9Z49a+SRSD5TZf6CqYB4eSmIKx7jli0Toi8zTibREP2rbI5vQGI/BR
Ru0tRkefwcp8jqbxUujePY9lmNj9EwGhCCiUT5O6bzHEq0ywAhV9fUqr9IGRpHc7kgj30opO3eD/
D/ulXkNXjBCbC3kNFYowhX23Bv+VoXiKOKdgSnunrM+eR+Ixg6WV07FP0vvIaJKNpeK1y6v2dhjh
kGlieVwwWQRS5Ehgldeh0i7xFDmBXutUlwhng6prv8T5PMe+rj0oUH6oiIoXvW79AbL/0QHouyjC
2+aj7jOgZCoXJz/6vKsPkSq9M4qpmVZOZohtBneuS/M7W6ehyOR3msS2r90XPJ7PusfOOeblfIoW
50CowJnGEFO2MrE5GAgc4JYI61dXKXJ08snExorjQ7IkXBBN5xGJy2OWFl9gjv9/LPbwbyz2ig76
z+3820/5f94/vxZfq++/tPTXv/XfUgyAUP/SLJMuvGGaDh47Wup/9PQ12/oXujhqeiJuLGNtzv/J
2WcSoBvERrmWrq300jWM87+lGIoF/1elne/ZJKQ7wCHtf9bU/1WK4cJTMXQPWx4gT8BjNq6In7Eg
iGVrWibZ8FY4k7tlycyvkq2GirhBH0FD5ovds+ZDm3ncOYpS5wHSUfJVDpYLYcDLxdtPv8G7P1wS
/znSnrByQN18sJUAiXWCJIJf308K2kUD7WG+aXDcT5J+6HExhiKYct0K//ql1o/2k03DNYkGRiKD
d3GlA6Fu+e2lvGpmfDxl7020c7n4l7ScbIsjuvXnaYMommZo8YcY6T9GAPyvr8nIbdXm2I6xinZ+
/nUPFmIx7HvZOx4sv96lwRJkGxge27/+aNr63v/HZ/vpdViRP7+O5VDei3jO3oftFJIwc4w37eGr
6nP5+ZtPtK7Fv3ypFafzk5inBb1bcCpk74hz+VBg/gOKnTANvrXhXvokEW3+7ptzfv94zKqZhjhg
5XW+Odf77ddYwF/EAZPpH1gZCNcCA6Mf4qwj1NEmFMzeOQgV4tApR2o9rcGV0ZLlGYcjcEgPXbbF
jd2eFK4jjVGTZt7pFdfB0epsZK9oQMvA69Xc4A5CHuI26mWB8CQB3sBtJM8vJNlQMi/QAj/cAU+n
j70Ada0xI64IF5B0rd81lv0WlSPNTc6/yh8mr0EjDQwcL8AyGgF4NEY2RQSkZgd7SegMDBztWwNL
hnIVFsd32q5M9uNiMbrNRIA4ojsGKE/NpNZRgOIfQWzP/vI0zTYKayGr2dxXS5q7fqHbJT5zaaXe
Lo0MPG8lFJyccbEovSCuBTde1+t7qhiaPv2JxlADiqLUspveG7gfDIop3HBE9D0FSxUjuiptcof8
BQzPWWYeHzmdqGBOS8k8LYD8j6AmFkP5MMPHy/5mha0L6Oe1zJe97pCmThLMOs1caUM/LTAvgali
ld3ykWjLQMe0WujBQxz+60dm/Sm/voqO/ct1yfsjvgRTxq+vMhuIuRo1Uj8ap6Hfg42aew+dQa9D
z/HXL/U/nk4Isxp0W3UV55GishrYfv5EpZNg7e4L7UOV7IG8GLJjWBFapaJUUQsa1XZbPqZTkj7Z
gxd9FgR/MniiVfEunAi8x1+/n//lo9v8ilfiFWR51frt7aD7jtmSZz56FSPW1BQJ7nZo9t3sLH+D
bvx1/+NBZVNfeZ8eNjLwgOpvv+XEjTIu9lX5xu5YbJGiKAQ0o+/B+IqSLYI14diYy2K19m76CBfI
P/mk68uvLwwd3+RQ1jXrty0fpoCgrVwab5BaSBYhtpm+EfGDVm4lf7MF/7pqry91DcQAJYoU015r
gp+/Y7CX9KmY27+RX2rcAbEyty6ip795Nn7dfP94lXXJcny5iO1+hyz25NHOztDYbwz5Mi5tdncG
bs41HKvGyWtM5fWvf4Gw/H55TnhFvjc4YvSkcHWrtvnbYhlgeZQjWJyvY5rl+N8WN97h9MYBkg7d
WN2Y1wDhSLGFi3hfxPlmcXEwEf+Xkq9TLYnREoyNYofoKYcY3FE6NZ05BUTNCFQ8YcKgJSviaFg4
u7Ko+oDDxgQSsWQ7Eoc5A1Epuhk/iMvN6mxGXP8kl3cXtw87JrMokX1f4jai32QS8cyUXqEDlkAS
mTfzOAzvUZoZ8R5eidZsNIdRGtcKOb00UZG1u9QjzM63OyW67QBI5LuspXWyXUyn8J5KQG1nvS24
F9Eoxie+VLbMGE4Yimw2pie075nBQJ1yonTGQ2WMNSaXehouGIYbkvk6aTU7qc5MKD0xax4QMtN4
mczGfa6TmD+cCb2oAUzge8Sx0xT7EfOcEXLCatPecuIUQhyxXea5jkhbBucS2+vcSHeWM866Jdsb
wMf0u4Qo4ZzecKna2yi1xgtLkRsuGNAi37dmlxwhFOiMhLFQJmg3DVhmVt5zNcaKUADcaNQuCokg
k9auiXtywlCV4VutdUK477wqpVWOE4kAS6dvcNYoxkTHconNPAa0gj88ZM4rMbA7bvyjd1Z4B7kV
nLpmq3UbNE9MmiDgMnMCENFKRsNElvg6gkSCTK2cADI6O95NHpnxC/MB9yHPy3LhLs0I27dEDOY9
5lkHKhHLl7JWES5VAFruq9jryk1We2sAuLSKycc0aL6OSw+NycCPFyIhJDheLUQGH2yifROmNk0p
YtZ1LsNaEzPFrOzI6Q8Ev2bkAzoFTjzi60uxy+wyeRGt1752kDy+5bNH/6I1svYkJzOPNjm3UiRz
4Iu+jxOgGBI3ib7ckBTvPS+dnvyYyizJNhEAVMy7EwJdv1QawjeXzEheGsLPNZ+Mt9jxnRK5s+Ks
A+ZFIhzRZOeQbpiuaaVGv7zY5kBcqjaIml1Tm5YqaFRiE8VgpFEwmw7O+ZHZCxmKJb1lGdGYmVxV
HyFo1ZJuIZkzUPFmqd01ldotG8Oi/untzja3Rr202VNBK0p7p4py0+85RY97OxRxciH1WXm2+l7j
uFLxFN5Uup5lNyo8QYwhjIInmiHITnxoa+opVrpqnenrU74lMp1J9TJEDbPIPpNPsV2o2cYbJvNc
StV99qLee2uUjMoFe2j+pe48FmhutAxy9CVSHkAE1NQt8N0u4DbAsBBr495nmrQ+V0v4DyMbtNe+
jPBcWnBP9EOngGziF4qMdI9CiWzuXPGyB+a/FuIBuLP3Gj+yDGruxhtR1XT3jKJllsqbn9qNhbuE
GZI00crhnjmbSO5odTj0iqnKiva7Qy/L2mSuVTwpqmCAZPSjvWEjG++ZfEZvrbvOisuo0+8t7Fgv
Y1uKp3kxaqQETjw+KCBU3jE/Q2IYSMUCXWXXySOJnzoyJEJjeRjVCCuxlYNsmoUznl2l1iP0DFLB
Qk4vgLKvGju6t8g0v42r1NX33FFlZJpbzkeTz+S01y3AGVYD2Y7+HPX9D8cZZdgO+RwBhEP70drK
8EgnyUyCppjlHaR7kwgynJ/EoltVdZeIRGdwlUF29StSGO+Nek6SwMHZhVGXCZCJHWSMv8/WGudN
K5h2SdIJauZ4iNU2AMZr3LUWW1oobUX9Eqs5d8fcQ2sEBckW3O1UExEmzd751olbbYVs04f2tdLz
4IVFsb63JCXfjVdOPdWprmUoSGFgyyO7FVOWyjFqRKcGDzwOgqxpNkR8C/xuU22/ojQd6PiQ8ntp
Of/TDXY6gUM1LxY8sxil3vCUm8/ElSRL0CtQItHOaPMSErbivRHJDIbF6xNzwrxHpCoINZMW16wK
e9XeK9C3aoKbLgw8FIGeZYqBmWVRqfop09kCLBEgLGb02TCFtCdnNjhMo5WPZdrRAlNkXkJjKYFR
oi+aPGbG3FQb2ejZ85zxczeV4SjfmQVxqPeKLAcclaVOLihyUtZRTc8yNPVBQ7nDDLsKRigDjCsW
r6wZS1UoPEZbCGOTNoV6YzRD+zYxNZ+Rss/lQYoZ225kdJ0OqdFp3INRlyP7pZfRrFQnjUWNTk4b
fLNhXs4sybEbsojd0saCS0op0B24j4hGZ/vBVPL4W1lN3HYYFJAdTQDuQ5VP6dMaR4KML426G/oZ
DZIWIdbyaynRrWZURWRPYk8bgyXJUQfqShbdi9HqLwYURbyCveb8oE+xqKveyHknQ7uvN6gAl69j
bCJ1kuVMcwsX27M7jUA7XKWbcUnrxJ06qclohQoCVQCtNxeOXqnd50lvfyPudflRGvG8deF+Idiy
25borQGfXqjHA5e4OHGnJ7WUsbYTcct9y+q9EYcY3od+o+tdIQ9xq8z7RR8RvdcZ1zBTzeVTkbap
uuFTWOjGUFH2AXfAmbFZZX37L9LObDduHlvbN7QJiJp1WpPn2HEcJ64ToeIkmmdKonT1/yP3D7Rd
NlzI3kCj++D72ixRFLm41rueNwIHAxcK1T7d5/nY/Ur7qaP2XlH1FUOSx9uxGsJfutETU4ZozFjb
HvjMspwatU66NvotvFz9VvQMwKlcvPcIXqerKE9txJZfSzvHErdqwOnvOm4fP7oR/yZ2UFTQZ8pE
YLXGoSCDsVO53o1TJIhVHD+KSfuzM133vl+jeZn7SLBH+MsdE3TGvV9UdCU2Un5L/N47z6j7Nasq
sDvWR6KjfWaXyXcqhwtdyZu6e9QZdoNu26hwTQuaeK/iMntKmw6QopG5xYFYiarOYHpsXhWKg3UJ
e+COhpSm3jYeBMVdNZfceSBhBT9kaijyzFoD7/EwyF4n2tJ4q3fj9Wwmj4GzlGjLKHnsMBu24QCo
GREl8h5gnaFl7+lvg3pM0S+IdyW9O/dT6XvxBrqGCFdon8aSf89nN4j4VuKVJO8a7HTTKrW20jS5
MXt6N1CuSQrXjabIw8bGVpXIhFqZL638i4sGp7m0u8acACtHmkSLrlO1ZeVqdR4LwzwvphRplO2G
NzNcE6wd0lp9Q5tBFOloh50QnRzAVRAcs3TS/VANPQe1BLWBOmLQaG5zV/+w+VbxrzaxeOb7ZBc2
0yldkJXGt2xW0t9Ebjqa6xp4DvgJHU3GxtUqai5TDLJ3YdvNkspwXoS3ZpUVh9qoXIiFekBuFQf4
0+FqHjIFlC4b/SuHtUDaoRgB1tPgSJtPfxZKqxi2Jpgoi6gB1dMqH/rgB5L46g73PXWT4QGr1rY/
dEhCMzGY+wjcGDzEznWvAUd46z430LkA4B7Hh6ydawqdVSXSFa1D+S3qy550CUSL82VvyYmI6wUF
rKqxPAvTPHtIBwxmaeJXbXXWmw1biDHOqOzyGl7oOozlOO8MMXm/SvTsd6q3ErYpjvcLkfgDuwld
bhjm6k6DpBv87/hnq+hionml3oD+Suwrc7TCYtpGMH/DdFN7fdN9RdOKP3dUw1/YYbFHGicrKvYq
Odbhc5L1IllzL7dui9nOcF5HvNqdm8rraJHNTHVhm2ydqwicCZXCpi4DAHoTVV30N2gY49nVJZXh
qaMTvEMg4IVGdtWCyPpZVEXwbNRsCWt4qgYyQksupGCDOATIlRfMlIoLS+48uwQBgbhxuIlih6Mh
7JKSP+rOyW0TUIQW4VyOO1021Bvntq2njetzG145RSVulTJmvWuCRZMCvX747acj1shy4P5FwkiJ
/txVyH7CIHe519QdJT1w67yHerLLvWz7+ICItr5YfKHcXTM06b0f9XOO33nClqm4vtw1wzADLx0m
K1l7weT9CVSISTFCvvQHF7/wllCGssdk1u25nZb2xuxbmCE5uxZ7cWQZv4IqQgJbt9l9w6e2dTTk
d8wOffeeReH/Qp19PVNeN8p7NJS5sUp91//OJTafoKi2A7U1lfcHszSRizlTONz6LQjbRTsnYKvW
efVosqVR91sqpMnaHkRhr2AORtHGNFT0GHUSC7GhLpBoYGLPg2k37+JLeLTmrR/iV3QVC5Lka6Bl
3k9Btg1FFBdkg2lw4ssIMWi9YQMCVN3CyF3VcNbQp6LEqGjMKUEnsJnCUW5hVv2ISWP8MkGhEUJz
hXVWAbC5Syi/HWTDiLWXWYllnw1mVT6UkuTRJoYnotdxajGrESKfr0XQVA9u3dThxqbx86oLIjrj
Q9UWX+fEyL9xKS32BnDcpSyWix8l6owUGWzWPnI3jx+Rbpd7h26kX6ORj49DqBCP1VyOr+FZ19Xd
4NPnzFQCM0KdJs3+1pLu/GAPQ/Fr4sOB5DG5zhNV/l7tgDe61IsHpRM694KoA5vSlc8TDZbhpWWa
oXFlCNMa18q1QftVQUqrXhG3PwoxuN9SXet7J5rYiDw3G64zuniI1D1cmlak+akfqsQ/0G5TfS06
i+4X4BV+uzFbmbgXsZfEZ0WFBrlzFT0+fjVaegVDdnquhuQX/ewq2mCCnV71pJuJEYCRbPqUHQUs
yVLYn5TVLfbms/MdNDgJ1aSKgp2SBmAaKitxsA4NE918HS8F9KiaDMgF2RhxzUcW8rMjS0Oif4wq
+wbPeleeqcyM1bXtR15NnwCiozXyKv0j9axefDc70LT0/NQeLubT3BVXsenW7rbhh3pbv2+He0+3
aCT7wh27i6GwBvNHNMf0H1hQxADxAHVzt5i1DH8TcCn2LjVwEN3FwqP5c4o79KC1b7vjhRPa6I0p
CTsrEunVd9unGHQXMWnnTgSM5CIawX2cVxwZ2ZVIkIKDeGphrlV1L89R5CL94eAdMsTjbtnDyNVh
TbDk196aGzNnn2Wmo7OrzNRJdnK2tbqMtDWn27EBiERUo43yEghxkO1RsAGASQt7Qo0BJym5SPxG
9xdRIYvmKkhh234j/VDaj8nkkBNnLrwZ+Y7j0VghlpdNr+hyvKVmfKeUBWdJB42Qa20Uw0NtSusn
VyQNw8iZ88fYMmkW4Ksm3A9p2rsLUmKf9VCQH9xkNrInVP92yN/smuLMi3UuN0E0UTLICfyWwKKq
YPWolHaUCcfj3vVSih9gjvkSatjv54mdcdUOUak3K9n0dnPG0Th9Lx1J+l2TlPmaUjakPC3q5oek
JyVah5Aw6ivIZ8sV08oKKAP4V1j0zJXOTx+R+bgeB6d6KPLJcLZk8wHC/A8ZdxPZa289IUCs/tRB
AuMLIzfr9+epv3cJTU9CMKDuAnvNZ7aWxOCrNHxYZBVmb67/lBSJvK5SLX9YREP/mjZdRqGRkcyo
saSKl4Tnq1FmEP+TmqfgKcndcZtPkb/FQPrEo7zLmr4MQi4YGblkGz3KzWa5SxKIrO0THKGOdm8r
PK8clDIeKgFihVSfSLAvRcv/1hZecqYks3gNmJxhyHicpdX0KCnAz+HTHHRA7O0RXDbS1RvSrOUu
HMzH2E+QBmv6dz5/Z+8f1ARzQlqfkJm5tJfM/6vZhBhrJ7TOlPvAU/RoT2F7JQhkUP3P4cbJevX1
8/HeVhJ4UA5UE9MTDJBoRWPgt+N1KRL8kXvhPg/qesOLFBv6K+tN7dNP8H8ZyjKODJe8yhmnCH3Z
Pi5EdWVWnKxurNq1DYTthC/gu5VPnZ5lQuADb5A1c7TyxaAI772o3KtqwDWdauDt5JT9w78+ECAE
w6AygZs9laijd0W2SaEJy8u9IdgVYq6kXEYRG5HvPTF1Hz3P65GOvjGtG0gKmJTuhR+hAyePCT20
/vv547xbeou4AcYDxR7DpAhy9H6a0fCNZBjLfT5GGd2pfnkboUV/mprO+gJGS1x8Pt6LD8ybj8z3
KAlLh/dE86RxbHmFoCZvEdx0+2msxFMk6hLpbyacb0ULVFS5aX1e6ojOD6XvjC7SO9FadBGB2XK/
zq5yVyD3mp/aVsaJmtf7j4LPDxeuAD0Hp8pLNfDVRygRqQ41X93eYYM+67AcWfWdIy7o1n/+fA4+
eLH0pPD5OQS+/OdoCS38Lk5m3eyh1SCcpMkd5ZEVnthUPnoeoAZ85nLRjATLr3j1PJh71PVoF2qf
5oFJqqn4PeeiWKOpK0+MdOQQuOwnHsWd5cQxTBvT5yM1iOZy6I1R1+1z8eLjVuEEAxrvlmsNhphN
OJ5johLfdCIbHoERIVNRY30zy8784wxQDz+fXvNd9ZKTj1wyb5IqGNub+fbJgf+gPC2ncQ+iOpVr
GBxcj4I4xYOGOAQ3Jy5a5jY0G+88aSh3bNyug0md8p3djUNl/3QxHjbXsK0B149DoPttQHIB7E4Q
TBelmdrtOnNhK5IaQg1YN7RVgUaKfudWIW59Z6znzWzBuwf7tZAdWxKz68ma7a8DZ8AtsFA5n9gr
3h1dyyNzSKKUkXzHS0/y65ddB6oPwtGjalbHydolR7nuiRx3ilhgQ/dc/JMgQB2olc27z2f7g2XG
2zcN+o3hzlAsfjuyR1O9Q6ttv7dILuyJbpubwZXFDkBat/nnofCZpRMU8J0VyJf3/mpFe5Ys/GwO
1T53CmslDKLkwit/pMBKTjzUu+opAoNl8ciFOGtK42hB18KJHOmU856CznYWro+w26ZVWI5/3AW8
DZbhxDf0bhoDRGSBYxHtoCQjCng7jVDxBXuv5Nk8w0NJmstvxNYGrLvKP//HaWQovg5/eTqUFC+q
nVfTOPimKPMmGvZ+T1YpTDJ65iZbQtL0whNv7P3OwFhLmOgRJrK1+kebkDeRMAxrv98vfLpboarw
DsyeXucQTtfVDOe7bsRy41BPmrvtT5FzjwHE7+Bbr93Hzx/8JWB8c/bwazzISBb3W/zhg+UwfPXk
+BHXhkhqurG5Wa6GwANzPgTDjqoppWItfZy+Uf4CaHPvvaE2ttz1nce2KAySLsFZanbG0+c/6aPX
vmhlFpYAx49xND/C60bKBdaw73uDhvEiM/Cdc5pLMtunVtjLHnD09I5p8upNC0EiQJa3T1+69TjQ
6KP3NGajgqW4P/QICAPYFPA1pluoU1y7/B6YuR/0JAys3Anwb1sspXJVjF+E19Jk2Zk4Saw8WITx
yvC68q8dv2QxSSRcktDjdtsyUb9cMiWPEr35I+Ab4+HzaVum5d2jwPMjnsT6jXDi7aOY2IXOeWLp
/TjTXwqBI9+0flieOEjkB29n0f0YSJq4Z7/bBmhGdCU9/dMe46YWUxPP/TLXc71rrLq4jy3YI02h
vBWUZPkFIH97N/c2MzZptZ06PwJ2UPRXCN3sc25++sRnvCzW4zmAk8NtwaSeA8j67RxIs81UMqfT
XkunXxG8FNuYNokm5BuLh7E6ccJ8NOW2R/M5M+Evd6W3w9H70y5SgmlP4WLhL2j8YuDsndh4P3go
JDJkuTjM5CK9ejtKizWAkZj1vBd4FZB3TbqzakqsVWXM4saEZvDvT0XgYrEhsvNygBztCGYvEJkE
1bSHySouBZ4Y5LfNbPvPyzWQhHycyxgHW8de6ZjcJIWI2mnfYFhxF+eD+FVU1SlDv4W1frQiXMcM
0KuiyWAs/2jytGOOfhOkch+mOAj2jaMfQAXRO6ts6kkFqbsz1fYFzShugL+YHe4rUqcrt7Pya9zc
G9JdhAwT2bIby6ctFPQCcXggr/qMumc5puWJJfx+TRGfegH6YQMHBlSDb9+2i7sonftS7ussSnZ1
U5irsrfjE5/x+6+YUdjvbBswiweb5e0oLd5zPQQ6uU/LIDxLB0y5phbfuYDOqRMP9H75IpxzWE3L
MbOw5d8OlRpgQVOzdva+Q5p/8mwTImbr3gR2oy8pzFubzxfWuziFNctQhssHw1bwctl6faDJuEfS
ZAR7nlueeZkz5FSslt5HqBiSzHwyndXkpn5+PuwHB6nHB8NTmsthYh0rI00nJ5/dKrFHkmWesyso
QZeZq0Pwe/nwRQxZdAPqte6/+khlO8rYsfMT1hVs09kVwb6zKYuvZRiQgP38p71fUssvWxIpgBW5
9Ry97JiWkSownXCvUK5849OOvxceLRmfj/LBvNscoqTZHElG/iXseTXvoUk3Hqwpsc9Gie9LbmIS
FUk6WaO4bb4kbpKcWWMZndisPhiVpcWb5Ph+cfx+u7ok3nLg26jhcLkQFxEooj9ZlppP6WL4A+Xd
2WYB5pmfP+r7JY0w0nURERJz87RHE9rh2RPkwVwcWqLfC1Dp1JrzlhR9V4FFNqb+8fPxPniBgWEg
vOct8T/vEhKmMIa00eWBNUaIyLl2kyDrO7EnvB9lMVle0hAePgDucWqRmmNjtsqtD64DkDe1u43R
FacOs+ONh6u3y/2Tj5MEZmAca5UpXZk1girnUIfeDRuTe+XFs7WKnco5+7dJsyRdK1wgCOoJsgNr
edxX67G0SPPWxKmHAsLQlYOud60j+CCfj2Iez9oyDKuPmx7bHBnEo+3NkwJ1Ws9awNqpqLeQzbPk
yxzMpoY/pq3bCWvFG4oT+IWarQspyGini6AK8+EqcAYHG1BqASjylbmbS2mJFdecEkw8Gr4zjPzS
+qxMDMwBEkz40g1wvuFrMPvBY2uAokQn0wJ7D1oDFNLnD3a8xl+ei7XNFyOlfC/0HrKq54LN9I1y
K0Y8QSf6/y/VbN8iUohObB4fzuJ/R7OPviikmUFY0ux+6JXMN5ZSzqbywuzEM71bfMu7Wo4i4g6A
sccXSuINJQvbKw7wv8Qaf9l+HQagfvNx+PP57L0fiehz0YkvvU7kzs23iy/ugLTOMJ4OUc67G4XL
pQ5MK/5G5r9mAAjQbAzCrQWJS3Hj+LwrygZlLCaKh9LQ5lVegTCYG+VcssO7J97Su6vrMtYSrtHF
Z7L9HW8RY5rH3VDa2aFUeBa0kMw2Fdp+RMaqBhRjJ4Lrj4+HnD2V4Z/BKvXGaq3xOp5iCDgpdaUT
wcX7dfP2Bx195CLq3KzzjOxQUdC7cGQhzqMck4wTD/7RMPayX5ETlg5H6dvX2UofrjvOJ4ekjYxN
GxTGHRTf6tfni+Y4VmV2XcdeDuklgOD+ezRKlaBYG1V1MAZDg/sw+mtSI/oKaXzwQxUW90wriLeY
9CGoDeP0RAXk+ChdhvdJBLBZGr5P28Tb4T27L2JUgtWBKpx3ndLstWJb6c8sByB/5CCFwrvmfzGz
bwZd5uTVLo1lXoMO0K8OoCqLMzcCMdL7w3BimbwLzng20p40H/Jc7Gnu0dQ6rkZhH1b1Ic7qmK7v
MEQo16RIKWQP8QhNVixtqvus0x4Gu3DXqesE1Qpdybye2ftJrTnB9vP3/X6LdT2agzzzP52SztEm
kXYov3oQBgdsLp3rHJPQRx99IErGXN70KnJObH8fjOd7HMB0KLLAMFR/O9dZDn0W04buQE5tvtV0
C9w1jQfHzi+Nm9pOgt3nz2cuKYfX13FmnVIKBSFOR9QH3tGAQI8rz0KXegi9VoI/KgoHon6H8exK
DX78LLLRfwxmQ/xWGRiSBP32edx1Oe14Y1h8aTWrddNwdl44hMnAHSDlG5uGni1ceKvMKfhjubdr
63Kkc1v73l+sHRLjxLR98PFTnyExyA5Ax+VxJt/Wjsil6rpDkPcSOYzfXVW4A52YrPejcEdFcQfb
3KW06xylb/C3ogoRz+rgFJ3eRiIx0C405T8/C6MEfASmYZEo8o8+tyQfXWUj7Du4c5evwRNnG0TP
1r9ul3QLm3TB+hTjbLojjt57x5YPUDCbDwVXvp2RzOEWBW1y4vN5t11afMmceWyay21v6U9+vXUs
XR0wOIP+QIVFdNs4tulnsfJUbvEua29SSxsX6PXGfEvjAPhfL8hPRMzvPih+AXJQ6VP0lBStjo4F
WCHcdyxjOKhY2FfTME7ooQcUV4VG3rFI3T//oN7u0Jy7lHCg27sml2SW5PFKlGXfd+CKYHSO9Q8U
n1WN69Os0XXjb+nA0NzGyVSdatSSS/D138/4P8OyZ5COpbvwfVYNYYzqawyi92qyqvvCqxRGznBY
SthJviuBS3jJJa60AsGvFQ/GBfQLnygOsPi/VVZeforjsZ0shUJbBi87zqvjwkxQmZU2uTA1+wXi
7XIGj0hCrNZB/0+1z5eheFau83S2GlQ2jj5IkOro31uXVhKaac4qml7QBcXhOVrTUxf0o43yZSxu
CaxmbpUBHnxHYYwVCpBgELD3QZ2AIXXmKbur0hBZLaH5kGxHM2ofhhTR24Z4D7JiCQ/QAuGXN9eG
BVl8g/V6j8VpQwMLBkeGdSVU2dyWThCKuyDKoktUTOJBSOryq5LV9eDbTff98+X59oP8z1Owr9CR
b5E9hAP89oOcErfVlE9Ynq7sPPo5lLy1ZafWjcblddajcU0TTfOrsMrhZkq98sRd7G3Q/f/HtxDF
wAvmbm4cvbFkAsYHMX/eD9IFVS3QuSUETLSCtNWJ3frDoTjcJAlMXttxfD/oUimhGmNvJ3Ru976Y
L+CttxdBR6vI57O6hF1HXx+HKN87+pulsexoVq0cOmVpeHJfoDHdJGiu/uACZK47wwcmnJHcUI0I
LmMjTv8pzfGf+fToKQ5IQ7LBmkcbbFWn3lDRYbLXedM+p5wcW/5te8mGxhdz3mFL9vmjfjSrZDcg
NBOkMejRC0QOGjv5LPjk6LXc0LMEanOM/U3syPbE1/12616ebWnh5VD3wTZQ/jkaKhlgVg9JY+3t
gi0V9+ck3VlB0/ykAZ0+KgiR8Y/PH+6odfo/Q0LRIMFClM+8Hg1Jv6kKh2Q29n7aDt5u8O262dJ8
Fd+P+CvvS10jsU6yJPs62FZ9zZ5bXnvYx64b/uKJmX6/qEyOK0xWFr42JaOjExpR50C8t+R/UVkk
iJxSArMZ9PXaJH9BQ2aaPyStRuFZ1ubz5xPxNtJ5mYclbcbZuRAz3mmSZlEBt1KWtY/8aLjM5zDf
GAHi5M9Heb+WENNQ2CMhyWdqWEcZBUAcc0yXY7A3ReOvDR2Ym7gdDhH8+hNL6f1IaGNYs+zehPNU
E99ue6buRsVelx6o9sqNTO1iB8Ky3/giUafuMe/njpDXkB7Nta69dNi+HSumPN/0ATSyOgrKp0xT
WkO4aW6jCN1xO0TVDUzecks7r/0oRtdm21fGOiwANSMGR1iDmfUqEc2pSOiDObARTWHFSkc3kPXl
n786l2fR1L7ovfwwgvXbBF0Clgnw/5mZUB39/MV+NAVUEiy+X3SJ7Ddvh0LhrGMH+1E8XnRxZsxl
ta1iW158Psr7UMtBk4Vbc4APkYUq6e0oKuwAHZRdfRh0bl235Hmo7xoY93hOQheC9p7QO6jN54N+
8GgeFzQuaZZjA5RZvtpXs0iPoBN78zLo6EAk1uCSh1raJ0b54F0Rky84A75//vvo0bzYEFpPacMd
IA/XSQxCzhDC3JVZmJ4IkF8Krm8PL4fbtoGGziBIZu97+0QuWqu+BUt8AAsEwRtLdffZB8J2ZYWZ
vmWlQ6wivsfvI5UOMIUcSU4CAs3zXJwA4UNxDXYxW29zARwERCxl93qmAZXol1ad0ssxT7Xm7sHU
cZvtjNSVl05iwNN3BSZE9Bl7nbXqNT56xKPa+FvSbYFBn86d75qUQ71q2HtoG1vuQyvlWfRzIEP+
WYVF/1TUDr8RWUS/bqUXPCCFHX73fUa+1srSst4EJuWHC/Sb4tdsFKBwixqTNcMY8MchnTDQtOw3
NW7ZC5grQQxUrFCcj/MqbpV51Xn0rlM9CNPf3tCYdOeUlr4bx5L8WRW2FbjoTtKjqcppLlc6bR1x
pWhRMkBUZwaWAzW4601KczPA8EyZEL7T/F5Fsf5bOXRZU4MJabTXXt4cnNkHZNAqw/9VWn1Ozzn+
1zdu6UNDhqRZkBv3cLvfDPnisFbOVkGPn54dd23SJ0ETHuoQtS38hfZBB6D/OOi2OJXJPEovol7i
VESDa5KdJergm3q7WuoMMXEZqfK3L5xVH/0tMDumRXf2H8oKnAmen0Z5UQHVTu4lbUWff3xHKsz3
ox/d5mRZw7Xy+vL36KxuJlqKn6tv9o366X51wnUt10l/VgNWPft82OOg+fiZj7750vLryBaMmlvU
QmbnmdbFS7HAjTHyQirvTnjWdsOJ7e2DGwf7i8cZQm2cFOpxrJxrE/y1LtuDS6djDKW4j64ya/qT
FFF9Vy+4SCsR+hzMJ/IXEzOvhoanh9Z2+h3okXjTSAU9u3eqC5uj9mLuYn8LzZK2R0OBpPMCGmPr
3LwAeGGfOG8/2CXJ3hvmwsACUvaC+Xi1S8Z0fGozmdpDObb4BeYtOni3ktvP38sHu2RAiILMhUw3
UJ2jsHvAidaddJcfoPOZuykYg800D7RkRJPzvxiKYMXC253ED0qFt8s+sq0RNoDF4RnM3nnhRu5G
5iq4APw0nVjkHxxrENN8aiDU/Jej5u1QoUWb5gAH/SBik75iKkkc1FFbXg1ibqDiqjC4V7We7v99
Ml8utkiTSD4dH2zgSaBAeWF56CG8bizLqigphdZ6Tvz4RNz3PrBf3AOB0qHcdjl6jp5QWmUaaDco
D5WFabA3D5ghxHF2Ptq9WOG8l+4+f7QPsiOuAY/H8NHLIJO2j444Uff5aOc5WXuKqtumofiQpQCK
O3MgP2l44Q8Q8fG2Jf66tG0r2doU/k/ERMebCDdQyE/ITW08s1zKxG9fq9VP4OBFwmtd3CoUBcQb
y1F4HwuZ3BqeG+4KfiJGn1O2xS9Ln4go3q0qMiTMADdhFjD1/+VbevVF2l4agW0pJIUL2f1kEf+R
tl3taKBK8YrC0CEYu+rEe37/yIQVINSo8HKVIXH6dsxyLgOsFmzzEEHNvGxo6G5WtVEA8yqr7i7L
RygGXV/ceE3bbf25+7duH24xPDNhGhPP6Isg7u34o5vHNFdY5sHGDnozOba+TmfnVMD/ont/HUBx
nUCZSQ2RxUx3xfGXM1KP4MAsnANJ704CO04IhGhLDq6qOsoXgOsk8g08++Cn3dFYCJYlgl6DM4qL
NUCVqS+x8N0nFQjAEVXR0iJWWFNl0sY1OOB9x9G4h/XiX/Ugum+GMgy3is6bDiY4bb8VxemlhSv8
601Z9RyWM4UCtyvSjWS1AclvJnjQ8JHkOa3wtbtCP0mHUGQN85MwRzOmrz+k31438fyM0UyFRDk3
52btwmD7ji8CLSOhGeTnAMP8CzkNnXEmXUzt1yWxDx55HbYFUFAr6cBgd/BkqdAQ8ldtXGCsJBqw
+5ZtfVtVhYlrfVkaX0Tv8Ot1qq3LyLGLZ41rDOA3Fu4a82i6i+eqaLDA8yH6djT+nQWeDUUx1IWY
Tm0Ny17z9uXROsU2ayLy5aj1jj5LHdHW3WhtH+Z2MbmL/KFYZ1llu8S80r0g6EMvKscquQu7LBgu
aNelvbcRxNNr1caYIU+RmXy1hPAea5N092rUnn0/jcnwRTIn/WWZB+LEh4Wq+/hn23TzkGN1bK7N
lLWWf/7qcwbXIMespt0Ybwg6A50+HZ7aEr+hhR6fbrBZBtwCRgHEgmk1AbTyUBoPMbZPBzvVOWXD
AdDfxvWi0D7LVd1dq6hTv/I4FeDOhdNewkmGzyGtHiegJGj1lRIaU9WyMhLvbOgHADJ56KfPdOFj
odA3NMesytoPfg1qNH+5OW3MqxbQCdbWIU4YO52PGZqjcaDfHo4QFLzKLOmPC+A/ObsZ/+tkLfOu
fgamJHDMqUTx4I6Dns6QndtyOwahi2+gqB2o0UaYBd98ejxxHMp9uGdhrPJvIN20s07asbrldhvd
pAjv+5XsqvkpCPV0ZfpJEWL82EUg/BWUmGAStMsYbTZ/9ZI+Exvo1+K8H91KbwHgpDeR0Wus6gKn
rCCCA3XZ4PQQ/HSrHlaF6nIgyWryf+VRNd/gAg/OEUqZwH+ScsahbG3jVjtqeiIVDNZhMBx2vAyT
jz921tMLyAYcfi2zwh+Q21VZcKXyKtpXHXysVWrOcJfAn3CdyeIRuIzVYjxhq/beqYo6WBtdC4mY
jnPnORvnJmTyK6fe0tArQEMlSfrQ5E1l3BitDrzN3I9hdYmwJcx3XdlFf/KwGMXjJBByb2JDRg1O
2EpPN3kzgxiY0b0cdF3V05fAyUT6FThAmO7dOnQEej3sJGhSlono7i0jzH1QEmlUpef9POgBtHA5
ufnNiM8ihoUiEe65R1FerKs2qr6ntEF2qxqPGXuTRhm2Y21N/meFkWZ/hjwCzAk3rxAE1OTWfzxX
qR/+MPN/kQ6+OQtJq3sAsN7t3Bom/24Ow+66ECI2aIlOcSTRlKsvuTZjL9JhbA5cchoIMApMrNMv
U6jtfAWERI5nOC82cML6tD8fra6GxJ+19bANhR8Xa+xBpuyq8I38Dwkd93qyUwxx4tDEhQDxnHtD
vrJ9tq3ObtaUXtwroHYpfZc65BKka1Av8JgAm6EFSjDEEkYRsdXbWl7U02BRPyZFP19QGS2NS9jZ
k9iSCjOvvU7H9qYQDbRcu0drewGKqrmP9CDKi1IVNS5ULuY3t+1oQV1uSRpdyL6rLukVLjEDS8Wc
P8dx6H3B49Flmq1R1HQBWVG7ktig3PCE1rwTE+ZXq3BwG2xDevG3VzX69ykRFngsXWBkQjgY3ow2
7JdLXckoOkeyHZzLmOBozWrPu7WhrMrEl2/szR3uHQmw8trNoX/LsCt22DqCoaDSC9YhrfzCu2ji
uLfOkQCCfguNiFbneeTjoZuig3FR8cNXla/rZw9kBjpQk+rqzuQV/wxo4lZrP8oHMHtmEt0Phipg
vpOEfqJ0HzpbKXSGmUIchhcKmou3guOTPw+yoRXCjOPZ2BR4VdS8YLPcmgG/A2eoKLlyEn4fdDkJ
sD72mvjZ6hLHOlvu6PD4i9r9GmXw4y6hkVZXFGwANSAdoykLIgoXUJGLCciqPXvLDmnm3z1Mdili
wgd7mDlf/zZ91qoV9+kIoTsgogBe3JTsww7yPy5hdlCv6njWyZnfy+iHnlukG+bgdy4bk5Lm2gpz
cixlruyb3oAWumrbObE3DemgeuGwxRhskT43dm4/UWdUQGeTFYgxrg0h6LOIZIA5PyCkClD8hw1O
VHZV//W70tqziQMKq6zI/pGlU/OrbhRxGQh+TA4ay4urs6mtvQMvd67XtfI0p10VZw+iTmSxIbDo
TZTZCvJeYS8q65inJH5XUm4xL4M9ayexrnGBSHDBIhuD8RqHikw2mB+Sx5aALXDTyStjq+innFYe
TjqAaAvK+Jt59K2zKuI2tm5aI/xuVm6HKSxmMd9puHe+T67CaoGsUWJuFaCoJ1Kbkb8xdZDdjrpg
JpygkdetJdQ1pDzzW1qWLvAGnG1WIF36a98tFc65lUh+sWfY+MQFkB1WFthzdrdwtr+IYoQ5EU4T
iC1iSDJYyq9hSPKoAWkiWE5kj8LKO3cnaj8bOzRSTjvLiAUMM1f5q7FP7F2GvYY+Lyv219VUF8aT
neTBI3X3IqbXrekdQq/UO1dW7HAu1NL8G6edi1WAkSXPVaJVAdUhza9slWM+JOzKgDWjq9HcgA3T
T203xCMRdNWkOwD7GWDTDOoXSJEeohpeM9ZXgjowbnXgRj/dCWviixwf5HJt44hjrqY2yO1VDSqi
WLrga25hY8SX1ZUzHDgD46B9U4riuUnEHJ0DZDPOQOrD0IQPMF1aQ4F7FoBHmpbNIlePjh2pfQ0v
5i4YZdyc93ZvR5sUJdWDjf3EPRq0+q4sYlTNrF9iwZwL964MzcpYQVLIbl1fPLuNhZdUZhdspqMW
uJrBGsJrRKXax2hBBpgWRJUM9AXp/hmABnTjK2ISgxxlMiS/wSNiLrV4jEb/j70z240b2db0q2yc
e7rJ4Aycs4EmmZmaJVvyIN8QsiRznme+UT9Hv1h/lF1VSkqlbG3gXOxG35XLQyjIYMSKtf71/Tu/
E3kMSLLU1M9s3ItDQTUL2B/Uarh2tmp+ZVIYUOE7TLO2ayY8nzlfuoH9wojUxzxpU3GZBioWR608
UH1h/+6chga+z2zoHDAjTtlAHNtE+TRhkxchFI31z+Q8ZPM0sqw82SmQYlKH0qFvXefstRhDALqY
bgcifmwsRtglu66BzrQlY95gOxJSeN2Ns8ZhP0xwTQZYoe2OUIOvqYAhM53Y8Sz73zXSfPNxEipl
8SOXDbiH8lzN3bazAuOutqR4coxxDj+pWiXgRQ2NjkEed7+vlLchPGMUlEknBlzXL2Fqm6Q0bdN2
5HDqDU+zxuK7HSkpYDkgccMGnIigXamw+BshVyCXolycfRyVKRwuUr8u9Z+8v06+TXykYjBNI1k+
wcQ5DzatXYv0LGTXgJLdwvrKqhqDRUmPs/pExcUy2A5l0hpfSkC5Z9DijZtI0Tp1i8JC+QmDY6o9
Ax++xGtZio2XDTRzbZtO7RJvTAutpFLXVZhVRWp3aqd4R2z8AVxdDBIVsyRuOp0nk4yKPBom24LW
gkIjn2ZL1W2vIABGVyr347lQ0tm8mrQ+GXfFLOrRMyMLnxWLL1j2qAmOMTuXwKRQbZPhsYsnU3JR
6RXfM8WXyuMpqwkg5qiTLwNZac8G0w7hFmpZdq+2Bs7o6lQlyRbD+CQ4A4ISncc5eWNP8bnIwUsA
grU1ezLYro/JRLklbSxfIY0eCNQts/nSt+FQHXOLgaDEtLOHspTNC0IJfFEkOAWLa0a7uLLiSSJc
nd3oStdhf+4gCPbmpgnaxa49qZtHLsryDcCk9o59GuvTQqaFxdbwjEfFZYjjRJG0CatBnN4knC0a
njt3iW3N1M6wWsRCcZrCxPesHtM2h3+x+TjKccWVI6ukcgdfqL4wanx8t6PChc1TMzE1zugnWHeV
iVLi75bqpisPQdoCO5iF2Chxmp2nGT0PjlwZ4seIpZXp9CZcKNfvK2UTNBJ9AwVg9C1eFbK2GARH
+S0RWLyxxqZwadwD9VzqtMwAqYK15tpBxckmpomTN67xSW/6DPp+KJLGC6qsqNGk2Grl9gDtuFUY
SYDR15TNEVRMMtw7Wgoxw5YbIe/MFMTSWVmw8+BfrshnyayIq8zuKgzD6iDOnG6pJXPZkSXDS5su
/j7q8vhNVqYkh6Q7opYu6sbG6ayRzBEeHn49rt4vDbOCwstZZ/ALp4io3fFlacN90gjtp23N9qdJ
H5T4OJUMuIRSiBuXUDP/m1x182UWS/h5Da2s3/XwQDUIu5JVbNlzR+Svcaa0F2Xt6/WFKMf5Xver
oj6ppwHCut8vXGwwxVzHOXV+Dmpt9Jt+skvZbbMFpiisSbtOMTbEn4ZlOmyGZpoAzOvTbDgC3wL7
zAJsNnt9Vw2DNwxDdpF2NCQDBBg4/RSEXqMb5XERHRm4Mn6TCNh/mH4wt/j3pjLt/PDE+PRViXJs
LLLwESZxpt60I4UaOrua4RyN8tQf+Tb1ox2Z0PFnBWKP8DQf9R9A6OwS47gA14bSCGzg8wvaLHZS
hMU3Key50C1KyoBsXThL8Gy5cDLZqL4rcEHB9TcWEeaFUTI+2HDfwabFWCdgaNRpl9wXzYn7MakJ
Dh/NvAEHYNE9IkQA1YnkaIsXChdbzpEKxi54x/gCGKspHcN+yABewgVVTmolmwKcjnvy7aoUdp+j
YcFlakZm0vntJ9lWjanuL9Uv6ll0XNLpFui48egaoKIjSelzdSMGiuI0i2fwMgEZRldNWS/PoNaV
L+MYUaXiVOzuxnCYLqjUD5dRnE3+sQakoSLqKqULGDDB5GqYA97Sa4VDWDiOxbmcTBnUO9TvSIBG
FUtr3Nj9E3ue0bhOZmMcVZlZPc4+WNuNoFFWWrxowsyzh6y4gXpZn4YqeSmnMICzOWmV1tdgkjt6
kNt2IpMp2TLmgXrc6JeQT0wwq0ORcRVHuXHUi5Hwl7q5dkqrHwhajHFGDBfrCYCm1snx+TQr2t1Y
myb9GInC+QkPLNRcEXKLdMxRbwanM/r2dsZkVaEJwcy4SoaRdTpCUPFPhaqR9ugIq2RnDPH4WQw6
Ps9w8c9stRzCTVNg5uDpsWle+qFmXMRROT9g6dxqLv9W9TNME+NhqAieHZvn9R2CZAN6ODLFHY27
iWDIcIwdv0jVb2TxguukB7XF5TwSvdMT/jcQ/+zyqgLqS/9cIbG5lOj/TbYeQOqbVtZG+YZK8qRB
kwb+ST6j89lHSk5lgoImPzMQkEOPxIih2alG3X6rxzj6+XZa/EXqa1XKW5VPEgNslt8OFNOgu5km
BbwvYG5S6notjFhfO5AAX2f996toZK32U1YAVmU58amiGaPwUmzdJvmnZCaAGMMDxZq3J0aFen+k
QSLZIfo+fxil/pK0NiOprmH1hNsAttqtsG/efpLrctd6aqskYpnDgG8wsnkoE0rgPM08unp7hHWp
az3CKpWu52UggT7NH8j1YPjmNtL9MB4Y40VOcVkPiHFQyqJbQRy4emxRqVN4UvKH/LjZaZ65k47f
Z7bxu377bIjVgxrnRm+tUeQPyMg3dfYQKof0aas2gpdDrJ4UnYQKpCNmwY2MrT8XTuOkXyqv3swn
9sfganbD3dvvZl3meHo3zya1rI5nuVidptkG3H/+gB31Tot2VUcibKcV+S4NjnLpK41bBz6lV9fb
sxFXxRxRT01tJoxo0EmEc3HQHCpCvvqxPhth+f1ncyKfySFFOu1BluStJmnHBlRo3z9JmgPykxe1
ufXTW2WyfZp/I7Ob8geaKY4XW8bJrDlmU6+rzwF4uzJuv3H+WCsHkU6vbhMItGDPLAJifbXeSR7P
JQXK/MG8Rsdxkn2JTgoMHpxkp12TKsCJ8hwM/jW+6c4hB6VXl8yzoVffAYWCyYiElT/09l03fuZi
Egy1Z6kPcnAhpeFOU7+/vUZf3T+eDbj6KtA15+pUm/lDxhdnt1/o7XehRh9Yl6+/zGfDrD6FmQKj
mQEYYwtRtp+ursBwe0CHDgzz6vJ/Nspq+dOiEaodSZyHzMRMgjArirZvP65DS2O1/MWkSSjoeVwl
/Nx2Q8pCWTAV7oix1qH2qle33WezWX0AkpbgsKQwVmG55lb/bn4Hn5wdeGTKi1GspZGJujMaSHzG
jNWbqbAt1MQ8Kg/CGIcrNF9Aa3sY87MRz94ULtLaqg3OKZCpOC7lqUuwmPzA08/yulFDsh432ehk
tqF5dSH1roI8DmFoaR34QcWyEvcKcjY4KF1bquSUbOmm3t95VNGVctJU/g8Eo1Tiue+MiWvicxW6
ZFqjyGsr1fqZLfdYp+xiyBe0IGCZ0quN+VEZbRWgrT7np/bkY85LYwC1/kEdWod4py1PUB6YOLVY
NhndTgrJXy5lcacXs0ULsAoh2Bd0ub29nF4/lBa1wwIbWzo09idlVlRYs+X4tuIj6O4Yixp3zW3w
2f5IyvI4LC4wpjl0Er5446vwTuyPmcVZGykqUVBmxcTO32f/cuLBldR+g0OWaQeFWav9BRk6zKSM
4C67iy6ik+SjdWxcId0zueqf4YEWQNB+zA6cHa9uas+0aKs17St9oyNbIM6brmf7a4n1ard5+829
ulE/G2K1GrH6jTNqm5y0COscSfkosQ6l9iqp+1uNHHbe3dnh/dOY/2PPxq/553/y63sqaDBzw3b1
y3+eR0gOm+Jn+5/LX/vzj+3/pX9elo/5dVs/Prbnd+X6T+79Rf793+N7d+3d3i82+WJI+bF7rKdP
j02Xtk+DBI/F8if/b3/zH49P/8rNVD7+13/cF13eLv8aAsV8z7ty0Ub8vePlWfRjunvx5395XQr9
A3pqBX4aWwP1foPT+pfVpf2B/wmma9HL8lsgSf+0ulTVD0vDrEyzLE0vTyaYTdG14X/9h2J/oLuc
lLOuA6Ncfvc9PpfL5/vXnsWWyPm59B4i1oJQxn/tf2rNpGZNWM8khHvy53bbsA6tXIquTCWoryGp
HArV91c+bIYlZNHZyJkCG+1ay60j40uMnhRjAIHNqxVN8hoh/egprh04CcXT3vRscqqiySisAW0u
MCl01qvzCaUY0rAWrtdcTiJQNmkJ0Vy+Lm1VwobZVeHl525o0jRJpo5iXTxjHJ/JADOVbVYbeB/j
dRe2SQTSUImDI8o3KiedMjQPlE9HFC9LecEgiW+e0RtUXpiSL1wfr3EEWoWeXHetpUvb1BrV1pM6
A623PUZpdUziekhdMuCdvUEtoBT3o1Ln+JYXgxnsDHM2eCOLBWl1lEeNHmyhKjaplyWJ33rYrJDN
bTIr0y58s8uaqwJfewpKUjkl5zGMqPuujJrTOsJJ5S6j7KKdW3NgXpGk8c/LyYzu0zGlsAxxORsc
XTTlNHrQxmeNVpUYMYXuzDYOI5dpLPvnxTwmXAPw/GvwQmhbnqWHyaTOaTUoZNbP9MysQRfBNBo8
JQRGMDjziJX80bK874OgV9LbXApb1a0HKcMUapzwwPFGtP5QGqlfZcqpRaK7nCDCFVZDfz/GPtQ5
AmE0+uTJtKrN6mZWrFwbd6SQk6VcHdFJEntVVxbDNzITQ3WuB1Ke31hDMQ0G9FJdp7wTV6hFvpjD
mHDPKAUJitQ1sX607Y016ANOamjACvSwFCBzKp6TL6mhirdwNdjqhhJ/PdPlkElhaeIFUNG98zGS
sgr+eEnrC2RqmVZiS6aUqE2k0YtQN+crs62UnGYqrIvN7HLuzE7+5Dd5lX0NYkogzWYqQxF4JRnH
5i7NpYLyqo0wd/rIBLjcemXcdDq1pExr6spdsuFp51ZyqIPNRyw4VZ9MldLLVRZJ2qXf6lKzBcDf
Z96ozfXXKphYRFXfTNm2rEUhebxHI/fUqLN1MAk1tjsGPtAwUIG/ktVK6slyR4Uk53bAee5+jstm
3rSEKP1ulks1+AKVv0BMw78m9z0OS20XXEqjDJ29F7R/UCDtbSoUeYyIujLxcve6wsacwFiAA44m
BZa9QysTHalDM2cegnUsAvLMUi/NpG94m3RzJl5uRJ1KSgec58nQZHpxQbHVUs/SfqSlJJr6kKRl
KU8YmsvaHGJto9I4feRX1fJHUxoaKOdZmbgwpEQmeCK5aOgbkAg+1X4jSeSjeCqpyNEEiT5DLlKA
EXrRTcFpg5pocBuh1D+arsMFK9Gj8ThqS00+KaWoJwWb6kIO5pO64hjqNk2dNLXi4Dg3dz2WHa1k
ZNsCvxLDbZM+63e6apkB5ZewVHZNI08Yc9BxNTpqOJVH1BUMqPnIQDLqoZi7kN0P9Y4smoRaR9Yp
hG+zvpNdBKV6fgSHlEo5yvUxc8qIJvUN9eHEvkrs0m6OoJ1jF6IEIjj3+ZCtnV4JND4Bzmtys5HS
VIu/FOTyjSO1xSsgdFUt16t4sTtCBuCWttK354aV+zHGKbMUHU1NrEtepy1oNtmIZAOzF9jRZ3kc
y+GxJKy02tWDHz7k9GSQk5h1KGJGmiDiQKEQXID1xWR8BCB3vVTiwq1ulNLgVFZenSYzJr8YHA06
afus03tPcCBkHgT4brxmVQ4mIb0eap8HSaDNIMmckuum/d5ms74VpNazZFeXthbPtxPySeUTxiaz
heu6NU7F9zDvJyFuFQnDO9blgH+c2gReVkaLaQ4wayryGwgzVjc8BFWeN3Rv9dhrFs2PvtIpxQXc
ynpJGx4Q4zRZ9fn/x0ftdPxAVEJO9O/Do/+ZPdbR/V3+j+u7rNiPk/h7f1iCGxaBEgEJ4KulPWOh
6f2KkyRYNx9koE50qnIX5JbMjQD+9BIOAav7QL82RwlNudyc5IVp9ztUouH4A6JlWBrgpZHZA+X5
12MlKrYqPx3BmM5IFCzXuPO6ZQ1qFLyugf0KL5jgdsBab7E3zOVjP26b42fP6OpXoPLc8lvdv1Ay
T9TWQluALQRmwFxXVxMh0TOazUV/gyuM6ntYhBCQ1EponcDLpwVw0MSZXiUY/VSaeoTtVIAUQOpz
T9GC8CT2+xY3sgj1l2r12jGuKNMjyJXbzMId0qESpH2qqet+DyQ12QW+Il1K9ORKG5Wq/jGIz/iO
PYSGIKXIZWQy7UCFR1s8LsKt4n8xO2s0KXvOYkPRJrt9e+77YeKvqevIQ2kP5iBFEL0flyocKwQG
fXuTgCtwI0uEXjep32ZIH97bI+1fNpeRlj5rmj00UM7gS1ZBok1Vr6bSnd3kuBFcRGmgHCOoUgiI
qG85WlAWp90QiAPB6Srf9GtYiqvEwipCWMtcrm/P0pRqGBZjHo7ZTV3hUiSizvToyqg9TZ2ob+kQ
yotgSFyjDc9yc7yfjGa8eXviT62jf4XHv34EA/030DQyFi+o3ShPploTWXajVrm4CKo62o1Wazu1
nl0UJlPGamPYlEC6twgiP8pwp45tPKA8OUEPmzR0hraJNOwMvJxuE62oHZRd0TE87/pE9D+1Gr7b
hKXSOba04ujtH369PsCh0qZDQ6iKBYHNR7n/+IK5owHDjqTrWP5qiMAtpBORHFoa+5cjoG0MApuB
AWhnQmq4Whp90FRSFCTStRFCD4oeUTHu2AV2Y/zlaTa/762/P/XVRXn1y/9H780LBe3vzwWvyKKc
g+H5zXn5G79PBEP5QAMEGz+t3DSAAPn580Tgt+guw8IKgTk4K06AP08ERf8Aaxo4DA0UsDqfuhr+
uDvrH8iXQzoE2MTa4VL4nvNA5WR5dnnm+g23Yzl3aHNbEpNPmctn37AiD9hBRkrlCcQH2zm2ZHdE
GiY5vgQyzcV6pp0dswyRkWjplNtOCLDN0xUqx1WSmejEaJl8TPL4ROsnqXIxB7lS8lGgqzKM3rEz
kf8kfpc7DONKVFRy14IsMuuWi48yBGeRgYwTX6tAO6utoTuLrX76WhaiEJtQ67MvRqeIz9w7EGoV
CTWkKhpPfbTRFcLluo5cJCv6Zgzni1Jpq+7XDvffsab7x5pG3cd/kApq/rEl1XbXkn75d8gK2SyJ
v1/en/73/+rydSJp+Su/1reufwB7AcufpUovOCjEP5Y3vyOIecC1YMIGw2shiv0R7wj5A8gBEyAp
NIAnYOdf8Y5QPsCRW74VUk0EPkQUf6TE9jYhUmSvxR/7RyMtZ+St+EhgeWm4dBFD7W+yAnaaETd+
jY8sXscX5pAAubbGvJG8nuu7uVUniT4atGIxbllw3VtS0Gg1T5UaP0BnzA1qparPnXcn9QULGKs9
uzlWRiEh+KraOD0xFamkAbiFQo0qbZg/kTZKTa/B2B0xLD4OV3ltSrnXhXaOGhHdHnJ6Eg4PgRbb
Ktr4TuVuPceQpkBp1W6T2o3hYcjVHGnBQG91r5bfms4o7ulgM39oeV08vH/v/nfLZoqloezv1+1N
kTymd93zXfnpb/wRqBONQ8FZEKtL0pJw/I91S6AuPnAR1gneWbXgnDi3/1i41ge2Y6DfpEJpV2Jl
EfL8EaiTCdVhTi0b/a+c53vW7YoLQKBOOhVJBm2ooCvJMa7XLQ4lyL1K+VooH1U4RXjYUYj9OInT
QpwOwbEqfyoRMwJC9VHvGBdltmni7XyiEft8tQEChGepfdLlu6I8CYxm40Ox+1l4WePqN/V2KNh9
3T5GgntBcaCjKVC7RLY1KqetcdV35/awC6bNqJ7RN+gICtAzmYLYTSjGdk7sfw7rW5nTAVnprhhd
WHU3Eu7BLfdnJT7R86so+k6DgJFfjvK5DeqrukTMm7Pw5aR0LONcSb4E9IIUNu7X2tEUnKHj6UcH
d1KnusRulZDmQGlr1Tv/+4mSBuWVL4iwtX/VIKNApblEvqbN4BsOMpE3BiCC1dn8bo6dk7Q2jChp
O3yl00qHvDv1XjxQRHm2Cl/ZkFa1muXHMGlDZUPiUAczaC5R4bMDl/s6jIBGmzGYE1+UDvsIPZCj
00KlISL+NgB6NErtcyaPMAuseidkPFR1NZ0wdJQ8+qs/v/3zrM5/LoRLrZAHQgceP4/GLv38xykK
SwRIv4brWtTylqSrvW1m7VurTrssNk6ESuWfttbfzeP/HSfrv12VhT3h7/el87uHu+Cuub+rn29N
ytI9//tElYkKkeKBecJYCggQeYJfKQSNegrkE/YdBTHnwlz5a2Mig8CfpagCpfnpvOU9/7ExUbxZ
+Gxc0LgoEuRR9H3HibpsPH/duKi0UOthCfMTLnZ38hIKPF8wVul3KADCxO3DdDyeLTJstB7k3rOH
8spnsjq2iSNIGrCVYtSBsRJzXo3C1qug78fzXK9OQ7n63Hf9104fN4WdoiXVDkpu1tNiqCeaDc97
aSNeIwZGFelmHIyV2xIsX5Lh9Ol7HaQDX/+LUejFppJDSoTEANYgqytfnCDon+KpXjLhjTehcN7R
lKwdkJLtf9P0mBN4weHlOIJdsdCr9h9eLCVWSi2mIfs+aqBhaqfNgi0Er7PIam7GOL7vxrQ+MLVl
o3i+LjRsKmD7Mz+Nbo4X1KFpDoJ2aKQGkW0VeEpntFuzpLNOl8R0RnWpPLBCln1yfzwcBOjnp+wn
KCGu91FzmmSa7PBNl1Tzm0k3kMdwhasFyfugQ8vjJHakZwUal4WGw1xe6rMd259qLE7jsaXYFI4n
NKskroBpcGA+L5cGvfhYY5Jw5poOfm1/lD4ZYgMD9tYN6TBLTmgL8wEV2FXzPhbB03RgD+KfQdII
WOt6pccaPvdzaLfgvSn+dPQF7+y+0F2L1PG2lArxs2nb7Ojt7/mVt0XBlIwomTA2o3XJFMiDMRcd
JaBWaPnG0CgUEl9LWwyz3yfPgzXIhRqqhaUAPqBEu179hFNGN+BAu3jyxjsOOPXYp8L1vuVOOpMd
irUuswOSSl0n96oqlQNbzAmCuTI5wokEZ/D0LPua+Yrivv3sVl/WMhRufFTdkZQgrFl3m+szkOlx
LFPaYqdTlXZo3pdtnqSlKI6rJEwPvKrXhgNPSyjACwN9s1ruVTNo9HQrgO7gTjUb2crzyOlDylf0
pWC522n0zR54mqvFzxQFTklLXf0JErKOQtScOxrFUKRGgyEdl5p9nVR68+6J4SrGoidVCJbixSsL
abNu9KZgkBFn5UDOtGMKYSBhfbpcxkGt3/dFP01q2ZjAOpPT52je/6I1a9nuFxtfPvdo25lluknt
QPoXZmUtg5DFIRDTV0nYXE2jqVSIzcekSGl/AHZR1ILO3pZYX6Y5bvP2anzlVXGCsRQXD8ol4Nif
lalJ3czHzA3Dz2KXTTPZ0L04HljzL0dZyCGck1zeiQOs1Sj2VKS9PgE2qzAF8Nq+gUlAp/X27bms
diXeEKlXQg0K5OBKzLW4ojXg8Fkz/RAAm2j+5T9p1sKoF/biIXjWa0NBP4SWpJG5QzGz/9haoQTm
PJipiw2sgZ+mNl43ig2dQ0wxucU/A8pXYqfXhuLJLSWmJ8Pe5dk+O6/AAHQg4OzU9Y3gpuz88bSP
BKZt03BIn/XKW1q432Q3qSlxsqwm5dNsB+mBhv1cD8zE6Y1OcseoMP+FCbGrL27HwJ+eKmfPJxSq
hTnQgwnOOJaa81mSZ+VCdHCELuTcLt8Fz+KBsSbs5ZjnoKeSshYL4ldVWci7gRCkyDj4uvpzuQis
47ff0StPzoJgotoYuJAwWPIIz6eUSfKgT3yilMfLehM38y1VLPPA8n51EDLIS9FPVUHM7w8CwjUO
fYVBoKelG8rH2mXQVsP521N5ZbktWbo/RxH7o4gySCKaFDM38ofwyMIrwJlJxW5SMZjX7x1KI3wQ
lFe1RTS2NkHRB2mcql5NXH3g6HU4ChMvEXr8NbW6QwL1l9Mia8gGB/mNZlcy9/vTsqkPiUGTE9fS
Y+00Mc38rEUUdcctQnv3ZkdldzmbSOwTtMirJ0i7jFRMBUMV7KsbvZ4kJxFKc2CUl+e6hqUZ+7ZK
vovM62o15LE5pBZZUDcMyqA/pxe3+JYGidWe0j+llm4ipNQ6sAJfjsn1w+CuCNEXzuULBhTXKjEU
QQodUCVTlci1JyW6Tp8msilNRX7y9gJZu9nx9T5RtqiNYNXETYQc4fPvquDtKGFRpW6AtW3jmiqo
iZ1hA51xWnuyvoB8tRPqYAJqHxqgBjFyXMq36Meab61i9Ybrx10g3DIXfuMY0Coutc7OJJgJyZju
NERpEl2eknE6a2rwrjaBZesBKUSYvFx6qe+se7TquAkCReU4GuaszJ10RlfEdWD2f0ipnx4yu3i5
wPmWuF2Th2e7U5Tl3T07Jpo6Lce6JM4bYrOdthmU3M+1VmGzXmNbEL579VFn0miXXnixVJtWR4Xw
ozjqMs4/TU3oSNZCI97kPQ3Z3N/0wndCdTy0ky//5LMb4vI4EbNbFOCJwljz6v4E5cCYQymB6NDY
8jbqjMcJBqkLGNSLqhI9jjZcv736XlntCl8vYsvF1Jpb3P6AnazRCA3zwY2AJ4DnVL8ilTyv0sh3
kxR0zdujvfL+eJjkiJYqMkC/1TGv0iRuSjX8jIBbCvCDtilvqKUlx7EWqe8Cxz+tTHM5DpGfPElt
V2NZpV4P05DmLo2+4yY0Cuk064P4JM1Q2b09rVfeGiD35Q6MpTHB+mrfzcM8MCykhlCQytKrqsT8
LBBUbgoAZXTD5jEAjCk4cIa9fHMLwxhe3fIBLt/e/psjCdrNUSTzLdD9fI6+z9/o8qAc21GsOIso
evveSVIQXoL25UpMY8Nqm5KEFFShRYjWDeOws/oiip0uqruzNBxkVC/JeCUJsMNvj/pyxaDdRo2j
IzPmP/TVN9hoEGhMUC+IWOd0N5Pad6ukymjKRJPz9lDWi2+P/Ytqt0aIg/Z4/UBVwCNpn4MZo4ut
65150rIrQGhy7qiACb+kc5Je02cyYwo7dd0hg9aXa4hEA+sVFdZTfmg1UUx+VS0qk9w167o9L1Ja
vyuNnKVjz0N8IelpfOPrGRyAtyf9It6ixCjjs8L3j4yLnWd/FSV9NU15EXPa2Zl9PAJNouU5PNSj
89ooi5hD5b4n4O2udpm5n8UkVxH3c5xQPTOpa3gL1u/S914XxHPh1ou1QsqLD2F5gouB41oX0LZj
3Ss6saNST+FmCcgcZcIaIwqH91mWsLksQ5FNeVK4y7j77D826Dp1iw9OxoQG40gY7ehp8pRt5Fga
d+9+QwxFmY69jO1lbSOSKZFlRjC23LGUTCeT2W08v4br8v6VsLhmUyHkG6BkuFoJg4BDkeUzF6Nm
KBdgXph+B7DTTQe+6BcLfXl0pE54iDRAEGXtP7pAGmuk9Xrm2pUA5t1Yfi+5VglxMBkp3IyFJJpt
K6ZD3oevrEGusmRSoP9RqUSDshc7JCo8NiOn/6AG9nRS+1J8pyeqiP6Vx0g8tFz6UErZyyJ9FqIE
9RzXpgGVnwtIp5PgBUbkSqTDDiyLlfPEryVIpzofk4m3PUXc/YES8F5FR/8kSBFYYdPGCIObNKyB
herpcSGrR2VE8iaHQmRVtBmbdn5ITPfaE332E6wdTO10bMzOULgQdpLRu1Zn5F87bdY/vf8DeD7M
6qAzmmickHJnaArG8Tyzrc9qVhwyk3t9Lsv2gQXTEv3vP03R97QF+EusNQVJvbXkoHSlhUpx4LW9
tvpJPqCKXRzNyavsj5PXUZ90lchcPa4MZ4AP9anRxEBWiohPcwoa/86UMD90yXh1enQAsSkS7ZFr
3h92YXrbcsGw2hzlHeLxeP6aBp368e1X9doOvBCaCWMXBdja/9tATkXGkvjOpxfJKYsJXxn0nASu
6BcP9Q6/nBMf8yLWWXLnbMirQwXtpoalAnNCytJCgIUZBd+8Lt7/RTMOQSSXeLQ4nJP7z05XS6XT
CjYsiLpJ7DQ9el99rKMD8dzLZ8fNnRo7TjmLlGN9k4Kup5VCg5KrNjCI6FeZvD4EsWUpRXZgj1oW
894tgw52DvwlS8l9g/e0P6N0gg5pcJUE35Yh0SikalfWU3YZGkpxlORZcyA/tVLdsleZ3N5pdFvc
GpcU32qvivVSn4SEE3YciyS+LNNUL+5SbkM1dyu7bj+Geil/zc3WLjYQ6VLxxYynzjwmZpDK63eu
UUTri9pdkUmVUAZZvc46F3FYFv3oJibSiciU8RshmfExVM1DESXLZPWkkYyhkaQajLMZirJ10OzT
6+C3fmS6aZFL7JRTLvX2pTlpWvMth9oap15iDVUHFw9mAhhNbr7zfFn3odVChuiL2E1Jw95UCcjj
uxiKQ+5B8wduCiBbv0i5aX3SqSnqJ8ko02tel4MybujbV79hnNcap0jEF8fLWjVG2FFjFXyWOJ+e
qiPR0JL/nAn34Aa1Wt8iKRsLfByczMhlXo09im64iArSfZ98e9Ta2G2h2/pfMjm1j5oMZFMCLCuJ
/B8aNopGtuGUskBFy7RdW6EjikmFQBUpZqn+QKGWmZM70fqEJChMJLMCUi8B8HUUq87IwNnwwbLT
IsHLfNO1ihFDRoalp543UewDwZ6NJuw2FeI38yzrEz9IN7ZdZ1iLxLqeQ+yy4rmLH3B29GHo6BY+
KDEMg/FetXAVJMMXVgONWPnYRzC3GwikXi7PWfxVHdVQg2cdTb7xCXcs2z6uoVjrV9D3bHNbTYba
HLe8YOG2U2ErG9Quk8zUtVwNvaGw42qnTZ1hXyRzOtnu0PRjeeYnVTVdDovLyWcpyERzSmNA3d9Y
U6HqnhIp8kkfhDlU0BFw72Ml/OkRto8kztRuyHLXCiPDPKlMNZ3PDS2J62NR50N3HAT4iGyawc6N
b/FC10MCOBj0RwZ+8KARVIEpnoNEgwhcaXlwqg5jEAXgevIw+ippEGkdOtXoD+s1rZ7u80mlmu+o
Ct6z3/naILX5lZ771z6YXuNE0UvL3DaJGMVtNipRvFFzDPSALYVymjt9CZoSEGwrqgBbqcbKnCSs
R/kTHczAnTSpboxLAEjVsMnmSmY+Q27/xHlHPNYwYQechYH1HamdHKYEhKUZbobE9LVtUMjSZcOF
FBBSM0TjDVhpX3HTRqNtCaMrvX6sIl++VdUQV7rU4GdzZlG2HARVlFfbOsmHM3kyssQhnSfPX2up
r1rHrKOOhit/MFtXyQheHAXI1zcBczBz4HjpmgOZpau8jiRj50IbLIJNquUya3tOTBXy8ajeK31G
l5Nuz1Lu2pTHcN+zx9hiHRbxZdPGyr0smiTyin6a1d2QSOMNTthWfUzv4oCppTCxAg61ptDchD4s
w8vSstK3eMSIx4DuutizAmHSBchFXHfwixmHrT8k7a0ZZ6p2HkwWAyO1M0IXCYhhOXkgTcWmTgrl
phw0Gg0LrbCHE7PUuXPV2OMmJ5YPg3OrDXlwP4AFlTYiE2ru5orRfjfnWG8/RwTDmOIE0sCNl8a9
eksCuLpu6LOdzs0kAGNWDeEYknudW1oa674yk4uykP1mS3exPjlpZoXy/2Hvy7rjxLW2f5HOEpOA
26rCY2zHQ+ykb1hJOo1ACAQIMfz67yHvGVxKqmu1rr+V68gqob21tfUMB0OMzO+4ypNgX+Q6GW6q
bizCfQEBuZdVkJW/rSUEVXfw74HoJKDqeFmvtBd+QuLnb/ApyZ+Qu32RNcBjV59Ioxqkm6SjK3SX
Ff2rp6H+EhkJiXE0DaovqRlKebvQaRS7fOjYfEANnpMDHYX8Qf3c+8QNHqp3eMHSIN4WviGXaKJD
YHuC+jL7w7SmpI9zK73hTaqFPtGe6Adv9dA8mkgarrfIQ82DWaOxviZSpe1VlEMCfI9eUPestBH1
xklO/jJLnrbXCyRmu8u0Gv3yg+Ie/QKp6ai4VEtVk00HvfgRTJ6ndmMypNO1TLtohGZiBRk7joox
ufDKrqo+FM2UejfhRKM3xikUfqE053+uKC7s8ApIOOkQ7HNS3iwFTW69BVKEH9TIm+YwRK0g4NkW
QbsH8XoyG9mXMyhhQyj8o8wJWDaiGyQ0+MUaJtD8nabxW47n/O5ukG2sd8HITZAhl8TTLo/lMkM9
qlof6xUttT96OtA/EpYX4hPATsK7rQfCgIcMOVJ+V0QBLDVHT/t7D/ro4hK5xPgXMhmUD23vfIV8
HyDBS7QfglkWn2tvFt+U6fw3VrdJfhF6BBYEVVB7yA0lzgBo/I6T6dCPCYruCQj/Qb7UIoB5NrRr
ywJiiwjX3dziKrKTbeA/BT4EH/c+2MvVrZdDsnGHW5Hs9xSc4eoQd0A3b6LMY34AKLlqHorGqPqN
NXXgX4rNB/RDXAAw9olrhR7vpBROScFNDbYkngkTbMSq1/uU9xOH4XFF6GW/YJd/IfXI4TCtzXgD
5u08XYcrPl6WJiX4oADkCGjdpe0irhoYybZ/9XjtX3BnMvLrxOP4RweyQw9jA2iRYlhACbKStMLb
ga7coUhQEKN8Rdqog3435jVNH5GtwMJtZQDFOIUYDfYlnGtBJx1nTSHiX9R9/uZ3rCufSTJSD5s9
YQu8JmdANLd3fvMkvFDxZ6mgKXoN6wGFLQ39+1BmiYkb+ZLQtU35Di5AI3YJ5Pbbu55Pk7iBqCDs
HWBPB9CuWZNwyXegu3X9W0N0pcU+1atMDVyVA8/8oVO86n+N4BZQPJVGyeF7ADIqQqjMeXTfySL5
AVV7g8OepnC4LwHbKKGuCL3E64UZUmZ5i7R8mTMtBBADLMEKw1RgLrtXVEYdtjHouya+mlnthS+h
WKj30Ev0Et/YKIbiecZKj5eLgWfwQx+unXeB50VuLitgSPk+gXHW28T8cHmCzHqzEXDBlf+G11YI
PqdiCcfrqPQ7ek1JskIJuBnhre0tcXATDfAm/Qw5bvTkfA/qtKD0J+ttRaFGfdVA1rfczV7adPtq
MB70YkRNzVW/GD84ePDWUA/D0kMwdlKA93v7IdQIzB2nY0P+kHLjd0ESuZguIB8CjcXQL6f4AvdK
mIiDtNvM+xnSkbDmMLTyLzZOfrOTBeRpPxYDEf6rYQG57/qxjT8YPOfq77DBMtN9WCwtui2xCL3h
mfvAj+zkMPn6QpNYeR9jcI2TS6rD9CvRlA6vcQ7nMqDjFMTKwWkkEKDG8YSOKCFVG5K9gMMChdYy
/Dwp3AuXiXzu2qLEUbrI5dPPuv3/w28hLYI7yH/REpuIyr/FUe6/SoijfPwqYJ/+9VgXZfsv/we+
jeN/wW4TDaDNXfWnasl/wLcMlJUE74nod8G3F6JGuJ38mxUQxP9CGxYMXUbBbwVuBZfrf2Nv/eBf
eJnZwOYb+w7P/KE79JZASAkNReC0rRufB00PwdYGrG+0I8Cw4kila33xbh1+gxo57gD8b/Ctk/+u
x8ZYPc5Q1WcZDotXQDw/+WF/pk9zauitf/NuaN0GKLVTCf2CqBnhz5eTHXg0zHF0q8skcq+c2hFc
+ITND4CM3Qbwuj/zjHFq5lbjcVkApOamYNlokEFga1JQJG+3Bd/+5rtV4VM1QIiTRFnrQ+Z3Fl+H
6Vzz/tS0rV5EEZIuXJHKUF+XdC+mPDpM8DJznLh/PPEAwsVga2On5ErjgT1ur+VC2cFtVaxeXqCi
eDEt7CTiHmYd0whR8wCGTG6DW22KNEVRJiCtCi1rJNpVQkwaR4NbANlAkdjvxy7RkIBOx5Y8GtAh
r0M56n/WoftvfP4kcL7bLkPBmUlmHBYRDDdz+DkxFfzfaXDyrefEdrG5wS3u04NUGBplabWDx+gH
GXbXTkseWNFZ9zW87f0hypQqFG6TsILBW9wPt8Gt8AREY877vMX33JRGYfFeyu6j29BWdGKXADmz
5axi6TLc2g/TkP8j4bT/fUkrOlc4tAw+rX4e+wQYQ74+oJnQ3yL9nml/nvqgVoTygBPUemWUAWR0
HVNyW0x/ui2LFZ5wRMDTKdR7Mm9iNz3siVRxzufz1KSt4DSoUaOiLlDdS4orXJKLW3B+zwAYTgzu
W0cng4svCvwchlJB+IGt8grWZpnTkvjWwblOU0TbLe7hW4A2hH8j6HQG23tq1tbB6eVjiTZqEmUd
YclNEZPhL8AXKrewt59nAA+AfViF0dElewtHOAZEoeOaWIEJgfFxyWm5ZIT6f66bW0sEGqDbem+L
9S4RcrE00TyClThBJuciMiqFqwRajW6jW8EJixTQVgzALXXEPkLn6XItuxe3oa2oJI1e0Widw6xU
/qcpCv8s4dx2cBvbikvIPwXFCN2hrOyiW5gc3hthzjw4nNqEVlzKFWjeGm4p2QihrV2uq/t6Sv90
mvZPGN+7bwnFPlBO6BRmDeQZd4nZxKbGr25jW3EJhAbvWDnPyCfhsO/i9C8iV7c1sVERA8ztVKvN
kvV0+qHI8Fqckwo+sdo2CELi8XJNK6w2rAvux3a8pwU5p3V7amwrKj14TahU9HPWCS1vm5KNL/Ao
Ktzq8J+E13ffkgGu6gul5mwKku91FD7LOj1zYp6auBWUfRt1i5jGJfMZMLGUezdNzhO3ovAnX/jd
vM3qlWipwGswH9EfGPynoTlHtTo1bysqRT4D65GqBSJn/mOAVh5ah46724rKOo/Wri86HGiQ7Uan
qPzAR14cnELHRqVXRZ+zCK+XmSrF54bVt54s3U4G23UY6nlFnWy7RGwMldTgIps00TkS4okFt9kV
OVipQ46dmCWF8Xcjr9ddVZkz8NxTg1ulbNBAkU90myklQOZlE3wuKscaglqRWRBhQuJhg+OJyWSQ
z4S0XS3cSlm6/Z53G7wSUdMRCOZBM1R/pi0MeEZKz3ihnloTKzLhU8n7EGZQWdvPxb7BY85aCsdD
zcbDdy004zuFQw0+HE+64J9HwRy3oRWZldebnGOdM7jFRU9kKM0b/NHd0pWNOuiCQISJlgsYZc1L
NLOnFQ9xLpEJAMDxt4QFYjzEhdzOeSGBXEefN3L6lMDNHw8NKibTAxzOsngKbmQa7rw6eHGbtVXH
ctAZ6eiLORsivM3OSr5wsTqObUVlISIF726sSJuUa1ZrvGdCV9XpTh/bwDNUgpDcRMc6G/v4L1B/
vV2tTeM4uBWXkzZ4AAxK7EEfEqKsaL52zfLotuJWXHK/g1UZxYpzT98FIP+hs+5Uf0NY7HifpCMN
ap5U2IIr+TFP6feQrk6Bgwbr8dC8jYYYT7hLBu0+CtU6P4DHc/nktiTWiWk8qNpGuD1AE3p5gok0
ZAOFuHca28bi9LX0Ya6HowFw0+4C0qnTNUCsxC3oNzHJ9wk8prqvkhxbXHOaZsUEzvlCzprb/D6F
xzbFMhYVDGerbs2mdaZfak+nX3M8UVy7rYwVnhWbPbxTQrAB0JpPlFVPsXYLn8Q6M+GeN1ZzEaGr
TPRFOQGM0gfwMHWbthWbIMV0tF+xKL4KH5ulPMi+OXN32H75/wBj/2n/gHRz/DWJXxko0XZLRscy
U4ZmVE/fJikBXykPbrO3QhQGp9CIhoVhBufRCw+a28AwOu5FK0RZlKdjQTD7wgc1iajx04SOitu0
rQgtZr+I1douWTwqkoUQ2IWPF/nhNLgtUgnKGWjEbb9mbaBfK7y5d+fQwycCaBNtfR+ecDnmPl4g
kcen+s9axz9wl63c9qHNTOZgw/bVvM4Zle2X1s8/Uv7NbT2swFzWaqbpmuNoq/RHgA7eONBebkNb
kVnTvuwAesdxXwxmP6dDdMCz7JXb4FZkBis0kCCRvmZruTwXjXqmOnEqCn9hVMSwTTWw61syEFau
woY9D6FyS1axHZGwsQbWpvezThNUWDmbAA90nbcVk0YTkkfAsGRd59/QnL6ki1sJDi2i473NV+2l
fUSXLFrNG4rmGwZ7PqcPaWPt25om0P9W+JAyfq7gl7u2sWOWYlZIwjd4meOSzVlPIOkVMphZlRDi
dpu4Vc1CGCCEALvys0jNt3NCH9d0dGrc/9RKfJ9KlrJXJQ2xA2UAEh+007NiNOcInyfyFLPCsmqB
IlezD6prW94BUXxFCv3ktiRWUDKdlC2Fx2zmNf7nEpoGSSipWwrcNFXfr0nJ0xDcboTO7Jeg/qP/
CFX+N7d5W2Fp6ABCwbLg8lAu3yGW8CUhsHNwG9uKSgh4l8Ms0KdOF/HQFsDUwH38xW1sKyxr6oUg
JkMbNR5rmHebKxXwM5lq28W/KU9sHRGWiGZVDAoYwFEH3+AXsG967youWnh1w4oVWp1uYbQZxrz/
rrDPq8nQotMJNO6XyR+hGZ3/6bQ8kRWhufYFXUGPyzYELJvDTytLPrsNbR2bMR3gFh5ieQDGfRJz
sydt6ji0FZ8FGw1UKtEtLOj4ULD0UDed49BWfIIJvAxDiVmrUgFwFVXoL7VObbE4suITjtfDwEW1
ZmWl5kMFIsR105LlTLW8zfB329GK0HooDERUe2REsugvFXhudzIvhzOb/dToVozOCzSzY/g2Zg3z
vhcaRhuhYV/ddooVo6GE94feKmUl5eM4S1jJA2DpNLaNBJpBBJ9ZiudM9Dn5Dn4VwJ1G/0yM6b8X
lM0t6n1gDppUtEVCzGIT3/nK7De+gNu8rcAMYAzNeIM1meocDuwMEn6DeHEb24rMqWbrNKYcBW39
3CTdV6lTt45HaAUmzvshj4MCPjJTk1zCX626BXJyPbMm2yi/2eG2zpYP+DgNFJZbl3yABSXkFB/q
aNVPA085Pzgtji36UU2wrTURfkKUdLdqSd48lVy6DW3tc64CsDEGjtVZvK+kJ/fV4ru1VWxO1aJa
0Jc2pQEoc4EXQdvv41K6pcTQSiyaMll3E7riPtWXlZdcALl/Jquc+qJWVmk4xFDg9IhO01C111FU
QiNz3sWM5G5J0WbPjW3PoPZVocHcCkBOyad1Sf50+5pWgzmOQRgOeYMnq2aMrsPAQJijLP4Z//q/
qcUGMY00hwlFjc54zYcfaQmR63pt3J7uQQ87zlshXLpJnuJ6RbnqNn3uTwVszN2WxUouQ5VAj2XZ
dmKZPk51fwkTIrdHq9jWRJxJ0bQLQ1JMCQHKl7PvE5P/jHD5vxXfTr53jz9+5dcwhsDEJV/4vpir
Czk4Qhghb3c8uIZig1csaLvnVRDtKKBAoECccyzfZvibvGjzXjlJteECe6XRoFsMGzvIBMQtadl4
oGHwdGugMJBNdLkqGpnJ3nx02io2HmiiVQdWHj4nJJv3XTreGPFvj41/CNSDgvTxerPa+GVpUGqt
RPN9xILqsPrcrfluw4G0AKktwJN11ufiIdbDfR855ivbTbaoeVQ3DVa7Y9U3D4UK9Hoe3Vbb2t9A
0iVl2mHWiueXMz5mnZxTADuxAW0ZH080SwvFuTnzFqChl/EWCAe3BP7TzuZdVMIRY46rxsPeDteL
fBD3Y5WeOXxOzdo6fNp8KMdkadYsJkGzQyfk1sS147Sto570LUCRMHlDX9ns5Zw/D7x9dvqONhIo
lwMcMD1UETmAs1dxvvJrGJvt3Qa3KtoW7Fat0hRJMCLgjKVXHSkyt6GtkOxUO6c9RwqE7IC6N1Pp
X9fdOaPRE9/SBgPxNai8ECDXbFzAYxnkAlJk07rFu2dVtbhAQKMqhshF3Hl3tG9u87Z3XBQrKGcw
bnzQo1EABbPeAT//V9w43k5sWd+kClilO+xBNUX3Gt6gkAA602n6KcvymyPHhgJBYwLWYAptw4iJ
Yt2lkIVtd41Xpjcw2xqeTVjTuxi2f48ENDO21NOdl4zrG4fYxC3omEO3i2pIrV2YOQjHyxnCR3eT
Pw0PcAAhuOpoml+jOc4fl4mS1gnZCrmx4zOh1fC5hdkB1joO3kI/v41Uc+W0t22sjg9r8h5IN5NV
Xv3q9/o6F9qNWRHbSJ2FqwYKkdJka/pNdexRr473wM1o6X3FM8FbddGkVRnMWLNymQ4+7L7dFsQK
mXruwR/wZpXFjfigugAdYPbqNrQVMsSUDctndH4n2G8e/K4sdyKe3JKrrerBY439Nqwqy+Oh24d5
Uu9AmnEj4EAF43jBoQRVaAE/zqyjUl6seXGgifDPFGrbV/tNSFLrOPNriMvmEl9zBoL7KW3NW6IX
aFTGF7LuU7eHRxuwM8R51wK6qLJ10iXNplyn92gg9pFjPrR+BAwEhFo53mPZlH+oI3NTQPDg7/fN
tvV+sz4/VULeVRJAeahOU6TDhAzVaw/KeruDE6hX7/wGq/b3f+T35xBYbMdfOF/Sshn8ToHEoaGg
MoEkmcLq9eA2un06p9UQiqhX2ZCLclfH+rKtyxe3sa3jeVkXSO0LzJyO5FJQH+7T3R9uQ1t5ZjWT
V87dgE2TwsBmHG5Ip5z6HsyGHUlSlF4HiEpW1QMcfOM+DfluBqzWbeZWroHhNXyaBxUCaBiHhwmd
7L0kfnDhNnpwvFm6smBaMmC6g2V68yuY+fSe23M4xCGPx17F2kCtAqyclfaQdOqTHXjpjt/TCtKl
UFHSJAJMJTFWmeHlsK/nyHFwq3KGfnC3aMifZDxiJRy/17s+aq+dFtwGH0H2czZxgkWZ+vX7YJpr
CMU4HRw/bWzfn6WwYu2ESFawoAgZdvUEcZEJXtxn6q0TaeUX5JEM6r4cMHoJXQqyVDdlMJ05Nk4N
bQVnW+ZrXI1LBFJo8sYZ+5DMbkRZyDwe70FviOM5hMRFxtNxgA1i+gNyDufS+al5W6EJiY0Wyj2Y
NwzZr6HydWcCx7i0cUdQehlEIEDbDHqfZF0l9zyWycFtD1qBGdadHqVRLBvWNbmipf88Qcjc7fix
3XIEKPiAZVQYXKnX0Xhva/PPpOr+0x4DDPX4Y0Ijo1KTAohsncqXjnn7InV76wBd/HjosmSGBiX2
CWtkeVhMeBFGtVtzDPqxx4OHKxT35ADuFjjEK9TNxCe4gf8z44r/LooNOoqgdFSwPMYmLOh90sAO
lFC3T2mbzkw4HKKoW1k2o411rXsdApnKfbcsG1uhiY9JISSHic+5eUWP/E317JPTBrfNf7iB2Nrm
EQiDkNjs4rbfl33sdh7bSq5JAgXuJaxZVrbqli7dbd3FjuttxeW0JFU1VBMI7LFXZKYXjxraZ275
O7ZOzAJK6KNpsSZiJbdlbIadCqnTtRauJscbHOo+gKKPmDhNVnGg6F0vLXHjgf8iWxqXhYRm4xxl
yzzuWdzcR7L96LRPbOSRHiNob5UmysjUfshXkonYDcDMmFXLQsMcfivAMGcdohPiKxD08hY3DBnb
XFrfn/S6qOsB2nOgl0/9az7SS7+Xj25LYkUlU+OyhMEUZaDnNDsNaxCjWrctyKzzMh6pLyaDNUkW
AHVlRV8Nl+qz28StSjafhoTXMb5lP9fzLoLYDLQAtdsGZ1ZkJh4EdmYB0j3pkju5pC+ToxIBFCKP
vyUFAa+V0rBMju1lVZUfy+ScocOJ+sTWPIXvLCVAWW9SAQruT5HHUtBNW37jtOI2+Kgo+KirbYsv
ob6IZlpnpPDcCIqQLD5elhmOr0O7YO4hefV1w3cpgfuD28St2PQAoC91jYbBkodfZ4H2spEQInMb
3IrNKNF0SretMpJpfSnLiF3C8P6ckd6JTxrZ4eljnSMChQbPm++DsIaxjuO8reD0ZuAxEEQsI/14
sy7TVa7VlduSWKE5dBS6a9XIsrD274xfZMClHdyGtgKT4pUNZlD4lBDhaa/8YCgvoPHpdi+xrXja
2df+sHIGV5ziNh+rF7Gc82079R2tE1MWDURBdYn6PiIPgYBFL/TIzpnHnBjcBhx5G/Exb1CixOVa
XqZDcb30fey24jbgyLTxTHyFFW/YXO8lZMi+LSVJ3aor25yKtz3SeAjRF6V4DAvdQX7E21vu9kFt
xzrVetCzhKhe5lVLdJGjXfkwijb65rQXbeRRPppwGoEIgGRA4O9hjad24TK4hacNPMqXmc8D9PUy
0ebf59iD1t+07t0mbsWn8vFOVRa4svntNEOFTjSgFUbnbm1bavq16QnPJCuThyTGMwoSogwDfreW
VQGyrwwCs5uZUW6V3OZo/74i6lTY4TeAcSpyfs87KAjSwenpDQbfx0OzSkgcFlsW6CNvL3sIVE9s
OeegciJWbSEi32/Ru4ZdHkA2KA9FDhekcV7PWZecGt06RRXkfUEKYCj6ewgLavYyN/EXp01jA3iE
LOKlj7AsgWHhPWdSvWox8We30a1TtALNKq0FtmSQRF9Ms16qZnDr19oInorUKFrgV5NpqAPuazhL
7CLVOjY9bYOfeFZxgX3OMpBn532uxbib2Oq45lagQjDY6Bmc8GzM4ayg/BkQ2GTlbtnRxvAQCIPH
JUF7hVfRB9QxVyxyQ2TBzuw4huqpJFNQY+LR1lXxuBjwsu85vnjYGuOQd+6HVKGnyli4K8PV34Fr
mLsVizb4KKzXXDQFCtG0CItD7ntf69btHZHZ6KNqZnxlM+7k+WJuPWiz5cs54uKJyLfRR5xE47+3
SiovZhP8RY15copNG3tUz2lBch+zFiyXFzEvvzdJxRyX2ypwuyJQJqoD7BS9wskJUEwvbP/6+4mf
OIn8ba3ePb9FZJESkGZoKM2cv6q1yT/MISkvWmPc9EmYDUOaoanMkgZrM4Qgz/si1jdQ9+/dCmkb
iZSkM4NWNDR1Id57LyD7BjFYt/rCtyIU7tV+QFYMDR848N6Sb5U0TnBMuOQdL7sXAwZXwusNzUN6
Z9Doi3Ml3EoXG4lEQxhGjTFeJciwiJtpXpOLSDRu+ifQFz2eOYcSB4dAaJTVJHmdGzRCUhq7CfzA
GeJ48AYOQBGoO3hQqRf41fhAkeIuc84/+UT822ikFOrPEpL1SFtl8LUQUw8Ko9+57UMbjQSB9aQt
NQaHScOh1MFtIs5By07EqC1MpGBNW0CaNcwKAYehXRP6w/e5IUm7C7T2HJO6jUta5rzLfYjrZ3Ab
rz708KTYh3PtJhADL53jL9u2Vd9VPjblHCzLfjRsOhR+dKbSPbVAVqC2AH1T2SNBTsQ0Twv/HlcM
1pwsPDP+qY1jRWsdK7Tl823yxfjMVHcNM0O38sVGP4VhTmQBxxpokfr9ru386ypJB7eDw8Y/9YWX
L9orokyr5i5t1yseJI9/f26cWBIb/gS4tFQzw7zLpgoA2NDdDn1At9aijYDqYLYxLw16uTkAa5ls
6E1DVjdQGDLV8U6svE7rqcXHhG/snfaaB1anblRPWH4fjw0POkMggQ05uLS8Z2FxFbsJzcHa6Hjk
tR5WqumW1JPwaYzk3eaA67hNrNiEYHoyhCHaxDNX8a4au7d5gSGG20axYnMmfQ+qPpbETMsz1/w6
bZVj09KGPUUhUd1CMPFhXnd5L58hju+0v2EXerze8EeCNMeEbBg3/oaNXS8IZASdTmgY5R4PHoR5
U5iYhVmSQHSKUZKNalidFjyyDWohED8neYOd0uf80cjxQXHvk8u3hE748bxxc4blVY+4BBjhaYEW
fFaBbHP4+8F/n8QjGzMkhAQcAYAVNIn9t9znO3DhLmW/Op3PP7XN3xe6QGdz0/cQCGVcL9BcaPST
CibhVCpGqRWeuusMDBPwRXU9hwdTpABscV86tVsiGzVEGG0E3ZZGiu4pCoJrRt0eLCJbsYjA17ET
OUJICJXvKh59LEz6z5w+//MOH23y9O/XPC1QQJcTbs+mq2+qpn6F25LTS3lkY4bIDMyySPE5R5mq
XblOaj/Hxi34bb2iJjR17/Wo5dREDp1ub5cmcPuUNmSIkRa3OVCosqBd4agzVGJfRcuPvw+h3x/K
UWLFZ13lgFfDNT3zU3FXdJ+bMHh2G9k6NAWjZq22O1xS6kPcRitgjnAEchvcPjWTgMSw9Asz5ZE7
2bzC8+7FbWQrLJFjKYNMCkZO2TdYnP2Y1vib29D+8d42Xh1OPQRJM9C8UlgjaZPBccipKoQ73vHg
NQxIgqINt1o8fsIr1MVQ9m6y/b+Y+47GMN4OPhKhaSiwPcLfAdzrFpY2ZoinxsxsxKoUEd2HjX5o
RuaWwG3EkPbLvvAXL8xWtgJbrvvHYdZOz7aRDRiinPdBEmC9Sw3zKaWC3RKcNVg8EZU2ZChMRtHo
cjt5RNc/ViKoYfem83P+jaeGt0KTGOHpXGFdYAO2L4UPM1S3RjyMqI+3YW+KUcJEKkQ+WVpvR2Bp
cJtMgA26Bb6NGxpSAim4kIbZssKGZuCHlCduedbWK/Jg6iOSoMeT3AiXwHbl33mwvDqFvg0bWqMU
76kBVlz6/N5QRm9hx8kct6J1ZprOg5n1jImPLL7XJHmG+HjmNG9bsCiqc5/2I4DNRgtDd7roxusq
nqtz9KMTO9GGDkVsKSKWA/oVD+a19iXHC7R03Cs2eGhlgE5LDjTinCfweyzu88lNti2yoUMQfiVN
2OFtWHXGv2FjTvdeKJczxf4Wh7++9UW2apEmTOhJ9cAJ+jzcp5UKfhR+2Za7VHPu+GWtQOVjD0En
eIKATz8lu82hzZD4nBn9qc9qHaKULyvumkBB0LoL71oCTWIQZtzonkAgHueYNlmgMzJiedA+u11E
8C3t4HPptuGtY3SAXWhZDngBhb9bsqciue6r1hzcBrcCleL9U6Y1ittlYAfD82ofCmbcMqONI4pg
pwHXxI3hAGMvtauGEnyqsZjcsqONJJLDYGTnd7B8GMsLWsjndXWjIkW2dJEyHpmgpoOnxDyBG2op
212+uOmrRrZNvJB14SHpApCTLnqf1OtwGJLS8Yv+AiSCWa6Z4DOasRg2b336QJnbg3kUWQHqdWgP
C+GhXcbqAuad7M9JO24VKzxlNwlRTICHyCrtdmtdiayG+6jTA2gUWeG5FKyDoWSMzBLC2jCg5S3R
sFZ0CiEbTNTUIl4Kj7KsgdD0PXxpx6xnRe8W/ZEVoJ4/jEE0exjd1z18I8192/VPTjO34URrM1cK
SsoMKLkFvsKrTnblXPZuNYCNJ+oiHlSB3Er0/rtfpZ/rxM17JLKxRN3csKLrNlTykn+tGR/QOuNu
YlSwPj5O5bh7ym5ta/TMihVA2bhc+g+EzekntzXfDth3T5WpIlL0eB8CvRFgFqqjK6gCKbetaGOJ
FIO/WwOPYzwhBJcQLM3GswzQE+enLQKUq6Sp8WqGS+gY5Xer1N+SIBdutyIbSaRRXAhvRC0ajB3J
aDv+NbR6dQv+XxBEZig0PG3RZBnTMqtYVwG9kbopu8B2/fh7im4WfZpgdHjLH0QVLvCidaRnR79g
iDRvF/xD62n19K7ygi8BN05omcgWAWrbUaRsxIVOaXorOv9rUgi3FbcRRB4sgdJo6yN6ef5xG5pF
04VT+NhGZmmRNlR3yOR6Tg+Jqu6KULl1P234UB00jERTgqs53Mz3M0qhtKadWxq30UPtIMdu7cCz
aUT1MW+6u+ncPe5EZW6r/xTFkLK1WlGZlwHNYE8XfRsHgm7Oyqf0xW3V7fOzzSkhuGJlgDxc50Mg
diX6oG5jW+UtoZNUQnJ8US70Yy1W7xJwqOZMfbs9Rvzm3mIjiBrZRUHe4HJe53P1oVF9/hL1BgBL
EC1IvUtrP/5Qx6H316xY4NicspFFWuam6kyBq/UgP6xbDyaHytmZHL+93fzmF9nQop4F8GgrcayC
PExfZB9JP6vSpAcndIYuW9ZNc0R2Tb8O7T7P4xCChwEZ3DaCDT5qF5kOZUICqAUX8R7eqK+djoIz
3yo88cusk5eWoBQbiW+lfPbW9nBb9rzcTfo5ssWPgrGvw7TIg2weJrFb49A/1OkYu4W3DUDCwzqM
vxds4qiiD6Fa/Su2dKFbYrKhR1BnnvNUY+rd0l8bBbxn7rkdvDbuaJ6bsCFetb34oMGE7To9Ai9c
nxF0OBF8NvQIjPokVdWQZDOIDU1WJl7yiYoWT75Gl7DkxJFJu4u4qRe8e4wy6d2ONhuXRId2hlck
WjjpGEYwCwlJ+iH3moG6bdRfsEl4j4SRB6KAVUbtGuVNO+IJt3xoQ5PWdNA0zus4C5T0X0w4Vg+l
6avKbafa4KSgpIUgJTZTzPh+KJJ1NyjP8anMxib5SvtTUWBh6mmqDgsPblTBHbsJNjaJMQIL+wWD
e2nVXVAiv+oV9uxOp5CNTsIdi/SGbImNJ/ll3bwOQdu4lUM2JskAVqL4guMgT4fHVkj54AnqOWHw
IKNxXH8OW3Ivixo2ptSg9mTJHxsP5+8X5URp4VlH89x6Sy1oCnwf78ZvMCKq6A6FeRcctKqX57//
Iyeyvi2dMgjFBSVYHUHmVxTQeuc13pPT2DYuiQ6gES0GaZmyXuwlrOmzpo4cd7sNTGJUpu08IHmy
KCh2LRQkL3pfVmcW/8S62NikOZAl07CwQuUyffNz8QEq6W75y5YKgqJUQBLIJ2Rm9vZQX75vi9Dt
0m8LBcUe3pzbAGuyrhTN4bLwIUU0uFGUIhsqo8Ohjdsava16DaZdgpu5t7i59YY2VqZdKZW0AlaG
6OEFeoYPbUxKp+wS2lAZCbf4vhvl1h4WBFzQJCvz8VzD4meO+rUihOj0cQpYS62r0oRAP8g+kVdj
Qad4R1JOwktZD/XHhuZy2bUpMug+4WX8iQBBag5eBCWEXScFHw8jQHDb/4eD0sWkcv+choHn/TwU
f51dZMPgijRZaWHw5AEOUvL/qPuy5chxLNlfaat31gAEF8Bsqh9IxqbQLqVSyhdaLkoS4AKSIAiQ
Xz+u6uo7VZo71jN6G7MypakiRIVILAfuftzLy8okZs4kV2GQ2dlWaSanLrmXlW3qnCY61sdeM6+H
Q7jMdtmyYd3ghgthlFop/p9HV4eKaH2SNl1/rrJPRQb1dFNUlbCnRc/huq/joJmLYe2hRl4RcW9h
s25hFxe7oIfHjpVpViZD96Q3lfCdcNJ3hdqWsslD25ff4mUd+kI2jfvkydBUV5AfpjYr+ViP+bou
9t6ty5b+DJuurGGApZrpotedu1kR6xddq7rhySXMuLbqcosRynBugr6uEGO7Tf0T2MfUnVentO4y
R+O53DI+TYNHEDpBIGDq5w62kQiA4n6PaO2tgT5WUwgIWVvOR8S0NvKgHQCwz2YNV3FYV96G+WSm
svqEHMfxttM4+N1sPG7brGFJLy8EiRS57tVEWS4GoNmXga47dxtPY+9ZVsMWJ8YCRrUAKNoirbXL
26Zly6WdhJdfHA3pcKrWJrEUTWTJJO8ChpSdyzrcLFyXqCWpvrORrQbQthQy7Sy0bqF3kyW9OaGi
r3jWec0NEn/addsjXVaxuYinsjW7qK50/GXuAzem2aRs2K6FIanhHI7njXFIPLBdI767YSzpTyQt
TOMjS6F8uhza2PU3QZQG4jy5QHQ3lm8LHgBfmtJmSG1e+jhHu/66vX1I0HhdnqKroX5clI31TaVi
rqI8GhG5NWTdTPV8iSyBhD814QTiyZpmK+ujIrjL6BGR1Z7XW6mHLIHK676yMXU3c9cBhEj7elG5
61xvfgjtysnu5rGHtz+bRnOG0pnPDNU1tC4E7c5+eehLBV4BJk0tfWzLmoXFoCteTGYgqgi2juKp
A2tCSl8f6Tonm1Mb6Jluvh7TcLyuFhnBErHqxEsZ8aG6SHg64aRnymra8AcFqsXZb4x0nvDu7eYM
B427QAtG3WSKuYnlZ7JpbQ5MdMEFEMkpAExbd2S3TkN0S8eOnma+sDHvO63CjK6dTfeaVQ3PRIQ4
6YyPLTIyRRSXOluWFth0i3iHl072bs14xSuadQH4qsaQ6cARkrGHhVz6gtZvcLbDtOm8r2fZFlHp
pjWjvBsO0+DYs5uSNc5MPAwNhMqSuwJZx5U9DHHEfsh5CZCEqpKHdBJaIxVabWUByr/SRz0OYGmW
aasyssTika2xKXqROL83sDupr30lgn2AZIf+BHmheRlHWl1IW9dfw4biUzUN7Arz1iWOnWZRSn0/
BIjwymsKT51ia7tRZHToxHQ3rry5azX65LPJlfTWlw2vC6MI4UXScoXktk6ftNiGu3IIcFhb46Bc
irk3960Zk+OaImGr8Cx10z7o+nXYzxNd3Q7Vc9xksNqwr1PVM3JF6kbXGRQoozpXnQWHptEg5k69
anQ+lUHbH9lW9maHPXc1V1AFn3ruple6Vbg7XaUKEyxVhXVmZKdG0/mpryO8HYzFOOcKPNFdjW58
noVkjW/9MqbNBfKXYmgBKmXiPYs8f2hG2thzZAa0AtV6cM3e2k0Gl7pV1hyRN+PPfYu45IwPcGXK
l4qF7jZkCh6HbNzafTet3iP5mazbp6Hn/pCCI7mUUa36gjI0GMcRQI1LsSUtyX2yanRL6sZctolL
+p+Ta/t0X8U29Zlo+BRmge6lvxtFDS6kYluHrxE6lsEANpzuqIvLpli7foEiyAu53eu4dqyAjTA6
64idtvsIjEKAiAkxNC9WzLDKRiLewgrZ1+6qhLoXBDeffbtza8jWnEtYQWWNTRp7kG2LbNssZkub
MXR6nymr2X7p1PQkVmQZunXi03FsoOi9mNZ1nW5d1w8lOCeIfJO7Qa/KXmEvKuMrM4v10yoGKvfB
hsbrg+IBPBfyZmSIRUNITfKzShOD/nFBWIl2QNmIi9bCnO/Uw523aTJVjWwo7AwXrKt5kUIiFooS
dcaIGq9qLiXa2l1XgX1FVM9uHWvq7vq3lLQbFivNctsM9EuUwnkOcF5XwWL+zTflEx/SsW7PrOJp
XMAGk5QSrhszLWTEyW7W1U81BPMTAPutQDMKBnotxJgHKbzscDyI0rsWnNXnxOjlu9haP2ZU2VTk
pSjj0yDZAA9+568iQ+y9VBFPcj3BEnBoFDubZVn6LHK6OwOxqfIZbXQ5HVpyikwvzl5vMykcT5Bk
yPEm9TKYevgSoX/3ttFD7VUWlUOii0hj3N9DIGai48Q20mc+NaTeq7YRKleuXeJiDG3yQkuRAFkP
Zr/lmNVRkOnQjvQJk8qWhRdNMF5W7VbDQk9tet+YUkYHyKzUkGHomXMbGTiik42qU80QIJwH3EZj
Buu99Khrtc05rCim+sgbkV4hRW60mZZB6w9xrWR0weRCB5tPflpnl01kNexmaOo0yl2PwKJCNG11
145DMhaDIfKxCifTZqR0bM6Nauest4gDy6Ykadx1oERqc2lEc9J923Vnn6Zbe5jTJjD3YUg3m0OO
A7qPVShBKr5Ktud8CPRRKpUC+bFRl8Hn50dHl77fT3GsTCHiil40Xit54MivGXfaEVm0CTc5ixaU
U6aJ9ecF6cZLNhvsAdlK25eWT+Is0RGewQv3VjUjgmwlUyFWerTQNEXtKTf7EBVH5jEZy4ytFJv0
Qri69m3dZZI0jiALfDnODc4QqaNpxjRlGX6TLiZR3ngrn9cBscHMx+zo5cKBwgwJOG82Yx+zkYK7
Z+ChS7+bie3ii9LWcZUvfjD2at6mcskTUyFQaRjrINmzYUR7aYUWv9BmKGIqd6KkT8e8nTvVZD7c
fLMfeDKP12yprc3nuWPVUW8NPIW9FHV6MaeoR7JxHBb7cw3bWGTR1iLab0ER7gpTOt4W41iFJJcU
tQP81z2ZPvO6DEwxUl7aQlcI6sQH8uYRONkg8w3m05co6tGzz+Jy+eEshz+Njkoic9dgNJ2TdBTX
QGS38hDEKK4OrTbx+iimqY0xlkNH8r6a1+52rBf2PMRDiDmyBhoViiiDMeewoO3Ai4daFsbA4u3A
ArgQ7FkpInpCFmQrCsZJVd1X6H0i152ItzRDOVAdu54GIe5AF87XPMQho6idK0U+tIJ+tmngG2Bv
Mmn6Y2CRspn1EnVrLmLZsesWCoU6b6RB383iTXOzhDNo0DqCiUOWbJDqHWNRN+15rDl9BDa/pDnW
zf6QhpTfKL+SuVDJIM39Rid3j89NvjFewhRRw/RAnsiGLJQMJrV8+b4tKw93SPMGTue72a2FSqVJ
n9BcnEzHBE+/SfMppaL6ZrsZyaibBEubVb4XjzHXXsHUuU7ILkAorszXYCb9vurhrlvYabbrGR5T
dsqjqg/HorVwsstR9JNLWfV+QfVr2v7cwefqM5xSOMn0YOE9OQ6zh7FoOvivIuw9rSEyca4/mgUL
9NG0c693ZmrQHYfPugjky6u4hjgSW+/OsjFob7CON/5BW/QYnbe1xlk19GvTnbyH9L6YUmQ2FaWn
Gy/oHEZRvtFkjI7ShRzrzRLWsOye53U+0i3BMdAppB8/4Zmz+Iwk8W56HXpsoYc4ibbxaxOivShn
Ca387RrXK71jS2DrHWyCSl70inT7JErpsw7pfF0z7P1FSEcb47TQzeh/YGgqLtpoLLdC9Nra42C8
YgWPVB+cRA213R0KUWZzBG3K6RPvtmG4auD2hopr6T2gj3qe9gRXvu7LDQVm19Ws/aTCuLOXqo9T
8Ry0caSfl7AjyQ31s+PHlXL2uLCYDRhn7XCjlymWxwn5PnGBspo2+Qi//37nrejDHM0PRLwyBm2h
ziTdHGR/qw0ugzQp54toAO2Rb+3YDpgxg96yUcUCCt4Ukrv0AqNe4P7DwCe4kaQsg1vkQqEcUGWA
GYSHreqkRTsVntOerWR1oE5gfpbRZLYE/QrR9BjNbYJBh75xr18GbZX7LmBCWX6fm5JuP8SCkWt+
hiEmKnnLamwnHFEFT8rctiGx2Zpqz3ZmfIuIk1K4s23MpIrWY/fKmqnC4baSs/wadUny7BHg9YbK
DxVJEBefYgaAJXLV3nbYM9eCBfi3RAhAY50/l5Eb9XpLkXBZr7lYWLMMBdaCusdDtRyWKAqHJl2E
yuD0MtdrCFs+cJBiB5tf0xRMNqvJkYMQkgxKnGrAquDhErLgsP20NGg6BwiN1sQuLVA2Epi9J2kJ
MXDGl3aNnmmoWIpKQ9Mgj+pWVjcLdax6xTI79oUTGEv72o4pP/F4GZC2EAs/iRdRT6G5tzUQgvte
p0ObmzjpK5wyKosg4ZZh8Uuxjpa7mNJKCgi8ZrZd4bEm8rwh9+Qh7BOpDnRhy3gTGEbDYsEKoy60
Ht0DAlCR2Dr0to7uBtksqE6BFZBXG7OI7lKC1sIjRE3Llk8ouZcHsxqyZPHWde3Faly5HGpDGWiu
LfwJZY8jmdOV/0rQRPDAbWXRDhIMZoKzqWV90WobDefUOfna92tphsyE8BZDCa8bjEKKiMNm71qS
KvyVHF7/ZrjuBq6PmIT2uSZtyTO2WH4Mk43/VCTFcTUhbRrnK8gSs2ONTNurGU9lUFkzWqDU2Tp3
us025RiehN3iW6Rfo+lt3SKfETzewpk5WoowHsPbRMxhf2ag6xhqH2xvWdX28QQBZ2tDWA8bbHpI
vhRsH47wVN2JIWTNd0+r3u7gK2oixBvWVGBuocDOh2ECrzIHBM0lPm7jm1Ag3u42RmKWzhlg6D7f
cEhuC7nNpj5vXsYG61tbswxiaTSJS5w/5xODAf3Vam2lMqRKOX5ponXCGSrQTJoMqbLJ57g1/Afz
AZlfCDXG39QpOvH2AHVhKhvquMSf4PsYSWBQp9V5giD6O1xijC8XHvAZ6xClFrccLnLwE+5G1RxJ
4joEpluuE5bDu4I+UQLkKfOwmnhoaApUBpEuJU6aPtH8hP0G7YQRxFInIOs6QbBZwwTwHFgw5CQY
JwmpAJY5GL0sHseAZCBRMZYaOjbbVWN5nmi/IYmcpmWY44jH7109ijQjwvE+H7iRzwlM0U6zLqcw
r8KOfyoth1p6HET9OFZj8rmxaRPnlDTyK9q/tgeOmAh8SIcNHSefSGRLzcRtspTyS0psS4vANf0J
v2S9ZSsLdlhYm7umUnOIYsm7LrclN4e48jM5dWqFgjriGBr50MQILFELgpD2G8qAag8z7aHCPmeR
PuVKLJkXweR0/VC9CX+/DM2AMicEExP9RFtuVT90kNeDoqHYpYDXcBwdZAmg7boRc3tp1pjslA1g
4yNxO8bdNKmG38MUl7g8DUKsuiV2rd4WoM/jspgsivsRAyyggNKCdspiDxQp33zdwXQa6EgWS79r
hL4O43T95MLGHquWk/U8V7qfvhtPSmwW3TxXF8FqOnRBEi6ZWDKFlppbTxhrc9GM3ZhFKQuCWzau
9dXMak7yah7S08Z9UJ5M7+H/rZuykp+6Cul5tyWXUYgalS4+t7Kq7kgaIoFJGNtdx2ZhCCBpS71e
eRyqT2x043ktw8jmODvBZSgusZHOOJI1t30U8W+0a1tZNCkqk0zHUjwwpItegAofYGNllwlV5iL9
EzCaHhV0gEZXHG2Uns/BlCYgZie3fibauVMZTBvLWlGq62HR3c+WpunYA4egWC3Ktd26c7fgwHde
Ji5UZjdqfb42Huf8uG8DmEPFeGYHrtrF1BlsdGT5kMbVwM+BCuRFOzSty6eo8cFFWFo74G6m8ytC
BJsqi+1cpxndonU8RDCZerHc+yVHHVfeyNCFl1Ep7qytIR6F4R33BZbN7cowOYSXLUjuVzTSp3cc
BgQvK8fh4qKvaVseJ9qS+ECiZLUHxLxMczaPTt7HaE+8i+ayHrOpTNcXtC2mz2Hv+otmZv2O9Mt+
rYG1xP13xzAlssgY9wz+IMqgjkG1BrYeK6cm1xXOlzcM+DeyswwkArsF5dNTTTd/GrF33qGHxgSn
LvGASNukdHeRCLeLxaSxzNZStBfVcPg+bC6bVySd+Yi4Ij3MAtYSefKGBNdUVQ9hW9XPlGNwSS57
aJei2B6QHYm2vAnyxSGfuwaPQiGG6Hqt2vA6qbb1awmQ71MXl+ZmHcRMj6KnT4Ks2eqmn3G1PG5t
SwEsz1V1oeKtGQD5xfU5Huv6hAcTZINByAp0NK5bi9lMrstw++NPZbD5pUhQPE+5DVoJrRAwtp9s
g8EcZgMDBo0kR3EvcGi+kcLym4CpzmDXWSuTUQxbzFOztneKOL/st4FFza6WK3DXhUTjC1JcSIid
mzGg811wR0UwnygjM6JdStd/j+JtfeXrMhAAkGs8Ykvo+M8eTmg/onhR+NFkXJq8xLpbAvcANA8k
sg4fwgoANVrsnH0Zw74LM9czmBm00zSXhRapmrKwikuP4nD1l9Z7qfIY+PwjVDDMw4kn6CscSo37
Aohw6PdLMvJXTKzwmCTbdR+w7loo2lyxbVqaLBmYvRkTUV1huU6/NR3CyP+F6uK/Iw7f2Nw/KUzh
6zybIZaQxadLeELv6pozJj7mgxO/NwdoCaCNsOmhGMEQDxaUW20YfKxh8L09QCUHOS7qjTyk6qgW
LEc0dB+Luonet32PSyS1QWjwzvu38TMgOVxuNvhQL0L0vu+bMr3WJbbRHbw2KT/KhGwXoQET+iHd
YyTeHvafHirU6gqANySVziX3pLwMhXr+CEeOsfrXK6+rAtRSb1BdRSbbquQ2SMIPjUSsXH+9NMgl
NHz0GCtVVX4bXPdCJ/6vhH3//1EevW/5tn3alqzGteOq/Gz4lqv0YxF80fuGb2lkGysPtrYO+i9x
Bx6rWr586Ga/b/hmWF8ZnAFgaNYjySF2CQMJ+vqxa7+psP40RNg81gKnQjRld+HrBoJFjNR/jMB+
3/AN6ggNMeNbe2YafENI3FzQqo0+JEID4PvXD46Tje9YjAZNuN+oQuEA/QQKbfyQIiF6HxTBohUA
onkbhJaWlxRQxcC2j1783bSssYq7rtEQY1pznawqDwfzIfsYVMjv7orfALwnaJ6KZv8EaBEJ6vXn
j42Ud/OSz+DKAnTz7MppZbeyqaPMbZX92ILyvu0btGgitrpGl30AKseNwSlV9cccmEA4/PWuxI4Q
kZABxl0M2Cy4C0gXcK7+0H153/e9VL5MN9h3QXonnpYRnBQAug9e+93s7Dyc+YF0Q14yhcc2tbu2
px/be973fS/JNpYpx8cGlrt3vfoiGv31Y3fk3dScYJ+ZxG/GeimzW+5Ysx6lMVvxsau/q1T4CmFB
VcLeUVlhEBg+FRShFP9ix3xTv/xX3Un0vu07Bo4Dy170wrTOonasWIkg1Yl4yC7YAF4YsJZqhmOX
UP9HhNa//SUZ1vz93/H9dz0AM0A207tv//6oO/z3728/8//e89ef+PvhVV9/7V7N+zf95Wdw3T9+
b/F1/vqXbxC5C5XsHcjg9f7VIAXx9+tXr/rtnf/TF//2+vtVHtfh9bdfvmvbz29Xq6Tuf/njpdOP
336J3xot/u3P1//jxbc/4LdfoNH52+NXJ9v/8jOvX8382y8s+pWkACMJdAhhHPO3TlD3+vsr7FeY
YiBFQTAeMqCXWIt6aLvr334Jw18heIEJGYG3BU/Ym9LdaJzz8BL9FdfBi4zTKBEpdOj//Gy3/3j2
/3gcuBd/fP+33na3Gocf89svv+sY/3OIpCGL0ziMgBIDlcMV308g7BlNyLf17Wy7GPqtxHscaqFG
TD8BaEErAIhWTGinpAo86JDHFXyVqmxbFEItclDsTbVXUOLH97/fxP/VOLoZXvuHeXp9na++Dv8H
Rgp965X970fK1ddW/nmQ/P72fwyS6NcQ44AITiJgpAJz/5+DJKDhr2FEQk7Ai7EkpW9eNv8cJfHv
oyThsFaJY5K+bTd/jBJKfqVRyokQPAzxBSZp/4tRwn93FvjPYcIJxm8EDy2SMPyLMfluMURWxAyV
mtlHAH7io0akC4BZT+T8jFgNkk5AbFHf7iSsK3guhaeuCBo0Kp4FIg4EqBQwg2ArhzC96tScqhOp
ynn5WY+hNsB2S8hpunSwJ9OGjTmFCsDvHvhc608Rr4Ya6Aepy/2AEGf79Mbpjrlnm6PHcZs0LajH
8ft5TKWG3KCEMM498BFirB/ceYDuGfMgsQrSd535AYmavOmYmYai1vDw/eFNOKt8QtCoOKk1ctFN
LScJMXRD+9wSBVJfgplA/B3ARqhK4pqWjyR1YjpYUFCFXINHGDt/18JdLSmAQwZIsIyCy4lJVubs
zZo543E0c+CbMw0haZrnwVxxLfgTIdMXCyFEdUKiFyN5mDQ1EuXST5GsP0fjLC62UZh+N8R+wy1V
G+8OkMHwNQc4sNBdX6UmC+qE8acItMWUlaAwo32LmMTqjMiG8SLlsjZPEWCm7ZCYGmCxRJP009ZM
GxqZ8RdM/QkcN7vRQVpeWp6mZg+lpj+1OgCf0kP2czLgwEwOB3L6aEwkfF7XS9/kHGBnedp0INBu
M0b0nnWRFjlCCTVXOdW1/6a4l36vy9KTAxKGWHW7BWPJ8rYS5ltoaHnNSrWld5Pb6qrLqwkQcdes
4Us42vVrY/h05yQMkFVbX7kyTgokiAVo1eVjci+C5dPWz+FplZQB5EJ280HVmzMqg7NhXe97H7Lo
e+QtuO+oNo06xBHydq4G5VWXoU9seZZInBsyaA+6Q1O3U/tFIVFxPZQjLUGyzhCE7aBOQO5n3Sl+
4980JqygS9Wkr9LGLX1tkIPlH5oV2NlphWPzdN36jvRhtiBcNgQqSpu5mw9sS9nIMm3o1rCjSbUa
tiwNVUNOA/Ey/A7aJx0hQ1mJU4hem7v6MxQxW/oC7RCRt1hhS/sqg0DNScZZPW2Qey26Xw6GixKn
Y4B3PAIP1bLqym5hmYIznDApd2uP8zJURcbob8jCQKhbvAA8fRj8PMlPrDKGuEwq2Y41BBDaAG4L
x9ncGiJkez3zNm3HoiakpccSZ1jwO3AvZ4CHLRULzVmqKh7kgMm7NDwl2ukzvAP4oYmX6YDk4f6a
j6LLR8Ou6ngBqYFow/Vh3qoUGPeIBApFwz0Cs5YvCIYzuRBp861zK6CmseFVBvnCkNNtczk+mdhv
TQ1GHU5zByUQBpETAplQtjZW97kKhjAv4ZZ7DheOtJx07ZtH7MkajoirxfBtrH0CJTKdscapYzJv
yUWvdFOUwv0E8lJd+6F8hIab34NYqi5AEeG+6wpbYGNFgifqMB+mBKAmnDPZI6SnKcQa/RQdCFbC
C4ettM9sqdweloYropF88onE03YnhtVctME8X07rtIB2mpIC2uDgMLes9jkXbPkcddEAA6rxDUKX
Aovp3m0TOYyhA7liGD8TDog3W8a1PwDaX47bsOqX8E3mu4QAvPgSDbCt5tGSRRL64oGBnaYzgP95
IF1GQkCtYSuDK7uYWzrXuF/WEHD5TufbuMU5JMBJkvkp4TmYVv+YxoMthJrt2U9eoJJsXLbRjoAI
Wq9WH3hohQN3RJbadI8AaHkMCGjiKKIkD5bQ78OoKfMgCug5kny+WGtXP0NHm+aBdmlRkmTap96W
J9mND006lfsEoQQZ9E3VYYv9BBLNqmvZxfpSwYHyHoygPC0yWV+6iZRzloBUeBzr4VsIM5+9hMXW
M0Rb9m6cJw+fDc0yOq4t7og7hE1Un0mvwh3vCLRYQbecEtV+rYD9a4hj8VQx5OlVBTUHDB3DLYsT
IwvvbbjvBrPm0aSRDimYONZh4k7Wp+GVh8T8OVRhco74MpxAJQwXc9meF6iUii2Z0crxZjytwe8c
AflC5RIv7somFbvwC7rIK12XkJvE4dEPevq6lsu0o4aNp2RQZQGG0x7FNn9L8QjR3RqG96Nb9iBQ
60uwTf2RJis7R1vJX1qSDBBOdiLdR+hu6hCuPAP/QGkJhrZVjy4Jo5dQSt9m6AurDjCy6k86ndkt
rVedB1XJyYlXDPrmtXL9U9TGdzpAz9UEqet9gMN5EZh63OPkuRZB2LV3S0oeoCdIj6xTyZeJUARI
SMf2khhozhvGL1zUs89ihYZOhdAPVrH/DjIUS4tE8iOuN5eqzBMRsCQDy73kQ6nYA4FHXRZyv074
Cn3cjJm7q900ZVi6eD711O7GsoLaTg/B1Vxxm40TAStTTRrKC/q2i0M2DEw7UGU77fuNpXdwLh8v
Q/AwP3HKZ+bSEmjPYkDgAbOSvsXoWYn5uF/dQOvZHlytWgYtX8Kx7VTPllcTrW4lUrfByo7GlEmw
q6tAQfmAAGLZTE7l8BosW0hveZ2mpQWDxFXNyNsDn2ryQEL4WBB/cjYpQVM1pLbXPAlM9xpR6Cu+
holdGwLZcDx/mQ3Vp3EbCQZvL/a+1XOOoI4v7Qgzo1Q4IMMmlrfcBOBjk7p9hPSs5YdAbozscZRI
mp1Ypmrf9w7hmpZ3+n4O8BR66CiuFNR+4AXjIcmGzq/7eDbbsdlsWzi2VDmcGNZ8TRsQOgsyWfIZ
5lsnKu1yCoJVXm513D311ndN1g6p/u7CEoVVrOs691LrouwhVWVj+6mPE4G8giCFwA/dv1PcqKsg
rdTXYezYp8AOLtjNc2z3U+Pmi9bhqAHSe+OY+mL9bIzQxw4U/N67LX5V8C7Lk1AGh2pLvzroGwtS
pfQO6ghxwbtkvk+txrKBC2LYQGppT0LJGgpXELkoz0KoMpvkYYCivoiVWkQWrwH/HnqQ4GJ26acx
7p5LqB8eetQ1VSZrld6ZcGH78W3RIkE4umywZbtvZxfP50Gb6T/YO5MmO5F1y/6XGhdp4Dg4TDmc
LjpFSBHqJlioo3XA6eHX1zqZt+pJkTLJNKxnb3KvWcokDo27f83a+wtjRjNcposm2nDoVHVB+6x2
bxG5Zx+XJXzj6Cy4RzvBmslGKJ41K+5NYc0Q7VOftLFOWhTRbj0Wsd/5+uMySX2bF744bY3X3rpr
Ou6UZ/JjlakKknISggHMwfgY5P4CWqWGXWZtwoscy5vOQTE2sfaMz4GxfUL64kXD5Ah6jLJ+P6g1
p18E7ovBYbN40SaaZYZGc7z1NMD1ZJGpQvcBMsJ+D1uF5qQHypzYQSf/3RwY+RlpRv/EyQjvCCha
8QDH8i6rM/bwxXXOhV84j0x5EbeeNadvdZMUn8puTS9dyGZBlWGbk1r05SjXc7avV0vc0ofrbzN/
sW+1o5Orkn8i3GEFbN9sevMfa2cw13J1czTqfSll7GzEMa23Zk8qdFLo2XzZDptrDW+gYcRx8Dok
HOW2LMGOWCPpP6b+lJu4FI2cvy66Dl7zS991Frh+0SRz6e66NnfEp8Cg4L7tTN+tr9bEXtJ3piQf
e1WMzhQETPIJtgva4s7jo6ObvL21rCYRkcRpsI+BU3q6NDkZDJhA1ZTFdBVqw3k+dovl3ToTHN4+
1a6N+o7xms6VTGdVH9QEyh2hVinTE9BOtfcTnIMt4I/d0ueXtqw+B67hQCYv2EGSv+O+2n06Tz0/
mxWVWRyAEfFae9bubG6s2Vqv59H7VCblcrtuXvjQGwkKXdJp1ohSomGeEW6Mnoq0ksuucipiCsdK
Y68trjNvnSOVVe1pyHJ9xjnJP3ue/jCV1cMoJrA+yaGv1ulDIojQW1Z1vJSVdQTs8E/4NRffWKDu
m5SteyeHWXwY5iV7ckxYXoWzkxxzZfxbNlOfkNtzsGF27fy59011zYxU9xmPLDXczXazfF7oU28n
yQh5uLlxmZ3ztJIOxk7ld8UdUbz/EV6J7hICGw0QBQRsXjnDWFTvdL4uX1NHcvTlix1UJ+34kzln
NErepHWrxMlA/H8cEQDVe+ybw+QgdT7aZ9utlixeEXOc5zbleVh5QwqLDKXt9jZipwI9UGHZBHZ+
Y05UZVoXJrLJR3KvjE9YaSKz81gQZVyJxZtpKQerWZ5lKhOxh5ZNPud+5w7RYhrovd7l6EEuwODj
m7FeVfasoPAt2PtA6QdLTTy6IE0H2sWjy3ZOBXK52sKwsSLfsZdsBxqbqFgurWtg8RGRPVRJ4lSA
3X2bPjgedOmtnLrWi/spybYd+CUm7xY39XXyvbq5g3Lu/F1QWpt3QGTWJ6eyqJhdt1kWb9tSmbzJ
Gh4fDUhfcQ5spmpOG13UMtLjOp6sYnzr5X11lUgZ7t11TA45nD4u1U1+MFsiTyIpus/2NmQfxwlj
CUBs/501FNu+3Zz6mFgJwH9dc2AqEaDCEyqso0wv1ad1SgCWatiRk7QrcR3QSd8b23/PlKqJL99W
+irreusqncWy90oN3meVAHI1fy2tTfMJCBLkpCIs+Kxz2tCREFW416uumqhsqu5ked3wBV6jubJR
S3xqqaCwB3qtG8Yl7tiH1WlrKP3ANuuuHmCQ97is0Pux3fYIlLUefOogVmSnDYq8VAwPOnGS69VJ
pyNaLHG/2ijYcKd3Diod3iqmPR5U5Tt7Oym766npWXlbLW6CtRS3aVkohEttF7wPc91Dg9nDJ7ex
xuuK4WKHRSi2jjIQXxBHdNcZNZrX6SocNBsmmA/JyhC5yOG0AS4Zq2K3ZPWyE9Ilf2fBHzzt81A2
GztBkTy4a0dmvbjJNWOxZUx6XZ5V5vbDPilleAMOW8RUib03zZqWT4AP5RnTgE3GdOfHs5cYVJSj
cM7raiArxyW5zuZmjkHry9PgFDAtYD37dsqHW7sKguSEBqv9UORDWRYkBPWIGRs08HA1WExjIpCE
kbqyPLdVr4DQQ+9YOp0MyYmrJhz+aSP9US3xNv/cNX3zbXhZR/yhSP3/X8WRavIvKo5N13z+3PxY
dORv/FN0tJxL+dCnrCeFD/3jXSZY/VOathz1l2MLVwWB9Piigoud1n+qjq73V+gAT4VK+phRX0Zc
/9/StP2XUrZNcVqSJgUORiN/UHSUf4/O/a+io6cEbQoidtf3qEtT4OSXf9/VDTbw2HpNn7tRWtu1
Zsnou1YWK6uiHo05p4yukHmUsoG2MQCnBxpH5Sfs4a02OL+KECqHZLV3mDHX43o/U/Nok5tS2Jji
7ewOy61IMnjkG/HwhtB2rNNgeIT6JIyK2gb4LjkzCWVp00i7tRrJC0wfmnepYC9xZZw4XrZ0qGny
pUyBPC176YNYaGx3g0dJ+YxsPAszvOpvQ7mIYTrAklbjmy4rxuqeOG/03rsokcW+hWBu7n2VJ3DQ
gbDDZ0qpurgCjlTrjqrn4lMhXcCISpWW1SHXqW1f0dxFP7JMg232VNco2WdWT1lSiql747ld2L4O
x9keXrW+rj5YhhLfWc2i75CuTXYT12Tbz4WeR0PhRLRsEH5dqEilwWLD6+Icxn/vRCwHy/Sx19fm
EFjVqkDSAjgw9CJB80pNjW0iuOhCHUI6ztZp6BDsPjSFW3e7YDKjH2fd4LXH3DPeqZeBCHcDtU0k
D+mI4WZZlVYWL5RP3jNfcr11E8cmHyGR/9YSHI2fJVtufddSQ0R0lvfpI0Sy3+ywB04+OzYW7Ed3
ydv5qfXsPEyiNi3WvtzniAnzZw05j9ZId1Xw1bSE4u/DRW7dK9VSgby2J/6l/dg3YbPPJjW5Vxrv
modprtrgIINu+aQ5UNL9UCclUilX2q+txlNQnc4kkeNVg0hAaXBX3eH2sZTgrZzXu9w4XRJtFMo+
guTWb1BLpW6MTe30OLDUyoOGBAU27lJ1r0SyQMNL5G57VFiLC2ldVEgwmkZ8I0wcSAEZc/Ymdxsc
RDdV48tdZnb3qlMzMSSEWT0PxZ7ErW/JOBC5tbukdEm7M2Pw8ajzNTg4dk7CRJWDLKm0c9Hv+95U
2+1QB4TWG+0Hsn/GEzP8KK/D8o4IuC0PWKSvT+1ot7eZ0klxpb2WMR0FoF36SvW5SGM0Q2RSQ+s7
H6tgND6la2f7Zk9t4B7tXrJgbIzz/NtK0v+K18GuXut2doLzPHMKHCfwfUqkqVzToy9z6jhVXnhx
TmH+Nfb0iiJnwqGKPqSzGgpEctuIyhWy8RVpAGKwkAHNkdcPXXfE0j5Asuu1yjqO1MaC0whH/yHv
7HbiRTWh3Hagr4hB+04pHXuinHhtIkyWPh7HsUgI9yYL6o1aM0T8Ik1+nhFQdgfZbfOTkSLTR4s4
7yFDCmrFJAfG7AgdFkpuo6+LKFNA9qR3CzW7SlfWTSXcFEVwYKhnGTBziuIEjUjTg7UPdsvSkl+Y
RjmPbLfpG8nQL8T+wdgFe5HgjvxYVmjejxSa5+out+wxi9EyEPRsczKKndCO3R8KK/Oy99O00A2w
57aEAN+sMoi3RTvPPOV5vme6onwohsFmDuosLOtNaKbpxI0ztqSug2cHjUN7lrOWPg9co1ErAkml
Lu/qtt6nDJNE51nTnIrmsQZqLFqn3IZo7pe6O1Hsn/pDrganOoiBukgetcK2RbzpQLQfhW7qa1tK
6d6Ldu6bQ4+e2ovkMtRhZBYrf95oHj7oSbGTC6zn1bHZEENHEonnN9VLcZrY5dt3epyd7NLmN8Ex
N3gb3ZRDXQ+ROyNhOI6jCN+vSdI8yrTnaRWz1S436HK2DTPYCQWVnhjoxxxlpsujIaFlu8ungkpO
FFKAye7mqYU7LipLrRYhmS/ejq1Sz4Hsy/FdTxFlQBamTUvWm5XlG2DI0I0okbn5afZJp89y8UE2
vdSzmrt6aWyKmi6lY68mQ77K5GDbh5yA9xOVcrLVsJxVs3dwfXZf2TqbeXdW26Puc/GDi+UKs822
tG0iphfAvK3elIv8CkMtEXrP2tmmbjc5ZbqsBF5h0K4Remmz3mfQ+4XCc63Px3KHzz5eG0Scq1pE
JPKEEC5ibK01XVHXT7NriYIiH3Zb6Q/qxiu01X0i+UhSvBISVHRsClU3uzvL02n7RQwLOcBq9438
7JeN/UR3Zi2aaAUtTZZdaGnGj6HWEka96tJxladmrjTxb2kuytVCTtmpWGu0WZx8JQXoCU3X/eQF
aj3m9cr5GMtuGhFOAt8mdUxkUkzrTrileK39YBx2raBcBMS4OE6cWou33RV95tAjLABTkQFhw3Bs
Rs6znXJd8YBuWM1LVGrXpDQcrc05ek4mqGCt1NFuXDfIQJ/TNCjfl820oQ4sUtxEAHvDhpZ9lI1Z
0Lc4futs+Jqn1tpc96XN8IF9k7RLVR8SDyHEc7DpegkiRAADqm7sCYI66s0q6rdFVSz4G+gt8OGM
XF5ue66wsmSqfJusc7Ls0aFl620NfIMWJ8v0hNh87IOr3lpn/yiZn8eL27LOlhQA9TIue8kp1yc7
NogAz1B4YDTZjU3RpkQTZY+oF5TrLN4YLWPtTMdVWMtKdWQkJzrz6absTVhnqOy20q7lf6QCgnp+
cux2fDXX3UzK5OKR1b1rhdt6N4NDf/lWjJ3lX2c0n8r7YCibOg7NrFQV+V2zTfctRN/6aJLOnj4M
DWlUGVkdKO6OuGjNz6tIDZ0SUu+ue+0lgPV9VKvU/dbg25BcVz3WJHvpdVXyIQm9xuypn6lHeuTh
LQ9ObTGOdfWnVo30GOlVLMX0cfb6KowwHU7Xa6TsvrzKiQbKxzXrsum5nAb9ydQMVThVzVRNN4vP
Mj4ndjHnKNF8Od+Xup0osRDk+qdL9yi7XlNX6qvEClAiqrLehvcUvrhTVJlp927Rhfem02P9wReo
oZ587eAzUWPDI4/tZrf5KS29lSHKSz0ZthRR2bGY5m48O1SSrceqqpr59Rw2nrZYvybvToFEx4cb
XObwo2gfvs5Qz837P8co/pumPj782y9Sn+exQ9M39j8kP5e/80/y47t/kafQzUbA6yrHvlDF/+Q+
nv8XlI4QSFR8Eh37Ymj/n9THAqtwXaVUCFLB/4qL39B/kh9L2H9hregJWB9HerA7f5T9vABzLtSG
x1ZCEiWpfwjnpYH8RouhLku17OpSOVeWUcsT9r1dFl+K8LttuMyUwVAjLpiGp6MBP5/nGfOjb8Zk
6/m7J/cTSOjC5/1XHvb3TwE+udwVBIqUpHU/5GGo8Xs8s2DpRZP2Jw8dXYw/1HhCWAgYpGU2PNCr
TT4bIuvfIIMXruT7S0vXJwklE+RFKMd/ab0MvGHNvbs1cWhlb4PBYUpcvXwtluDQpfTTf32fF2L1
xcWYWsaLA9eWYDgvsFNoNx/3pKCNK0uuWPiNz25r/ZkxcMA/TMbtkR9feDDKhS8uAjjRYVlntaSJ
uXO2mgJ/FU6rN7++lUtq/MOtKP593lR4uZUweAlbt/00NDTMhricmgfPQie5pOYxVBtF0u1DubXn
YNL3VRf+s99QJPk5T/a3XfWLC0MdAayF0gZ2femq2fhhZ6WDP8aVBxeCHh4QxsNcBT3dnKdPjBSQ
wyHBUQAngMZ+dpNtu12sJnzMJFlLZKYGgmYsdBE7SK6WeF1pvO6wnlne5Sg0t0gKy84iSzsoZxmB
MMkYD2BGCfS05AdgiEeOgJxAdYIC70q/TM6mXre7daHecBbjVhEIiV4wUqazhIqmMQ3Cc0hOQOOu
k6O3C3VuvWUm5lvyNZOe3A73k4gqs3JwOPXo87ktfhzR6nvDnyHmfBu8aKqqYejYMH4Yif240Oj+
NFZJ8SDWdV/eWkjs9l0eqt985v9aU0wn4wsUrst6pvjz4gsc8qXXzgDHTmXAxOGArwy8NcX7ZbIP
hEG/G97xI4X69135LCoX3o0Nl/Dox7tC2t16IxWA2FH0m1Ahung1GhlTbbdJixovdlbzO2PCn9yk
70oEUcIL3BBg8seLUtVV8iJfj1U53gN7UaXMMF+b3fC+XlGQ/Xq5/WvnuBwjcG7SYdQXR8cLPI7W
+NagoRrjhJ+0o1AxUTZevMOvr/K3oeUPiwu+O+TdsQdLDi3/5ZtzWkGjXYYxqeT61i82TegQtCWZ
VJMHj4AIjP2dcIWjDBI6MfWoetoJENJHf528VzkcyX+0UP9TW/1fzmX80S8CjGZ71p9yM379McLg
L/2H6bT/ClwAW8BfCqkwRXz3/wF/7b8E4SukkMSyA/6XP/kuwpAsE9oOnBPgaRdv+v8XYfh/BT7f
F7EFVDA12D+KMC6n9ncfk8OPUjZAsuuLi7XFS2tl9PKelXpQPZTVrCilrnWjUUc/GL8ngfnu0dz/
869+jxm/WI1/X8vhSOI8ojaM2dmPq5FKC3Rx1eJbGU6YzyRdMDmYjLjZ575JpmuXQtafiQ14SsQN
bHBOGLDkeAOXoObz8+u8Ti8Y9P/2ykAXxaV9b/nzECMctvbo7PPfhEY/ubGAwrTwXCGUK5wX20wF
KmuSSwc1w50/OyvCqJ1vB+ANmagDTEA81Je/2Wx+8uKCEK2Hxy5ABeOlxXOGTQDlCEZEJeMaRhTP
dLKrsq3AhEiRAP/xm+NiinDFCXmIL+eNFIlrHFHiLzT1dXvn1qH3RTazORlraq/GvAvD33wql/fy
/WcJkI4bJxEfIbRi/bwo+vNB2hg7NEs0zVBb/fppyZL2mkr52x5/ihtdk4ia/ndhy08uGtC6cDgU
6Gi8VF9mQ0KNbCmWaCkoJNhoknd91VS/+VhenBKOy6xGiETp+cT0wnkZlE249FkbeurIOO10l6s2
vzX978ZZvvw6uIivIMIJwQgixMvRM1jiBFvbURBqPad7CudyvcfCpjn3WPmdfv1t/ORShCks6FAg
IvjX/fQyLbJi9rBpS0n6d5VuYFxyd52BwjPMen59tcse8eOHgakB+5WN4wD10JfdoDlvDM4sNYNL
S3zIKojbD1k7je+g3vxX21g6dE4KwspfX/XlAudxQsMTMNHQosD8EnwnlMXUCu9LalL+8JAn23LN
fPf6xsWoA0PUGp/KX1/wJx9JELKhXIh/6qIvB00tRWACW+OykycGg1YQ8hMFsuU3y/rnV0EHRN9e
in8t68p1eiS7hNNjaKxoKJwUSxPh/PnDC23HxZMCJJizTvy4B0PFqWyzwVtoIpljU3rWXWJydSVg
Qr5lOF/c//rZ/XvvCNBOhOwflxtzgstdf7fnw1/7usHMDDBiO/GUJ4hmXBGaYXzfaudVERCEYjf5
G3XlT5bBJV/ElNSh+cm6+/GqPuoN3dV0RrDcUvtu9JpDo/zwhBvA+PTrG/zXa7vsUYIBh1QG6AJe
eq/f36DxW2us3FUCKLj9LUhjcaxr82eT3gOHbR6lB/+nFCG5eymNfH8VCH1UDw5OLuWa4ypmaWuJ
22Fw3vzhzVx2Kdu9fOWc0OFL3XhhAkycBpK+1W/xPZrDgBNa9H+6nkICj0sF5XJAo7G5LPDvvomQ
DpoqZSuiEAaPmlyC9X9T/86V+1/fwCXFIDr3LjshUuYXV1kxpwcZw9ZKycC66sptuw8urFXh938m
g+ft/H2pkBY7ARV8xYskEUwtx0K5lvQaM5dOmB5teV7bXIn9r9/PixoCFyJX87DCZq8lMX2ZJ3ZT
MDaDwPFupA3rsKevgzoxqKS3yClW5sjgN12uO98ozBgtuZRjFMwIPg6//hn/+uaploI2XfRPNq/w
5fRd1qtbpLmC4l+mJb1akza0j8LVbfOb+/33O/QFTnfsHgSqXOfFOraSQqedR7pdLU19wE5FRdu4
4XvjtuLxj++JC1AlpFhMlPNyloy/OWDzmqZBP23tK6Sx9anBR/c32+9PnhxuCSQZVPwpIPqXG/7u
01/r1J/dag2iIqjTfVO61N1HIMxf30vovHxwATkMBVTuyOYw+VuG9v11PCw0twk98q5ALLrssQkC
ZrIx9/iiAsaPfWBKQyHLSBni03jI24ROoukSmR7THkHHG7/rlT4I2qlsnxaQZdQJmtGxSHRp3+R0
PL8gEEG5ipCj7L4mSdWAeifYj0Zr3tvdG8juSQFE1Ta9vYIZeTpyUgdrcntJANIinJNMlV/14aQw
PlmdaYWFxGwJ8umOTTpdg7NhTF/+UGSLnA5zH6S+G3OemenBW5IVVyP+GG+OGs/RB6WgmrBDLuBk
Fcl3uMMQb1XHFROd7Hos+vatlzX20W2mEuULd9e+SmRoqQ8ZfkLVrd1rik3SDRG2M8ubYbX22gzh
qcxDp77HHapZz0sPkPJgJTI3B6e3luWGeHvVmsbJCMYL392GR1xC9IJlLN0yzlTMQdV+WETuvW76
BXd26h2B3LmbZ8mHUnsdRkhA2w+FsznYc+Ybe6LX9jMMXU9wFY1UPiECvV7U7wU9QPuqGbzSfRK+
nW3prl26vHquMulnewbiuZj8pG6GMs/2Ro2/c2CGUycnGj3GadDcdP6cfiyLOUjpIy+ijPXi5E92
llvbmdE4FlTJWuCD2Ymuye/VmvlPQYYBOqaaQTUjqFDut62fFjsGyIcEYl590/HWprXr4j7XYA4L
tqYPtBLxK9cq007sN2VVE4fyrz9k1gQvYWl/LiJXe9W2yyof9tkfdTXcQVD44VXdiup+NKPrP64y
6Ncz6rbaS9jM9BzqPeOzkQXFq12lwxjPS59Zn4ICGsndAdwv/V1XSN1d09/x3H1rFVP3Jdfrdu7c
NUD41+J9GtWAAfAB7NUN8HVO9+gADT10b9rBjPmnFR7fdXc1lprUYsHhBrc/lUgjgCv6pLFFzaQg
kyrqSYDaCGeESe3pS+g29nAjMSLvv2KPgucOvOgQbukBbtq5s3VQZ1fwoNmynzrfMSd+RP+5tIPa
OyYhuiaUMOab1fu9E4VNPljX6Rwix4kIsHVzbxzLGSQpn+tiIVokBW+VFmCIYeWy+dMn5paJ+phi
gD/EAtciSJgS3DCqm2KYEQ11eKwhzUgvqg0fKWE35ZXC0DU36cOCewGufYjvwttlyNr+iPCv+UJ/
YcAXcGANf9a9m8ldYJn6GqGYvd5UC37fhzlop+DsosvEqp3FM8dV5k13A4aI6fUyBkP1OqhAHQ6d
LgToLQ5nYo9JNSw6HVQa1VC/wRo5CazSHpEa9Kqh3R4csyLRtHklLtd0TVseg7WGGyFJk/ivlnJ2
3q6AGACe/JN4UqC+yKJeZVm5D6iZNicm27v4NeOG1ewkFE6yCwokgvhhqfLrNqicADirBEiZbqRz
8sa5nj94pTT9OSPjCU/o9LR73fY6lfdjmM6MAGvGMX8922Hdnv2gCrYjIyRGdNeY0nqHsB7Cd8Yb
8lu7Da10L6qi+Wo7Y5/eZthvszQHiRVgmbRNu59TGVRvTMew3ciyG5S5YTHOz3LCWBCtZZM9NnOB
xWndKfyhS5b/HZMAZhysnCBfT5hqunArgBhehItWF57mMnPQlPTZpKOQ1fieaSH95ZlV+qFHTgqf
tFTWXbmW5g0bv6Kf7gZWenTRVbhRXYPrgPu25SMCwNbZCWiz7oj/xMUaL8BdGhZf2Bnvb/D7Q593
nt7liD4DJAAFvsBDvaCOk05ruh0GtV3yPiWNJHVvcPm+ccPB6u6cOczPDfsFDIKD8ANhi8jrD2iY
s4KB8lv4wa84OHciCGafltmaocBxnHq4Vn2GqXSCXE3EGBlq68Y3dt7FjACt/Cskxz3+jrM9hsAV
F+d82D4z7qWA0jiAaTlbnCWDQtLUu5YTOeHaNFFqM9HzCoeawTl0VmH3KGfrZbhiTl5HY8ZvPb2H
CHKLs7GxEkb6VhXiaYBqAovD4D+8sjnK12jBUB0AiqIQMYq/hubg1hRu9qVoFfa9mP3d+o3CyTT1
pNmxWFr7AC2O3ClTeJN/nHCfC3eLpfGAW8cU73PeZHNBR0aKEtSwuZMZ2UYTt3K9WHxNQFXMPZQp
aI1DKW1d5pLytjMBEWytwuLPmucGrd4ifBTJTktQ2IZ+97WxuqTb45mNqx0fFFY/a+jOJ/QvnY6m
NRMmaubSSw9gx/IjPm3zm8LJ5cCEEp+lWFWd9YrpAcqJRFtgJlvRaKRjhoCnuKpKYXUQ+1aOOKOR
XYHIbzIYlDKOVNLvUsU3oUWn8QF0ZrXDOHD9FLSmx35RujMG+50Z2dt9ZKvRbDsAm+iv+3EvIM4r
wMgWai1H+HBsJho9uxEbLswj7SlElpdM/rtgqLMa2WJtjXvoE91FmAcm/g5NwPpA1W+td37fwqV1
woIibJAaXg90/AIkW718q7YJdTA+QiSmfVrhGutO42oDeiczfdW2GR6ybSsVvydjgBvyKezwjPIR
XhV1GYKBYDaYR0zyI+O0Pb95D5fmsOTRu9XRZDqFfZtn3C+Z6moOwNmlrNVPNJQiGteGyQB6Mtau
Awyv4y4oUNHmW1k/QzI0KbLRxnkEi0g5Ciphrjq7K5hNY2Ebj29TofYqxaDvzkXHHByoLSwBAVIF
Bmda7P6i0RM2MCuzFIqDWNvE3KeJbdJXK/oSoM800AwD6Yppmq9NXWzu3mJ/R6Fk1012W5YVsEtl
5mJ5I5ht4O0a6OTiThZym470DYvltNmSb0dnq+9cY9EbltctscTwWBchpBmMiUwYBYAsomUMUNZj
kRDhZLrY20FbeSDPDfONh/RGuGvufWa+gmaGnRY4B8dhx0EK/6aoAkFzMu63/UjYImCyNhrtUWHm
JImlhTAz50DsjxOSFu90wYLQm1c6GXAYVV4LRDxC+ftos2mpkQm+Nxa80xUAaoZnve4wiJ0btT4E
Y27o5Iyhg87JyvLy0CWgaPEW4FASU/jBoYCgywUhNoXg8RsewZ43410hCO57MN+herAtyCU4HG97
1+Dx3hCDm9HEadfJ152epysPxTxOouxQN/heymKX0uYedm7qW5xQ6Nm6/TwkSOHHVLjvV3JbPjcR
js4BmW2NytHW5XCY8nUAg2WOD/5xzCmDqPK/UOtHMtwsK+rq1XbNPRbmKqH40rUY2fYcjZdun3Vn
d8i0+eTrhJ/XrJTIJ2oKmJ86efE+sTN2EMu6zGkaXYLEyO1zxJYANuNzx6E+7xiMDJuFtIOxmFBC
8zsDn7ixDQuM5Fun9R/7AsfGfY0hLXRTVaKRrxqd2zsC127aryLoptOqnapgUoupHz1LuFa0ThZU
H2GfuvftFPGpW2EZvXMRAb4XIu+KXYBUHrFOwKwRn1EWK1enOROZcQleO3Nh6VjqAnn8ZqcX/DMz
01eIYD+N0rVlGRam6Dua2aPiv7hqeNtDGn5uyo6S6Rag0KV17c3foIjad9gt+yeZJMRSdumQLZEL
NP2OsQr9zYr6Dx/RzoLKxjsCmFQXVoGIbFQtRU/SIUDPQV1vtVz0XjDE0t8vlZfdL+x07VOYd8ZH
HaJ6PiXEpipmJIFz0LRrrUOX+aV/sEsYth1s8TwikWPcOqJyGKW4ZITUw1gX6RBhAiNvcAjGEpPp
JdaT8VNlP7WBSBje0JXTq83AeC79aLtM2pIW8y0Yw7X37ck/hMigbgyTQscI3Ixer1e2zSdGoTT3
00jKSIhdViTDwjeM8BmzBJdzp67cy3GQJEcB07igNCTReKDmMX9NTV1/q9oJIYm2ek5PJL3M7Qqd
pX5e8NORHLmyW/pdnUwr7rtl6uGGH+EIsMFetl3NNs3n0xQX75FiCT9Y66a7h5JZfBs/EacAqMU8
sMsnt9Y1eE0r1pS+eOh2YniV1RYDohi4YPcAwARA/ImyE/VWd8v2NCuW177CAhrav3WrPp4Hz3uf
9sX0KEkFL0g86mtEjTXDZ7BhX4ddA1kZ4BrgTNfLRtC+U9tGGsJqzfno7NHP1mUv5JB97YzVS6QJ
wfa8mH78Av2TTbsm5NThO7VQW7WWAfl0dVr2qBXK+trzE7wwNJDIsEtq7Sf7quuJgFG7u2+b3LXf
MrG3TdlsK1sfQ1WNJ9RZaM8MBi93tXQrzXtofYRcROpf0jFpwiOd/JKJCvgXxFCP1aFsZe6i1N3C
994yWu29KP05IfPyXa/9NOYkco+Vpkn2kWe7OvsSS711ny2E3oyqGf2nrO3CMm4mS/gRsNOQx4mr
p+mQwnzLa61G71H6YlyOC6EgkONENSF8sChnFNe1Ak+KfXxh5F5MvX2kIGs+OyvDdfazD/QXqWFM
gI6dksEDFJsIyJtBpu2uMy2ZwtT/H/bOZDluJNu2v/KsxhdpcPSYAogI9j0lkhOYRJGAo4ejx9ff
BSnvK5FSiZbzmpSVVRYTEQjA/fg5e68920f2hE0taKk3AaqIeb1bV23ASep3YDtyXTx4i+2cV8t3
eL7s2Srk5IyfJgTmeImVDm2LJ47agfYpSUbe0KAx8V16aAHt4aaPWpUlxaHtGjJgnWKsnkt/XFn5
mNLOgWNnkwgHUN8nJikB825JfbcJKUBLcsegtHzRplTJs8kmyYg2CJlXB8afcYxWWR9uVFfKmm3a
my8q0ZU+gXMt6huFWvJm7aXID2s15oCmR02TB9p+OO+pbkligvbvHLnuZI/0Img8B7ami/YCrwHU
DukVjns2liJ5qJRXx5F0mqYPXHKX77TaIf1lGSl2gw6BJbVbkalTiXFzjtxVyz5R8i0UoCl7KKBk
m5cf0Sg+GWVVJar9XpQET3k+QcTjYKlnt04gT9GVJAUnc0VeHGb26ibiuWQ5rGc/IdOE2K8kKhK4
nWE+yOIJYnHmB91iUWav+lrcA8teL+MsmV9U2YIbSWap+pOpGcdvPJeJiWSWo+bruuRVe9CpjbWT
WMhewKIkNBzsPljkI08NfXXwAHfJkHSSwdxz6tX1p7K00LZWJqEuO6X369e5law7Q5mKqyKWU32M
q1I9gk9SFE2jJBAJnnS+aPG5tnizUd6mC1lxRxlwm+wwkbHlDRd64y1GlLergWJj5aT6TOMgK5/0
zIGvkijR9YcuaWhTEbzAWf0up4xr2fgmw9EeCvSp6e0GaSYDLW5QcqdBausFcVsmMSyh7UDfOwEs
jH3Zi53pdZpzDaN/NWODZvHmtOzmnFek68izfPXiF7sdy1eK2+GxGf3U+DzGzVC8ZjPV995xKaED
ogo3JyCpWPVtmiZNezAKr0/vnJ5hNV2ANvvcJ/1NlS+e4hDRk/Bh82iYVUOxm2mYFn07jeIG+AX3
+Qk10llbqcsK1jnnXRJyGvdbVRjzI9ne3Q7vuH9w3Omk20pOrREHr5wxxWD9tp4Tz1rS0/9peJXi
vNp8pEoTVTQSUQzMtTK7HSLygU2ysegZZlrXP9KWAEm/uLRgD0Y32Zf/Q84JaneOfxzQq2TGepPp
RJapbLj0B1PccjITkjc6pTxdJq+7agg/ZY/BQ3n/517qL51UF2cpzVq0cxiXEBS97dhW/gjBOXc0
DiAZMglalCHWez/qdG3+h81hDobMXZghMd53fOZmby9lz+bcY7SIA6HJ/DxhG8Tmtcz/cOTNVRiJ
6Iy8GYugqHk3F+kcG0t2mpF3abnqhENQdYawxfzgKt9lFj/PhrkMilxa6UzGTMv4HsD5U6e7S3pl
GX2nBf6kFTFoCXadIB6tqt25Xb5cyN7yLiZX50wBl0G799jwXnXHpPT55z+g0B0a7tvA0/oFo2nH
ltA0fkAK5QEPGzYTTe903gnt73HFf5VX/xLbXPM/K68uZPKi5Jc3sqvtL37IroT1l8Pc0vZNZKib
xJZ36IfsyuAfePyvDARxpiP0ZRz9t+xKmH95nr3NjHkZ0PL9xFu0/uL5Rc6KFYCJssv49Z+YWp2N
5PeTjAEdGEohpvoO10Plibb57XtHNpFhZUMcFGMmm/mw6HNGnp5R6/7xWugEEjduwrl9HmHTnlMQ
9H1k9lRsx+xpHucfzBYU84aj7lzMWF3U5FMyXWIsSBP4ChIvapAMre6dNL3gVByAnTSKmr/IdYrO
rllTcm91Te5zw1XZkbtYmR0SvUmQnlV1RGYtSc0EJpHxBGkMVyImFZGykDORqSu4S4IMFMQx+CEJ
CTXPcahqT6smHWI1hmmz4xEYAaPD37r/5J6FIJkxRtAHJ9WmLsm8JOOOUCK2/sRtjiytJ/LMyqcS
jHVsZDI0p8ynv+PMfRuAY5nIJZBpa+7N0SFJ19FlA7WozZ3lyKqs4gFgmHFhpVYtdn1SJJdq7f0v
qfDshzrpvW8E+gLj7xabkyHoAPDzIMCE8xAbXPJzIvC/kKk7zeU5sWV+CVoiL0Ya2YxUomHTvhxb
RbXUt8RCOH20EkdgECFJUj0Ydddbd/qYwhzMMMR+IjWDzQIkzrCes98NZ74Tk8Zg9lrB6Ep2w3pS
tHHbXYIR0osNckiKSgNR/tRwWIzpvU/zQwWPadi3vpdSDI0zKUEsn6O1n2gRlEddnCqARxgBzF0r
u/arWqpaBGvruc+pUzHb1o3F+jSVNqEutPXtneA0fBhY79owJYHymaFCrSJq4qk7qDW3Jwh1dKUD
xGqUYx68o9PMBuXCJj8s9l5lDv7j3IL3EOiLM7pMEEvTDWfofuD0OjxvgeLAcdTXmvYtHTWJnnCS
8lTEXXqj9bJ7Rcd438sESFXaMeElJ8UjfaPIPHk7TORZcoPydk/gwozRbFVK2zLQzM+AashQy7Fn
LxzcbPtmsEgwCIivxTIq02IlE6FgUBLEBsqVoJ/L+YEAW+S3nHqrZ6PXJEctkyozWB17vW4LztoB
zjHJqNGskTgW1bjmIQ0P9ZIaZfwc0169RNAnvkp9zQqiUzdWzkDOB5kOI6Ui/ymnJ4+hfEsKkG6o
Q4xEm7QiKl3mZ/Ahv1ia3VyOpr0Vay3HQXzRtddHOvUvIaFpi64nNWRWnxi9YhwrdbLnwsTuqKpI
NqSfbMhVrA9Fjp2inEB8HpgZEC9kk4vU8OjCI7utEsNKIzf2mW+NvZFficw2buKlyc8QxZPYkKpc
/9a2o7HuE+nMJe2/zHvI4Kdc907v0693C1qFjXBpkhdELB+ndMIu4XzoMD4KikJeOTdjJNJ7yYvR
LTqkJ4UsiX840QDqWg9ZiG3WjHzjeS7upzTBMmsaKYKXrC6SR5As/D5+Qc4jVl3h6ZGzTCx6sywM
gvGcmXSl1PRIlbVE0p77Xlbe6wZX28WbsnldJjO9HMtOQSFxnCG/UbOl4sjUSeuKYm9NjnDjttNh
m+T3u0Q5JJZyglILvaKakR3QzZIXitkrW6+04N34cZlsID+UIoFGVddEViXKMmrGLMWZiS13oO7L
t2/nS62ONKvGyFUWozwHJ2BaQY2el6nv6jVx5CkzdvaYNMdHTXfrx9JqjQFvrbZZjVsjmaJ+lmgz
SDmhOVgMCU4Bx+2cywJk0FcSkdVpMyfAlBLfxsKaL83cRB3ulxse2FnslrjE3pZYVjrtyJ10SHsi
2E6PGl64KjBN3D9hbMFIDRfHy4hrc5smvYxTPT1W+ZBjEDbc5Ea25Qh2Jl4HnPota3Jr8RN4S0HW
GvFJXXker05Vn/Yc3JjaLkQN4y50af3mq52Vey8uSVshi6l6grfJQ0EezwwFqvXdmw6KCzIrugJO
VPTsdDzWs3yUUpdE7HWMM+nGCImx2enBCcdmfRKXhiB+l+qbHqRF2hIjBILn6cEXA9FaLUJ+cq/K
PuElLTS4Q0mNt5wE5vKT7FL8oG6v0xBv+Q96IrPefDJk7dPJJj2dnCapQ34rqtJ+TGngJIQYxTJS
aOTTHXLLtAlgTFjfSMUFVsAunz16duzoFbbnzp6mTzFhr0SeOKkS3yZiyC+GdcXqbIjVPaaFWo6H
WBr5dgwqLuzZse8NqGuPJHyp55REcSZMQDi/MUcAyLDUuv6J2FB/oZep6lcrsVMOs259Slbw+gR6
ajgnKqOtgzSuTZ/Qy0zVUYtEIQcdUIubhfyjz7QEmNCUbo28H6ql+4B3faoDDD/rTc4U/TXX+vFE
uCwDoWJ2cpiKjJhTMAb+5WYcRZa5iWqCEe1dig8/rREIp6M4tgeXZ2aYcohMRJwxgoqJLGcyBzDn
Lk+07WxN9M9I0JLVt3uM2JAgrVlNjG7sXD9PQYUSAIVTCqYRETUhaeuLd00eMRiiTjqmedFBuAVm
mnjTQn5oVm0UKisfpfkl9/U+5Q/XXgynE0Sp+WpdS5sQctCKg3eW+GLMz5xEGxmbs4DG1Z1ToLeI
JvLKeQZwxMVHEHgU1FI/KXXOoWR/6teKtqKgNa2KMqLb7FdR7pgceevWK06rPiVByF0z8Qwsfpq+
iWVJWlKc4wJJWC1LVqbCJxpvmfKYvGTHXJCzLqn5NSkYfYSmvpQdJyUHtiJTQckgYCXhi/wqgEjp
Z/xHdJ46rauyu34Zqzoq4kzPjugIJORdOqzyIBLthRtDVtzCz46wIX4aLKsz0clUPlPKoQYqFYx+
MVqMLJj1t99TaEf9pc1ZxgKNrEH9sDhw5EhDRxveT4GN4Mw782UfL689KIT8omOBUPveLD11LvOk
Vuexnmf+cernYrV3JbXFPNGurvRin07N4J7CIGJ2bRGazVRktIrkK74oGHd0ZSEHzZld9iFDFT6o
kQ4xI7wY+cMMSQi77Ldh7gdimvJxya9cm1SjUFFIa4eqw/F9EjfL2KJt4dk9KloNQl2LNbgIeUxJ
YDZXbPOfQAwZ8oA/mCKYB9me770xq7ygsu1JMnQx0AQ9ghETD0gAZuNQekP8qg+YGg4VI/yFVQJa
cFDGuk7S3crDHPUjmOW919JlPaoKlS/Hm05tCBd9lF0ISaztLzMWnuI0zYzhRaOAPvcwYD+51aK7
e7KkcrkXquuMg+mN/rKbQHgY4eqKeA1r20nsaF3pDnPTxvqiAcZo7pZB6E1YO3aSnGl8sSJ0NRMl
uUeRPQeKVOmvrAly2NtjB28YH4G0wsScRu+yR7OPisYrzHpnUXa0VGsDtBAy7RjHOo6nv7Yw5Kjd
ffJkAidfW3PnDAaTPGzLeRw5woXtKenEFQcKBAvUhD3zvuGlZtVr2DfvLV9CAORVbe9qi2p6Pywu
cdtqmqwuBGAFXKZxZXbTqCV9rQxArGExIpQJYKWQ+NYAPgg6Suo+QjlpJUGtOtqauE8nP1A+3vwT
kSbcYuXq6WdNNFvn0kETjiZCAaKs7CGnVGlhX16ZRFsPpIfVTG9HJkf1qTUVKFiJEIJGuk4acFN/
qhtANwwI0aAMoALOAWjQ16oBmBqnhNItBTdPaemOCcgomSmJSYs0nV+BHrVDEpGFiIiIXf5lRaQP
bRqHPaM4WPbNUg0hfcbFBUiQwmPTO396HrUV1sHapfVL0kBKgTNKE+trUzAHB++DN4Y9uZMNVnRH
dPUaAu1AHckQrXcUvcmxH4j6Xm23EeOeY4dvFxHpbuBGgop+dbxbFpOEwJIhtH/vsInGe8APUr9J
1RLb17aiyQ7dgHkzgxoL72F3T+mZYQ9PVFP264/Wz387B/8ydESb/7lzcPuyPKcvRfHS/dw8+P5H
P5oHeL8NugYeg0vaY461Kch/NA8s/glHd5plJpYixqX/bh5o5l8YyB0sOdi0xeaGoMv1f54tHOMG
1q/NVAzJyeWv/0n74F1/EI8Frhix6S1d47sh+m3zoFoGZcS+EQcDvto9kBu0FwSiRzTu/H/WH/xx
KRehOeYOvpHYxKU/tdQqcDAlzgEKRsQw+L23BcSFevvT/f+NMeydRJWr0BFxOWNtHhKUo+/8U23d
LqA6Cw2JqllGSCWtXUXZ8M/cDttVsHFg8vfx5/MrbErnn77LoPMdQAKj0WIzOipjU4Qd9NMPen/i
nf1guwwNSDq42NwQTpvvvgw+gG2IRBmKYeNby8SzIrYQoTYT4DADRQvD9qQpWT6X4sweYuYGesTI
Pqp1RX02BmsNIwei5Jre/vkubz2ln9qjfDAGupuF3hK4WNyNaPDz98f5apf4ahDolkxD2768rZmI
BluTIeJJWqK44yz552t+f0DeXxRAAi01k76s8d7IMqZwqeA8E0pfZd7xTFPpuNcNlAIz4glKlybC
BTztPDSix6M/6qESzkUFFvbgmFjpUidrIUcn3u7Pn2t7Gd/fDBIsKEfIPrF5X9/9SmoyFr/vKslh
QVsW4g2XvaWEoTHLX9lYcuJGI3PuzEu/aeQVIe3Hzswob5V+/dnLmJ3ozEDOvCxWB+wtCcAmF++8
2yVeRNuNSNGWPMNHQG/aKWrp9WY0aONEWoymgahPgqc4T8JFNqVRfnDLf32ZNsU+xhB+aLrt+rtv
NjluD5NJT1G7rXNoAtA9tIk1RX++gb+9f0AhHE4PTG/f99rJL8D6Lk0w27a+7hBcIq9MSieCl9eG
BkjLDxaiX9c8zOp0YHmFt/Sc9yYiCwl04842b1WKiHRqR+ib5eJABoBq++ev9rsbSIeYoTRLPwuG
+fY9UQUk7qYVaeg6jA4Z0gBCzozqoyfwnbFiex0R5YOWobPMT2W9W47E0PQpQNE0XC2/upCTPl8i
lFe7HIXSgXBcWN5CmvuBbGKkcJ7LPJOQhNUh95iIkXgj1U3HTX7bpwqGHlnVVyl8hFB2mn2Ejv0J
S4+M6kQbUEnG687wjO7UrmZ9V2ToFsakbUIGdg4ybMDWf76Dvy6Bm32CrQnyEA/Iho38eaXRR5yb
zMnAxhYmh1nX60KDmj9yfUR0g+k5NFYGlF6d/OAp+c1P5zADYv6jg3YCsvH2woYynY5jRBqmi5ke
gSdC7Dpk9QfP/m8WUrZeMC94NzBIme+a99O8Zc8btFlHHMfsWfjyVpiqUTX6IHUnIu7pmrcfXPR3
93Sb0ulMBBkLvjdPN3avj2yRaVhC/yKiOcvPNGi8twUanSMlhfw8mEQdQDz/yN38m5vK3gxogIEK
r4O9fbKf9s2cd2SdFvoLC+fcUKs0Ov8up5I/PzO/ecF9tkYET2wUFFLvdievt0CQu8gACwairL/G
fOS2+hI1mZZ88HiK94sXNZzgEcHPxPCTSf/7x2RJKUJ6AP+5Ek+U+lFKgo9DrMoBiyKnq7q7ha/e
7TWPtX9R1V1KyzPAK2QcKtQQh6Y1h2N6QD5ymSr7YIz5/nb/+HAuokYGUSarw9vb7cdWS1g4H24d
7PQanDsdOpqvH7wpxkeXefer1pwp6Vjo9PxTTreCUxNNo8am+b6sX3M9To87kpHP9Hpc7lrilQH/
2iVCxXS4hudlMxiPn2f4BYGUTHKVL4a9tpSPbBnezvWm5BqV7hQYblbuTCY9wC7LcicG/+XPj80v
Gzl1NbWwsa3VvPpEob29XSzM0Olazogka+88X7bfZqfwP/HiSh1CxvC1jytJzcPkC9oLuINw6jbJ
9rBQazVdWjw2vZaI0OLlhUYg3GSXE0a8ANNgjlNUHdTvpbZFGw5+j5cvlxNkOWGNEjkfjgYoyhZd
IXr9xCe0a/6RDfP7dvNzBcUXNGjr+lvFxpq9zTh/fv1gaZeTy+iKwZrgtC/r6ZGvVexmmZJ+gDA/
4iwzkpmD7YlDznQjkQpLv3J2MXj0srOtD1aiX98e1Pq2Di+CRZ4K6t3+2GE+8XPghNQ89fypsE2y
6W2ElO2a7ByrWD643Hcr47sbgF8SA6ru0dFhV357A9B7WrSSceRN0xzOI8hHhgHhgIIlHIZSHfJt
UgnB3KHv1OY43DBgmv5HGgZjq5vefgxeCRZ9alhWX0yIbz8GVFa1nSo8Jhwlfgo9T+76AQ0tJfdw
NqTVGs10186NoqtPGcAU4eTjTehLIkCbGZMaoBvxpSE65dA0ZX6CHLMPQEz5d2MOcb23rRfT8D/I
HX6/qHIUZf4NIUIIh3XFf/eSC7vGNRX3DNPUggCz0p6LRExBXhF49Of38LdXwiTK4RYEDjTpt3en
R/qtxnbS0PBWryX49UNjV1MI9lj74ErbfX7zOwib4bwOE0IHlYTh5O2VFroxwlY+479W2EdPxzPy
2X1dTlM0S8Q7f/5avzzrzAN8GFoeSCa23vfuZLGmQ0sjikqmW42DlY5p6BfWAUONV/QfHZZ+/WZQ
BhAtWJztAa29Z7H4TctsHz5WGDvMSlCh1aQB1XEb6IWNLhXrzqlIAan/+Su+l80w+d/qT+oZqBcc
V98zUsC16X2vkeQ2V11E5s7dWM7n9UjcmvJPMzmd5K5FpNp0Rl33wV73y1PD62RA2KMYpqmBc/Tt
b1kwkF98Qt9CMx0R5cVNTNYF+gbXQdP956/5y83lUg6FoQ0wFHn291Xmpyomi7HaYf+hvkgqbCLo
TIN0btxd1XRahL0CKm7T9vs/X/QXVhN2c/y9PjcYywNEuXdr12ioksg2FOuSQ9mhBdAfZdB/T9pp
AlKa01Cu/NDNzOaySXrrDD9sfymw1B0r+PsffJa3mhM23u2zbGZx6COb3fjdi+PJsQW4NvI79zMD
D7ebkay2gx44w4TbJnabAwEvOpjwPbYWRATVHPT6cP7Bx9i2hzfvL4pUn+XIEsCrmNu++xj6ZFlk
AODv0aiur1hKmnPHaGoUiBAFTT/5ltsqPqRqklh9ZnHpxLgD+0ksEd0D+5mk7MP3T/TfRui/vpOI
/tQIrV6SL28ia7//xY8uqCbEX2hUWfR4cC2aJA4P74826BYMsCEuWTagojicSKjW/09E5fxFExQ0
C28zEEyapf+/DUqIKbogeJl4+TlGsCH9ky7o2xea5g2tWY4CPEigsuhsvTsw1JR1M9Cja0dq4sFR
ZnFPg3FiP54HROhW781f69mNfzws/xlt+Obp/XFV1E20f7kBaAO3T/XTMsLgcJGkcsGAEW3QJ3Z7
M6nW/YAlYv3uIpyDMNRzIEKI9vYiLQZtD9nSdc7w/wHfR8dAtp2XD1bEt3vbj6/Cbk1ZwJYNJujd
Vxm8uMXF7F2XA7bUwDMS6xpWMh5jf9KP9Mp9+vOL/3at//ty6Fl5ZDZI1nukU57hw1sH91rkoj3V
Z/M2mYR91g3e9MH3+t3d4wT5fxd634B1Kt8YYKBeT6Q4Rpz0nEBXWv7Brvm7p4/jIyUVMkKkhO9+
IifpxjJNHYJfPP+G/9OIYIGz2gmKF1ryfkaQk+Uk6Qe1z7uT6983EWqUzxtJnKv+7rIMTSUuOu+6
K00VTZZKORb0hGPFqY08vfbz20H58a6iR//Z9jpnb+MB+SoTcPmBGQ9zgAXeOmXi6Z1gRhZxhFYC
neGff+nf3huadGBNbTaaTXv58zsyKEx0BMdf10Pb7c08X7Fx4wAOyUiSr4a5+lcNGQpHf77ob351
uFrscT8oMu/vzLKmDO5m49pUU3PaGJhmse5MH9TTv70IpSAlIWsiXe2334yZ+Ih2X7/2S7bR3kZX
tI7edPjzN7HfjRC2XxnRMJdg6UUaCgz07WWaNMkU4WRn8zq6GEqYgj/4Ga72E+WVXs0X8/MSFFUG
SGM0xJDtRMUUOrBaUwxHi46pnx5qnADfr7DNdq7VEKxX8ZMg9gOyEUGoiHE0r54fTfWsZXg/fecm
B0uxBEzG4qs1qzg0tIz/mQ/4srnHedrcKwuOAvPaVr2mY9cPQOc9fcQrYgIQSNZNqYfZ1fw8jwr3
BiR3hBCNzo9fWuKYA66JSEsfRB7qUnZGxPBt3XV9W0EfwNNzBuTXvG5mLzaiqpb5F1sQwxtam2Aj
BKWE4r81zXsSEVAGbDzYG0WY7ryHSGcSuSFUeb3JItZDzv+wSfQxTgco+6cnRzSbAKut0BnZ4NdU
2HaNV4b1Ivm/tH3cv1gp2mzcBL32nAzG/KqIgj32KjKqI3uyscV4DJpvuY/+sQFYxD8Wa+mjefG6
5NRp67o8rpe0v9PN3MiIU+3j40p3Jw3/o1ExI7fTFlFbXk/pAaXmWEeJ0+Wv5G0ia0wIm0t2su3X
+oyc100PyBK2oNKxE1S8ndJe1Iy2IlKsCUe+Q2/9BPnF5O0JSzGeqthhiE7nFzyytcVsBApXFqlg
RCvcmoStXCXIvC4wQrZ9mOVugUsWO1NQe5p3z6aSHPi3w9L1Gmd69LRpOMPpSNwnUAR1tY6dfdrq
fvIFIxLmxixLK3Fw1Jw/oDqusr3M7dEJO2sezqSHrhbnVaMKHJd4Cg66nuQEHRJZiZvDn5oIkZ1F
08Wh1bZ3PdWKyHaS6osUI1BIgPNI93EiNV+R2Wx+osWuL1DbkOhp5jMCxsHH9odYycU6DRglecaY
ycTKItktD5NKLc/61A4+HlNX7sw5Nz67DZEccB+Ieg7oMWzSjXYy20jVZE7X+WAU51TibhWU9pZj
5YE4vO1l3p+1Zm1iDcDQfpXbYjo1kny6IMumFUhfEddGeVWuRIwtJE0TiCaIaqlW4BuHqrBRAvtT
LLQ9nOACC6c1WTomAIXEaiyXegbbPeg3raDIRsemtm7SSJBmNPr1OBC/Onu4WvXUfZ28SscuNXrO
XuuIkEZySbYN+4okyBKff5btYnOYn+UsrHuD6JenqW/lrTu5JXnA6GKc0NAG88tEBu695Zb2dW6u
8qs/l94YSQvccZT5dX5c07goj/0ynS+g5tSSHAarPh7KGrsJ37X5Ko2JH2hFHPwVNEHyyCfoPoOY
7cFcVowzMeUSF+KJ2n/yCxOP3QJvBPOv35cqstZheYy3FLWdwb0lApL2Uc4sWdfPi5zkc2kBVAir
ucxeFn4GDEyiGu+EkdUETGjxowdVpoEUYCRPTSesT7NpNTLI/ay6JPJtxA3rYyQM7brON4szO2HY
8YtfeZpNBLJWufIxBtZxbnQGgccIMWwncDl0Ovu4XtW0B8RvJmhaQAtFWuLa9wQ2jXc6B6IRKurw
ae5oQZPXzDEvEMg/+Aakg+thslrTJ1Qz8XW7NEV+QIpNS2AVyFwOJZ1RjKfTmJ4TDkI6NeZEmzFj
h7gqzGMSpsKxTUS2z20pXkkIsDFssSxjglVd4kcGx58eNaUxXaGhK64nIuTSUNqaOOOIi63FHntT
3w02ks5g1vwE+xuk+InbNBbXOc89si2vKaqd6i37qptKzQyTPlnvRYJg/mTMpvx4RKvinc+s5M1T
ORDikIYW8SDa1iiCWUEHtCKJO3SIK5BnnlJIZ+khELaO68wuybgdXDWZt3aJwy2s9c646JWFcnPB
gVpGGgAB40RDf9Sdd1t6YlQR1bLRhgwoAC7/PcZzrghqdoku4YHw1809aSeKZdOYFlDhqyx2o+Ya
p8KU7iuOSOhLxZytRK0S0xgyE6y7oLCYZE0AZYsjW476qUbG8xzoWNsflV0sZ1aje2Og490D42A6
2rcx17pPxYgyat+R+NXvMHrJp6Es8yu9KsYXonTEC/U35vK5kvz0jUpTAp/jJM0ire6KeYe/0Lpu
jDQlRpJ4WV188kBQ3bXE4hUROd+JPGq9Oel3K+nAeghPIYd5jc5nDtKmXAqUwQXcC5dR3Dd7o42S
uKjy+cihe0GEn5ttnYEp1ucjs2hy/NOeci+Kbk7co94jO2S3mG09hjrYRrkbmxyT9Ij8+HOW9e4c
Gb1ffo51b+kxyGZDfxojluISPuEYAZIOnizLabEFtmUDhMsy09iJ6nk0iKOtnC9oPPNqh6AeAZeV
d6j3gNFgnMDRHBchzu1y3M9Widd47jsBCd3JG20HLDBNdtYwEPzb6cTgIHQv4mcTUEnQT4WOKS9W
vDtCsRGBePELBFEM0TJowLkyCTaWVU+ap53GgVuCDyVcfiq7MB9Xpwz9oR4FVFHDgN4tk6kN4S35
CYFXZCBFHFBzC5pMQS40SUhs846Ku/ZcN+ap33di8hDudjU7lVOgxQbdAJDoTCcWJD2Z2Qr8XQ1h
Yz4uu9r8jLrDO3bSrsT8pznqQadUmGiELEkc2jmW52hMJNkrlRYr/65kxFQ1l6tAt0vOqrKv11K4
TwZB3XjP/HahPkEYGnqCYFY2IRMxeWBPeYvWugVUCUNqE8kzktAuDadA1OxhNCSQzkSUHaANLLmd
eNgIaR9wMYTsRkMW4m1AF6lcCxIMroE5CdyMxm6EIl28zoM5DMRvdsUmoja8g7GgmrySkMnmPUf2
lKFoPTfa0SSy8tYhA9s7UsvkaiFxxy5/RPqyMZ4okjPSeyQzKI8te/XLA0OeZA0HNpGKJGTcsfzE
6WRFjd6zq3WKSLDn0UMCLaN0ig2a5MLHhw3gprVwQbem66PO7Js536OUdPPLhSEmBo/qZMRtNB7P
q6UGBhlkrYUTHIqKxyFpXki3Q16Hw0jZDKEQDYZSm3HQ040vRGgOiziDTYhQGEaPjxxPYO2h794k
CJu1loNY36/OZSbYX5GI4g7OVx9LVDqvGusyuYfIsol22s1eqt3NsJvVaemMY3/cZH5OLgNpZA+D
HN2/QcD/7Tv9y+XA8p/bTrvi/91+KcYv32r1swBv+6O/O0+eSw8JlzAtU/D9yM/+3Xny9b9An4JZ
pfFEHxEFz787T9ZfjHOhlvJHkHpRmP+782T+JTbrKUMwT1gM0/5J4+lHp/TfLUz2VyZym8iPfyed
E9Ix357PXGudF5TL9j4b47sBDcRtTnrFF0M56xG0PPQUeMr7HdHNaMo7Ra49tnpPnCk4QVc9oKqQ
Eo6eS29hwQs6A6of67K9PNaiW04dpyH9q0Ihepl47ubmQtB9LHwIGUR2V/ek+8qnGHnUTedQzwVJ
WgvUo4mOCleAwqnLFF5XMh1Lmyg1RNpA8lzVkg+O5eer6v0sMmy5DlG1jA4lpCrUboBlwHuV6OZn
2Hwm2Y52vjxUUAyXKE8d5P7kU3MoWEvtOlMLgbeitL81siLBwV9TA+BN18b6fsCDQM4UmgSMgVaX
cDRdCQ42CwN+V8z3cIkEka5/RGeXs2VbGg6ejDlrH1XtrmczQbJ72vTQoHoCTUJMc/kUFtZm284X
2//cwDH7AsZwOYkLdHOFV01PxrAAHWo63FdtaUWcbtyAZL3mm1YV+BxtcyG5EzQFclx+gHLXp0l/
SSif4qvP5rlAKwUOLM/1k6kZD+jVTiAsOYh8vVcdgdxdYpRmFvSdTyjjuhKj1eKCz0I81eU5HpXs
omrKKwv62rea2EcOSZvfhKIUQTBpXR1x2bZW6PfJkDoxaKeh/lLPHTZMA2P9ERyz5kFf+ocZDBoe
xEo7Ksq8IU2x2a45qSjODKxFPSUq7UYkkhs+2aYREYzjmLzGQJcPePkzsADiPhfqotN7/VzFA3pQ
5VtPo0qf8nTjtNqaBJ/aJ+BOtBbJ2lio0G0hnA2tKw+mbE7cqasoh6v+HNfg+eIMF0kHL85louqE
pUdE4gpf48j3dA02Cxmg13GrO+d5pblBQgV0t3LyeLZ7zq3Q8EsYE02/kj6Tet7ndRVmlIpMBHOz
3K1pnewNUiqPerPHQ0Q8O7M7kzlAgCZzxszVQzHJUhvzYZHdjq7MDxx3Q5LUOV3BA9oRxfqKVwQB
2mzQs+w07cUWeKyhb3xRVZbhzesfUPldF7Vph9B0ZEAS2nCGLwg7kYZPIB2esMWxS/Oto0qYX3FY
lKGVOv/L3pksx41k2/ZXrtUcMvQODO4bRASiZd+KmsAoiULfOxrH178FKbNKZKrEyvtG1+yZ5UBp
EokIdH78nL3XNiO6IOxQOxH0TT4y6HY8bZ/mvTpEFhsYI667bblsn8ZQ7CcIJF2Y8e+Z7Nxljf/S
GdzsXmUWQV+1Vyh3QJrUtIurjvtUM8DLBK2oZpgcvVFCVRFsivVc04LaNibAelHyqaJn+7FFOLiN
TNIa17aqy12GS3Rl5+Y1Dr1qXXsImwhDSgJz0sdLtAnFNi/cBzV3LHkkyX426Z7j/DE662NL8gc3
UNhSxzHJrteAt9jOlMr11ziyrtiA8DSBTuFeVdaGnTfZt2xZNtKCpWk0dEBa0kPWs6eZx4gOA1hB
O0dJ39trqzT9G/Kh8dZgWwpaZZOqiHtkpUhh3FahUbGcgzMIV3HZ+Q/mJIwzlDWKF5A+D8EULu0G
C1Psne0XGr4KypDoQgexsLWVM+80i6bIBrPCjV3P5carRSivkAI2R58S6pHItvB2QgdoX1X+IIPG
sJN1rCWfM6wZ61FXSwL9OF2B03NvK74T+InRnq6yBHHpJjKUsQftVd1GtR/eyWHJns+kv4MS3m0y
W2RHT6+7TcpbA/CFn6wLIlJvxoFIa5g1xbxFcQsGRs0G9mZVwmOd0+lyGCeD0iav1RqAjr/mr8ud
AzwUIr/r4IUDKHukeTpdqTTFzYf1a3hx+uUJm7r6mQ04a4aPReBbv2yOrsLIax7bgoEl+MXavS0b
0RlnuZAoP35ai69+rGI/h3QYb/r0LG40HBms+N/npCCfXy9uZklWLBspZzvE/kUd1cQxuX2gy+xY
JOaRfg3OwDLb432hayUgdddZX26z9q6smkd4KsnG9ebu6vef6o1caVlyF1kYEx8Dzzwr75tPZaU2
1Si4tm2vxRYu9PDRyceHucKeXifEucJcvDNmnBy4fi1uxhU+1m4TUdFliXuBzkqCOUOBDZBtVfuV
v7EdOLq69O4gG43rueu/FRW+3K4jp5Ob5/cf/23f/vvHx6eLiG6RRzABeX1S3VbAYQ1tPn6vyp3f
xMdRdfA2qmdvGuhN1uGd61dXedOBYMQLlebgvB2YfdbUBERP7SIiWfeu4b0zjX3Tqv/xuRZhLTzx
ReX/RiBia6gpJXoOtqK1hDJSPuQxyHe8nBhhhRtYcvjRp/9bVe9dVfDfbzPY/7O4wt1LdfFcvHRv
f9Xyab5UtWoTWNPd//n+18ivN8/y+dX/BKVMpLruX1p189L1ufwzqXz5l//pX/7Xy/ffcqfql//+
xxd2IHL5beD5yp/LW3O5Zf99UXybvLTt83+dvVTly19+7M+BLC6ShWLv2zAokLwtD8mfA1nrg7VI
DJZoKMxgSO3/WRb7H8gpRBhHojZMFATU/6yK3Q9LpCBePFwKUIz8/5ckIdI4WPa5uSnYgdXy+ZZx
40+TUYrCkt2Vd+hz33hWhQ1SNJO9/Mz+qnpHNvJ2DMOhmL8yXjIoBV3HWl5hPx2qM4y0aRqIwg7O
tdFDhKg78r3ssF8fRJjo7jhD+luYP6CrWDKAOGCrHrcOkVu448BE/HSRf/G2ffOyXU4amxLeCAAF
WI3fBouwVffmphgP/Dv51cXCuq9Ma7wmdjq8+P2R3n4dHmKxKIvQvrhIJt8+6W4Jih2U0CFlNASR
MQIusK4z3pH/k8MQloKSwNPR672+NNIdfczj9SEJpXXXx2241vVSvjPrW37JT/svwflaoEXc1Wjx
mL6+GTCm/txPrPd7pxjVrh8lenarc2UO2tzQD8qqm785kF8OiOeAXR8iUNAOb9RtZucz0xTW3sUH
D3qY5q9Wk8/9+1P3q2/Fo43gbNGWO84bMZSQjIeY6+7JDiaR3GnClT7acFI0PYE1kL13pX5/OOSz
r69UXrTzMGvGXitohOqp6awlLsNL6A32lvdIc/37b/d2BV8uGgIoNFgWpxCH1JvZ6ex2bl9N5T5X
Y/mpAqf8ue6JLqHFaKSAvMhuBgJYeNnV5AJVBfvf+kAAp7691yMvmjfKdgaMbmUunohxwfphQXVD
zIRn9IpgX346B3L32BVNQU3Sxd2+h9hHDnBO2/wa+LzJsbuuMd65bG8fYUol3njYDVDDujzFbyoT
eq0Ln7/fx6pzdsy62vOCqJ29ssLknenzX6+Y4G3HO57mhkCNv/z9T6+9kC6wnqtuX0ZSDzQrEuue
uv6FhhsRAnKu3wui/NU34zAYGlFAEmnz5q7PG2VQtbT7MhHUpeOgdp43jftcn7K7398cf3058c2w
wtDOQVHsvA3dmNIudeEV7d15ntddWWnoEpL3KttfHGR5jbMCsmywKLy5UDiIXZWGNCMmoe1sgWiY
BrOx/f03+cU5w56BE4D2E/6Qt68m00KN1ItiT/JqDQGdwXtKKwYIrNOc/gdH4gB4QfFggTN9fTcs
ge+WNlV78oySs5TJ9baqyjrIx9i6/P2RfnXiQPYhSWW2RFbom/uOWZc5GVqxJ0Uc+2KRLZzAuH9n
Tf/ViTM9QzjoRVgU3xoFYbc2OqT8/VgC5Rkdl0QAabCOlL39zl7il1+H+mTRsDP0fft1xiJSTajy
veYnaleNFoAQu3jPr/amsOaqLN8EWwJDLh73txoYV58r25LpvhL+s1Pn6rwWfX1OYoJ7U5qD+moA
e3lHYPXLQzJroooAGvgX1VhMs4qxWbqHDRAvISzlVh8NNg3QofZK0VBCm11U69/fG9Rbf1mMl/RY
eNi0RE1wam8eKyF6GQHc2HWugU1zcEedOMcEo37HwzZuyFmAgSyVJHupr+WTBUv8MxgrB2yoBXia
2ZauX9TQ0y/hbrCDC92qPbrTMnkhB6Bce7yCAMt8b4hBKgi3A/wUL4izDgx61sI1Xje144nrLjbt
CyY0bX+VDtUAvoGJaHfjJqWXr2Sj6/Qe51YyiQiBSKOQyIb42aFpo9+YiY2lk7E6aQAu8rtLszXS
b+B2mu4YKk530IZadadNWl1vB7PTccJk416fJcQfa4p1Rk29LoKu4WSshVGMR8ucRbMCG1qAuC7C
ITD8bEoOQ955F5WRhk/gRUDjFsZgHsBwht8a2+ns3ZRJ9TGHkyg3aZ6xu4fyFb0w0yyx5wK9QqmQ
iGwbRQBSNklMLIZXSeBfpmAAyu4Wiu4GnErT7JGTZ+x1m9Zv11FMogFCoAw6StQA8N836aDGDahP
x6G/KhRYTNifJoYmh2ygUMz2R1QhjJQYABbf4k5lFwwo63wd0q+7bRoVMgBPwnoLQyVrcIVNxlcb
C4y2yjt3eNIjo54DWvETs18JlBQqp/qqqboFSVF0tOf6uAjxcIK6OEllQJtRY4VyIGxK6e4jkBAl
plyZknyiOXHOFKZUwL/cHg5IJj8D7Zm7DZAnSKPN3A53qRLVTVyHuCMlHDfH2jeTpuCAmKMRD6sm
cbwzhqFJulddkV3PoGKt8zkema3GhlHtWm9imER709u1dXPnamBh9p5izUMVToJC44xon+qh63dx
OIFKbXjWbtDxR+3akqV1lF6WPSjHmz/lUWHAEpmiR0r/KQtsLc26gDIf4Hfbl8Vd5ErNWjlzIz4W
yqv6jWBFT9a9kmxnatFqsMlSRhnckLL7rMJIDJspNnIgaambPJNe4XxFaqCMtR9GMGpsAj6KU0rb
GGC60y6MmnHKv0VEiZB8kOemoH1VxM/zFFXGAZNXmNzXWsfZnh0XIvYoZZZs7LxNb52xsORaY0MJ
kEpaZOr0vFI69CgjiR5eDOcesIg+n0fCZFLY0Aw71FHZTJsegMi08e1W21EPRdqmH2LtwRJFZGzC
XrgZMR0NMw86u2reelpYf4oHP+FB0nu1I1AISmuMrDNfeXmiG9czChp9E3tu++gCSar24MKAfymV
ew95QycM45qa7a2PviQO3CHzH1DmQdCyoPFC44h0u147KJDkJqbFcw+2gJmr9I2ODr3o7Slo4rj4
kk0quc2T2ekCNfKgA14UBU5Vt7C/5aoqM5xF0GhXc1G3gJxChzmKz7WIVm7hLRZQK+NVkjhl+MXt
0FmuVZwmtHNllefb2u0wiBIoAVlLuPEgN3ZlTl+gHMiJTA4xgMpRpoLcFEZtjd5u6WlNA6MKf1MX
5G5YEFhkGp6FyhKLNCg2kXcZhhEjme/kjxX4b3Vm/rO2y2X9Ut7K9uVFnj/X/yt6Lyxav+m9VMVz
/holSsn75zTSMT7QbnTok+Bqor2y+GP+oIHoHwCCsv0UrLY0QH6igaCdX5oGi22Wbar3vUXxTxjI
B3YK9AAxQeCjowEj/s408nU1Q3t2aYsuOY1Lz8WDWPK6DHQrf+ww15gwb1T7mWBw+Da9XsTvNCpe
r/J/HGZx6lCmQzF5K6+FVtiF4WybQMvTjvZ9Fx3aURqbQY9qnlslbn+6Ar9ojCCSeVVX8Oak0QVI
mooCRANe7jf70zCTKGBQXa4aH4GOZPlT2FdWellYQDwLpaFQFXrTRwDNi5oVxetqZgIJUmccRLb0
SQJaQ7qX1wtq3DsyW7H9rW0PAFN2xOxRtxEOU2Zzy+ZJCzWq2iQdpbPIa3kdY1GPLT3cTEKFpQUw
OG/hHEHr7od2JxMjZfyh2CvT9m+tnjS4lahZmsdTO2Rq/GIQ7jsAFOMWwZNQ4L/yYavrFiqbTY4c
R8xL46pwrae2LFQybppEt9nRTbquwedzutx3mxUyYdESjuQnXuHvpzKPmC/GWWmFHxmwyflBNEaO
eGbqMHbtZZvw79YMLvRop9uNu4wth1n4iBMzCxLeahhLRZaaIzTEYWs9ZNcVrshpW1JkHCJcnBWa
aZEd8pl6b6Njpy+J0JpygR3LTAC0OUzGEt9ce5ptUb3Ycdujhcwa00OH6eVae81uRI+PRT9oPhm9
fPFwBZW+LU6FY+SPNvlE7iFCWJEEaT0bFfpQRxjRpy4iLvDAWF8R8iHawqy+qVS2d0YhS/Ogse4R
SDLNcNZVY8WoMFFlklbVFJ55Z7NNhdddMpoIliqGQWyUuu3a1TVBDIAFsxYhjO2125rYyPjLmGG0
fSkrigB0hFD2kDmmpVWcJAJqbTOzE7awkJb24DFEIviad7WS8RaeHsmDi3sSoyNSImj0Z4k9CmLO
0CGFp8mehuKmnskuPLqi1FCtFPpQo29uwE3nZ9ZU9v3tUs6653lN8O2NShUHzJhy6xf5qI/WqSLL
HKGng8QFq1pmZuWKCILaCgp0QS5Bn+Y42BbLvJ5U26TzQ/fkyqhxL6cortG9dEVZ4z9NK98EB+Y4
Uh4MeBYtHQKSme1gGnu3bgM7SgCkwV81axRYeUOs3jYiuWB+8gcLEfeqzWxEqkXWsXDL1rOz86bg
sl1ZFbEwF20ka6SVlZcVt1piJf0FedSWcWe3SJpoXnmldgANyZbR1cn5cBH8xYbMoqAcqA2WmNcw
h3kxeEVyTqhMxLTdUk59aCbqheZ8gFfSQ71oEbgxox4TPaf1MNfqQBFlucfUlbO6YPWHIdiL2jU2
Y9cPMFidCHQ+xWJDfJCxI8QhEfuaaJj2iUq+G69Ri4a5tZn9thxuqWftHCai1jAYWpF+lX2qIF7K
kzZkmXefRnRhePvMRghNtbf0puaJdzGSg1fsbXIFmAJOTjczNOqprIZbu7C1tr4FLGMl/gXvLAqW
NaSZKO+vQ82nNj81tVCt93mWjXTmQ2miibvr64rdx20DTR6abWJZsAiqFjn2Kh0ECorGnfWYBAS/
JfFcpERZUMmTh1WTJ+fGxOiQuGUVK8bchn+Jnyhhw6W4+fyU4ENfdOsu0+HZowCto+3cNiBrRCeF
fukL5uDHGaKDFlid9MJNi21AY6IdEWfTwqlhnqbpPeFzvDiMey3D6I3CORH5itiI0D5msm5PJclm
GaNSLgcyV7Y2i2DDVN5GhSjf4JvM9Xe4oZVGA3zYdpExQjli05g+QXhUuEwH5Q+oXP3Sa8fwPBqK
MNai1ZjTZnhnv/p6uWRV8UiTZxEXeHlp0/zFHGQmvcRXE6+sHqVpUBQ9c4rcnZPH369fvzwObQxa
gphSkG2+XpZZ93WZ22QeVFndkDZDTs1tWjEU//1hXi/LfyySOJAQPLFaigV89nNLkA2NB2iIw2gk
fbiHuZiQ6zeHrnXaM3DYg7n9/fGW3/evzvty+ug1IYlbwtCXJtqb44UEy5H9SIihNROQONOdQWSH
8npTCoNxa4EIqbKV/kzo4PjOlXvdIPp+aGqCxXuHIAvf6Jv2eKWjVgoz7jHphHmAfjnfyqaCkoOE
fvP7b/mrQ0HzZbgEBI7J6JuWBou1Q/AYh5qzyr0cjSw+6w2w01HUvdOz+ev5XL4M01fgcOwtnTe3
CSk4eScsVEr2OHcNKxxbTcL/nI+2LWl9VGyXS5XG+4EtzI9L+f/L/X8QHfHT9V5GuX+MaJdZ8X//
4xZd73P2ut7//iM/xqym+YGcCup2nd43EejL1f9R7xvuBzgAyBJth8u1oNT+OWS1/Q+U4MzylmrV
wIjDD/1R79viAxYuQxAnYKFqpFb/O+U+P7jcff96BmnH82vox3MMG48Yn/H1M9/Ri2lz3ifrkDIp
fgrjSrT0V/SBoQAyCGLrzNZgy+5TM1GbOvlXMGWEhvbGRgx9tR+TTLVrBXu4W2s5+mBgA+knCHzl
IRzN5qkasXYlheF/jIpweijSzlqT43rn1AwOaWL0m26qi7tZa53dOICcYnOaEXlWp6fBzuKPI/va
G9JfN6U3RGeFN2t7vcmmQOAK+2KSKbkZy2l4oJdCuQk55BprvnZWp4J4X090zdYRY7E3dQwPUK/b
I0/C51Z/GPgOWfQpj8U2Se0vhJ9f+Rlhcw91GBbX1Tw0AWbH4TBH8F370f5aY6+6tbtkuhz1Pukx
/ZjyQtSG8zlSg3nTI8G6FmnsfmSel5WoVsxiZ0a+2hfp6F6neeQe/MGVx1RvlzwDTx5ry1sDRBnh
eWpirfeptw8rYomoDNwtAkw3QKfe7MfRCT/6A91IWD7GeoDqXUzjbrA9fVuolD2M6c0X5ZzeU7wg
ANWaKB8CApanM6upx1NhjvOW2Gi56e2IV4/ThbvQRTTaOV+MzCE9ezSmq1I40/lgFeUZcXEGJHAt
591LqK9VG8i29Gmr12F6PdIYwdRBhEyre6e+6PgKeZ+vcLB2xwoF5KY2uqNbQOLTW/urRuj1gbTV
YeW55Z3maM65TyrXihD4aScct0SjSa6fw2L+OM5EcI2uQwOW4d59mjhPDU3oK02GIeEMwjqrKEpB
ZmNQGz0FO9IraXGqsvkSpoQhjIppZ+bM2tGkGRhYrVU998WDi+g0WpOdcO1qvXk+WnDOian9Vvum
or1IlXtZoEpHIVvJ84nPhR2j7zY4kfTTPDkEIYK3JQWY7QC4mKHYEzdVIsta+OIK0s+Aq/EBM/LS
auHEsV3TH61uvicvaTjpFKAncjKbY132w9YkBGETkZyBHBN9f2PSBBsbstcc2lhrczLHI0N1c+uS
VfyptsZm18UKbnJb63QXmwkBTTLvBormwFZueJlWXnNeQ7qXdKTTAsNROj2V5qT27I76ywWsS6qZ
mthYS/VI1kK4nqckig605SD4W7q9D5WEpJwY0XpoHHHZ+pNbrQnBrB5Ke1464vBsS69QgTmb8YZQ
VnHsfc1lYj3XATvE8B5pPHd0itTYRKi7zTS//SJt7AayJrm2aSPj3oasewhDGnEriHwluZW1cTDY
EG6jNHsahUQ7KMuUtK8GoFyU3kyUW7S96tH/yt3z7KfkSnbUCMd4pDqwOiw4qSq7NSPtak3+SEnL
b+JPOjpQKopPkHpTVGb4OunDsV/TzZS4uqFpSH2L/MMIcnzliAae/zxD/59twRso00jRjOfushzr
9rZIkuEIiL9Yx1WWBmYyDCfHsItTSNYKTQLDv6N2bk4WDiP8QQYpFp4GNtoNTe3Qj3jFzKo29+XY
28/gfOJ1ZWGv8Cc6vDk7zC1t6ObkmbXJloe8uCi3z8y5OmfnkzyZrnfTVdkTHsY+qAF7XAhbq8/I
xYoPWhbdAtVSAcZHYgOLBDJoS/AEj/TKHImWnMah3+Qdnl6nISaiVWTDadqICrWquIJk5J6Rheyt
9cgWn+1MqfupmxJyGGxxW3YdpP9Wj05hGDpB2o/jCn6Ye9biT+WZkLggwK9PQVUPSCNc/QrXGYa+
vW1rtDyFudV6+1OkIW1AdE6kl7uyMrGd6uYzRbxdbQvALyrus33cFBhYSi3RbkyZzZcWgZX0QyzS
zsYAaVkd+EPb0/mMUPyS3RkA0WdYU4/tgcBMUCPd+EhAeBroOply2JxKRPIOQ3vywaP0CoXMisGt
trHMbDhFhlkeehdXXM/+f+/P3S1sgktluAn07cEMOisrLiDAD1dYk6JHUkrroDe1T10zk3YQOd5V
X6TWtnXLIBnCj6UjDnTsJUYX0z+Otr9HEHHUHVPe4i/egtXpd9ooDgLUvQR+fxI+fwpVpOqAVNBk
w8yQHfKoHSfL/2al6ZVjZllAECOg/yl6xiJbB5oxGhcpoMojBslmg+GyX7WtN3+RQ5NucOMTfOqS
nEdoBektDgC/DAz+ygxR6Rb07Rx8hN9aM3uK6wErlVaYd1rZRlsde1cmp/EFbT1px8KgHrTDfD+b
mvOUYCU4o/MlAo2QFjzg9mmoGcRVIbjAVc+7akLMeaxYyg+pJ5ptNGfNmVf355Nq1VEUBARaxjUP
2dZw45HNO5FDUPIvDJisl2yKVzSipBFgCbIOah7piIeR0W29ARDeNNAl2Lo1DZkkr+JvPja8e9Rm
9T63x3EnZku/qMb8U0UffBfpkTi43QhKNW6/DTENcrpw9L0nv/Juszq01+TP6Lhck+hEh1HbsUvt
7JUuIuI+sG3eNLNjX0SMEa9ohCI5R4mzU15c3CCx1ndj4bvHnuiT84JB3rZp2LjCcq1OsRGqA5k0
0XoaO7kq2Nnek9hjYhkdRwZYKaudnNkYrgCyz/d+RDQLITh192J7CoOFrxpz0zYjqcusE5+z0BFs
dKV99MvKXwCy8oHMhWXqSJMKveH4FQd6xcxAs6NTqufReZFmXuBqhAOPwxmTE2uLlX7v9LpO5A37
NV2qeitMAhbS+NahH/A1wzS8JbjEO+S6VZwNCDGDHp91EOr0k1pOPunfuesGOobWyylVQD8psjax
Znr7IffoqGkzpZ53YBd3mkxsJTDoM3jRuKS2OuE9Vu00a0B/xyzpDw3A9dZPTz0YISh2vLxHTJzb
OM3PHXZySaSsI0nY9kpz0Shb9FCSrM/PKqz926ZDmt5Px9kP62s2aeK6J0djOxVjtXUj9UXTtUNI
g45Bykqf1JWSpwSXqIHR2CILEOfa05QRLeBM1bmelBceW8x1p4Gcd0ATVNzIu95pH41sPh+wattV
4axcve0Wi/+age6ahJJnnwCAtZYN2s6EtWZUzVro+b7Q7EOuFtG40Mm79b/Ehi82JNdmK56RbVJQ
92lt7+9ixMx9Nn5utE+yLmPyg2NjOvdYyjbWTFp566sbpZwbL2y37sSZXDqu2zy1z1Li/zLSm7ex
PxDgLqi4oupEvkqNjfrSVzHW2NkhuxGLhqpgD6SLS1gqRsiYl7/CHB7Ro0u6sVpZEz7cMBb3NpGg
/qYFWRw0M/xSDQvQ8KhIDCkou8meNNJA04sbsqL5/MPJgp0/YKxbhblEDCl4ycS0Jccce2ZtxSaS
Z7zvyk52dmTcZZrYkxZUb9C9KwJj5Nd4nE5TLAeifgs3GEX8IG0ryPT+Ezmkt5XMvw4tXhMCL0cS
LeISvkBNG7wlVGelMgwDlpNchyFW9rkuijNNd+utNVD40pU7Q3vgbwy9ONqRuY17cnmbuE+CbqS2
zrnwK1j93q3PtWY3MKxr12K+PTzGFi3G2jAagoAixOjJBRxoFkuTpPDKc1md83s6scVK1c0D48gj
2YXDxPtUkVZxPUXpJjSig+zt6mg0SPIJGR8fzeW1Savfrz9rCBSHuSQGJzaSM40n2aPQqRkPqqnf
t21zRz/fDAyJHqVInDUJbVh9nLI9ki3p7FUcEaPNXed/rBfEd1do5rd8Tp1P+UTfv9Jg0BZHqn0u
aoUrIeqwc7oEX031RcZtyN5iijdObuNLiSPkEk4j2pfB8rF84DoBVMBdbtr21mrEHCg9HSjeiNEm
3KLeSNf4zLc7Yho5J97HZV7ZDZewvbx76bmgEwpCe0XrhBRFaCUafKxMMEgEx6ntoLLru0cj7UZM
t8NlYZDyHePS2g2y0U4aVBOSh/3ivPEj997LdIKPsaTtzEpUgaxvFP1Jh2CiRHobxyBVjcZIgpEX
kcfzIPNV7nubkUs46y7iBLqUHdnGrm1eMIA4otUn7zgqk2PnJTs1pE8KRcZlKh3QltlwZLTBm0kN
2ZZAu0CO3kVCWN+ps4dmGwOMOKcmIZ12HOmLwP6gB3+uRP8JnZ+7taf5nIY4Cx5s7sOQ5nLfzWN6
6BvviiWAxKc5PMlRVuCqm+nRDg32Fc34UpIrzW6H1pUtwyOdTgr9luyzMRoGSv522lWxdR4n3Y1s
8nTLLtJdolhtnpPkYz4I1g5cXqsCz/HloEv3Y4cBnM05Pjuh2Uy1Nfk5TxLQwFbE98otsfXdCO95
dWfnxUOpZ7zKfffbYPi3ZpXdsBpi9CMzi+f0AKS1WrWmq9/n3Ocrkj14jnOliAUtWHRtP1yhzFs8
DUTCMRG6BoSYrUSZP4OsIGMkVgvdzqWA8GQS6MlsfnHY8pMhsJFJCqSydHZ6GWJ5q/IN0dNFECG4
CSKnLh7JugpgIBnHjohtJ+trVmGPF2sqHkwjYjzhO8es8nC4+GexifKi9y3kAAYmLkhP/m6OtZtB
uTEueOccgjV+b3j3nRZjl8EFSJC8eAq5+1hr3Py8rVwVDIn5BU3NA4XRJWD88ErM8zVuRcjV9pOZ
4jaErL8fCsfceF4YUpXQ548N/dHGmQ0KgHFVRJ5t0LRjyVaoeqjQCq+mGIWO5UJspeDNd5Sc9YuX
FOrYWc3ISexx5TgEXCNN7L/2KTEsKx5TXNWdn3sHVWrpx4rg7HNHIP8Q0HAxz80pd3ytxDMgEHPX
ujZ4gSLP8qOZFuFHbR6sx1lh93Hgk52SlPygKHbGDfFaYGitaN4pcN2Htp3re6RDxaKKsXpuwwmD
mS4oMNVgxCxVqAMmv3AesduN9rb3k48xXqSzfuYtzfzTJL5J6EpduI2lqLbL8t5t7E84iQrGbFVx
bCqUvVntwTyEdUD9PhCIF5ECYMaiOgNFbx/KXooN8mNxbephRfJ8pR946yV3peOmW3Z42oU/K1Zd
IZE0EW7aXUjLLJm46trzyKD2umeQupa2dL5pBXs+ZFzGOR7r6a7ponKvRwwWUTxDU294SMmPSpvH
ZJiYWBIFdOBhHC55oEx7rbshZd2Mq3PV2UV4azCOsAg676rArZmXjW2Vfuo7V2fn1ZLWHZspd1mn
3VR+M588tgJrKB/Guq1LJ7AKMirdLPS2kR7qOy8F9CirJN8KQxA4XhOCec2UjMKxZcjlE2Z4yrUO
Izta8s9tbYmT0Xf+kbOYpOtYCOzo3cBB544HcbCsHHfgzDJOuEORBOQ3w+zE1zZxjc1pO/pWu236
0Ttl2eTp62IYmcRogtTxeBI9dszMuPTiugkG4Wnaqgy74YRU2X1yVYGBM5JyrYYlQobop2MW+dqm
LYzuYJaTYD3Kwq1nm+m9a0fPS3rGNXPqZ0ej+1chbd01ftweQEBZDJtJdhpjXldZQwoFl9AOCGmi
8qs2aG43jVWcF1Qo6HBo0YXzARUpLZJ5bRZs7915S+oZHza+Q0mJ4T+LN/XUG1+dXnhHinwfcoUz
7xOIGHunrutdXPb6AcuD9VQ2BF6UICMY2ZOmHllUlfTStKuyi6W/xq8YH4nFTfYtFNwvlV7Ve79v
NWThKtnKyuwBDcV1HEjfNu+ztHBvcTJGq1TzeV2JYVqVZWTdzDqdpIH2zHqc2uhKC+kvsNxrG4P4
q30jpuFqMsbm2jZr8cjrJX/0Bye5i+JQXOj6FO8qs7Nuwj7iJZCTnHiTAj4+zImRP5SNe2HaEQlD
cioJ3CrGcLzNcobe4Bxs5tsj8dTl2knS4sKYauvRcmLjfPIa1BdJZLP9qkgAO5A/bFwCrRkFY1eV
nWVV34p1iixsJ4SqriJ9qm6AWhGknjt5/zQyDgQYmjjRx5F1K1rZvBNuMSs6GcApgtnpMVmRGVhu
JE85krAfM6W/NRj4X6fwWeQh/17hc9e3WfECkko+vzZlLT/2o+3vwq1EC2x6LnpqtDxLosWPtr9j
foDhyksB8wJEAoQ2/2r7mx9QqbjwiB0A1d53kcofbX/LAVQAboBBmUOfHtvVn96yP9Qv2NL+LXXy
9ZiP326RWWxDhGTSh872rRaG1rcFWCrzA7Nuu+1o24ygmUWgmRzpwVNOv+M0eD29/HE8ttp8Mxdd
BCLm1yMG0+38kkXHC4qsQbxJQ3feeFpEDfXTVfiFyucNe/iPAyFPIlAJBxq4yzcHShsPSy7IeEwF
qtinNHKJK7ETcYGJXBjnaYVKe+3SnahWRuaGBjsG36rXc8Jz/s6HeT3147PYi26f02aBseZUv7E7
EDGCg85xSdZgVdp7jRHRL/TKU6HmInvnWK/nft+PBaiCW2rxV1hQ/l5/76kVfdMrzw/6adJWQ9no
V9JJ5EEOoHsM2canMp6TK80cui/vnPI346Pla0LK56jMvHBa2G9OearHMGTcwcfOZoxYiO34Whpu
e+6OlW+vjGHB/v5f9s5lu05kzdbvUn32gAAC6MK6SJZk2ZZly+4wLMvifokguD79+bD32ZWWs+yR
4/TOqGpkp3InWqxFEDH/Ob9J99TyCi1nuM25z+c6TMv3w4I54mD3Mr0qYUzc/+HPEnziv0y1fvxZ
O4WUKA0FwN+LhP4SbnH6tpwgAkdHv1P9ifdMcNG6a5hgCAL/ky40+rpLdHJ1hjWrH5ezwbhwRdSL
DhgvhSv1+7/nlyeOuxSCseU+YfHj0fv5C6JBNJvJFEIG2ji/xmWlJDJIqbcomdliX3bZ3tz6+2v+
8tTt1+RZB2bLA2+HL74Z01BoIzYUcJyy5rqueXtLLF+H31/ll5/e7nqgSQQPYiBAWL4IzzVRN4RW
sfjHgLmO+3p0JpO/7W1C3LHOrebrYjVVdDmJll5uWPrDn3IrIGZffNUsKrgVgKfSkOUyG33xOaGp
KaGZPp76xZY0nw7V7l/cfRsiIec2fplEaH/G7OV/Vs5U3HuV7ejraCXuH6dD331pV7f+VmdpzT49
b/z22NOquJ3ykNzjIS0GesXhowQO+yQrF7d0Gda3c6kwtmcUF7zHoG2r+zU08q2YV4/tFMrEs9dG
i7m1hmYnYkvtZfelXhYoHMuCpeIYtuPqIxuumnqFwNR6u7DIIOjLSYsQepmaOOB7yDk0QGLWvC76
oDFHa6xG6PuAAJGUjDRvyqoouMVr5uHrwWKQtMJ2530TkhNatzpFdgjMH5MC5dX9B7cLiutgxRZA
gyrRtuixoV8S9cyGV4dRTPdW0L4xeUtZOlQIjsXD4Bj70DtiIleO98x7pvzTW+8mPfnmYgO9PbzJ
lbM9N2svaDj2m/wrU7vFOrm579nHAfqjE4d7NTib3MY4MU+l5yQzCY7PsxesA1vVnP5aYQYLE/to
LWyo53Q76bk3nyoP6zirRkOT8rLY5ad5sxYPp75d4KUSARiTFRKTiOkjssIrQIKQwSCvZyZBsF2w
KSnMU1d24WoDdTFid1Nb0apP5SYC5D42jN6B/Y9qzhIslnXR+8I6NQ0QmBsTzN6NaAacb1T9kpUY
08CnjzLt64t6h67G6QasjnCgQa5wXZW3cTrleXq57q3rSdrJ6VlDvrDfDSyL8pXd+CCkz1rV+Qcs
ftr9JNyUjkd/b2F6k/t2Zx/dWjf+u8FJy/xAsW5uP+IuiyxO1rpr79YeUPQV50YnuukCvJPBma9n
IW3BL2P+OHL3lnPmm3qClomRN49nXN+BRc+Hitqrbc5c2KpbwCLEtIboNQGvwUxs4buGsahawJqB
ETLwVsMyoLKm82ckxLHy0q8BPezVq6peFCTYicTNweZtb1OvHJX+YRnQkGNcCz0ffINYfKB1C6Jk
N/QmP29+DTFBDyCCr4bFZUhQAjUZEu2VxXsH+/xNs66keyDy0Yiu/D2M2BWRhEASyvKcqiV0DqGs
TXW0O8TapCAJUR8cU4Mi9aesTYqWCBlLKZ25xEZVi6+z9syBPHT9Bd6HXKEkVLo8bQsK+a128s4+
CEw4V4Pc6CCXSObfsNitWI1cKi3YIjjigZ+rNIyr2ta5Mq0FErUaoxbvA+jp+syCMUyfC3gl/MCn
YM4elzbjVAZnIfUvMKNKxsThXH1ixFLVR3ZBi3UGrAoeyGt6SQ+M1w8zLqCOFi0QhDbKkMlmrPwA
WK7nChrUOcso5j7YBJMRATFLiQtdYQ7w/bpEggva3D1A5Osl8hnspBiOR4Rcl5dTn5jRt5xjnXJn
E3BE4kwQgYpcOYVwe+DQVFAN/Q73JPmI8GHLiuJ1LfAbMJsu7JmVkLjKoaA6ghbpVTlPFDeLy7lg
DM3rywNHsuX6c15WrrsrIGo7+66xnq1uYkRISGydXyscniYeLJ3Nr0kYrf6J+tHpuq7YHzz4GX1M
F5tKU9DKTYY0AMg08ytgvEUTwhB2h4mBpq+qO9hV1pehkeFtQYxzoVPIQSarOs50cPuikhknToUP
IX0pA6BBAIA8pFXf3dXeVCKl5mlaX61biJhryPqv1xQDm2bHuHTvN7owfI7/LsOIzFgTtVsz0Zik
L/DYEdDo+/o0LBvfTUgf13g9eX64nJmNFWMcVS77nqGta+iltVgPzaonuA7ZHJzr1bW+sSxHuMrT
zOpPfS7cJ4puQjdhqyyHk1MYZyezutMDm+/dmNp6LgBIWpWZaLRum15QVa2ti81rB/cSFlLevWIw
h+Jq4RpysXNvuVedZyTWgPNdq2lgY2Yp4gpxY0sir3Pza1Rv8y2znbZ/t+F8COjProK3Wkb9xsgd
q+21HJS86cM59BC8UkBOmn/cAfscaUb2lQ2yGXHm2SJ2yGyEPjSMngTkroo00iETFhCe1klIpR2o
XRO+natFb8Vw8otlupqxK2JbNj2QmmFa3a+NvTFlH/cSe/iLKdCuisn1EpdweC4wocLaX6NBFHBp
Wj5ilVI0jRODql/TduK6Y78R8erqaGMqO3Jkt0HQ9/bVmiq/+AjfS3fXykPcet1tVQ7npI4suEo0
YG8Yh7tsaMVtbS2cvr2eddI+WYXTVBeecedo91mYEr8HoyohDobWY9yu6YKJibuZlQECtYKx9MCb
gtkGMPdAXnVa9xv0bLs2yysoq/n4QPyAozXN5K45F/2CPFpVTnPZSByqx2ZWZv26BkPQ3joyg5CN
9XkE0AjsaC73QBeTjcXpi/G2h9qSHmZ+th91z3svUfM+wSmCgto7aynnO+S+bL03hB+x7lQqRQsR
xfAGejxdHLMCc8qgFsuNpVN6lNgq0Imq8qbIGI9Y2TPM1UZdI5RG5iAWbbDzTn1dvqoIBg5fIXaq
9BjUSz486H5oKUuKvHZ+gx44vEmDusk/jU6RfiTrWJd0cS/DgKDbjn6SExWoDm7OI/+xyyrf/9xj
GS5O4eZsbA0L+c44C/eZMH4anGBpZS3PUhve4t0NRTJsYIKgB0T4eldlRHnr6LV+II0X4ONxBtYU
zAkFriGFJo15GvByTFCb/B8V3AJo7RShFa1BH331inK6X6qJ+qoBYOkbnnzxGNhlfsVUcsgZn8j1
SfTT9jbqywpAQOrqu1Ll5caZcFOvy1QG/RUxiaX+5k1d9s5Ecif2jnXWX6MP0sTOrICqVYE6/biK
nD3fCBWbXQif3Pk0Ez+sjrJojL4D223flDJc1sQg5HdXjhbaxIU2jXXIRS2jA/2GKRsKO2/eFvbE
5LH00fawfQQfCXIs1tHUYYge71YMOBToQpjRoa3Vpc8oPTtOa4Cnrmwim37wgrUA2xRM/8SP0pwe
+8xmPmoFlRViB7ImQiI5ywxZz8nss/K0qC8qwEjtIUOJwH0jGj9irXfzD3WFMeRQL8X8HgK0Xo5O
mVfPTpg5qGNr0z3NU7g9lKOMFJrSXDHvNrkjeV4y/qDMLu17WQT6S9etsNR7I5yHrQP+nQT5lj9y
VOvNTQZGUzJ5aOZAv438zvTnqQVyepBqkeYjv4chfKo87fefbFuJ8ZK9Y+SsRGmnjI1quWSiPDQD
yFe6VdNoBuBJ9Gi9KGo/xwg2Wt1rIGUu/87k5gOb9NqN7qa8kvmVO5JkNYm/Yt9E6GvT9LyFU4p/
foQ0CEC4Zp8d8Y7Em/7NF31Yn7ImQNsuTW2DIA626jofp/kzgil97MU8jvdWoeYGodtaHvH36PGk
GroLTvm6ABrU1lrdB2m6uIdocJeQGZVXh4nP/hVpGgkjPwZOTWKnWc14WxLS3n1FzNlOvqQLkn+9
Ad3VW0h5EIB1+s32ywxeyTJE1ys3MKL6F9Z0rP2AOQ4DGaITIGmrc+E1Fctv07gPE+pwcNi0537O
9GB94mXjmWMLP21GzOcYgsxfTJ8Dr6SJzsamWBGJKghJO5Ap6rjJFt4mrtdCMTZ1oM0pkOsAaLIj
Drl7hpYnUioNsd6uLH1AsZZ42xqvLs8rkS+PocXK6ADvNW/lyh4cIMQiMtmht1Xw1eZ3gpu05yk/
w/dlqCuieuEFlW2BjAVvsye/6KJrLw0i0LnadwG+dwyJkrIvBAbJfgjeoo1X/QXxCcJEc+CYj+6a
BcGpmyFckNYuApm4Db+mbi6m7cggxflmuhb/ZdfaY0e+tIzKC2E0IXKfhIj9yliW9wm1z8U1x3P8
OjdQ1X3B/CR2VM9kpSwj583o97aggbjg97F5vbweIa4tp40Whpzhz7Q+wxVkqRncYuGymYowLniL
+GiiYAEab6xxPjKnWaNka4rgeuuwzpxKqInOKwimgBjl7MwSpmJeB5cNxTR8AXTaCUxZNqEe7GBu
NR0nONacmczGIMmb85UFz1Z4majnwWNf2PijJoJbGDm5+JlUoFWchJpJMBccjG2qC6v8I1JIHh6t
BWtJXJOB5YvVxUQ/SDdkX9zS4Yw5bqIKzgZ346eprGx3p5Rvj+1STrRBSAXtF0fMQtpqEFt4sAnU
uOfV2CiArm7H4UK0QtVPzU7u/2rXxKYvcYDaPv4wL7cu8lIyfqszdten1scVecv6JKcETy8pH4LG
078JBP9Irv7/NLbqIpL9RtRmr/8TKmz/13+I2Q6yNKAdIqYRTA2bh/3/itkW/FwgNbsAQy7VRtL2
/1vOJrWKNEE0BfwG4QeCHv9xsct/OQ7Gc5v/kzBuUAj/iZ4NDeVnDYhKcM/nvw9/Q8LNRwn6WV/r
7W31g/IZrqcnYa7WFnv81ltvxrGTHDODSG9f+qBbX7ODipzrfMB+sZ8d8teWcJrnIBespG4tU+ot
lvRDKVz7c87m9b7jYGkfhRgZFdm+4nWZZzbtzTKazJfOEoohHfNmkk0iJzoaOYowEC0WbN9IgWI8
inITJDk9ujpOPa9749ZQqS+E0nZ/XC3lfnLmwVu/tumqnY/AuNP8rAdQruesLPLlRrKQXEab4qVB
Bk2q+5Z5OG2FdIzKe9faXYO9Y4WgLatZHaa6w5s5BQbMQ9JCCXWPwdyvURx0uTVeSrSS/lySgHVO
i2yd8t3g9dpLTLbkcTpanry2s6y5oVuyQiIJOkMac1pDych70I+Yizd1CqUh35ZVXXXbgVk8z9Rj
FG8msJU5tQapo+sjbGEXlOVc6Gm91eOw7tjcANOIURvLAgn7gmOeqvz0ei36Nk08FYzva4dFOeGw
EUanDUoM/i7RNdPw1NE8miWOJft7H9n4ddEuxQhtPy94QxKvzMa3ASrwE067FIq9N7fPmPzxXTcB
++BSe/NRGV7aifIqTGT9hPYQh0325KUpvQQy8IcKtymaUmw3tROeeEHg3pvbUt+FlYj8M3ScacWz
1zGTnRiWVokl4BRfRqm/2WeYm+oa1wZgiAx6Phximwwm24k0ex45MbGNqAy/AnaxKTFS32LYKHm5
0JqiNvWEcjLk5xmAZgmttsSpEVDXQRzKHuBVDGqI7ktUoXiiYMZCl2GAQGtJNkPm6FX6MJDdYE6N
eewL3uorlJG2P/NEQoFt07G6U1PHBxsqD67GDB2+4+cZ1K8j37I/ipBZ+FVVT2yFJ0LCSyzcObiX
7ohzc8bdMMSpCfI1QSdvniS+/OmAD3zdDjhjFs6boc7qo5G9fL0Vqvi2FchGEJeK7i353sJF/tm6
R+yD81WW51F1TEG1NAdeuwb9SdXtw4Jn9rFER6VLJW+CbwLT44AxNCofUevyNyvNKAWAoLnk/FO5
JA1EbnHGnXq5QoidiErim/AKN4YrnV1O0G7R62yIvVdzAdAkdnzN0YmQM0D81vfGQ8TJaT2UHIYv
EQGnU53pnCCKnecwptHPwHLAtqdkwdgWG/2Bb1UZWX92IwtDtjEdYMuiEiZ2iRw+cs6nH9ZrMFqX
NpIclhB2hhfgevG+RNnS8j4uBNP2zWGHilgm5B30UXAncuvNo6a5QB0h9pbOCcOjRh+a2LDzGQL/
HM42uzA2pSRr0hRiLK9zY90blVIuNE9F+q0GfqROkPgzfb1tNvY5wMOmjwmHNm/RUvMbVF+rPZRb
XX5bUAvu8zrK8cHxu9ecPJvmXcYueozJSMjzVgqgLxNUMLbLufrMLwZlyia92l20rCg4CLMUrPPQ
ENx3F+xcIkIGJ3wZLjLx/JZdauO01pU3pf43JF9MyE42yevOGekX8EgZ4e0a8jY7UiWih4tgwyZC
i/I0jSyo2ju3UV5PBz+t/HNeNBE28o5B34+5yP++4f+L4N9v3/Bf2u1L+3NS7fv/5Mdb3rMB3oOW
AE4IlYE3OUOsHyNrEf3LFSF5X+aZRCWjnTf7735GNgDg47BuMYEJg4C9QMjf8O+h9d75GNA8y0HU
Q5KS/Ef+yWv+54FWuMc1aYgmrgYEw0YJfhHZZOEVSHQ1jT4g43i6Ijz0tCcu2fkvd+Vvxsj7wOi/
Z4f7dQJHyMiPApuKVT94gRZcI0kpSTqWcVHyIoxLdx6/etvWfRSB/FM29NfPFEBLFTLYaX+EvV4M
BiuhAUvsyk++ir09VvXxlmKF/v0n+nn8+OMTYd4C9rdjxCKH7++vud58cKOGzRufaOUY5g8K6nIk
ivy2CrecHNVOoPr9FX+5hxA72S5C7ozY+YFG+/mKFS3modKQbkoPew4ac4GZnIUPR3uZLRf/bxd7
cROVjfrBgZHknBOuy7kWnXtfZS6gS7Vk6vT7i/3yjX0nd5L3xtBAI5p8sdXMDQTS0Z/YLvaK9oI+
QC+Zff2Hq/zN/YPIC9mSbIFrA1H9+f45zG4NSHnO3P1aXlUFWqKuoHwMsE2Sf/6ByKEyxg8Y37Pb
eXGponZHGF4oCaZ3LvdBdcID/acawr+7bQykbRYLlxUmePHw1s1Ie9K6Uq3Xew4Gf7ZjTuqXfyCr
fqcu/vTs8u344GIx3+xnluDFtyMsXr+2XdVkO/OwP0AHoKOHm9jnBjV7YlsXbGYabvrJV18ybTEN
YFStnPOidnRFszVavxcLT3sCXV61p3QZ0zAupra+WVsnnGLHpHhMpy7MsoTon/TPUlYLRTOq0wyU
A7uzYj072fM8IHATndwo6PCnMvoi64B6ra11iy1pGX+9i0pbqcui2DgZt2MXfMo45Yw/Xnf/o9ln
/8Qv78gOD+ILdlg75YsBPatBNuQWska0ViEiOKEtQj9d/bbTpnonJ6aDNao2Uw6bgBGtDtE/4j2y
+JB4/+4PQVMgZvzyDzDDJEOHxB1GaiuMxUxFFzNq6w+/4r95YBjB7zgBcCocBV8sOJA6rCmgBSje
nTAJSUT/ih3cdCArLL/+/oH5ZTVlSbPhZAZ8LPCpezz8r6tpycQcFEpex16l2ycsgWz5ESfoXaI3
uLhr/VT4/wi3/P0eejZPp+t60KOAJfx8Satfiq6gAStmfsVHhAxzAs6z/uE18fIZxcLhEcPjFI1r
JPqFMskoUxeuk+7PqOVUh9Ev4MfrAHH3D2+HXy8U8hX59v5CwpDw0jSkKzlwIAVjxpE2f8XczoFN
NCx3v/+e/u4qPzYMoYvV6iUNGzowTDaLSEcYEYscR9RvN+Ss9I+vgn8E/wmjO4HX6MXC1swOh00x
EhyZZXPVdZL58FRbb35/lf0L/utTDGkaR+BOxKQhiH+8WKTLqBgVFjYGJYxH3jK0ohFvFIA/mycx
DjTL5eL4+yv68pf7x54N+Duvuv2yeBl//tG1i8zAFA47EEuT+MVagYiR0zM5HsPeId8fjpH86AGm
SuErq0YkrDRwJoAOqzOEuxH/lw2u7iLn9TUeJ84x4UHJLGRQo9XYHAvPncPjMJcG6tXYrI8I+ojK
TiNoTqk6XT1vaq69A7F5jUO/Y4BGNJpCjDhyDX0p0m6z+pUPxQNOXw/DJnbcDbvJUgpOe/XW9gl9
kh7OZ9ed7/xoIZo68AWdxjUXjE4ykAcoou58oUUr3bgzmvIGSEupBnyrhm8rLJwtsWaKO0lIzB2R
7z5w6ySiYrPAkDLTxrdQ3c2ZMa3zhzoErnN0GCXBoQ5V31Gr6egRE0zeMOLMHeAwEJcyOme061Sv
tjGDOlW3vMeI+Tg71HAKQXY0gIAUB8Q8P41Fqu2bkIDyo9ejF91HNqwcBg8zmWo6KNqg6xLttPDD
Dlkrx+2VHe36NlTFLvhIpaBE4U0X1lyaFpmZgXn0d1e1mpnL1Mv8HgvLQE1NI2eMkUA80zoegOYO
BzGGoXVIe22XwIKmJbjIBpeRTdS37leXHwEBj3CSjyYn0/vBIhH6JegmMgFAeujDweK6votqChIp
8iXhxsxBvZ9GfMqPeB+29x5bkiIxgwqbi046810WYuSgJG3umhgtqaHVxqKQ8F6FLZwwPGbOg5FD
/hnqp02APhL9J0XyJ8XvYIIhO5QzqLGTJ6o+p46GggzG5M3sJcpZyObJMq/zPBFqVO4rNK2pPHmj
NX027WT3nxHXjQfuArn7VDKI88/j1hOAIEji4TMaJteiMzUTRLeGLV1jq5xLcfZyBRspAgv22aJq
a4xbmpoo+cwzfueYA9x3tY1GldCQq8yTV1jEJmG3utZl6Cuojoos507HBO1zqlS1veG+O+VHiCGO
/VXXjEbuV90NkMfBspWJ4CTvQEFagwd0BaJ6iE3lXQOW1L1s154b20a1mi53moHHFHDK7JNvz5XL
iK7CQ14OmMieZWODXI4H1yu/Dkx3rdfoQ2UAj61jXIwaYcprNY6ADbAsTf3jgIWtzOJWj5uK4om6
vwufJ75/UjZ9XSCyiDsc1nFbGItK+kzfrtFMj2XaNqAoZrkKKoP8HMpExUALctyIqS3O1egN2Eoa
de9QFK9IgPVNe4X4EZKkiLYgO/pu4YUkUzP2wB0Nrc0NFjwxEJwqqqY9QsChu+s8uA3EiMPAgZZ2
2a5A6uqTaKqX9VigTpLUxEBCYw9VQJTzcNQbkoxmZPAkmbhsymAZ37Dk5MNJTHiCIB3kvQ+AE8KJ
rz8NgTsa841JKgcZmLh+6XfBcZFRFpJf1y3zpQ9lyPiaIPBS3E5TTdDX6Utv6+w4cCB1R8eNeDQZ
+knoHFvHJhmbxUuNKSnltoZA/vS4HPteRO+jjFB+nBUjgQzccerDEtLpytpL/ByJheIkRlf1RLzJ
kxqHy04HS6BAGPoULZe6K8/X7FRJagQgxKCdzklYcVy4sEzk68NIvHd8mjdEyMSdMEZfQWmFvNSy
S0XCXKYsvfEy9qnHvqKxJ+kRsqGp4hDIcTeVkCIWSXXAkbF0+RpQOK9spm4+oypcO4C1QxwNCWm8
vknE7EZvai/b+gNRb/76kl0LRTQD/ZBm8cP5nS0zjjHIqWo5Sz9VQzwKb0+o9EhOicTR8ZaOsy2F
mjGnkEztPntTyrq55URuEZGY0uKO/wa+kXlc7O1Q6WKorjqanzhVrEOXxrjQ5zCZyzB3LrfBXtoT
unl4x50STexac/PQMQ1ME1xa9TejFMDFdhY+J9UtxSLOokOo0O3C9NEKA9JtGOXZQ7hlIKmTnSzy
nmIM4CEyB39PfNaMJ3LxiqATCdOOhi9rurFmfMRnA8Z14jQSpvvD0kTkhVhVPpjA2CBSSi3eL0vL
GbJ3JpRGrTKOEnidPOcI5EF+wRCDntfYorBpoRLd56YzDoNF11GXkSo6FYuBkxAB8pHVGszQ9sHa
PeInYSjTTApp5iseDowCpd32N16JWI/LxB6xnNHpiVnDVpmMu54yV5gupMZi1/jZ/ViS0kuadtYq
IVDi5d8KJE19z5/pd5e6ob+SH5BV+g9bvsr+yjR2MF6RmGj6hMZSRZoJLwsVuTuU7rPH/2w8OIMK
+ktncIjO7yCD+RDJ0QMlyCDVT0pli+xuXGjmJGuVhZgDtJi7fURc2TcD6cXhUEwSZg5d4xNkY1WJ
7lVYtx3snF6NFek9ZY3nCEXFZtxaED5a4R5P14QR3fIqZOEpjovwVlyJ6J/+Z1pYKgyM1eRX82UD
2No9IaeuxYfRpjCFmYHgnzOMwPR13yymrSgOb7V9HQ2BYmCCyDqEb/1M9foRapLUz3OZjnR2485o
LjLeDgujZCybFII5Oxe56gWpUdYW5wLtKr/XVZYqvlUJCmAbwpQkaVHCxPdRyes9JE/CEGcofvEN
GwB4ZE82dWyRIh9elWipLcZhEc04YAq4m8ivLS9U9k7ue8a7owtPpmUY1dac/S9az4vwUFnT5tLQ
5o/ispztkLtrVfOEEQS8Qti5rKGF4jR4bGXFO4xDMrSVuuiyidEzo7C4WNiUrbnlbwkm4dmPFfrf
a134aXmc2LboeNl4b53HqiuZhy8B3E2WWXz3RZ7dM2TW/CZZKdKr0A00RsZUQQGxbGZatFkPEbA+
+vJIXHkF0wqHLowD3RzlfW47M6BFd8BHZuCAEpBbx/3+1sr60DQbz0hY14DrSr+2thPvBjisdWH5
Z08bde1mVopgmK8TIwkYKSPTDnf9MA6TdTsoFcqDiLR8DvnS4MIo0ssMNWRqH6dUpEXKqX4zyzMu
DJ/ub1tO75ecoMXZpnm7Tiyckms8Zb7Wx5mt30dMPP7XwidJdl31UJ2Y5LQhyxooxvWVO9P4nlDM
WJ07MhIjCKwCkA1jVDCzfp37czL2+8hH1/iJUeuZ+ex4Ftw1gUXRNa9S9p+LFs0Js1WA4pB2LqzI
BsJOhj8eLZ9aStj0ZEKcE55PBpcD1dx+bAaaEuIOAw8X6nL/fS3L7tEL0rk8qwy44lmzotpJV23G
i0Mfk+NRROESvg1adB3gC9MQvPbbknegUy310R1heyRtLdSrrVhwaHdu57yXpqMgM9+qlvw2yeHE
Mkv0/UWMkaZi8Cn4PDSswDIBmRlzJiAhjRrjPo1KM0BpC3K3lCI2jhsPY9c/aKyqG6Bg3BBxQZfm
TtbXIBccSR02J4ycVxHH/wr5NAiHt6PLj/wgpnEFrtRSEQkLB39lPPGbxKsjBxBfGNygvcqyvpo4
24Qnf+ghhRtvIn8nu2J9+/uj1Peaop9ObxwMsWQ6NgkomhzCF2dE3Dnz7GwglyzDpucV/aMFPaxw
rVaYVlAXTkWOjfq8Ai3ZDkExq4KR4ba+2RyzsJcneVydVhrC1kNOCSmToYWMQexBf6Hkzfad9p03
MUZMGIH50NAzqxSX2VSKT6az2um4LayGbzlqk7KmaLtgdtVJkqF2mAfU3AXupW9aGRzCsc8+EANd
AJC4aXS7woWyz8yCM3m2UpijMUKSxM+pZ+wev79HL0UVZDvCcnAnfwS3Xvbe5Ap/XwYPAaiXAxsU
3/FFGkFHjf0G91jtreP731/wpWD0/YIhXKYgtKUgu/Tz6XZay8CuVsoSF8ybX+FgNAcOHeyTu804
f9AI/uZakATI/gQewT/igD9fq5IuKAOvwHakbZIaqg1P9bZll7Cn2j8c2389tEM1BqsCdNBBbhUv
lKKoJbDiN8yc07B/iGDz3axwR/5w7369CNFF7/ucaJ/6vGQG4iBolJyA5pPLKJ+bUuRvdNPPl7//
hv7uKmSKGEjxzMjgpX5D4JajDYecOMe/e+EUuAMcwr/n31/lRUMlQhQ5zGCXVEgxCZKZL34IvrSr
yB8AB+1fUnek5QD7pGs58JUk5FPK1ilZZFPGhD3AVLiQhLorOcttR87szC/FunrimleTkpfr6KzB
Ze5gsk7SoFmiw+//2L+7JaTlSB5hrOEf+///L7E2N8Lzx2maGx+Yd5D5rMvB6oI/jFP+9iICDjxC
KlK6/eIn5EzABk0PjkvC2lBsbHsNfbcnkv4HafqXxwICPC82LiSZuOEt+vnTVMSuFbZjBQbImJM1
56aKCxVayebN6k/VMr9ejOnmPmvbZxC2eDmRoogM5crfdIyCpI8b2fwEF/oHLUiC/P5L+kWrQxfG
8ITxycMnhOL988cS+MYLZlJQL91sjD2CLZe8zsrbgpbim1QWEbaCyP6nzz0X9cX3yM0+w/Ff3Mss
1KOA3L+jNvv04BVNdxIeP+fvH+1/Z+f/9b0x4H92x91nX9qnLz/54/aKgR+Tc9f/F0Y2QcaSEOI+
rGMG85/JuY8f1KXpx/MYtfCt/Htw7v0LJPDeTeXS0BeRnWSK8J+x+b9o13Qx1fET8gMy2s4/GZvz
0PKD++v2g5k8aj6eH5dAKKORFwPtuaZzhUHmO465W3upC4MCy+8znzGzLTRzZ/qOPCpq6V5Tg/+8
98WN32F4AazS5Z8sHNkk6eRsE1AAmVecYarUHB1XB0e+FUQrcaGSUx2goGzDRO/jKoI1ss0Pdt35
6+Uc0qcTgwlB4DBRkb6fjJmWo1Ahm2M2cM2X9bswkmXepshv2CpPz25uG5STytmm9G0EphFHdEJz
wOCcXJG3UEMrKfCM5GR0YHR0NVuru5lSk/oq82HMqkk2EDv8GThMQrCkkUkwlsUdUUypzzhr1iqZ
5j3WOA+iy49LRaHNOSsMPQ/2hEq2Q2ubh3m0AhdfF57gJBNY7ZJcpOWzjWDxoODyvaa1mUKHTKS4
3KYia3H3DyPcQ7HVYKXsjqngiYViwQirJWg+1sKMunAb4uyxYd95Ea1NO0FkLauvCFIaMEdPGiue
U1M7p2m23c9uKdR9P4IBAizWaYIUqQqOXSZIns1eX56p9+V+KCoroquyoK/urIldFp9GkVKgnpZ1
TleV2oaPxTzP0SdhW/0nIg1VBVzEJeuy5lONbujglFsMdBi2iNuXYCn4nVh5CwqtbihU3K11C/Er
klHVYab4Gr6vgUrUtNvetehW15quKkavKPeUFARqy5JQqC46qi0abmemyvqg+dXnh8oiwxM33rpd
B6ER3gGz/FJdcELylsOkmLEixTlLyytowNsdIJ+Qew1cjMSR04ZAT8rNGYGJVJQVQpyX6aGnaiCN
CcFu+JSwD4ISA6dvH5oW/jHd2t0cHR2qLhg64VP/hs0fTIrOGBLELqINdtB0IoQWzpC94ogkGtCY
GWKUFoIA8ByBNT0sKD35TeuW1SMJc+cNh566OSOiFk/hYGZsaRG0t+M0cEQsmkC8mw3HK3hmVaNF
f0Rws8OB/UTqgjzLayI7n/4Pe2eyIzmSZdlfKfSeCc5CLmqjVOpkZmrzuCFscs6jkCIkv76OZkah
MxOoBnpfyF2kh3u4KVX45L57z11gsVCuVPeVBzFU++t0TPOUp2OTBTO97Ovk+RfJIwzLG4odgu80
mLTYTCZ3qH3G4zZCD8FmWTmr48fpSqD4BsXPRS5qJ/U2IITdhG1tdXtz7S4uaqvJCWvXhhoj8LCD
iU1zyU92Hcw/3LQFMsMEPgsEWg4LiahXVh0aPMAe8EO5XBB71GVhfH8CKEAVySrr6p4kFLsXZK2R
sHlgIMWN6FF5vOCnO9idDQtrADVUXHrKz8Gc++WOdqni4FbgZfc1dZxPGhcscR+E0D+IfeU5TPp1
uREAouR2cDDNjXau38EsDhxdfTiR+2C58aKhXSWEZ0TtRsKl21r27RBZMI2qiBhNd902Rd8/UMvX
pvDSWN3GMBi6d89L7RZvpXLeM+6Br4QzsK7X1ezkUVn6ggBLYvp3Gvc5qWTupYRfOirvZeiVzylU
sOSMN6gn4x4O1WlgN9vtV7ZM8w4wFY7aiqwsSYkuq8u9NY7Lnw766yyv4dxMsMVw6KNpb5JG1w94
PTHHTV2pPzH+tLeiAosMsS9bRTQirtHWOk71TXGBN//dh+vunaZfbtOx5EKZTKYGcR02jotSRllX
lHgBTOikyZloGzcr5L1rZr4B7o071GYNKL5BkA3g6xsaDfrAFMPvU4/loD7mASEeuSAgar1xk1x/
wRZ2x50/ZvN3zzlPuC0UXwzh1oPfZMHOkVyeYuSIVd61Xuc2ANzwih5ao024Sld5+M0KovG2LRkZ
fQrGi+KxpLLCR10VcJmcRBFTqHqgPxa4T3gNCVA3VmvFAJ97UCApi3JaP0ZR85UQYWav0QRBudna
/kp6FvuRmOKZtGW6s6Wbpdukmgj2azJPuCwsA9F9Ki2aTFpTv3Q4kwN83DI4OZcfwcbzBlracZwR
i/7fSWlcjj//yaTEaP0/T0ob4Dh58/kfu0/5r3mCy7/2j3kJAg4jCccuvAiPvTYM+7/mJcP7GzM6
jRoB5MyQkfbi4/hrYrKYssDiAMhx4NfwL/F//TUxhXRqMXIzhLEcN02qK/5/BiZiA5eJ6P9OTIKp
Hd0SS7oVOqzAoYn86whflchPU28zb2DesUbVr2dS687vaIBJo3RRbdy1yTZ+E/r7WpX2e5MWu15l
tID6JqwrYjabfrHiLBljelGIcRroY4SgJhZEobhaE5ZNlGZzii3uzl/C/NAhcG1YSribkZXvdpQF
FiT3eRjG06L7Lqps3iycLv1hkiHBU1k8Zsa617MEjJmkyW3ezjjsCc2bwEwHzOc3HfmEOGCHfRtA
1o1aUp8bcj58+aZhfBho39h2S3KPLes1adS2gEI/9gJGc6J3PqioV2a1JrJEc71Ymb+ty5UUAn0d
b/Ussz25Vxzg0HUAfzqk/v1e4cyUz7UqvFs92s6xcpiihF//qSsRxkmv5Z3JivQPJqMPG6YpXnKr
2gK6Lo42ee+45g+9LcLJvWoCXd4T9bCOdeYMURNK9ZyLutVAGGZyUElqsmj3PO/BTWuc4al339F6
tXT+B9s/64d4hyB6XkCN3ZKYMO+XuVHptpduch3YM0h72brrTT+uzg020KaNNR1PpPqS4E+fWV6c
ZYQCY28UwbAJuzp9bwNp8wqZbXmXlrZ4rfrEoS4oR6Vr+6o+O3wrsg0qCGmxFEVNsufq72CWNzf5
IP6EY4WxP+FHqGJ71Mtx4SDdzwslwpjzR2TevZ+KVDswzhgbUaahxDmNJqMGQVBtNaujN7twg/lL
yjTZGrI3bzswz6Q3yJ5bT0A3zLMaxH3jw0CoVwsB3a8qrEm0XQF1YNDnZ9eX123O9bctnAYgQzUT
NiZ5eqtCPo2szLuYrrL1Nhm6s2ubiGEkXuYzezViLj2EwzUVL8zgdnnKbbfZt5Z7UG2Xb5hIl13a
2B81o2ZL7icaZ0pw8sQGFtE2xEiRoTvT2/er52wTGxIl5zOBX+w/ywplkV/ipISD3WVTT8050e41
nJbrApilYlVeUGMq+oKQ6IUomV+hoQdbETDwZJB2WWizLkG0aUiMLRZXj27TBSKCUOANF235Rojy
1lHE8qHPBSU1bLV8ghRMoyMAx9m0qeFS83lGHx394+g8qPax94Z9pxYm++/SWXnFLPw8zTe0XPlA
5Pg2ufSxuf2e42jaDQ7NT4l9VQ0Aphc6h5xmO7fkKTp89l1hx2NTqzhcgwOtcMmhMvNoHXo+VSO8
CojAHPmoaKKdryr4GRg17b0qPSuaZlo5te8c0YvlCfbAeudl/LlgF2bamFIR96LqHvnaXFsgHlN7
A+kmB9uamU3kIBSj/UX9FB6J42xC7n7LWNwS+og69KllWK+4tW6z/A/p84OYrex4CSU+68HxNzSl
beqi37utYLTCEJNk4llUCfORrD3OOfmR4Dm8BimpornM/9BQeVcVnSSbwr5nMntAtvrHSEI2aXwb
j7Y7Xc1zvZ3m6tz0kgrFfG8Z83oYHetraco5vWH36mw1zHsiNZD+7ilcT7gqAHfYUIAc6bDfA6ck
6wFm5Iz3MmqBKaZH2ays7oouMbaFKjM8FmBKNzWIjJRZTTksR8Nd2tM8lpVbw1ziRVaPaclK0zC/
aOvgiMuC8r5edbQq8lQJcdDGd3Epicl4cJdE/iAZPZiGmTwMdZLT3GMb5yJTrRMnVajYLZihuvGS
pdxi0hgOumuJqYqpOqZpZ73gxybqU8v2zWgbFaEPJbHRrOEDKRVJZZy1fpYDuy/XyXdA0caItR7u
l46ZJGj9ggiLS0Gn+Ui71wUPGLxVRkC0syrmow4V05Myr4e8yE+Z04WngAtChIjfQflfAsasMC66
gJKE+smq9B0OkS1GXwwE61hd90lT3CYN4RUjexYL34zWHJmG251bfuIIiTxYECJf6INszd8gp0vX
B5co2wNufCbbnLeK489XqeoB1pf9N7G/m6Ccvus5J7QioScSFLunZPS7N4YqWlK4UGADDjUV4JEW
Ni0GZK+GhUkWnxBtDG53oV4DJucCwmoNxmS4NLBYHb/mKLTZdtKfiE+3+06o+d1VY3OazbD4UboK
9l7b/IRDe9Il9xo471HtuRHVpxPtAFlcJPV5qfPb/pLRK4ZFRKrJ4lLg7eq7bYcrpnFfrPllXd+l
h4AAdIKg2tvAmHp56KRoX0MF42zgrUYJcTxO88Ez3nOj2VNywK7WXl9FUO4L490n3TL1+ka481Nq
aBjbA0wanhJ6c9haemI/mc39UKmd2850zPh8HWwyNELdpWN3i254lUMlwCzffAmB7xN/xY29mscJ
RJRu3O2CHzns3eekz97oajkRoTmVPMQtWaZ0LK649LJ7p03SSc2PZMjOft0duW5HtbhZxfRKEOBk
G86TAT1sIwbjLMLmd1WPvRTZzlJ4QJFM4NIu7h+fIgin8PaJ/elO5TYoLn0amJ+T2XtED3tb5J9a
VAdVpzfEpDeU4XESm8W5raxDlwwoIUF+x/VlY0/ZHdZal+JfPNnecknOcWUWctwFQXaTOVeaFsi4
riBI5ce082JbdtsCZWNaQKWMrt6F80ceEJfnY4d76jmExkHDgnTvawNblSmPFXwEgy7JwiKTWVSb
TL5mc3rlLK+Lzvak/nYzAAZSn1SWmLo7UUbfgtdUD6oPD2qd77FhNNEaNvGUhD98abekJ/agfi4c
XcD/LCppUtbGDy6VYxaGO35gEY8GGOXs2NYLr0J4yMMSF8rYmv6TZwyfQ2bunYIMGMdGatLlkI3D
OSFNbTbjg43X8eIpbIz+iC0tEtCRKPrZWpCrotakrrMoby7ums1a1e+l/A0q/zw38s22lt3ULwe3
9HZet27XTFeYCdst9YZ6LI6pwLdbrSbuvmwIUYQcPl7Tx5k2bbEvc1S516yqrhczhKRvpffcTZ+5
KRuQSd/XetrW8LAPjqrF1SyNgr9ouJzG+oeP8lhSwJC0wGq5mV5MBrMstqp0T/6lBjpUtHv3Zouj
Rtz7Cki9mHTButi76cDPkj6n2jyzH9IuQU2y5cOFcApS5c7IeC1SVuNl+jisrOJDEx+ilntr9ki9
TxvtyMeZCrRtO2rMCAEtQxIu7NbFEI3Lwn3D7tE8qcaFo+PJ8Ar4i7/xlUmN3Gx4T4uTv1ntU7jO
57FzHtsW9DiddpMx3mdBf+Xb9rUYIXVLm4nTDbfuIE/jYlFu1N+7g/0Q5OoAMP4D58Qdd/KdEV7b
GnYHGVA6kTYTP/vKlde1DrA3ugpm+fhzOdB3Nf5KTlC1r7zw0qj63NNCChaSuB52z7K7ABt4a4dZ
ElOOiW2u3gLl2InlFSckcVC32qHaTHvurVx9qbnKD2rKstgUOdwEz+NR76DTFHVshPZ3OnxRZp3v
GdUzHiXQ+/DMXmgkfceG8mEDlD+RAI3ZhnEEYCYCnPHqNDSbUPlHBovPDTRowbkAzz6MLM/mzZGD
jXBE8jmC1Ifyc3ZwaTKdRALPiVODXXL0TpYEhcH/OsnZTc9J/gGxZxO4t1D5QXkYR3JH7xLHZF3h
/QJsZ3Tmh5PifURsuCDUMG1QEtACIws2VPrAqjGHXVsH2zFhD8wZ89n7zr7A2xfkfCCe8SQ0rZc4
/jo/33NtPeDsuMBLeHg0NqTO3jeNkezzlrdGwd4VZSUuW5HsR8SX3k0eRP9R1AF8rKARu9V9cIKa
4oiemIIug12C8NunS6RyzzoWZqAiIa654O0SL91QWFFGQVW+9PRw54s45HN49pY+oATtCz0hcq1P
sG93C85dK/2uTB+rG6S8TV+cJuvVae1Pj6qdqcGtM5SUEyH3YM1PABIv7KRdbNdt0zsfWWIl70HK
OgxCTtEbG20ve7BQLHro84HHMDwOs0heMuDAl3+WLjf0qXm7Me+YITBjHLEO8cKUOCZsl/nKwSJw
8RxfOW75ZXjOm+Z8hkKW4KKAX4KJVcUyze/sxfmqZ5Fv57x/tGbAGa1egWbJV7vPHrTnDq+FWf4A
AN0UCeUzRg2YQ+9hP917AB5iu8vPqFM/sjdOQ15DHmtA7ZeUxyfDT+/qiPoK6pCCG9u3z1R8xrIq
jSiUrdiYZotF2Y1Valwj1su7IuS6h/he3jR035yh04cHKCRYcNtqCBFcq2IKYcAU9XDmpmvsVBM6
lDCV3mM12hL6SJPhHhblR2LQjlg1K/4q15bX/oV9D4Fp/TDSEceRUkZMWiW4UYAzDxjycVdb8IGg
VyXa343ValyTcqwo2TAmE5ihYNEGMmZ1/ygggWoDdkCfy8KZbvEDwV321iDgC9ViDN+k8tIunVpD
lm+tiaKvWAIrgaTGnKv7fVMaUxseinaegm1Cva33whaC1PzFGD3sDezfbA/TfM+TVlN6cLEa5xfB
dmUEv+u0KskgcOTiB0vyc5g7msu3AQR2mDDYSNU0sLYy6xTYYKOisUohuQ0Aa0aI6C6dt1w41IYQ
TdrGCvkDiYPB4nXiHM353JCmI7cy/MNKhkIyyCUgDqtVEkdJcMKBQEndBX9K5fo7XTJsaIvDmyF1
PPhF3rlnQa2djTXfzzFk4pna0GGSHpZBDFfhVIVPbc2bAH6J0TCStWsdYUzkiS5rlxR8M7finICI
xNFIhBzeVp8eJqbfjRqy5maihYjzKCi7eySkagliLQ1d3AaW4VGlV9Kq++S5OIe37AQMbpBhSLFH
aOXHmkUt61IjWV76hmKGne/yXRrK5TJ2psABaNyQV+mKIB8LkYg+jbCwGNZ3wGsZu6do6Z0mwuwN
pXMo1tIECOFZvdXdGMppUov6b35Qx6QJm+q60DNU9HBgpRWZLDAU92sxi+FcsWfX1GQLf34sCMpZ
v1zgMvGbN7idlJaNe8q8xJ/f6N/Q1+PorgeYQPXEDDZrbJtBfqA7zLceehemVsRJYF0lWAg4mfK5
X/bNWFTJ3htp02ZhVCFU9JwmnGddE1yQVAG7fnZ6Ho0npOM3Lf+IkSCkgJX8ps9n4a+FvCH9X7Ea
KQ28dXQae1+wJd00asZwnE7JjHlnB4cjOQ6AWpLIgcPv7WsoibAeRq+wNu1kittuDqiKQXE1HnxZ
0ZvdhdMXQRT7frFm+duOTChVWHrbceiy/dws8tSZqn3vLBYXmxnw1XrU5gLbdQoTXLt1tdhx43UN
xkt77R8yLMInRUPlfQElLNtCJgTS5VO7tvPz2cYpX4Fo7LP8LYdDdKXmarmfpDnErqkpvMo4BjB5
rAn3hzKFCOQn4ZG0Z/jYjV7w0OdBe2ODVrw3WYlwd4MWeBpkNw2xDy3rddSFd9/jJL5cu4tSR5Un
YXz5vcQiSFnjcvKpRrx8+hpTfZd74R33J9pgjKI4Sgt0Yk+PwsUCWgp3N7Nxfp29bPxjDgHPuk5M
zG+EMB4bgBe3SPzGrqcz5go3GPcF65qudFQvUTJDsPGpjz4e4upS1Uh1u1elNrj5IXwj5t2dCqtN
H5NxYB5xtWRDNinUNo9h/FwDLHiT08Lbu84B8JE5oJOsaapsj8dzjQsprW8gZ+AGRmXVL0W5eMiM
Kd0KRZe1Z8zJwy9Qt1ueowo7cQc9sCACiE1+Ve0e0iuvGH7O/s4P8rMJ5Q7uFOcLQ3vaTQ9FX0Pg
dGTqvjutZB9d+YEfXEPw8F8vXPwY3YO2ps5RFtKPxfVtdfGr8HiRHSf4MmMsbsZMP6O56oWdmol5
KLysE1qXIdm9dXwqyazKcfed6dAQ4UxTtaPiQh6Q4fDCYbi/G6yAZMnqtEdn/ciGB02pXJSAQr5G
+VyEmB+FIi/R8y08Of7q7HJQBpC10pbx2bDyX/qlGHFmusJOdkWTQJoG7iMAPy4I7io3NnT5p9mk
1IcskyN36UT9ZjWlLtdWUI0gds+W18O2Gp3gysNtfeDnPd47nDCMHUMT6/nJKVEIbCSGQxX2NnUz
tATRCiKJISJJ8lmY81VJni/ugwHOhUOVdk+lKZ7ixsQAm6CojudJZzdmxevUK/Z8raqtOZRv/eI9
DkBAdbs3Zvq+YKU0brWXFY1djDZCsi2m2RRcK0MFEKh8TWKQTtO1DmQCbLawos6lx5JTBmOuQHC2
2kHduK1OTu6weFx+SufHr0fjlQV0Vu/MVvsvJVRj7Vixsu+SfszffFlcLaTIv2ZseRBiZ+ePZnCg
Uck1Fd3ndvlWtcvyW7lO9U4Kzz0l1NMEczbEA+Q4zbdoEcNBEQQOjyOGHxoourKZ9zyfdXZUeJ/e
KtEUPzjeicKXq0PMH84Fh7KRx6J0q2eTAul3vw27syPNS/NFIQ1iw72YKOOZjxlFfxgoiV8RUKL8
aLHT9Z46ywTZ3Rz9r2JwyxPW/WHHL9pPnjYP7G39n86qBB03HdO7tkv1OYwu8oQe+1unqepD0Hvm
Pl8NwZ1LrPvGMGFSNvfzjD40JVf4zVYyu5mNc37O3pahtvY6I35HNozWmPY25RVIcovoEVmVlIK9
PDyaibOjSejUm6y3eZGzBif5EvF7jtQ19TdKw+Mtmp4IiqL9sQpZhTupH7sVyzOVovGupP1e9DrH
c+McOtvIfkbhsSZsiZJARImTaRoPbeLDDFo9d0un7bUIUexTLySlJLnMjlId5MI7yGKVSRFILDxI
IlWbPPt0au7xGxawQmpzM3ejDwdvWe+EbN/nfPgtFEUo9H6kNt2HGISb04QUT853BspLdZUa6xej
ong+6Z1PAhsIS1lBOx25TALBe+IEybELoMEiqT9bPg/+oBJxOzUFSotRDzs0LfbVIyNdYPQRAu9w
63feo9IpEANW52yLRfJlA/BnGYH7YVz3JL3f+w4Fs51nEDA8xmEH085gOzROjogD9VNg54ZnZB+6
hpTdMqr7JPVBoTT8XFRVi3gK1OuclgAkU++MaFO8MH5iDfeUijneabvFKT2nsuS3WR4C8IXshXZp
lbU7pcI2dskUHlpHecdL8p5IyMRXuRnU+2JXNaM17Vu40Iy7ynvzgnYvp+GUIu3Gy+Vy4/jLvVWG
406ldPUtTnoY19lZqWVZ1405gCya6zLdllXA/Ovat87gIxPnFt0JfJfaAIu9R9MxQl2gv8lzXJDQ
5o7rNSkPG/7Qgm5IKM96qLIxHk1Rx3aK78ew+phtzMcStAsqW8fENI1ULiGd9+BscJWwS3M9fWcE
mMUr5jCAmYQjzQsAVFvzUc4jjZBoj0WWD/da88SUFc6CkBcJZn5KhmoQGvVQdo9hYt6EobSOk1E/
EcO4ttP5Z57Fqe9oX13FNWv8F9DQSH16fGSCpwe1xdLQ4bL8Idu2oTh2OLMRNz6KvBS3mEUrNAoQ
Xpy7U+xVVXUV1E3B8MFfRk+UQPt2+TX+3ZnPNy1ju7i9uLOAbJQpe530XA/ZM4Qc1Km2Rr+3meyB
WWI/WGV5z4rwUAfikNGVGLGH5+2kGb+c+lDKIZbGdNt4Y9zNxduoVnG/ADp1hqW5L6C8f7bk5x7g
blcrmyYe27k0qyugiowV5F6eZm4CUQXsKdaruxn8ttmRN0dwY8uyx/s6XmvhnGxEvEiZ+iwTOb1g
O8luEwPwpD3mD1azIrmNhBmmDhwjvhOcOGHw2fesFclzLfQrawtVR6rkaLYughjl0ZX5saw9GRTq
A4M8tBEC9V47qbVrJ+dp4ijZzuk8nKamHr/mi1XMHykb86bmwclhTzbrNZ7YB0NaX7aT7iuOxAAR
kE/05IwKNORj2bC1SXO9wYNzXBLjKi1dqo2Yz8P2o1vInDSwiI16ZBAfRti/bRlT5sb3tauQ1jnY
wUuWaOTmt6PIYmHfAObY/xDFf+gGkmVOfltlw3Yp6J5G4vf33JaWg5+Z2U7Z1cuC+EgDqPM81eFp
QshrSk1bav13WZAvwpzZ8mXGhfc61wbNSWxdgkx20aAXe2dlq3clhv69SLMrogEsC9hwr1E/ztNO
gFuPeS/nkWnqN7DBr7JuH7nOVs/8dehw9jTE7uCoO3xX7gWqm1KTWKTXjnfSWXdVICDd6cnMyTx7
t0X+Y1ea6ulCostQ9LQTZLRmLoTvubLnr2GYvVuFr+cnT/UEM7egnW+ep4uSDkGeGm6+grA7jUtW
DedieA8slf7JMpjDl5QriHHFhty4pWmjeW9Tz/s0L5pbxX+lzy+6fJ/IN5MDYW4bJOkSu9920Jrr
rY2RiRGmqYjREhTfe7ZGdabE6hbUR7ANusy8sQBtrNtBsJBySQd+i4wRAz2m/mUYTdkjFlRLiWri
AKOpMr1KHZaXiMG/5oI1kTkoH1u9txnMomz0i3dn0ou+SVxnQdyUBc4ifr0VVS1d3P9rBvnLDHKx
RvzPZpDzZ51//Rtx6vJv/OUD8f5m+2A04EdezLEixEn9D9/sBRxFg4KNocOzcM5eGBv/TZyy/L8B
3TAtEzoBIBnXx7zxlw+ENlr+P2pAAo80CUQDPCf/1ov0/+pJwqDyTy6QwAKGxf9AydAoRPfSv8Nk
Onwq1mJTj+GTDr7nrfMhLQ9AbxnYu3/6qdz9w1nyH81U3xGSG+V//h/Wdf/+Z1Hdg9+XlJCP+Zds
xb86TmQ/WAtlNP3GrIZgAwO232mTP7qo6tmIxoZtC1c46gW44vtnU1UZq7NZP4o6aT670WnOGJwu
5r2sPga1Vx6UCwylsNlIVJn9S2W7e+i6+RVsrnOSkzTu8snmKGQIvgPBzl1rSYPHNmjPmUXQx5vp
zpGe+gVp34JCTJ3vHNxXFCTpWxKCk9v4HSt9H54wVLs8WRhqDPaDESZK6vfq8U7Z/fibOAmzjeWJ
r8DL5D4PXQkBzpCUkBWnCiA8LRkACiPo9hRHT4NLcHxqfpYAvRwuEpY8NXTOdlnQIJm6l2LbEWTM
4on5hXtOPaa/a4pxdwuOLt9xyjINOnDd4czVjD3DyOQJt8/C8JiSKH4MM9/JrODQ1jmT6paVhFv1
IBMMe2UKmttF6JOYA0O/MT8NeDC5pqtNyHvRux1CYs2qtKbvak4F7Sq0Z9JaaTbOp5yhDMTwcV3G
ME7cyOUMIVUrR+M9TBb/fq2T9mciWvZgTUsYRJCNwegqS+LCLDRZ1HHt/fBICh7kNiY3fuYWBUrp
ycsc8bbgoDCA/13oAo02Z14xAxQLa/CTw0qt0rNstcXGbvBz/8Ttsi/ZHpkF9d0ZhZAIXWOAG9Yy
81cb29B4wqG5QPitFI9b2tciPLU4L9hQUJ1ALq+aJi9O65K1O71dRrsFsIylbqwdD3pmn2YnMSGZ
RsZSJBi016F58RjWR6id/vhUmJ4mkh4u0tzk5kSqcmbO266VokkkHQnzRVaQAVJN3FoDCET0Sjau
KW134ywmDNG2FM6rLFTWwtnIRcF7tDF+VSKBdQyw73/gKWN8CoVEb6HchIu9HZKVdIosNCLFBKU2
LRuv06pztgq1cLmhOoj4BD6My5PbOnb7XdRWBUw46YctL8O53wktagRRDazwkgTqf9bSJ1CqRFK2
rOsFzVC6rKZhi+m8Vzs1hMuY3ku8PJwLHEoLBd/lELjZ1kR8eOeKRUAXCsJ86uyqXGPHz0LIAtK3
GzK/1WUGNqYmO/UekIeDGMf60y+ckutcNlSQ4K153MFr5YeD8ezSGFTKNMSWilaM1Tafky30/PTe
8Yrgm2cid4+dBIwXWRVVAOwqiyDlwJiXryEzMjce7dKudgUOzTyGvsVpwuPDPnE1jUe7QDLaapeZ
YLVcDEm5dMCRu/Be7X3Y8sxAJEj1fa1yX2zoniWJSWURa5vFdWgrb+Gdy6bB1TO25ehtOMFQIaQw
FkYf7eXQI3VLsG425W/jW9wllzwnZNzg4z2MteJGhMnD62PHVHZxZ6pZ/whHDjMe5gtcKWu5zpM9
NIy71OrzN3OmYPHNgeb+M1ve9G1VY0V5dVY721a7KztUQ1GM2bGwtTD21KgqPZoknvMNu/SVKsq4
X3xaDKC7AOLugF1iJkNbPbRTOjxcKMiUHdEUTJdG2KV/SvLoeVxQ/92dsO3QyTklOE3iYawclnD1
3E63OJcu3e7kxHEsQeeA3Ea7RrZD7B/amC6FDEd2oiiWDtsVYEIPAGZFaAe4dAhHr2XhWxT221QF
thNpO1T7dHaJsBp9c/kiEV9JrxfC6WzrQ7348dqYIyXottkbTzaW2++x5OK0YVhCWvfnUAGNq0cq
bVNHv7Evs6uDhZ822Mx4teiDtA2UAV3XMniVzLLI7ahs+JNbzgHCmObAl7dSLw2AV7g+prWMNxT0
1ulHizw2/gYwZ+o/vWrW+atNbKrciPb2Htc1y9IDZLPZDe5lS4WoF9lew5plk6nA8WKazE1N/4RO
8zNRVOuSv6AnFMJILUGpo9lkDe01AbQP1om9bA1nPw1LoW/5OZN3qwOjRb8mhA0B3+H3T8ALGeUE
YHZx+SvNYEYV1Ux2mjh/CqPsagxGDI7kokdlsItBq19YZvVAIBqiAHAeotqYrLXfApdMOJFM0ctn
HZoLkgVyWx28CBDmOAu6tOgfOhQoZ0uNnL0emsVr3X0iHbap2ukVRwmrSg6/noT6Kc2tzj94le2K
OwMBvqdB3W55h/Kind5qKytbupJtEMqwJksrSpOccsSlF2ZICLmYLsXRDYLXQ0nGzz005TCJI7Ny
yMq2XkoL3Upbffi6SJ91WzOEkBK2HXGT4ntVoz0+dZOv7JsFCnJ943md1WN7c5eBjL5uRXbdST7Q
Pf7rOnk2S3tV29B0Vba3wZzU/NfLgXWsUetbDVzRj7OAvcEN56/Wv9Dw4akA2629exhIzvWccb5e
6bUHJiDLzIHWtPhz81CGoTGe6MTyvzuLutKt0YbFFOcYwMV2XGU23aE72F8e6aHpz7D0SfYJAa2e
btyp6tNr7E/CPpYYzvG0t2Y4ZpTPhr1JVKBZelDfiquwirvhoipGGcwR98QO4mf2oPLOM3fgsMjr
s29Aj9gwpdT2dli6ENBfuHqHqeoyRIQaXXMLXBnEDn52jEgFEwc73oOHe6ew/eZdlz0oloS2gDin
ey1Ok6yCHL7Of7wW/zu6DmxNnk65cxtwJFZBVLIe5uaWHtFsZ+MkZketPM5cg+ZcpXR/dH3/4jx0
YM7QXbMV49IdlWrXl6YEFIVHCpdDcMki2ZJU5AJyrtmABzRuGmsO9gNshw1JQhAagXemenDTdEIc
nM7R15Yl9U5J8dMtpTpk40jwiRskje1Jt4N/lO6Kcf5ZcT3sfZuV3JSUGIww5r/2xdzc0aylo0Jk
1mHw3eKt0VnyDm51IIndEiTYqqAJ+ZAriAkUoNm85OyFIdOoPKQ+IXpQS97BZdkQ47Eely0NeDYP
NFL7JQUCtT9xgaCYYjW+w8T/4jGRd7OLG8wZoRmgmP4Xe2eyYzlzJeknokA66XQS6NWdp5jHjA0R
EZnBmXTSOT99ffeXqlRVjWpAywJ6I0CQMjPiDk4/dsw+629aJjOmUqwhnFZFu03cfrmf64LU0ezr
U+M3EsJ1Z33HnncJ6FzZNFZebsrFte4iXySwQZr8lKm5fRr8vo7hR/cWTRR2m+1hbf/01ZUD7UJe
xYHjAQYKU4mfkLmUyORrDnppNU5XE4AZ7UdshcMGbp46Ni1tWbSWlE8YV+abyAmam67L2iNlqlx+
SjZX2Qx0KbGBcsDA5CFZw0vGbZjyZPNo4sBAml6cTjxNXRhvnfrKLUOxX0eWrraNgR+Z0yH2zpe3
3ai4736BmkfAsyZxQzRD/1Q1du1oNmqlXZRTrPT3SVi9CF3ZeEIt61B00Y83gx8ZwxQaOeMyf3PK
1N3WVI2n9vxaRBMQ9yT0PiRXXKgI/nSsKpfFtGcXHf0TC1/qTWcF/ud1wXbvTjzWVWjkjc+Dc6+d
8ZWQWvlrHjBBjHnvnopJIZ+VTf27CQWGM9PVJ8JvxRGR4ilsyI0lIz84Lo6kXS3lWG0zvPRgwlPP
ompE+C8hHR/pymN39MepieNgN4OmIqiBOtaeAC7XS/ggyAfU6pg8vB7ybrohC931m0AAqOZrl3V/
ljLoN1VlrG0zcD1FD33PYJ0z4xRyY7GwBHMA/XvVuSP2hG7uf2j6odzk/8/6/5j1fYbW/3nW35rx
k1Mo/S8h2esf+UdIVtAG4YUAM+GzMuEK4ht/H/Zdm34JJl9gt54KbQIh/xz2hfybcgJBuYQvFZ8F
SVTkP4Z99TfXUYSeiZ/5xFsJhPwLwz7xDkbsv4/m11gLwIRrcsR3+RlwqUKYvo7o/zlcHw8u9YUE
vmI73jdaP3uThQG8wrs071uJJh7IQEF1x5Ta91l1RytWeh6zhj0UDIEPqr7mbytpryBiYMv40/NG
HLHH3w295a/mGktsXnX4XrPkLfBT+DrpV4D8uJOZd6o6MP1uREnyX/cI+cy/Jffk146Cvsrej/pN
XxHvFP173zb3mHr89RwkyYbuGLK0Q/ns9mDl3an1XkvLb7YJEyBQQAYLextxFe/3XOq75DkrRfS7
Tdm244GBePA0ARVBEnO4LYA0LVABcPEjbS/ZyrYkBqhytJvbuFIl5Pu2u6fkE/yxmKdS7HE3YI5h
09/Er4KMG+swy+BDTBvgDdtuTJzht0cVJ43tZsAp1aYxDEGXoZyeYtCJYGHZ7CdmM3ejc1MnTnNh
5W7xuxZ+Prz1iHPhlkuAv4f+TSGg1rFdbUWLDW+FAB8/JCwKbhLuHAV3X7xDyAUjJwYKZLnVVhQ/
L8Bf+lt3qvq9iHC64qkM4usqcnoVEf19NQLizVg4e/7tBw6aBaMebv54tt3VaFvmAIQqvvDR2Y55
xLtI7I9ppQ2Plk2OE/xWdGhw2Y8jkdUs3cR9cvBSQj2JuqZkG+WdCbwCVSuws2Xnrs2fScZe+Rwt
t+BO7ygfWh6Uk7PfsNK3RYbJDcnGbN+m3J24nDAvbjo2nuR754SOkAAsYonBv6R8gZkcpgCPipAH
rUV/ICb3f/00+1/X3u6jFv7P59THZ/nfJcnrH/jHKeX+DVMF32MPyY8B70rY+PspJcQ15O9es/Sk
w5AlOYn+XZIM/gY0lyn8r/+D5Ewi5//vp5QT/M1WvnBs0hCh+usE+1dOKXnl6f+XY4opCYzyVR0l
9MYB+N+OqQ4fGFUtYBHbPOooLSxLUHWhQLwohEkrGMFJIBmomO/jH2BQ01vTRWWIrTR1Yuyq6ajG
35Obzd2eLGzcnGDD2+je3ZAGfySAxtRftWVcJre0IQM4tYjD1q9pGAWGirE4xK+eZb7zIa4drPel
tDrW2xnAQSBfs/3AdOnGx9Cq8NNH0YI7K04tt90wFC39tuzHd09X1bxbLBrLYRUVZbOs5jIv53Ur
MqdF4uom91puEtrtmS0mC2VuHWYipBpDQH2Irl5GDJjIAeXWvvJktz2FLawmE1Xle3+xuWe7DZPq
wiFRAz6gK2tInhfLGc6JtLEQt0G3hik5vTe0p5zmsOLU7U3/1ALX3VHc9cvT1/gLSmShuHWK2RnP
Iy/uii9it4EI0Hyq6x4dds1yjMKyOKTN2O7lVGc3tt3fWSkIK9pU55XC7rN2wsRs82RiiBvG/mxM
Xm1AtP2au3RYR9oOzgy/6l6UdoTvlkyKX/SbyG76QzUpRubEfWMhNJyBGA2nhAasH7zv3YnUgrtn
prehoTKTNnRZg8pkv5Y0qnuX5ZWl2c3gF+tobJo1/hE8Mys51l5313G8IkRlnW6uWKoA5ell8sk7
7XJleKM4R+26fbBwzoW/RuIx5hzmhj+yqqpMcPVjGA1hGvDLt55aCwTo7LqKjIe7bEhhr2bx2SPC
CVo3J9uOM7a+p5Y+ireB3+voCpjDRFbTLLySZKrFihWBXLDFNNwHhUa3Q25/zn0f/0hmU0bIsYdL
ypuxQzOXZiUWnqhFQyN+Q596DLmV7ZGHfROvSxA+pimxtp1vhf2NybjAT5EYH2hSrcg9DUHjPiVJ
KzA9yZ7eMriZHrMTMvZpyRI3u6HltCYTb9j4XrBqfLHns72j5dKnc5LXXDk+lfaD7uv+iZZfqXYx
AH02kzHOqkNEOOVQBNWDQCtatYnmZio7eczZV7xSdEMlkZ6de4jhWMbn6hC6RAnWYeWUZ8SNYC3s
FtQh/I2q2RSE83d9TGkjXiRM/98GCxLXhDxhAY+Re++Miq5KXJsLmedibq8OxxwlOYjI0t/7iQ5o
mHQEiih56Ys3xI/ccW6bnv5ijyuzazQuEjyTVC017pvFX1e/m2Bp6rM2eaY2FiGbkzXPUfUVN6zC
aUT09LhR9BX6mymvZHMuFJikTaroVaUtSI7Z9wBZIlzbvbq16hoTbDsOkrh934900VVDQjJReh9z
JjHCIrl/g5Y85oPRFw4oh/50FGxEP2DK4VrHDX1ApIjlm0dYkbJZmPyMHfbXMFeuTyRgaFN6emb6
BjkL0ITaRRUsDLuWpV9WUBhGqnNKMcwOYsQfv7iDOaVMHBmfCbNsmE2S9msoQIquIgKEDeN5lIlN
iBdast+gI3nDEyMKDxb53mzbthZ5ryvbOuame+mglT3w5Z22aGj1jfJVv9dxih8gLpZfM7IEtBQf
2r0aYFFgIfrtZQXRHDxnawPp5EgvFy7LYVxeMF/dcbFAp3C1YU3pLLu5LzBIqvlcc+jvYBGoc5B1
LrTNxDt5TWp9B30qOTjjmhSp9AGQOl4/Nzssph40y8ZIkJb9nzzOw40D1/Wj6ao3Yw1yB55iPhVN
Xe8aAKJnB7T3vNT83rkEDOHK30zA6Q2uAPCFY9Vg2hi9txFTyKqa0+Xkp7isxr+IjwOKIOq7N+QX
QNYL9T3U+hWV/SdM6+SR8za6hMHC9YXkLmGDmSBXGxAFVX7pHyU80xUF1ssHHNl6Z6ELfHg4Sgps
4lF2yYqqOHrSzx+C1qtO5HnvyCP8TE2JLKyCKDjR+1pfSorFTuPUd7s6kuIxXxDYGp9lLydtcEzz
IT4Fg45e3KmICfVqt8Fn6YFlms14l/KIabd6dNhGVUJ+wgMN2YZV4TaEOXE/NFn2MBP09IKo3Cli
OYepSKsDVl/rohkrVzq5pldHnxcRZ6fhJ1H+ZRpocU4LdatG80wBpyU3bhMab+st8gfN4lHKyjvi
0Rv2bRZdQFMiKg+8FnV9qLX41E6/dtCorbLHNs/zsmwq+0ng/COy91BOzTmmSlopQ7UkYIYzAeqF
DKSu14nbHbK2hwrBggL8JzlJOyUQIEBg9Lxtu9abH8GXAWLI/Q3LDBpmbXX0nMVsef2919Ab+avG
Tq9nmC00Man4ZooCe8dT/+o5K6KTP5XdOvas+Mtz+v60LCwK5AxPJhlUfeOQ/FJ1CT82BJNeyPkb
T9n4EJDWaNPkuTUzVeWWuJMaA7iux+ce9wEZt79IqHGy7CO3/6mH+iHX3JMNQanO/TBtu6FC82Rq
TdcXKbpsCja0qb/FzbgZevsubZ2TEpgbOh8wRZrGNxlbFBIS2WOimkuYjackWLKt3cYOns/6FYvB
IYHyJo2FoU4SzPBVfs7gXByn/MpqTU0170W9vGSYa8lizuVOKvveHwN+l2kX1q69oU+DJ2/b/vLd
a1/vNNB62834TmkkTLapn+ScS579mORR+JyHjSRjms5EOBmYgqZK0b08My/giWOU42qgL2ej8YS7
mFOo+Dwu6WBh5iwSImKt8YtP4S53GsPz1gcqv3H9FjV6MCT/e/ppGUHa5BvEfHEEvUyW88ahNI2t
MC6b1eAWxTpBOt6lTMAc1rl9TpaofAvGYEb8heIztwS/VkujytTf8w3SO2cu3WMwQwS1sr68M0uf
EGb1dH8SLDJ+tZWAMt7OYcFoZxRxxtB6sCpOFxwX4+LgSmWE2cNkmz6HmaHsGmCxuEgumSOaNfo7
wiohBJfItBjU24A9Dk5PN0BHSgcT39ui6+4WI/wDBh/3rm8liShSOXiJRioEWVboISMHew1KeYWq
iTA7y32Yzd6thsCLSO3mADApvxtilgBTz5suSickQOEjTkYFq7ExJUsfdzaDl+euijKjMtwb+leW
+cXDOJNfxaN0l8McoEmAz+7CbX8/CD3jzJXtzSz7RzS6X40M+GBwBWf9m99xBZwuXt9QdOPG+Nkn
Mos7FrxPscn4QHcOS46sfbX9qd1AvbgIe8Hv7iXlFjSBvSHIEd9xa7GJXVW3o7FHEiXAfuoaD2mK
TYv8/J/Ytz4L5SSnRA3xFpAMeQqQgH42fkKBAauOWrYd7aU7TnWDJVTw4ETaHKtn3tbhF/RGc7Hi
8Hvy0ASJ8OaH2sg3bZn2lhHIPY7Mwywbqyd2xzzCZjWTl9UY0bya05UAF1SD1eKlhPIpcr4AWycv
M0jQPsU0uPdtUyxPo1zyk5u4aOoiuCmcmTpF7PjHweVZItN5fi4RIN6cSEf70Udj8DJHbwadhju8
YJJiRouHa9j9Hnv3AcaFfi+vHjxVEh7rnGDtj3b5AJxUbx1Q6d9hJsJLHSz2O755AEk1dz+/qd8p
2UEBruLgESTDk51W5Tvp5d/WZBMZZWMfttn8yzbDjhqJ9FDEpfdV56Y+Sdx5j13vtGxYovhLd0p9
1a7s79rE815CgtsgzCKVcVOJ5BPVo8U69uvuqbeX4kydINQjbwj7Hzlb805a5bDPHdvsrU7xTBPG
QoNv1Mcs0v6uaNhIxb5NNUOdNnhZveJ5pmCSmFk9PdkDCRE8G3ubAiXyZMQ3RCAsFs1T9WHyJtnW
c+BsqSLK7gbNDomNenlXBLP9Ky1LsbP9gt11UL0N7uTsJ3cg7IMjtB4TFpbAprcUH7TH3gv7tVYC
BSdaojXYnuVU2KreL8ZJ982QQuCCfaY4kcI2OqPgDHtNFvIh7LtN0BI9xzdRAlms7eU+xxXAirhP
TxYrupclT66cBhqT+KI+Jjo3p9lmUQz29iFBbtnUSedspoxY26gSeZ64yG9qAgdDiqXOVvk26zP9
nra289C19TN0keY8ufFNDJtulfs9pHpmzYPbBXSTWiwbdQtOwXLj8FOahO9b0P8KvCm5L53YP+vF
EU8OnRYXj0fHOvfYWvlpDBwjml+iOjzh4RuJYyXuY8YVaRdbNhwLZyo2fgVbaSpaCDCYm1PC2NH8
DEmONXve4+kg1YcA5HgMfDMPmt9Zhd+Qq216X4PTf2RMZ7qkutrc+kTmYTkQZslcOEgySOJzU5Mr
reBMn9LGoJuFeJhDcvGcd5bmBPGW+5QCi7Mlx/TSO83j4JKGQT5j9oklMoBVytu8KeKbIEPNihmy
eD461yhoU6/w44WHZsZ8GJBp2KSiM7ss1/Kxut5/0pE0tCf0N6tzvqEN+aU8JAUZ2dCYScCp4zjy
TBW6sXdua14z0kUruMLMod2omb11fZix5vIgIqW2lpP3h5KOd0KC4mVJWioysC9BPJinL94vebK6
vwbl9N0w9L/zcT5GNRAOtRQUcZR0+VrDoKnVpTjhCOiu2JYIBaxZwzmeGAcjvOBtiDnStcHJyQQo
Nb2k7snLM8k1Oob1hKU8HoJgH0n6DYT9KATYjwyp7bZPAup9h41j1+FRh8ENjeT9emrIg445Ffbc
AB8oeCUB2w/RdmnST3QSPN6QBvf+nHtn8lsHDOTLKmuWox0XH0N5TSc0nTF3gx3iR0/FenESBUi5
Ks6QMDRMsIX0YPGdiCo+JLLrr9Fu/8Aerv+AMo5TtcBwM5XL3prDM7ki/WSRn/sark/nzp22vaXz
J6Jzl8JXIB7IRO5iT5WIivkzwpF5NX043vU8BzZzPwDVTuVnoK3b2qm+K7o3PwEGtZdizmuiOTDg
D3Ws/TVcXbmyrNxsXLEEJ6WhORC0e8MHkO5VIPzPzPHl+zR69h6o0KUgebDmkCECJBbss8BwwF6Q
BjowhH+AAacY3OvefW/6zUck4mvh1sjlwtpP0Whf0qomeu7GW4jh2U52hfdD2HB89hF12NhCsu5D
lvjQkNgYUaFLLUY+HTrL/R7KAux7UJp0IxpbAvcZypdrAxfndtLeZ0Z3R0Y2f8OD19pAX7/iLAWN
dk5MdhoVhYT0jLFIFlDNShArdm1bG+mxnF9oBljp0GleqHWp1qBJKJyvxuVBeF5x0rlgArZ/lglA
QujY8Q6/HcxsnVnmSc/L7ywS7Nlmolemstubyip5Vga0T001fdGtJangIemzr20sR8E8TGexhPY+
Bi3lEG8aZ/XG9YhLuVeaW12T3sJi411g79BFj4ECCmIXqY8qZQAOdfIzzTzLrzyojRn86tJlk96q
KFSXml9uHeh5Cxn9tUgi4HKE6Ve6RM8P+1Dx0HXLfW6q6bPonOkWZF5xkOQuNk25vFPzsuzcuVeX
dMlK/mnh/bHiyFrb2F8eYKtNfHvotXPirkSvN5joGH/ZXqTiKa3semeE3SEpXOc6dyEj2gfMhI22
2j3hOY+5mjNeMWdsvUA9NHqEF9RitFGCIqA5Wppjg93r6HShs25T8YMCBf1DZk8G4+6qIHdMSkBE
GHkqWA1569AxEv0I+vXO1eD6h1Ko7iAc7AINZRrbMmzvffxNKC3CXo9+KnkGmvKEwya6DUFPwvYw
UChKH7kDF7UzbliyMzERxiHo7sq1YXPwQPygJlUQVsh1bYg8WhiIgAG3o2gMI4oJZrUZzESiUhIa
Ivu0tiwA0ZijFTFaDd/fZ5GLE+uDJ561FXq0zwFJ22MsRndXAsyaq/KokyA7O/Gk920NHyyKFHdH
zocrISrINjPN1tjACHtmE8oSjDVn7zZmwnqjnS2hI7MtpXmp4+l1jlEWkRfFR1xQUlz7d6KMWjbk
cnztutBcP1vmKJyUvgxb3E0LxLHc9/7YPGXXXZ3kW8yE+U5bULT6Yp7WrT82J4HX+xKRV9xqWgCw
jWYor/GwN/E0AjEBBzB0Mwqil3xOlIK5J2b2LjqLGczsamhMUu9zH1jTRXQEXZukknJHjL5f7qMY
JR7eUGRXGzWIGNqKcOR8Z2j7uqSuzSvrRy7pxzxrTIRuFg7Ja6OINeaEPGMsjllWvU8QCJig7ckF
vOSXwfu4mBp7PCLuW+GM+jkd+LytmkqT3YKNynenjTVEwiycmAmDxLGxiBnXDDwsCytmrgzGq0m+
1Bx5xi6YUsY5e9K2IRpqdch1D1TCjtYpa2th8dBzr6Al/vlOPHSDzcCdNXgXNk4Y9frGHVshTg2e
HcbGsHOSs56lO2yl0+b1hkPTWU7AusSV9jUX7YlcJtf/JfHL6VL6du+uFisSdx3Ghh/AiBBOx8EG
KzOZKz0hRVq+R/kPD8qkZBOq+Llc+mw3zD7XtPIm6tVL4Vwr6QsEuHgs2scqlqfGc74i3PckaJxu
O5Q5BqhJ/R46Z3nlgzC+oN8SzbInsjw+29Q3x8xEDTKkDqy1087gEfS2Ii/lijCxvgkzY8cVVUxL
db2WB023sYohe51wWnYPwvQVnweIBYeQ1Iwg0zNUjykCUraN6dgsn6p21GcbQQjOFLKloXj8Db9i
PK7KUfc3o15YS2BOgVzRrE0C+asQi7Xl0Vm/TsPwVtTlc9lAqmiD3HvsqQB51M5crUUyXyYINGRx
MfSA7+Fu0ckn4hKMBRySCYcS/oam19V92SX6mIeWQu5EMn9dTKSOrg7krsnS9l1A5fxxowoalUhx
2brah8tUR++E3WeCrYTh3SF2QLwlkhg8tOCw7S1sEJwYVD5BR3Zuggm+Ey7rEVad8PE4LIuW82fp
Y1E6lClIty1X8UYe3B6o5Z4PfZi9Uo1O8p8Uw2SOaUKEAjCxblr3POHZSre+dOiToTmlZYAQLH4Y
kTGSqU3lCX7c1RBm2zDlQCBOP5h6BwqjxA3b1331nNMeNaGp5SlPVQhZeQndYwNSeVmaQ5yUleFa
FKtxvAQNoFJinuAeeG923RIma/Kfy3bpl7cpqe+Rpk9sT0ne4l1eqbluD86CUlvaWYAnpMTJqYmF
LuNsn9hRpN4KyhK3TlmNexgRcufGyNiS047sbn7FfQY34QBQiH3HamRc+RW37R0F6VBEhqncC6rw
dnlh/INdT9Zdi4eRzXo9rYcsAE7B6e7Ite8MzRFSdGBW2pTijE1LfxArVe8xOcBL43jp1lnc8SNp
guQ0IZHC1khQZSV7iUtXLoTu+jAgmjnFpz5xy343aiLqvD+pAeMheNrrJM6tTcFHZp23nltuVWIL
TGWVTVdWlD9ir/5Y4Gw8sRi4lI5zHOdE9zs5JePPQvRmTyZG840o8jVX8Go7CD9aF6YzivQNEGae
n/oO2w3RoiWgJ0ijVO3gxLjo8bh20fCRfN4WGLUalAcy7sT19hfZ8z+mRmMu2s6/aBf0F58mcoQV
d5hMi/oGVF/3NejgrhsZuLI+7Xbc0EOQJ9N0oriHaFFcioekdm9pabf2bTfvgyG9bXJzaLUfnh3M
CS3Po6y5C4OB5TrbgTWh8nHd5tAOKFrUALoHw9qnw11s8Yh+tlR0y7aDhyLD9AMYu3ZlIwI+Eki7
8Zt0R2XNibaXfeu4fOadpPrVWPi1qll9So1O7XlsmZIwix+dOfEPqADJQ6GyehsOntj7k0C9Tfih
Q0KSswjzL72QsA+Hz0rjEoX9cCCAAloaNSDCx11qe/rmvC3fYCiOfBubaOfb851nGQmMtwvKtYVC
AIs4R0Ui0TIeet3KJwoOPAf0X4lNY3Tcg5tNYCiXXDyjyv4Z/fillDbrL753F0mE+QDjcdnMwdLh
FQ5vfSzc97HmPcSdyF2hkH1LkqwMjs3Erqkl/r4poFSuogGPXd251m3vQNF2HF2eJ6sZt4nH+cwX
OrCeiqBunoYhfwRc3jDBQiAK2G2uEid38IEBTogLeIgOHM0j1UFvVYYlz54DSDxkKG9KSzAERi39
2Z75imkH3jp9fKuuL2rrtGrLAJdt7NKdNym3OXJb7y3mlcMQ9Vzfsvo1yYkQ51QYMiWPn2Pm4MGy
uLmDF4fz7nOEnCu3Km8gnPkbKOzflZIsacgHPYO2EbRrDTe+hIG0AFQ5unG04xdEjvazv6Sy28rO
0Y6reUvuxfpQdCitNIfWCfdJCVBlKatNkyfJ80AoxZzptRra29lwTcIIbyL/XKL2Rx8twV+5bUO8
4ee8I+09DI7Hc9eFVzeO8UTi3T1DBmP0CDW3Xfy+/smPSpG+sPhIsnUeMggf8nmsuw0TYdJ8Rcr2
z6Jbyu75X3df3KTflDzWP93/ubY0fLPpuXpkur88BP/8b//7PBoYK/4fHo20/Pr8Gv/8Vy8Zf+Q/
XBrY0a9OLdrsbSx++Df+4dKQ9Coo0mQydHzlsUf6p0sDgLBvk8SAMUdBuKLv5Z8uDdwdNPQ4xM1s
yf+M8eNf8ZIF/5eXTCnMHsTDONMpGwmuxQ//2UtGfyBfvWG0AR/4sj/MdR911VOsK07BG+rFM2uf
wGx0brLI+LvGcWtq+pz2earqcGUiPpZXOvGONWW9Bjk51sdwwg6RaiAtVaenfp3azuOsgjfW52dl
xLQ3EHD3TQB/TUVIRkHQwDuwgHxWSTzApEQK6kP5zYDORlObZ1WPwa7vp1eSpWrdRnZiPQRZXFPG
SL/dsNLeXH27NhRL3EdXN3CvIckBEc348Q98NYYn7QVxj/W9Ds6iJhUrIg7DKqrhp8XMRj4ce1A9
DiOep989p/vqZXKG5IjyCZNt6HEwweuLuINg0w+8aDjzj94DvN1B33lQbXDbuHTpumnSn9Ucc5Wh
QZ5710IHQ/rjTjaorBIEbL6i89GBBoWai/BoulNr5/4l5az8bODnXHdF9XqyvaeKpDLP3Xzc03JI
sIEn3rYqq2KXFPaBsJEDL0D2igXqXO3akUX8+JdSKtJ0Ny3DdwnC/EGLWZOejQH4lRmHOCfEhsx8
v7UJ5q5yE730POjwPGtAtGBBqMSoIeIUiblfwk4fETKmI70X5o40C+45M9RnC1IRvFf2FI7bxcfs
6m1tAAg9U4la1Ss9VN13S4kYuH7jvC/l4J1nP3E/0L+sPRuL8pDw+h2vrHjewJREgJ8KfGy6q/Sm
83CuQa0XG1vJS49Ut+KwXiaIMi3P+uQaOxzH+YDlRieUWmqv5ZhjjpdAKJ/HFIRf0NXItZmSD2WQ
WAelW8hg5Oe49ej8HFzTXnYnvX1c9LyGvsBdKE2hvutgqt+DrCTAHpAyWTQMHg/30XM2qAnqGc/0
3CcEQt6sPiWxaM+4wp0jD30uYPzWtwHARziYHhWH3LjC8lo+Z+36xPEuI9rN2YdjYTZlbIgYF7N0
9lFb1J/zOA77WVo2N/qF+7BYOLPdJrAxKGc8aMfwSukPI4LSbbccRQJ/KVsCot4GMjM3Uh65hCHo
gRrc72SwvrgQ7VU1M3tmZrRew8KpoBCGE+GNOvysK9O8WF7iPfHBWfikqHxjZD49wGeQO7ou8Ger
znyTT7BONpnCxzZfrLVs07eq9NReVpL6PJtyCBsRcwUnJ7mMZArX3LNdxvDF2Yah2+5kbFvbCbGm
W9m2ScpV7ibqp8Hesw/DyjurbH6A2hRjpKnSh0pO++F6Je4T+I9lfTBYN2+n1j/prmwvhHIP3dhU
T2oRmrVEcksN11MWVp9MD9gQGiQ9n4KPFgsCL9jAliK0bpY6fvQG72uRNLv2mdfuk4aamHXo5k8k
R6lOcFPnNmiddwXqBICAk+1c2lMO5OYOgyo/c5ZaO1HVzu1UFPCureXbba3haxyKu+uStK7rPQaZ
ckP6d0Pe9C5ZlpcyNARt8oeynz9HEb/Pg3qJUIINOtsu6FAvVQ0fwTdbX9ksmNofssHxubblO4G4
byUiVuHNGG1xADDvNncB67aPVMLprZdCsdKbkj+Rrx/DRN1yXcbWMllvdersFkPdNOyjjfHTM06S
o59Y79Yw4tfyLGqG04alJWso5hjtmmRd6+SeffPJ1craVZV9IuWn6aV2Ln4g93DYaLB09c5K42sK
zeW4UIobufae/E6YfZHNHI3KWdLnqZHyR3tNsbNU/OR6EXsRfz4HBa9fQrksA3d4G3eAiueK4kK1
YKAiwCqBgkw+WkQ4MZMF26D87bm53rlN2q45M26CuUe3ssLiNPu1OJWeuA1jtkDawjE2UL98aAt5
gW8Dc3UpvhFH/gCj2Us6zzDEJIz4zSlFb8GGb2nm2eQb4uxpaeLnYKgOvs1YmnjTFvLZjVsjdiYj
z5SuVX+iCHmmqPwH6kafyyKEB41sj95D7s3i+9Sn2R3NsuYwJRgNFNf3Ubhb0hT3heOHP3lMMEbm
nb9LupBWaKi1WcrTM/Mhayj+AgKo5bVnsybqEBJwXTpkMY8ErCdJQxBWsyHOqzNLevrmk+XFLpVe
tRkqMcl/+DlEt5+SBkjGDPSpN86wjbKgALhqisfQ4k1zW/7sWtRgBcjRdnsH1+V30IbTKm3hYTC5
tb8XQ/0k4eJuHwqr2dd0mCiqusckO4+q6UIwqz4f8GXpCAR6XTjuhEKLBHaDbhARo3LWDRuCrx4/
5pNu+M9Na1dFDzW3H5g6ZhTzRvkPfUJhrNWHzHrX+twesYDWTbsCN0ULSEi3CU7yDIu3yPHHpOiQ
C4DsPCSz7Es0ZN5seZsFzV5g0tpbVbOs2cjnlBFw1ad3cvpsoA+mRNpcG88EETwAho0mdoSzbDrB
rFfWZkjNMD2XPo/BEzWxebMVpd+B3/UnFhX3U5ZiOyDniICmsUg75S6rXPJfUXqI8ZCnff0p+2RL
soYG1hooBltmnf+yG7yWyWDHa/Ysb1PWd0demHvbyLUC90rBL54V8qL/xt6ZLbeNZVn0V/oHUIHx
AnglQHCmRGqwpBeEZFmY5xlf3wvO6i5bzrYj3zuyIjIqLZkkCNx7zzl7rz18xw7BGtUT14b3zbrN
DuCUI5pIPVIOcjq9lf10FLTbXH+UL2VM8z8sxa2iRANKcHbW1g8W7nfFZyR2s/CT7MOSwa6bRZSs
hJKPLl+hjLt6tvF9TsPoVmn6Ggt0AJ1PNA8ISirxcU1PltTOXL2HF82zKTSJVaVIPWOQ3qZijG9E
0dQbvLxPBdKYVdfYgYMzkgAtCC+YA8RDVE0nxDXt1q40OjgmjOVUotvsy1kJaJy7VEd+uxqSaXZ9
Y+p3tII1mkVyTwIyrCs30YPhlEhBeFDIT4AKVicbRBf8aZM/awtxn0ALAU3KLyISdIfWPxaoms56
naYkpUvx48AI4ABYqL3rTePFDKvKI6xSOk59+4Hmyqsq3orMLYkvsN9xDBMvcaPgiSAlBvJ7Dau3
CG2c6aCGmLUorYX7ZvySTH7lpUMSrOsAS1s0taB5xZPBqGMtB1N8n2U88HUB7t0Kob+ilGQTNKro
rav8aE9OPGFdwqQ7QhZq/1oh0GiRWnO4oUhlYyuXopCRGmK1HqQm+ALKbIJnZ+J3+mLRBicB38ca
ixSaYXUYEwTE4B2l6qJUnKaJBP+uM9b1cq4PRbvojzV4hIiRo6lKaTvTt0CmTGzPaHnDiIjGU4Pu
KZiiqVtLoYS+OQstKTtZ33XPPbrtYAc3Xb7I35XRjDKb2svkOUpvpWDSlJeGpvauMmwchyhn0A4+
EtUT499okbaelVKWkWHjADa/lXkwIM9GQoGZzE7Nod3QeRneizYwYUzj4YtthiJAOL/Ii+R7VAIN
bTJWDYkwrrDHr4AbL432+EMa29W+16nSUrLm36vXsrW6wYWPjBN5/l7hMoGeo4dyKXxL0Y1OIrGS
0daGmrj1l0J5lht9T+BavGIwTh3dfK+pYTVSX4OAFocIvQ9ld/q9Bh++1+NAbsP7Jiobl6FAtG4Y
ZnSgzFAU7LsoVZAeaVa9VcmWZiqS2RmfFSk6G36RA/yceYlXC0J9Rd+Z6GfQE5VIMDvOZUxLr898
9WyIqacmUaW632m0ZO7RMhpvdpwFMvueYsF4n0XcrTV0QyBEybPKlzHlvAA+dBRst3EPggcXZrwI
gMalV9iGefOST5IAOS0sNDBM2ci8mLqoVJ+GoJGYfNUCs82Qo+BwNVTMNNAHYDLlNhjrUbomIBgG
B72e1VzzCHHTF8WE1UR5N0WyB3kPGyZPl4wBTnQD2c6EurfA+9jUALOq6BncvK8raZMXRZ6z+beB
OJlKhgRoVNQwXSMraElSkdBKr1LWjPodesHAvhOS28eWNBrHRPMhjta+HTzqCFZfW4uFF7ywXz9Y
UTplLptCNmz92r/KrYKNcZ7MaDyh3Gm20VjMyrul9VazYQgg45drlQWruqqmbjrMfVycpZbtD+y9
JIZ9wZCSCYIlxRvoE1b/KDUtSfdxTMz9rVwN6I3zbKIw1uKIw0Bb0t2kybaM4YhdYdL+BPFZXCM5
yXYoMw2nXXabuoky6tg+cup+TBBgxBCqY9ppjbYUdqra7axZk2/NSk5uEVAzFRhsvte69FGiwQOp
nu3BVzC36vqzH4YPVEzcn0onI5cIcx+bLY+d0yl29jQQA3ejRAC2HbmVAGeAjOpdiyYnouRplF/t
VOiTK1sYhJrSbJFTcAr/Qq3Xkt1XjWazL5nLynDBp+5QjWCPA7WpPJQJreqISvFhOft1a+9hVeRY
tkWf3KOIem0TVZzgs9Re5StohC39PKt9t075AvKgOzHGHPCfxhfQmA6jwjLeZyZxGlSxsCwAVH5M
VdzgBioS25voRjuDJpR1VRGD2ONQJtRMs7pXSScL6P/7VP/2PC5xwP93n+qu6Nrwv+6699f8p1bV
8lv/blUZ/7IXLxH+IJNUVsYF/9uq0v6l64DKCFC2YCsYtJz+x1CkqHSxBMFYiqIh6DfEf1yP/JIN
lIiALFkhuFoQXfUP7EQ/Wx7RG9AII/5KFxYdL/0vS+QPlscgRIls1ukzeF753mCTXOcUZXuSxlsX
WrjAZtNX+l93C93J4FvxN7Ajc2nP/WBhWl4WxtFi6lxm1Caplz93x4Dg69oEXaKo8TeuO8hg46aY
DB9rUFQygkDrtiwIcPiQgZAyiFDRvFeX6EFYq3gxExR4OwNRYroFhUJOYfk9s3DEKEjpK5rxHY1t
tIcs06BTinX+ilipYmPddO0YeGXXUfBipRAn1FH9EzYq8hJxOdTGiawfYAeNlZCw9z1dUY2FgV6P
CINlNU2sr/AcyWLUVNm0SKJfMhqzmvdCEopUlgYxlb0hpR9thPD92fwr6pFj8FLbm1xtYiAxQo0w
QajQTVjYfMXgVJkHciAKyWZY6JhQC3GOADIlZLO01M7+ahewKVwcTWV+UaNCfuMwHT8XIdlBmzFk
EnG1iGs56YM1BI/80Qj0eLTsWfI41ZLONXScZla6Eht3iHPGR4kqEpbC1MwwEsKe2sYO9Vo0SIV7
U8YCmwVdsMnCeryWKf4Y1C6NxUjFBOodhp28rbipWGvsmcKa84kRbbpRKhVg+5l0iuIR7FOnjlpJ
vUejzUWfJW6KoR4yUKh1qWzHQAptxyokxtokTtv2OjO/yyWMRaTqNE2n02iLFsNqaGZvKmNh0v4G
wxpcsAfssdksXsolapS9MgD5EzD3wxxEOdE6IZq5zlXmli2cqFEGaphypoJuiQKfWy2z5CnURf/c
mkz2VqSLTJYr2z62rLxVSKCRpa4GEK5qtIHaMS7J22aeLR9kWIaeYBN7iOpesJFYEzZWwXXDqMt0
BiZUi1i78NMQD53dZBWRBNG8swMAzeiLeO3QjL91jFu+ZV0ymysbgQ6xro0RfmvkCSZUgFTOMYOc
WQYKF1iTmAG2ZYFBnyCbIiUnR9WDjs5RFtSO6mfDcZnbLjJLI0zopooRcTv11Tu4FHSFlebXaHpC
A9pnM5TvQcPw1BVyVO7ZhqsHvVQ544OSBL8k0I8tLc1hQOaXD/km06mbHMIV/Y3pV9wvsxUjJwqn
Ug7WaeJnuqt3gQHtpWzeM9uOrgNxF4uAIKvPEeqYR0C9HI5m9vfjMj4jqzRJ6msB7gMYUzK0ezOq
gmzTE0jkxaHcUJMhfmcQ2ga8cDbOR5vINPy8c572hADh2nUsc4lbsWdej56mNiBMRD8tVkxoKCkT
aEqERSRDg4EPbzLjL21MOrI4Fk8kYo/63qqj8hInSIOxHNTzqRrRQo9GY7wUgT1/0dDpgclR4+7W
UKzojvzJ/DxnxMK6Uz3YH/1c2BBYgIhqeyUgd3VF0lv1pBO8ibgaWd5ZAbt0P3FUqFgMWvuKV2p6
ROaSviIFRlvj+61CO7igB7SyerzjK7w/5MjpmTo5ls2JaY1CJZE4oyqxWFljowOnRDGouJzY6aLa
SA9VmhNGQnpIZ2FWc2EcJJaT+kYsk3Qhq1H5ofOw3CWk0dXfIg0CJ3iOuT3ZYlJaZEUF9DfNyHLC
wOKc5AKqMywPdcft7qABrCGWolNFFRjqeeTNINgUUtUMxuseti9LPgV1aRjvmcmkZY9hjpLdNUp8
cWTOzPAxKOxGdJSoBEAo1Y48BnoUEF1MCi2JBtXS/e27RnrkS6b9POPa00l01kKxBkxjWmQmtIsS
JjaUxMRNMuXEBEn01MbEk4bGEm+iI8thI4BRmYkH7TgZsMSWVs5SBEwXv80czpzETwWRFLnb1ANc
U7WAubYNc4T+KSYsGqOQ6KophyNZalqrnhPdSiJu+Z5MRkacmYVuFn2JSCB1qCEzYbWQ0ZHZZjJt
fakdSZu1w0Lo+2WLImU0YSBsbqu4K0A0WZnNGhdiIJJrkmVg95+mxsaFAfu1acR9kCk6Jh4N+TGn
xbDLzU0JqsjMCRNSs/7eJ81Mfa7lMhvxnWHRdJW2qv0v9C6aj8mo/McBvzGwGKmXvxXEGqo7hvpD
tTJTmXQSoEk0HP1QZ68zQvmJ1c7/IDQ1RCwoZx9x4ls7ulgodAJJIjKnoRsEEol0qoXA7Hc0ChPo
KGGtMU0PYHhcRVRx0A0CEHKQ5l+7rKWhhzmxetMnWvO41Uc+cI89I1j7c6ng0Qd0D+6/WOSc2M6Y
B1U4Sx9YPOrQmeDcnVmxJNgyyaLVmKSw2dWmEg9rNiEVo13PUZhRlqYdciUEx0ZCr4Uxx8zN12r0
CRUwzBJiVTbi+qDVUsxfG3poE7jiruPxTjL5XbPC+r7LUQI7GhsdTso0Ma8B8XzdWkwqScEquWmM
JuxU/lprOpppu0yDOxv5Iehx7unVJGiEs0+UIzORSuprNl0iEkKvRIuEuCRPJlabMB4vxmBZj3NS
tS3WZMoXtwQ9a645LEz1Ziw08gfrhrwjN42DoVmnedM/D5rJklXEE+SutNFJ3kjps/jUWUTuIeZO
es/OGlGuF5Jh69oRio9VX5hEBgZWAcd0GgzD0exAfWfMpWL4xaTzGtBO7onYzm3VgTBdjpAloVYA
I44B+5dwjFLcOrF51rFxJq4MvZWGlJXQxxwlRvErlmAqNFpR8sEOR+CvXR1xBmFB7sGs2FEpTqAq
UnahMu78lSqxfHHEmQXnNWl57Vqg49rFvS59SSDfm4Sh4HNw5xrmBQ1CHQQens6i2lpByNQTkQYr
uqinlFjpRMVkq6UCERISPCIs5oiFyZto9VzGaTbxk2OjTnfNUPT62gLPQ2jgbHSz02qQIMkkN8U+
ImsLiJOB/7dXfTrCkQ/UVg4sVtx6EFSTIS7DI/M/014lLXzLlT/5PVE1Usid2humb2xR+NuNQ5Bn
/GUYiJF3cAVmcO0ypXnvWslUvFGZe5rhQ0iWDKPElsFVNuq3sdJbl575C/InmaxhezRYP4IKFJMs
JOOM8yB/sbNwOOmtYO2OoQSeuTXHF0MxQtUj02qAKw64HvNib97Io5BxzCDt/Fa283g7zAhVPRhX
0hc+uTAxSgf9vUSvEtbZZKL/URriLOjXWvprYRY5WxQRtuALSp5O3VdiuhltxmoXZliN8lh6sWKr
/jrVMVkHpIcDeKrgvz2NnBZufZ+ggKGZki98W92u7JeWumlVKL0BtIAmwmAT04aIaIBWs6KB6B3R
V47pSMR3QTNwgz6V4XVnoBp0+sKKn+l24D1Pu0xhTDVYDPgmSepnQGiYnJgbE2jjFFWOuEPGLnOX
xnS8aC+KJVm6GeFytsmYYl7LB5CDCUsM6R20TVCfVMh/R3ilrABEX0AeVEfCDwL0/ShV4JbSfjEq
0CPYicRxID3maqQhJiBf0Xt6gbO9ZAbR/70ldk/6MNRA2s89B0Y6O4r5lHPD3zZprF/strV2zLQw
sVhxoitOGAZEXiBPaZpdZTOLoesSkBOLr45cYF3zwzMDDPtbngXaS8Za06NhlITkwaFiUTA4gieE
9kw6Gu8kqxRcmVpypHeybD3gwHIvK4DFrexotnoH6Q8fomWuAZ1QUrIKDePEKbSCOwUwElvrVaGH
AkHKJ2B1PbTG8uNIHCOHtl3Vbjql67DlSxniN9KIqWfsor5pRBI3DplahGrOWFdWJtEuN+ag2E9Z
2fa6Q5eQQNgA796uIPFE9+KgERiJM0X6lpt+kEGCCLrsSC5Uw9yM15uhP6fx4PL8heLOIowAJTPH
xBFsVTbfCFkQAefjlyVzA9m2zHilb4xjJEj3Ic6mAnBdx9VtSssW6LwWtD4gKJEIJ1ETTFNEndrv
ip9GTxkPwQOdSsYiFDcACkoTSI4DCSZ7CyxzfMZUyOW2lEJ7s2ZcsCvkYm3j8nzLL3loc24tlxQu
VgD9oVYVnzQdyS9ue+DSiJuKgveTxFH8lugyb0IlsvyqFAnQoIaUzfu0UkzTHerU3OgNRjjOQoPE
bVHKYMUbIqVR66tzLbamkddk+zJstR2IiEyk20qajwFn5Gxtwz/Dqs6yiqRYIu0ZXGOnIXnV4N9l
+NCXnIwQOQZPovlQDJUACzwuyxTGioXfqEsyKsWO7ZiA9EnNXDZjJucyENynLrMmsnE4hax5opJ+
3dLB5SIPJdHWnKnAuHFEjCcvZuwV0azTSmTMUOAwXOPi32gKIurVaBIJ5gQcXfCHyz1QA1MKx6eG
UiT//yT16K/mkmLDdvm/m0un17oJX9P0v3ZN+pq/Nz92mL7/6l8dJsVU/gVQC9y6LlTLlpdc9L/E
UIqQaT6hBCes0JRpw0DK/jeyRtH/JYSiK3C1rIXxrP1HC6X/C9IWsOuFyWUAxAK59Q86THSqfmj1
WLIOS0uxdBth1cLwUpak9R86TIz8UvBRUXat0S85JGNxu1jEagiGxDTFNz9coL9pLS2yqv8gvP56
Nc3UiIhnpIf+a3k3P7ya4FA1plKZXU1yM7wMBEdwM+ASKLT2BNUpWpk6Jtl//Jq6rArYBohngMJ+
knphWgjVLhuTaz+ZNyMr6HZsx03ZRAzKCnMTqckBv/Ufemh/c1l1WVsagbIK6fzzZe0FntJCSdOr
ytR/27MNtSM4ZMk6pBE9399/QnAan6+rSjNMFbzgcl1VjVvsp+tqaig0yTC82jcGqlJYBhGKp3d5
XC0q8yZ+j4QBGeapC+6U+CbuzlZ7o+VbthviyGSGuxzplFcbq5zvduG7FbxbxcNYfQm7W7nftf2H
pu8sOoGt24ZeGt/rzY0IDzCIKwMbOFIAp85ANz4vs5o8wHzJqfMeqSzbi36MSb1dT9r7VNzr/V2Y
YxC4mc1nIW3mkqQIrH9XDaOWepH1q0ViDTlbq4padygvrSxtktDtiG/cjOqW0anLuN7Rrpa/0zYm
Ig4iPDJmsTf24/wqQjdbZNXpPnrWvyRvUD0T6XY2vhKnc4oEjM9oVRW3A+BYPftmyc+TdWeQjhFz
sunxPpYXtXqrYqRBBU4zFab1S2uADcOM3nmNtuvJ9owjfHnVkz9ffHaM0CN4bmVQyoy1QYfyySTS
VgHUEh3qcS8IFUyRN9hMukscaqvmFpot5igB5YzpcWB73AsEQhBhofuuOTx3kiPQaAGBKnaUmX+4
Tf7uLrEN1TSgUumKqn4iU1VxgCNgsMUVxRiMF+HrK9gGvjvJesiN4Ose7njtCNQWArRU3Ret3v/h
PfzyXPAwyCw6QsE0R6LAp4dxMpkIJ5PQr6312k5sl+3QzCjxhqW+QP/2+0/8d6+G75FlzSZygGb9
z48FipiWxJdaXNPOfvBDtHPmopKE4nAc67D9w6v9srhZLMuWzqTJWAYACwrxx4fQHxj3diBM7kcV
4bY2Vq7emg9m6e/aIUM+ikC5Jonq9x9R+XlEwJLKq1oKfyORtZBX7E+9+omjo6wnuEsh7NIw3YZZ
bz3YrU81Bd9wrcTYH+pQjOsmGbaMOriXy/CeEulCzhgpjx0cgayFoT7itRVjfP39+zOXa/zTkk9v
nrgEAGxshLq9oNd+vCqRiqk+UQP7Li9PFIF826bmtNbWgGWjObQgULlNyZYybScPhLu7dCJC7K3f
gJZO5O6SN2Ks9DuYKUx3vexUH5R9tTP25maecE66mKXsE/YV+hX8IPRkfg+XICmBCphmatSVtBee
TFDiqiKn6106Nvtia5CoeEZFfxfu1UP9ku4DL9yQxLZWTQfdumqulNj1r8bz76/G94X416uB+hgo
pqFpnzdA3EwWIbTEFVoPw+RoX2kb424seAQQx+iO/2Eeioe0Xam36YELgfLBl92SiaO9YiRcP1b+
ivir6q48DYf4W/HG50AjhT7z9+/T/mWp+P6t/ed9LnfdDxt1jTJ4ETnad/GuPOrTarCccEfa76HY
SlvI19UHrCDtKTnPnn/pn5Sb/DjtuzUjGP+cqBsGtv4p3NnbwHfUq7bDIztFXlRs7W5dpK4EOSt0
y9CdKZ7IGx8f2tAlNp7W2EgJ3dCAxNq3StYhrtqtefB3w61yGa908zmJlxk/6I44yEOX7LBUUF/c
6ONhNjzE23ZxO/mvcvHctte8cjSmKk/pGQ2zR8DGJr6Up+JGTZzirj7FG8n7w3Vbjkufv19D1zCY
QFHFIv3pOJUALs38sLfuokd5r9wou/kmPjbn7IzmZSt90R+bVXbpFuzYit4rtkujRTtBKoJHGRK3
zvBCLzHNGbxgbN3Vw22N30Nycsy2jcPvpfUGyaBJw9dA17lGO2zhSe9IPtpYcIpLFE44ItZ0RZtj
fDASN2cIQx8AEcy+KnnovPSlupP2zOO/xC/ii3LqzwRl37LxAF2KL/HoZICVWTwgZKwM/c7udyGe
XJONc6vp8ME9lANYZOyeCcOahgeFYXz6/VVcII5/cxWFqWES0wyYsz/ffVPMGQfZo3Xnn/xT9Njt
tV344DuUa0fkSWS0opGCjBU2tPYc7EfZSew6Lz3kBxgYrn0pdhBXPZ2qfaV+ofWXnort79/iZxot
xgWN+CMWe47upq0a6qd1Fw/xWM1+NV1SaxNlm0LZx8Q/kGLK8wiTn/X/kJSUwQzOgl0Q7Mtol5oX
0V/ifCfbezEcmvJZtx+sdt80axBOcMJgbEz+Niaq62tpeUsHpdi3H9NN6LtSvdIuebui769C7Xkn
Q8J+DW7LD1Wsu+IhmJ6s+oaQE/5cowSfECKAh3IsMtBMlH2rQvHqApzE3Vy4TeVOKEHiMx44siz8
aAPOISJdzqRU5wIrPHa2dpMW+15+MDOI+PF5Tk5ltcFes6zGzQ3Bxqs5P7eoFQENEg/1ILSzbbs8
mH33jTdP98KU1/GVCV/31jDzEneEAMSqVySXHqrK9LbQr0S+zefG7US+wi0MhoBzCPLuFJuCzpvR
iwWNzUmQbE8oiKyRGL65RXNGaQT0btvFOuSKBiMl0tPaPGbj1Qxv++7UWFjUrMeIsTRi0AyNFW63
398Cnw8Xhk4ZwxoOWsPAQMKg/6clEsdRI+Y5lK+53tZQe+KdLyZtXTFhc+bK/MPO8curGQzkBWxR
qkE2/c+HC4wMOvE0DOcCy3pvao5uON0AAFd0BcJSPf7+symfn8Aln8k26NUv5SGYzOXPf1j/mY6L
xtDk4C4WEEs6pZrdKMduIvTlnL8nrp2ulbnL+147BnRNkiFw9Tmot3Zp7utC8/9wsf/mDaFKkClU
OVqRMLAwqH98Q6RF66TnjvKV4Ncv9RAaHgdHRPviGGgdMrqA1HiNTVUCdZNI56gyL4TeZFQj8mWh
If7DQpYTHsca5H+cukyK8U8nS9amMcjoyV992qf6jNwVEQOaN2REsyK5c1b4qyUC6w/78rKo/Li9
GEhU0KOYCupJoaMO+fkqjBEQfoucZozTJdLMpCEoVgkaZyy5835/C3w+zRqG4JDCKcWUl6LZ/HR7
S0GKsbnIgCtVrcTIfN2OJo7oGaK1lbxoIOAJ9tT/sH9yVP7lEwqeK/7hc/Ky37eGH268sVZLrS5L
IIHJvrAcfJuh/m7jQ0gILk6BT207+2wSd0yPX+sB/swsCvKZeaeB5rwsno3qXm+vfvmYy7fjeMjH
u6l8nJq3CtVeON6F6XFo3yJx0Nsjp+UkPyTz1pq2eXWa5m0prRQd/j35wxoOCz1znjKCMJgKxTuz
2iZQMlGDrBTrZq6JmtgSQTWWFzPiqb/Nu5MB30JGHc0Crkvnat7qE3rfD+xTzgzkBGA+un4PU1is
P4ng2tlXs3isTCqhrckbsW6kwFO1r2nxiMe7AP0RuNhi2ON685LKO5xkNU7K/MOGZ1U3R2HfWJBH
ywwL/0am39+ne1Z+7PagYaz4QZ3PanilwjZJdeAzRVxFaQ8wxO82Rv+qFOccZFd1n1LeipbI6U04
gPaamDpyamajJeVAOkY4ncrMWteWz0D6NBVe9zUkytjKXxWFa2q8NCENa4b3YpPSSwU/11zyiWJn
WxMqa5DrulZ1uG87Yd733X3Ij0a0hmvtrpmc0XrsECRra5yq9Cgin8J5Waubcq2hyDf2v7+rP1dL
3NXs2hgPBbItWzY+7dpVlA+Bafj6NcRoT8EO7BLTOdDMAikMfqTaYYxu/uGp/eU0bRi4Gam5VRZS
XvbzWSGcSWscc1m7zuI9Z+hXz04xM4BEXlAckuqjkc6MvPSRzTS4aO0+0PZ+vlEgIlWPLYocyW3G
Z8nyUvOUjSc1O6NXWiXGxaIUMAhmf0GjouNvoZ/AobHeD8hOae0IDGG3DSNibcEtTfuKUFrb7feq
ecSXpz1wqgPt4TsCkBI6Rga8YIqNwOs1WKYMdZzGYq6Cj0Xe45Mh/T3IPd1Yt+m6ePfFRubayXsb
ysuJTHEmdjdh/IRMjFgrJlMRrvDuOOuXEsuRWT+ixgjAi0EGAHw6wp86/P6bRZ72y9IB2FtBl0cx
jF5OfKpZLNwPzDw09Yr2FpEAp4X+mO6MW3+N2/0DnlpxIqCtftJNV+kcf1rhw4onser9izzvR5xu
HvJ/ZzRPZXhM9bfl/wTwKqPs0RdO1rvkZM+lq2okZTk2J/a76VzM5Jicwvx0U9BrgxHPSMDQ9R2E
q5U2fYMyuk60pw5+AuDezjoW4y5TMKoQWpe+2NHrFJ9sej42OXubKboLo7U6bqW38lZpTvg3FFIy
ezcXjyDP+q53rKBaqdNroF80JCFGc9IBUYmbEvUQ5wBZycgCYEGob6bp1eqOGDEomK5ShGyoO/Zu
UTl+e8WiFpHpJ3X7nFk9DEbmbXhiarEJNeya9w0Zin73horBJaBpZdT3sj0tl2yiHuySrcw2UJNd
TNgKNTwjYfhSybgCtjQ9KsdOPVUa0IeVkM96dK1fBzdQbokcKOeOFO4T4lxC7W4M/+wzcIr6jYEi
mrUtPKnduI1aiNuDcczr28Z4VAIfZwDlOHbOdv1qIAE2urcCyXTXRrsQcqY1VqtyfIsVNzO/yQJ4
TFaumjn0lGKTY5KDm2i2XxWQZRnsbs1jlL+UQrjop1ldCwwEfUI4jn6Pnt2f4IrCpKKvx9gtIPon
E29l+m5o9whvelcaN0ay6SLOzFtQA9DL9IZjvoch4oEvc5O/PKpvIOAApGa+J8tufJUeOtlV3oPY
Q92eVp42rG20UZgixlMSbtgP+kt7HjHio7bhKXfZaNJNuCPx1Dc3BSjpJYM42RMUUT60yYG2qoc8
ZV4vKgAG8MFOdo9luhkcI8AEtw6aE8FtoemJre02a9aH8BkrRfESHGyvOCev0m1F5J6y6q+gynbY
legO33T0UsXOpO9yDV8CRuXSCgHhHWjEHrIue5kT7Yiq/YKLwXemS42s7Ev+h5pP+fWAa5o8tPQm
ZcRs2jLw+PGAV3CWzxI7V69xHVsgBUtGxJgJKBAZe2l65CL+XscEcvGA0tfCx4rPyD6kgsZOVIlz
qCsP6P2PDUDs368sv5yF6R9aJvpbW0EebKqfjp52VWeR5HfjNQ6xeQUM2dwk76N/eqLko2tUEaYp
CF5SrE87kwbdvLIwF15B2NB9NrpHoOa3CPQo8ufXFlzjAEPr959MsZYD408HSnqVNC2hYCxXnhnC
z1ddE1B1EOorV6wo0ezIJsgEnMoQY1gJ8BZBi16N2lqQDq2eF1M89+n8mLLG0oUvd9Y3JXLfWH5K
pIOF06UHU7kGeOJH6dmEaT/258hgzThM4bdO3M7DNyV7MhuMX299d1vFt0X8mPcfM0EDGl0sR6mx
Sa4qacWkIYkRIzicORW68CuCq7gH4tDLwWlPDt7JgpNUvI/qHVFlQD1UsrNJYWb0Cn8dgVHohune
oq3sQZfbqgcaGlsOIpdmTTHp0C90aV1tFI+I83XvNevgbF38l+LDf0g+yqdijaPkwByFn2Nq5FVr
se6fky/Zm/JcHZSd+jJdJP5t3A4+Vv8VoBSZKrRw+R/kwFnxkvnaS2S97zTzOA6XfGNp2zJ765Ov
U3Ya1YPce1J/kmOoLjsJGSQu71VUbnvjLq6OcvGUuXl15AGfVSgDeyU52DRxAhCj2xz2cLIh054N
Ow/AsuDm54GW76vnBCXs88LgLxyTfqfCysYSiCprZT5Hb7+/eSh0f715oMzKmrp0QH6tRggap4Ik
z/kaKq6GlFZs4/ioQ9YcPd9ec6jkv+vCVaMdI7gVCSnc2PqLDdVLX/flfW6+dcWZXrw1nxDl0GXU
lQ2z8zJch4jFEKdRvuFqLJ3mmj5LTyVykzMzdIdmKIuguCM+cVDcGMfYjX83PYnUSSYPOqlx0Z/6
R+UjvOaPRGFql+BYbnlD++oUemQrOvZLiqOqXhVH/4YM7zXvcZc/lq/GY7+Bu5SvJMNJ7ljuP+Cx
mNxwUFmEGyluVxKvuSq34Y25TcuV/Jqjsd6KXVmvauVe3Aiv3IcvaDZT2IRrMG4fdALZOJVV84x2
nbd20k4wcx1pDeJvI9zGC46E1rjEqHv1mgpGeo1p0PBAoYZ7odci3/lH/14e6HfQ9ZHf1V2wQT2j
xdCJV9Wp2A9nbdtvxTshoP268NQ39Ut8mCIuAsh4/b4CzPXEM5WX63h2E8Bx096gh6qQULmVmVn1
76V5waw4aXdhOW+M8WjD9sTobuBNXS2bQr4yr/Jz/iU5ieduwFO+Ck7ZQwWjHSUjUMNyXfuukLZI
TPDBYX1vhBNCMSrgdK6HYWs3h146WP2pGGS6dU/NtB/oYbK+v/VbcwO6B4BOEq2HcBNpbn9JUEY9
DO/Gt/6kko5grWr+JmsF0XwGMYsUtAd24aQBWcZemaCd3KjtOUlPsuWZussPF4lDBFT4LQRjjsQ3
dsYYoqMrd55v7H3breODpniG4vnaTlE8C7DBcCHhsQ62ovvQI85Tdxoj4p7YkE2jnwrf0ZqbgdIk
Xrety3/sUHOVm6JwW4LwpBUhmgkw3tRliIga0WZ8xyTyD1XEry0QIbRl0mNYpHMBVvl0voUAllkm
Qvlr1pndijxcHM0RNIKkZ94RJua+Ta5KfRQqmqFibRmEKeKnlJxMNmjxaskfduxfNmzeDtsGFiVV
Zb72eZRXa/VYDHAersoTKhn0xAYxGdDil5ruD/sUo75flhoMOJwMbMAxGq2BT90IOfW1PlHK+Tq6
2bbad+fxOPw3d2e23DiSbdl/6XeUAY75odvsEpxEihJFaop4gcWIeXbH9PW9ELe6b0qRN2T52G1W
VpZVkSFQBOB+/Jy9134Wm3SLbOrMq7FIlA18KAc1PkLQasXGoEX8JM7WI8Zo70yXPO3PaRagdvU0
ziOchMGswwINRLLzIBN/WxIeVoH9pSgCk2QJGYAdyEGVeduOZ/ss3E0h7/MuGPqNC4WEnJl0M1br
lmMZtIdz+nN50e+nT6qHMvUYWXdTvyGCWz9P5/qITHgf3RS3cjMfol2y8y/ZTtvI43S21tmO3uoL
/949y/szBNjb+k5sB9Yl885CLZbeuTyS4bpLNxAEwvawZFZkp1mex+yExh/RqIWVO1hyrZtlOQwJ
m+k3mvsA8Aqyl+Vyb4LhrD0ta+MJFx5pG58ryvAn/cx8TX81f2qskfmRPjEGnfDTPK+Zw3AgYo1x
zubFWTvrKkDMu51vqW+3ZBWtxVps558tWml/pT2V+DgDOJp83uxp4L3zVs0PvuhlqdkTR/EaX0AJ
JI/VI0ch7VA/EDYd/+jLZdf0v/tnEjiQ52ngaJpV97Vn0WKUtOSjr0ga2JSn5j55pW1y8O7Uwd87
l/RHxP48HEDlPtrfpoM4ZV992PCsWOfF2AoOfzykT8jghI8JgiP0ShpHXBa8qrMDH/ehC49edzf4
aw3QHlnn+2kkFOJByXNinUgkTpZQt7VmEm60TTwWHZaHda7tAF345lpTeHF3SbwFzUMXw6oD5zMN
aweva7oGs2WnPC2r7AW816IswHW0meS5xiQocKduxXQR1inrgtgJOn7v8lZTp1zeazIMMvvkJ891
dICr637Q1/2bd5ZJBSIkUwjX0fV3gxVPmbAMRjlf5rmo7zUzKY898k64BiOuBGlP/3iNIIvZALVE
72Nx2b0ratMKpRr8zewS0lAOJBzBtWybQ6Vn3ydPcz5qEv/WAaC5Q80hADsZOuvEu1UCn4uJLdTL
LmkX1rhki6+2KNWZqGLIGvIbnL8wmTglxRIOHcIHN4bLkZclWyoM+kAWgt5Tx6h+0naAHdAlgk3f
+lH37c+l0/vbwDdPN2jprusk6QjxrrsOO05PZVokl3qGqqC1isfUcST6UjOYB8yyf77cL5rVX6v8
5Xpo8JlJLjIIeNBvq/wMceFcoxbEhDYPx7wBtZniGUP92a2TZP6GVbvZTKmZbCDfMWiJPXdLaxhM
qJW3R+zN9ENdqyViwgr3cKfx0tm1e4un44M9zv/tm8FRYTioKNhV+G7sd99Mh3oyzFpzvorPiuvB
JkRt/6jdWzv7Gu68Q7GpHpiXxtfoUP0wX1jqGYomn3GQaZA3LQLoybc9W9W2oAAj4wsBhLoraLgk
EF22BKBQktj4lWj9GAn7/1VZd1a/9y9FeoyMYxkGJCZR5TV5kMLhBB5qb30vAHJve+iXc8DHW9VS
RGwZffokvVtQmU+loHn7oIWXgXI/3STNhp4Ahch05B9NbZV8BXL40BQMuVY9ygNcb6gVyJtliEK5
RC3HfvQiWf3QWLkBSccxWB+KQDuohw++4l+ilzcPA1+xuzx7zBFcSA3v1oAMwynt11y/znV7W6oi
W5vuaEO/YqPE1iRwmDhf+pL9s86orgr93jLCn6mfVTcMRc5/fjTfv7GOYZuYL12PR5vsc/1dTcNR
OHZ4ZcurEInBFCe/tyzIUGHyzRCKqvVp6qt9OsCq//N1l5/79kvgupZHv5ABLoy6dytFadaF73RJ
ee19bStRYdNFghSfOOHiU8P+4IIq+vMlf3+0GV0ZiPN0OgnOL4HoXxscmmXIjty74ppWRGK37pHU
7pBDHtU8cWnbf3yx5UWyeIPw8vItv33jxwjHJ/Yvvte0eU3ikgLb9H5gLX2a8uSjyvR9ccaPp4mA
tIFycNlW3rVuzMbUaW5HwzWcM1puZUetLRjZ/PlX+rVZvLtnwPIA9/GcIIs13j24qWWOndE4/dU7
0XSj9boaH2Pi6Z0VwS8aqVUi8Dj0JnsvP9sdTs2NTb2DoLV8UiQVl8c0vmj+fT0ea3uThjtA7IGd
b3MbKM66lhs1rofmzmwfYWDk0drodqMGemHfZWuZbO3wKI0NaeeEvEbWZrI27bz3w41vM6JeGz9/
2XdXI6WSDByCGx6LR+PZHfGSbMwkqO+ovZhqE19NWN7Crt3ARwbETCKzIjWGkWF+V5kbmezH4i51
t3CwOcTPEYhOIp1uWkAv5iZyd0SUFns93EHI60/l7t+kgP/W+/1+6setXPRyJuJjtGAo9d4+N5YO
Fj/BnXbVIfv6Tn/PjG+F3wJLiMSoalf3Me38P9/YXzfu7Y11fJs5M4/R8rD+Kv7/MvMr3XggotvR
r0xvUo6B43oq3HiD3RVtV99Z5LJheVb9uC81GW2aqv5ovPz7r+1yrAJMyUjXAFu5vLt/+QR6NEfx
YBM8k2vWc55gumktiIBpQ7KaTIVYp9VP5UIS+vNv/vuSwBKMHpM0YxPx9S8f/l8u26kpa5O+bq+T
03YH6e00tHhQqQMCULQP+ot/8y0vPjyXVUGgE0Rn9vZ31CR5uENbcbHBuza6se/KPGUk8DMezpUG
8VkzwJvMPiOkvK4+KAT/5uooT01XUH5QmoHdfHv1iv0+LhMS37VS95lZzOu+jE6msklBSpLTBE4v
TRkCRs9M5l7/6dcM38GwTGE7oEhZet9eW4AiJmOkbK9d0R2bDt+ip2MobBUEH7/7cJ3ip719mrka
bTELRT2S8/eNbH/QWyR+dndFWiH3i+tR3oy4k1dKOM+YVDGslvXEgDnzPnicftOCIgHnt+QW08hF
lWKKt78oLsDOxSgrLkUxIXJr9UciTIJSXTHCHcsWzkAvGEmP0iXGgw0Bu3fjbSyYeX6EBLPGPS9n
fesOlnPtmLP/+Tb8+p7ffDO09z3LZLdnsA84491mn9a5hhg30i9TI72APIKfcd90W2LMuhXpEYRG
xQyRzIRRpo91jHM1h2gcreQkMOyyCmsLCqnaFA7lXm1ehI1DtCUFFof0Bx/1txcTuapPcW6wWXtU
6u8+aV+CowQMU1/9Gv323DExATZsBCR0fQOnKD+4cb9toIsm22HugeYCoogw3943v1OdUUZudZ3c
0URSjm4lD1X+wTtoLxvk2+9/AXpgODEZBKDEfbe4D3ZrVh2kqWuDWC1ZFb74ZBrjpYvnmxis0a1j
oVaLppkhsNXUR8fmc/gaqQqjcu5DPfLPVejj5Z6R94y4ynsIT3c1cSXHDGj1yplfLQ9LU9mmzr0f
g6RSswLQKL7B2uVQEX4FYwjd1aad2tIUFvl45zc23e7SB/bZTqgNdAoViIkHLQurCxEE69SU3IB5
tnY1bIsHRXc0lF7/MLubPBT+BVnBZMvq7DZyupPJB+Xp7ycn4VnIEPHHsD2xOb27M10CIUbhJbzO
skiDyGMkTKYDgN7cqAIdftw6SWWIlys7s5g/Yv4ZVlL3f+hSP2Ui3Jij1b9Ywg8w0DNzEMCDLKTB
H5RGYnmx399ZjnXIaajDPA73bx+gRsAfAlaUXKHZJTtz6M17Q1YamQ1SrLCs4eIMK9QE4AFzbMSh
yXRRb3n3Y9UQw2Ma2Zr8d9SARGjO2Qz2xE9uC7eXN5mldknedbeESR5laIj9nxeF33ZeHkT8AP6y
+WINcN4V4qYqWy22h37Rdfk7k0fjlgnbKtIRsHs+UWu5N6r1P78myyRMSvihSEnfXXMQNjpdr28v
IpXf5rz7UcQEkITZDXEHbIVMv7DPf1CQG78sP2/vEVU/F1sUdf6yrry9R5lptsLJ5QhmbG2WJ8e6
Ev2KP+e5JFWO6K3IeLWLE24k2RwKB+UOCs1kxbfCSRVUVNPAMoXlgqtnKgIdZwbm1zXWf8zEqAvC
GZ4mggzxdYmEKb86BIVV5rGl7YcDSPT3vQA/Yu3Bgk7FRYx3RMdywNuH0xk8mTtt8JijyOn95y4n
i7F+KoyvQ7PpGOIp+8by4c/8RPybx/QHnR3hGljXn5xq772UznooXyEADNhtjBVaqe5sexs1MQ9D
9sOw1Nk4KiABZqXGn1p9yeiR44Utx5vMPVnOvds+hXTxnBeLsEei4SI+cHvBp9hX2zoK2pF+7N1U
rydvpZHJvYy9EvsmdLf4l3mpimaTlVgs2NSRQ+6gYPz5afl9L/A5hsJDgoWEBvN9SZzr0zApgMks
NSb6iZEWZ5jcRYhrq6HPPng0WYl/e5W5HG8CrB6c6/zj28cksYsCW7w1XJS1HcRD5azC+R4vPYbr
BmTzxs5pF9ivrvfFr08hN7EKr7F8jdWhMz+Z1g/D+jEONLpqcgt+5NopDlfNvLGyl1ntUL6p6hjq
TGKeDO9pmtTKSl+inng65QNrcbYJwzItDWTIXANpRY9yZMhuQnXBXV6JXeS9LkTTqf4uiDSdTboY
3KFOJWThplhka57nFz88THG7svH0DI4dTDC3PfopxOAQnUBs4gA/IxiQ0VmDooEy0JqjvZzJ9dQj
kmCi5le4GsChyYnOpA74hingksKsmT8M+3ui1asSVNzryJGqxf2lIecv6RlEr00Fq4aPPtHVbvlT
gZFpCOG4Os9oY1Y64AlQm+s0Y8zdf7I/YyAY6Mi3q/S5R7IEacJ7aOtLmn2Hf7XKBPbk8caL85Uf
PfrRQ9J+qpyLjm4mfgVO4ztHEoORBDGGnSDWXUI+jOXf+NVO1Z8QUSFmHte5iYaCJ1btQJ54qNPp
Rzc3nljNzxU7X0A0kO8HdFuYpqkn8dO4jvGaObhhIfHKbgV+BYscYfiVG1U/aA/MBvuvRMoAxECT
C9cosJakZ1h4KwsxB10bNGwC9vVh2SqJjfK+DuJZ8zcVaVuCH7Puh7XKNpEZEKrjqJ1LGmi58zkh
hwfAO+7w2e9oTN4I96bBZdxuh8WTN7XIQm7TX//3ON3LFik6LrkOqGVMNqX4pKpPI9NctLhEhrnP
w/fZXTPUU94OiyFj2lbAezyEORnOh0i+Rt5NPn92+y8zT6aHhcWj6Fgm1uBm4QrUPCfMRv1dBQ+S
uPDxiCqepZD/lP1tq10z9FHZDSezURyyHPnAbaE2aX0HoWZVdl+zZao8Am++KY0Hiw+v1d9746HP
r+F4TRk5dmCYx6PX3sDGZWD4VManMrwzDdg0u5gg82hHvHWmDml+aNRyyDfnPRrJcr43yqNjkNmz
LezLNLxg5zP7J5VvixtV3U/ebrS2dfLYZhgEL4Y6k9Q2hi+C12Meb2xCq71b5OwFKbdEyzMoRQx1
cBhLVh+0m6zfawLMwWxzixbOoOj7rYatZIXRub/MjAFJnHKJPwIVIKftZOjXNM3JBGuc4d6SDZl4
RXRbjtA/SEGMd7FOL6VRgu5whkc/E+jmmowi2O1NGbhOgZoBAMrsrJTfP3pp+SjDZYorqk0OWHGo
FjlYiWRLFvG4I5KHPkxf69u+Y5vKfT0L7PjFl6aB/R8GV7FQ3ylGnEaSr+ig+pxJIusRaP15Jf/9
EEplhO9wOQ36um7/0iD95byt1XaXGrGWX0WoD2cn7teNWS4gPbAGPaQMo8fS4kVfR9VBydIj9dEZ
/Ld7wgdYXIKLA3I5g79rYdnK6MGA2/mVI5x1G9VnegLTtpbWz6RDQCilUlh8aBG30zgEZTZ/xzrO
5KnmQf/zd7Hc/TfVyPJJQBUKhkC+i/Tn7TYzkOAJkbkvrnOuf4rsmb174txVUfASeUsgDuv6n6/4
q6z67ZKOqS/gRJtD4LtjOKSCvCOMjAZoNxBGW5VDIDP3m0m257mwIuwTStw4bUk2RkUWUWi19+0o
Hk02w0PjTej6nOKJBAL+mjdBrLLIOJPw5Xzxwx3ZtPBAjx98S7+0XW8/M14Dj+qU0h9l2vvCmuCs
JAMtnCGG4/nojTKG2E+c6xAqkkmHBBJY3s8rEXFoAnyyS/0iOkuEFhFDRwUUbWtFvrGDGa92Qlkr
u+mgi6rI2EZLsIhNnMjOcxcnTJEiySBMatcZtUMgCdqrOE6+TaXb3ULb3w2T0D/47azfngHLwJjJ
LQGysxzL3z4DHbwkUojm7CqwVqwGr3uc9HT/wV3/rZ6BW/nXi7y762FkZ0JkIXKaDjJXMrvFNjHa
GjUN/2V5+P7cSGwdJ6chmzvJxun810bdw9art6mrt1uYHYExEILo4RIaeoRfzJ4CHUEDIeUTale0
vuGIg6lwLCx+mrevCS9aZ7Xmbv01d9f8qJT//S1eWuqCXhZAVjTk795iqIdObMezdnEk8iZIvjNE
t54WATF4N3HNocWhLlAkSo1LkxfmL+Zaz0GmNXgf3MJfjfx3DyjzCwfJ5DLI4Kz69h5Cxgwnjkna
RTX5zpZmv2sk36I2WzeVLbAqEIO+ndHmWZkdCDKE7+FTUSTglthEJICsbCh8u9T9SM74tx/MWEAP
4B50E1TF2w9W1kOZ5m2rXUhBg/oUDRdzbm6oD/I1axsW4FJ+6lW4HkPuYRFrR51uAhnmaKVIFO8C
U4uvVTG+fvA4Lme7998XB2TeZO4bR/p3Z79W9UQCRnV0zUMPbCDnWcdUuzD3huNchjdO6LfrGuBp
MFojRCD+LWBGtXO0bQOGz3Gsbk1mpZZeavuokwW1gvOz9ONpC6VOD0bcEb8+8JIV9V801u5tWtS7
//m//v+MmHLZgOiv0VSh386ZWF82hP+etvIfX6cfyV8RK3/79/8TubIs4//Om3L/xd2GlbLccZdt
h+Xp/yBW9H+xCTs4jZiSMU1avCDdwgv+n//D/xe+LnZpjus8wR5v1z9BrLyTNoPTxbDG3gGsxV6m
G+679WKM7HDQavmZGJDa2Vh97jRt0OGxNhlhZbi9AqtyyvomXqJTW3NqD2ZjWKhZs6JuvUsHIzKn
ymz7vG4/k0XWYi4jWqF114CM9ClaN3psud/++YP3/1pqGf2jPz5CpfzSfpPJty9/fY5+/aV/o3qW
guw/HxwNevP/fVQ0QD2cyBdKzjK55ejFdf79rGie/S9KSUPglFvauD5/9g94PDwXv4R8/7VGMYKj
PLWgAtHFh/yMWuft0llPOonBqYd2KFZT3rWiOGSZ4SeeUWANakNhjF6H3WcoioLgh5pAWamfQ8s2
tAdHA2DiNvgG2oJKKaRst8SmAh3daSczjmpSgHPPV2TEuFM6W+GdnrDU4bqPwhi1K80kae5aihpr
vHaWbaUafNhGjf2hNJ2yiO/A803RsLLKloZMaykMw+2gSeueXAZjPNVQH5eRoR4b+zRup/a73kla
i1Nh+dM3iCIenapITsUm7SENbzjYt2JXjzmeSWD9MoJvKsNOQ/0F59UDDkHnH4nSBB0vQ2PmpANZ
JWNsSh2rWmFkW+Xb820e9U12V0vVJYcuyeGM4hdOmupbN5qFfJmrEZoDHNp1NeTKjddEIIr4FHaV
P7xkHXY7w4uwsMaDn6/6aPIbXBTwojFG2fUTVyi/+H5T341oY+he4xAsAmJhaYDZoTsdOrJJId/Q
a4Qi0cr+e+6bDeq+InbO3RwujfSJCDTU0TP9WSCkXv8q/by5AcOwlH2O9SWTLV2+hAAgOrZm4jDR
Jvh+B4dZDxR6p+e+71vyjFxLJzGkxXA77fmyZJCN5BUFpZ4PcZD1rUbkdW8xTYzb6mUoYlJi1aRl
IMYK9zj6CqmHNrtztx26ImSrq8ptSLmtQ5gjo2Sf2p2cGXzTrhXXluDd7LmbZy39CSgkIlQeQSlI
jTFK3Hstj8dl7dHcBjMfy/UNrG9EkVNhRv6x9Uir+aqrxTAsDQjTCRljU07oEzMoqqLR8a+9ImAB
p/qEKJDpoLtGiKTdq8FOwLAth/QJ/TEMZwK//CE7z9PQIoTO4uKz1/TxdqwE9Agjiklhtip04rpm
U8iOmSAXzhxbzprA4baZO5k3Y67aF0GWesmxdaJ7EbJoPhVeN5zZAmi02jWRTnM79irQ6laOP0uj
RhRgwzTuSeoid5vj7dCRK2dyOzeELTWYYk3CZOJNGXfTvpsi4a2lSWcmN0xp3BptoaFkL9rk1Bc5
TkMnhQV2LDN+xDFp3Za+aKxFGk2uuPPJRsm03JP1piD9oQwYDFfPOJjL/kth4JnDDTLvw4HQ4oPS
YrI7SzGE4gdvcLGJyjE8kFLeabekDlnd3prgIfJMdOEvUnL7XLiFE5/HOCMepw3NTefSXulyOYM7
r63+x2BX5os/J8Ve2FJ77RloQO4IZ3aavq/ykxRzzjDMmjGqqdKgTaDibUXOCA+nImh4IY139+Bw
Le58XNLUEyq0aGyrWo4gS1xI6cPA9H3jk6IBCDEsoxl5Q0ofrUw6c6PU7O3nYag3/ZgAWQwV89GT
VRuR/sDhCVOHtInP+AYDq33JzTSvj8SpeuMetjgosUlztWyj4sTE9wFYeD8sCWbBGGoivB2tJD/1
npdcjGGsXpo+qp7kJIaXKUOrnRVwb9csElFAhx5jahlVMfDNieydYlNWdrsxMj3ECTlau5ksq3Of
u8LYRarD+ZZ6EbIArUbAqlINgx86ohNaSFQgZN63p673exiYhKaRDlZLupxuTNfYNQsT6Es6uXcu
0XnYEkMHUQtw9xOiPNqEVuGV1a4XZkMGyuSGQa8gL6481XpBGea4VUjgyNdZZYmtrLVSfG6tufc3
jJ61emNUrB1B32kEEveztIKuJO5Hg+XsrLJoyFju2RYx7/W4F4emt59Dj+WbWLq579bpNMGYGBvR
nUrNgNs5juFofxI0/M5zHflqHaIim8jUHg0aY7nsw1stHIsrck+wIy0ttsplUJh3ZLWu9dw2LnET
W/elFoXPZVg02k+yWL1sTZom3N6pKSKnZL2d5k0spjzEdEQIXQAS3l7620UyqoiUlWoOn7vCTMjQ
nny9OTcOSwzy6Jas7GEQcniA/5Y6NNY40XRJYn+eOZvVAdfAeKAv9rItx+xmX8ZjjY064vaZYIvX
nt3DVw4ySzP9FbPmdpxWvPEJ57tRO85mXWaw5MvkAKUSVZ8fVuh6aj2sHhy7ZhgDJUCue500ocpD
uBTkyrYeiN9iJffqKfoETHJ4akJ6dQmGhHz+0ZGl8opif0LsLEad25xj4F5epijzvWLb8XpidfBi
QdaS5CFZpbJL72sbFOUmHNP4FCkL6Jjm9INPDrUr6zVNs9Ikmiqv9H1Xucs8JGnhZPA3ZfUVBOVy
CVmw+4osjfaoA6D8d70+4jE0FSdFnz+rcQyVNpzjRhgp23tnY3c3Vmk0JoX/6Dd0MIw46pnPtK6V
02CXThsQHCyQ0dY608PdYOp4YhEeDvckHnjlOszRlmxHx+74RIo1nkpXxorYFkj2rHwmQAEjllgz
dX3ekhPhbwRRqyCCraZQgaunoEuszOgPXteNgu9KcwCqKD1mQCBkQdRCZegZ86SCDToA7R9OW/Z4
4zwW+hIP00XucE/NNLH8Ya4cZsm3FeUJNU+KSPBLXxCTuoOnS4dpNgpfq1bAdo29WbYJzns/47vJ
2AjLIClHLX/y8wL3WaPpqgvkEKYwCQTOa5tbdqcNRe7BZp0ah1+qJJezpYFU3hhxGgFucfkSdmy5
OL7gNheBQdYLI7aK2+TnEYDdUNoc1YErd+2h4Swqb2qbM+qqsUfrW2nMOFQi12/rKgBE2l9UVgz4
XnQ/O3MGnYnDRFqCSko3K3tVESHxIGIyLzDN+qzcRsmwR/Cew0G32GmfwmzSH/V65qMRFOk/6VBw
vQBudXmh9eR9JvFR+4QqeBk09b3d3scsVVibJD6BukgJjZbzTI9fCNGfm2Eu2IwhSbtEAGRu8kIe
YPS1SELLwXXMnJewuDCybpUmFEFJs4ZTqG9bYuLLRncUMxbN/M5P8tHoj0l58Sq7GXejG1GV0Mq0
Xomn0PV+lekEW61rHc3Yxhb6PK49aU6Etup2uSHsnSiyGKulsyKHop5Xmj+n2KPZ5T7XyiXGuu2i
UdsOujYWF9rZEU6ywhuH60xn8fucJNPrZJSskGU/Slj6oE/IwF4Cg1Zt7TvAaxqw7V1s1OPTxOy/
3nT27PP4EmDuoygGMLxNh9a/5RZLpmcEP+1bXqqHmYjvL6NT1yH2a47DtAGrVgYWGhw+n6ayfG1D
ZNNWrbIgSCAtYglHC9M7Gy9GM0Kdm7r1oXXGomRE4vnVsdUbkwxDE30EbndFhFK1y2sxYEpLneFx
Ulb2vXO7jtQ+sJvrrut6Db177GE4tkRNCT5IYJ8CtPahHK0sWWe6XkIJKFOU1XTAdPNummmOwD1H
IYI23mtPVR65bNp+H3Yn0jiqL6rNHGoQfn2QQ4aI8Di2kTzbZRyHB2nX+g5keHhpeXrsXWUT6vil
gWtNXkOhvHKjOSzml9FRc/OQz87MIjkTrmAEvfAan/FnZtpPzTx0Sx5fGx87EhO8oHcIxtqRoTkS
l4dBFzuJ6w1fw1KzjcMIUBVVUFPig1NV74MX89H50r4VtzYlFzaQlAgPFCtalW6MoUcHr6WN0wSD
HPB1O2xJ2TaKbCvbEBOR7Kc+98dDnqhhF5q0H7GZhEUGamvs54scu5GId232bhpk01gILD2noCTF
Q982Fis+t6O3b8M8NWweCzEQ1IfB+WeSZ4QQDpNjP5Jr6NBApOt+lyplJp8cMmVxBVilGLFy1bE4
Z/XsWhDlhyY+uKXwvhYyrwCm2WF4cHP4QKumlaDD2ZUdAJdaGn82y3JA+MUvXLPtt2539hLd/NFy
RCyBbqeKbA3OCaBNpKuO+qxFX0byUY9z3zoPBYFhyRZgcdxD+B+SE8dOQk746ViD0BHxWpCbGIG1
mhPfuhWDVxrHKS1qc626Svtei1iZB09FevYVG0HZf9ejsFCrtMY6hjghGag4B6f4ikVkAmbWQ7xr
zeTgwOynUIuir25mMxSVpFy8mKMnAbPoWvysuTOk77SuCmhaifvM76y3K4d+Ixbm2m8m1qaub1ak
2rnGqgkr+dTrUoSn3Ja+u2FVwqgVaW1hngxfs6ctWWp580wWV5c8ZsrsmYrSucouxFcX7aHQHdx8
dRVx5gtKIojzmzEadP0EyRavfT12ERqEsKG+I+85fjXTqot2EBGnR6ucdX1TG9oAGqj10v5OjE74
WQm+5E3fx0Kmq0LNUwQ9X9gjcDU3HX8Muqztp9HJSJslAxqDq7T7HTmHAGNmV382PE88Fb2jbhAK
zPWzBZgaeIOQn0z2J+8hbUtIC71nDzzTBEvhD8tmCmrDI3DcYybY7qrBYP4auSZO69KrLZj5VnE/
OogA3baEZwaSn/lL7O5amYUnYwxxVoeZ8azpRcFT2YU2E/qy6Vh0VE98d08Jt7bdAkELKXn22Zkd
o9y0yWzK1SL9n3dNkpAzmjmjnjNK7AioIQzKP1Hrqk+UochKlJNXe72ZplsYob4HrrawyeC0lXAx
9RL1GzRe67hBSAsPXTCLMfm9vl3lLzHPQnmqbYMjxdhx5N3jd6G4QHKbPhZh0U3bvAYuKtXgMGm0
rBQBC3i9QvOybxU1/zoEin4d9TLU79IR5T/5tM49MormhGq/5AAxFi4H8knHs+HqRfjFM3JOLsiu
uvvKGaDeKC8pD3ZljXeDUY3qU2VO0cFOvYa818mNj57X9UfFAOz7bOauu5HMdO7yyOp3ox9h9mUW
h+nWK+n7rEmnni+l8IkVWMWJT1K5P8prRsACdnZi5chsLecK0UYcd99nO0Y/Y7q9c+jaCut+nenN
wPHR9Z+cUERXFZs4GjNOL+joLPx2IYajaKescvpia5Nx1QbLeE4mDSBtO2vzJq9iuas8gRWb0ARG
dX0jKMpEOt91Y8kdnT3S0ztBkDrVpWNRr+Uw5f3WQc8hmjHtiauNB2bhhrfz+zbx124itS0X7OAg
x/AEfMaPI6gQZeOeby1yHj1ypYBGjtDmkrQl40Fhygj0ukPR0MWhlr3aqcaN0z1aoggLqP3JBqWK
PXOo9sIfMF2j12iwOXOOPKUHlDXVJRUh0ZmSzb9cUwfK8r4yyD4hbj73xUZIXT/Mham3O2qB+ht2
Cst9lVrvOOtUeY51CwSrXo6quAs5taLcIk3kM5H3+o039SboUpkUr6VfedOhNYAdicT2H3DvtmWg
sja7QrBvnE02jRU5FR15j6D5B3W0p5Dwv2gglwYZU1m9zpZrwzEhv+MczWp0VyjuOPHgt2Bzi9nx
97MP1XX0ebk23WBN+TGLXdnflJOruetUaP0Xe7TNk+loMA2qBuNoMvTfZssCDlLRU9pE0o+IXe6j
l6gmsBYxMgPFgBjU8TbqDXsv0cvMAcFI9rUYRLtO3GgkE2PhjN1REjNKA6Vv7ConggyRuRFTvLAg
W6yxrbF90OsE8t+sWi0hBwI4xsqQ2mDjhW7igb25cWxFe7uU97Gim6CczIyvieHXgcEjZn7Bkdce
kz5BFmOntusejBI2s6lT+/C2pDthR9mNFbnhg6153lk3yY9dj5UqnD15GvgzIAAffJugJBoHAh/6
hKSD+KFiXxTgbldzxKF3qwYXWQ9RHM3nIvRy41k67iCOdcfEgMXCqkAOmKi1FUtVgRJhaUegLfY9
LtX64Y690r/G6QyLUU/zalhlKocDLeP0sxbarLdLu+HUhjmHf5/cYQKRpJ/yLztY1rWMSJlVM3ho
2OawLG6YTJR472cHzZOCY92LltO6prWH2BKjRmQYXUgqBx9dTlMiHg5oJxonIlF6e9PYVT2goDLy
sn1yZV6rewLrx/lnRQTX2WNXmu7SeaIb5pS054bCZNgVanH/8r85Oo/luHEtDD8RqhjAtO3crSw5
yN6wPA4EM0GAAXz6+/XdTNV4xiWpRQLn/JGyo8HtB7XIg0s8oY9j1JRkbWxtvIxHNXJGPSeobpsD
jVHN02DpoPpKNLvESR+uE9mvHFKxYyQ2LiVRW8RgvkE80oPbej9paEip3RlpNzspaXyDfa9GSIVp
z6d2WuTQI6/9ILHRty63p6JmyaX6WkXfXEk1VxhgGNuN0exhkytFRxIqNbCPcTvQEuEvE058UMo/
FShLfUgT9t/TMm0YwPsqyx4Z8odLHNALiGXXcy+8ygizqEZ5p0UaJGAsFzIB0iGZDzDerjn5Qy/P
rkuVBIqriazKxVwcqy6Un2sS1491CV+440agZdd3PCDHhYIwGOaBVpLdCg61XoOSV+1QqqX51AU1
pdCXqX0NA2e/qmZB65JtqayvaeiGbK9ljjNIzaPZrW4ijWvcfLcexrGN50d8WnTKzp73szF1KY+2
66rp4oybl6/OT6ef85DSf9pTctSqkNRL2XgMqzBGN+GtEXiSXqavylnOzMnTnjuiqkkvZSxpzutz
k7kzx2nXv+W1gKAunErqN9lggSBZJOPwXjOd/qoUcMuup10IF1PSDBgJhuXcxkP3c9Nd8Sji1hHE
IlBF2YFEuVih3jZzvCBM81x0KRWZ83sHFn7v+0rqP5Nuif2E6j83FUW5aWgFvkO7XuYOaWk8+tHL
3Gfez3pc5kd+ruFFhYG4zGqLHqq+C5Jzp3wxkRkqor9d2t99nTOReZOLhzPld8Xf0qTya623u4hr
7dd5ZxaXf6/apnsrOlFdcms7lusMk41vwrzeF4GApfeyTRIeb5YEq6coARTCJrAG1Z5Kf4fNJv/T
tTBXWmFoi4kThm1aK6tTWLvqGxLNjSyibJltdfLjrf8ZAMbzGiW9/zbmkSoRhW+9vJVYcqtd3U3J
esy60k8Pra0M0aWzjxgwdbW3D1S2hScbDEFzbuTcG3CAwIS4zZXk8u97d1fGSZU95HgGEdzmaJRX
iVOYv1SJx6kKdfIXoBHjeU6rZLkXgUc4Rktb5RP3b01QZr9k52Vl5g3FOjwXukFtBxxbLBDXsQVP
EOEGdSBjDdUiNK/cFBdvM9XuwT2mdV6O20blDGuEJXtuS4PmtXfT9Jm7oPhC7VhccmwpiIhoXNL4
EPmOGAqpyCZIZ4a+db8NsgVda1RZvhJYQTyn4r54lpS4EdttnPL+ce7ln5RExf0tTqr0iWrs4BWE
nV9B2IrLWPTkG2B8Iearz2Vww+JYDT8S1aS/pihpnvKmT45RXevPbBgw129ZyoS6iTm9+GG7YKll
8GxP1DYBW3pmWWhAmD3a02vTEsBDtTu5QVbVL/GWNm/Nqlx3EzrFSlzGQ/or5PX2j01EzzfUlLce
yiGvT/i7UyJBemJ2BiNksp/LzkcVanWM/rCuU+6WThJl2bsFFa+5R4d+2KSoz22QRjfqy82vbUMi
wVsaogIPYpEecE+ElygTGcXGMWUCDUKdlrKmyfxUdLb3ejlSHE9SnwlGn155W10pE3X4VpcRPVka
ir9TSOVCMHccpFs5AsqwZk9617W27ZFMSfdfypDzWHpGgPWKYX3x50b+LoKpv2xaTO+cKxgiZUOW
WT6L/DEKRNVggJRanU2lJTFkHUDBMRqmal83bqjeNzQfyXEOFxOc9OgBE2wNwRRr6jVfR9rNSUYI
s3943733oo/6701BUltVzdnwvbQ+aTd9S1j8keKh6M2kgrRNQErv3yhj9wR0Hva3cKYikOfR2ZXT
sJH9RWNdotkuBrzcZw7k7Q1oBDNmVKniNRlUbR4al5n1QZlZEUkueqovMhGkX7oAQfdr5A8UBRX8
UfyK2SO7a0HClDC+RLPa99HyYGWE/6hI86Q4pwWZFUTRMgKsU9RFhxHaZWKtokfqbFNeFg5hXBKH
uI6ikzeTrv9DZavGrRK0hN1XNEYPh94XodzVjU9uHYinncI9UEX8MJZeS79WkpmGKj0qfRgx3RDJ
p4UZ+Xe+pbp8Rh649Fc5JCEBc54gUSHpeBA58mo0lVIbCBgxTx/hUCFJ6hoRH1go2bpKKXqebwcx
RKN19aFqhSxX01nHzFulhP+jMDiyE9pZ7SIwue2Qtn0EJi3Ij8RmMDU5EVwrkQ7ZjpawpZzpQQTd
3cdKL+eFt/+D7hh0yIqvP1Op0Y3EeVlR8CTXAfEcpV8h2NbJJ393elc1AWJrCvYKtzT92gIbfPcy
49CT3mkqSaMpCRp0SU37YAg3xM0zHeU3khq25hv14Yt4TJNO6bdIFrCe9LsHMURd3H8R9RC/xWM/
d7e6kpiIts0kj27WFGszQ/bDW5elIrkMRDWLc94O811PMSTTj9zkQf9TFmZr/25m3RwHUcL6L/2y
6k66HurmLcwW0mQ2lRF9VqraLn/GLhvm/ZZPMj0u61TF+xUGDzYzgurYOyS1v8GpgMsYWJZfgw2p
oOz5OHdYUZennMYx9ewWSkEWrhpQqUlhCW5D0/nH1HdR8yM2Ov4VWMdylq1+faFsePyvd3Ao6Pen
wQwEhddbdR2ByYsre3h4m6oAVX6EY5BgwGCsDrTQJoQvdisVVW4iY1+nc/8C3+D5Z1oXC/WFiyYh
19GPE8IabVgyooBqTF9RHuTbjbKc9hy5eY2fCztk0JQVArl7G5sdCGoKyji7+iCM5pTW5o6tg3t8
LWtEi9VWzNM/2i+34Gbmrlc3fqnyAbKBAjjdjmI6mNpu8pA1Uet/WeO5X29Lr/X9Vnb9jxxmHpz0
/4D7/TvdEAEE5HKsyzItH13fEvaT+Y58sJrFyJWhUbeG02K+rrpc/GuGFuEaa8JeYevAKcKUkMz/
ANfFETNDsN79BoE8x1NPqE4UlivL0bAc6skm998CuzyBxPmDaDL/3cWk8ae14q1Ok2i+BA1p+5Pn
rdeSqbNHD8+KkA86MV9oJ3TYYJquFE+j8BeyI2Kx7qN19o9L43sPMLID6fQ1DSG7dXb3jM1a+0/+
MvrvNQEZ5HWyPjAHOxeRRKNWc/BGuRAyunbNV7t6d7ccDG10aGCHqNZFJ4QpotYPjOIQZ6scK9cw
7sbN1yB12y9vUsSVxigWvnHv3Y0HMBRt+bj20tv8C8ONt3i7WIJFfxYNRvBT24Q6ftnYrtjsE9Pj
B+jHqfxgU00oqUwY/S55AaaD+y9r5+2nMVsYuQN00VA+FtOKKJ85gjz/oyEDLipQ6QfpUh3lOMzC
nDafmrXsTOJERhl3Mi8EDoraWPkfDdwi3DGwgMFY0M75zVPcE9uhmNCqE9TZlyoBrbTDdpOjLw2n
fyGj6UHNjU173A6oUrur4s1cPuuoLILXvp+T8jMuc0fBwmZYQds9bwbxyvR2e+I5CNisDybWsz27
PirI/yyr2jtvvkebSAdPk/0IsMX2GPxLtqiSglRvWI5iygwKltLQUjnmANOnRU4DEpxqHc2HhoDB
88+rqaovmH4LNF5tbcDsb70aRL2SpRJJ6w4zwtGCPO+tKYU6BBjQM33OAKUVOCuNzJfICSa8564i
xPS/jqeGKd+tW38sGREsQ3ESgCXxuMhoeWyQxE4QTJBlrAhg2Pq1XSO1vtJZW9H+o3WTFwe1IMsh
PpGsc5xUoWkKXFrrAMx2Eeyu/c6n+Xiqz0XZ+AzJK+C8v09bZ6eLArJe95Oc6/KBXGytXjg5LPM0
1C50IJUylY+ovDU9LYt8jCbaFcLXfbALlqUxFJp3FqMAjpB1IE26JPk1+dvLZEywJpVh8cgiq9vj
0sWqIAuShKF9CYS9PWicsVyPXp76lvcPfPlbL6rWHlMTNh3JqCWHWxchHbkOuvDrZ4A0UlozOy44
HlRq70LjPMv+joh2WkM6FMs0zSRZ3IcH6SJHLIRao7scqC8Ua/0R8mpJbvFKnSPGquWe5AFNXGQM
EmpN2dRX11RVeFFJqQzmkMwGd0A6YBPdoR8p/4wV3Nh9WO8MKVhbSndAdG5WD+Mj6r6h8LePzBvD
6IyUBi6eSclK76xAY0KmcSQm467IdBiRxEdQgbfvk65C+55KOz2sQqvqSEt5rhJccIXtL0mGt/ps
494Lj2PdzGTxjUUNHNXbBoOKN5bxmJ85GxbPXEaPl+hghIYObmonlr9QMM1YnMJ0Io6cny8ar4p2
dfO2LOXq/avSXIBt81YM/+lCQKz8i0ptYYBl10lILIblLaN7MCj7qiUhEB8F8HHEDSoIyxOj+Duu
yOBpLgm7+tygLxlPQjnaf+IKKBhSDlxvR5ZzMz2HTcR3rIJRrbc5dbF4royryRfd/Dp7JZWuu4f/
07EakRI5LFX/oXGOZf+EibG8qHHw+kfyHJhQo5xSVhjjUgW/qrj1ILti0Cz/oaiNCKBSozH5Z9oE
NTLnYEeoJOAy0R/1FgQT3jBKyp/mXnZfvIBleT/2ftb8V62e7U/OujQi+QTcvQFL2iGzKfz+uq0o
Eb5MoW1zUqCViCrqq7UITrOGKCDopy29s+j7ITuiDZuKz75hCLpKJVbx884RxBQPAt/84Hi856su
zVB/ywVNxc9GDwmBRy1VaYRCN0OxPWTtahb6TrqgH05TyVnHbTFV63xfJtKAZu+iHAh2DlLCNTNT
ePLQjI0TXJWbWn+ltGgEPyxgaPQIEMXwvMs8roCPRsaky3csD+Qf+/5gSFCLN1NtDSdWApEMK5hl
sKgeep9mAhPzBnxBcduSAk7YQ2q7U7JRX6qPE2MvzSft0Nvrxny8fQ6SvfamSdcVHlqqUWeHYcaW
cEWnE+ineZJR+o9/OhYtTy69fcb/zLFwBRphOVv7exU1rew8kaw+eVpdl6rtSPYDC8tPiBPr5t3r
vWJPSgBbAmeiILaalWqd2SrChlhJVN98NM8d9FX2Pe567bL9FM/O3JakCNubQbqQnwOfs/p1jfmX
S+KR8FPtKs+4yuyk7lNmrEyhIHi1mgtzv8mxwPk3umBEUb7QonBqFr9pP4Zu6MJ3zg9EFWd49q3F
a4j5+ODm8t7YZRqCGx4Lkc4es/dctm7vt0k3fZONFf3fuVVe8Tce9FS/cyL3MFGDNPlh5KwJMMVh
5DoBVNb2GytYSgptAcL0KxlzRpUTLoy2fuEhX/TXbR0yyqndIsf1fVLKysfGX+jEZsSEP3PxVvr1
jogY1366sodFddRfF9ttm4YyOkkb1P4/mawD4fCeTd8imIB4gGN5SYo5oJcjqCK+yZfKtbk0hPX6
eu2u+Mmn9RRb642Umfu5nn/NAzZ1upnyaMp5niYfMwcVyk5VD8AgpEOg4KLx8MVtKb8nghhS3t/f
NTFmM47mqV+b30GesBQCQ5W9JRV0Zu4PH/20jlamF1Crfan1RG527VXLzp+SWBzruZjgogK/9gUl
q62071JR1Beclzs9/xHUfUrG68RNihZnbZoAT2FGd9uPeN7yYTim5YJaE1+cmrf1VHvwPOuej1eH
T0XkEynGFtWSZOgrhBuvPbo+H9kH0q36gvxkaCikAcH+zIPAkUc22NYVUPqziRlW5zkhDNzIiS+a
Iah7q8jHindJGZC3D6uBMVfr9mskfZwS42bCP2pR44+5NPKtFSpedqES9nHSQyyxVMYkXHajV2XP
IlQ0HY8tyndst5nd2nNOQNZ2HNM2ZNVuQQDtMfZGj5j4qZ7Vex6Eo3/Kclu3f+0M7PeClitYfgTT
EuBKs7qQxEWahD1vl2153J6RTE48tFvtE7neOU+6R38d5TM14uVpzLVbYIwEos6yRjDn+fnMXilK
ATLsy/G1M3l2yVMNhz5arS5bt43PK7owgoB9a8njEffI1Zr0NtqKt3dZFfJFGWgrqBhd/RjrKj6X
cxjfojAuiUjPRhJeIyF+xLHkr+cChCfe8uLbMGXJoYyV94txU56R2PsPPr+NvTcPFDGt3ESnqYf0
i7tI3kYvorRso215j744fO3mdn5RSoiAfsfpHoBZ0xAQMjw8F+uIozDcwqfMFR7EMRj0tU8x2nnr
GuxJFUneg0AJEvezvtkD1Qaapdsh8OOE+NaxGR8TCuI/E2TE+74su3PSDsVh0GmJ62wxN0FMuUXO
Ng4fLE0d4JnwFaRs1uWPra9FRggABikAx+azqjpo5aRb/3lJEbsXqB1ClbeRIABV5+qPMQtt7hHP
+P20VMHvRm73dO3UL846dnY88f8j7ixUwlsRlc/pFFY/22JC2eKPJvqKYBZdhnQx08E8hdcx7iht
yVX+GFCeRApngTAloG+S3/BIwifn64DYsp+Q0OS2GBFNjuagBlJLp6gJLtX/tbnA6hnA/3qv0eLh
fQ5X1k6M6HnyqoISGq2vl/GLZyN0u3zD6ims1yWgdZsHsRib9qmuwWWuPmqSfRrmXQgpmmzDLuhF
QCfWONJfJpx7jgl5JB41anH9eiRydRYpDpdKwKOhVxpw845M8gGQ4kIpZnyuXVrAtiX3XBQDnggr
DNRdEYGd7FVYl2zqK3L4SM0S3S2gyXmMlfwBlFWfQlOt5zAl6hyWDLBwwiK6X5eqvK5oMl5c0nU3
lymm9WqON/BJVKz2Mdh4TVnuWpKpIO1BDNItOiQ6ah6sK9l2NUmrSrEy7hfIXYBK1aLxiuuJjMat
hpxV47YiJEhFR955AG5EVUBgjjCFUfcMIkluQyBhKWqn04MIhlQcWOabA2rC8FqGtbnMXk25ogac
veacPdfJjsMl2WpLagyoZNO100PJH34inu2Iu2Y5TTdJkrMFFWZnSNWlbMPlRS91+ZinKnvytnxB
9pVl9bM/L2DQXhwn76rNkJSFkZCXfu7FLU9W+Z8HwlNzvFCrJq8u6CvvFCJw+Nrnovni1ZaM385l
t2Al8rcxPsSo77biwtQKq5HP+PQe7ZR+S5qFIXMjQ7uwPiG2QCeP01KZHvrG9x+XUg1PJXKWz1Tr
JCBVqA6PXUsI3f5ucEgv0mY4TVUT1TfsA7yF/tS2L2NjERSlXDKKoORo166+ehyRs5Qn2/jmsM7p
NN0kipc9g1/ZkRS3ElUNo/fZhYj51yTqLyzG3Wl0Ww+BmgU62M+2+8HzTC1xbgq3r5g2jqPI6qeh
yQlugj6Iny2XE9pOeE5uCTipCzXSvG5xZ/MvQNHb48SG/mk92dxgtcdjj5i02IU96GBBf/pe5c38
mg3pdmgqOtUMMO0pCqvkWTKiPmbNZqnzaraKOhwG51ezWD1iIdDVR5+ky2vC72HPrR0UJ58z569D
yzocg43dSiOV+8X8ldGpFHTeoa8K8d5h7LgQ68xyu2tjAi83vZbfK+7ZH2XjCFqdakFHkvRg2zBz
LSzVTbyWRBXYGSo/jn4P9NMSUD5KsBIGF5AWo7PgEsJ6NHs3GHyhQCGyOyRwW68sTvcKoaj9atAK
P4RDmH2Z0sBGVwOWRXz3tvQvGzIXf7dkcv1a5J33XGBzgaAYsjcfDOnqreNy7SESyLtYTEpTAFkU
5wK8+S8CzCiiXcrYDxBII05FqafsMDG7LryjBfDl5ipZHHLTzIdRt93fyN9oUowjceP+r8YvY9WG
2WEuCRO6Vgah7nFIhvRLgg6TPtBmpV5zLZXiq85RQAqyR8VFE0jSH/rAJyGZ+Kqvd0VEijFmU2Q3
qPZYFnXXnj2NHfFcYHHfPls7JCTqrQTOYrNHAxziTN7k9KdYVQCt1pTwgDD7qH28lYYqgeO2vFqH
VvooZNaYBb6jlwyDKjNV92LzimzmGCUi8QYe3MN9w/fzONlFk2ONvIdEhQ9cd0RAZ2XSIjTI3bQw
HAn0KgZxd1MePDkEyJDbrSymYN9nyN+ZGAklM19CF5WPKd8cUgR4QvJV+cyH7wjJW6aVetLTAxNY
lu+GKQ5fozWf+jeRNdI7iSQd02sPxCVZIDkLb9yC636NJhQgeYKN4KCLlGKpVSz3fJmpANkWRTQ2
35Twc4WwDvn8yXLo3COopokucvY/tIhZZn7IMmFRTHvSYEVVDvbPzFK4bzIyDm6cXeKXx6hBq2I0
8dOLnuHHIPzk5dIcIrtaz/WEiLNwyUlWRJ5e8nXZboD95VvR3g0jW+VZ+WOwWuvvqSpRNGyLIKJO
jSIAHBUphCz3FCNwAkhbPkzoM6tdXsm78nANcq0fymIxyRcl+RjOUbBl+l87z9R96Y7Pn1lVc+xf
Mmt08hOsdjkBZiB6bZMkU1wlQ1N/M65BcJstsLQHW3TRqUDjq3/jqRkst7WL/fdhBCR8hHyZOlCG
1ST07qx90l+pcsbUdPQmixt3H7kxiq6gkOMXltJAYfqouxtu4VqhTfd880rwss2If8iXHkmV5v7/
RiByQto2hvftd+SPwJU1XnFLpii8DghaIUkCG4MyuzCDCJraZsMJdfCWvgQpToJcEmGYgEd2+Cty
/G7DsV7DJX+BHRWniKSA32NI6VdnPK/9VWwzO+tWgqHsVB3lBPCu3XsydytxNFUT013Qmeyi/JK+
s8mr10cB+Io9U9VNSa6WNsvvLIrWZp9XefswrLJK3nLkN38RIC/VNbYtzUprwwV9t8dhvqDx+3dr
pOGHIyb1uVu9+ELPY/W3Ema5Qa7F8cVmnntE/fvXM0nKQVUlZdj92NYRDx3wF15t4o01900ht4Tv
OYH14uDTQnnPSKx6tVd8gMVvvcnInCeRmHA6LBXMLCpC15pL6FROT4buI4H+nJUu8y6TZJXdx3gb
vFPbylwggwnmlT0YCxXSrDrNmvK1W+Cbz21GENqnsIODhdNjttWneU1K97MkSzTZ1Yztw75tgxm3
VqApOKuT3v7dkkwT8dd2csX1tyDIATvfEOwoGn2zOZzAYtbI0GOYj2P3e/B8RTZLzU0MulDYSHzF
65EFLcPMMmd/BsjH7WmoLXKfcSnRsDgkYDU1XKrsDt5c1BWQ5WZNf/YkKMzR4z/HzKKmIYhtQHlP
0dTYZpndOxN1/2lq6zN7W1Y0mTmNe0FrbpFos3zbm8rrE/Jaw62WbfTRFG5y7oHWnBEUhbFr2oKD
zkG+EacsTbc+K7ICm54EsVES9uyclRIDDzh4N+0jHzUwSKfXHOJyc99jYwbzEU4Fsc8ku/k8xkwv
cUm+kZjH5lrXVv7e+KQavhRxJOsx0qkYf3QjsgOqGKHoKT+ExXS7MUkdwiWVhJRFm2Xo7FHNol14
JVrpuhe/lwtfdgqiyn+y07CKN69XVSy/AlZV8dFLR5WdSwm4zoZEoSnqaBf1o96nCkPZY4FK2eaE
Gami/Wdr5Qe//UzBYx47jeDXmyN4FfTsb7ppaa9j8fWJG0gAdt4CM6BH7clFXh7Wko/nYwQMX48S
5etEX3Qtr1GNBGrn9Xd8Si+rd/JHAFLU8WsLYUka6VXguXrgTCIPd4abuqHTR0VIrOfvGlbxUKNF
CimagWLOyqW6JSpfKFTJSOkJdeI/9sja51/jYDmDjias8vEUqWnxs9MqpeESxZUW3YEPp5brMKhI
7AO+vxpfhIj/bFWPHWeLxupnIqw9z8tGBUMQtkkEVASQwUPq4NYbetbvTlXh+/vCpfOurJbpNDR2
XEF7+AUcIznZp7HB9sih0HdvSGDzWzBEJD8ijc3ZJsf1OcY7+mkN1MChD6hpmKcCJy9E7bC8hGJE
JevGmMS+FAXsdEVvsT3UYYipBC1uQyLXxDUJRAxCQLtZm/XVWXvjyB/Vm72Ojape6sywhFnyfl5B
9+P+Qfb5zJPvLeUbGb1qoLfBc0+BRpPCEg1tGkKJzhQ8bMZ76SaI1Dv1iWK9Zgt+H/w5xezajKTX
o8kjva8hE4gX29TeNVR9kB5bjDH6RKKm0/skV8NhSILye+hXVPNlU0r0t6ph0ugcncVzvDXm3Eyo
2I6yzHvvkK0o4JHAZM2+TMFadiY1xXDqpK+mp81ItjisbmZDrlBDRWEkWvlxmd2yH6sSw5dEtSQ6
TLhzOAd1brZrG0YzWU9YRH65Hq8BHhxUOmS5qK9B5jyyHa0gdQzBSTs+zCi4MIJu2UHXczkfhmaV
V8DeUJ1y47p7VAV0WwUN/i1eSi/FXDy5vyrCsfugk2x+bwkXNtck2uYv/hLTN+SJqTpHQ6760z0I
jrj6xBI0XVbByvrst/LFgKS8djXVT1ouOnrWiR0Jo8IpGCmmatuO69Xbmuy6WBNfo7iJfidZsoBP
KOBxKWuyhaqSX9e+zKd2PMY4O34nU1FdiNhPLrwq6si2sjCAGUC3W+nY7a4+thCMmvW4ZU/DiEjw
ogWKmJMXOuY3UjrgSQXKVuQy+QKx3mYqOidajUfqRyNicepZ/7XFymrLDh+D/G10hfu6pD4OXJ63
ebDiR6agbT78Fq3TIZ8NgIfE0oZ/Q0Ebc0+TXlZ19jzYhArCZTZQvbYYmJrmOiAjOEJCAFqQTdd+
8qk4zxgHPsasAtUJdQ7+1SZEx7dDSxwdDF320i/ECQ0wSEgIyjCmMLPCxreurqNqvfDcrp/E9JqL
qiL8UrQ3N+dEqskZ3dFk3VuL+XEviGvA5DGP9tk1Nb4WXjvNxtkky8Gfq/EQaQYP+GKKylwUtC+a
Z24fAnAe0sAr69vY0Knpo+sV6PwF2k0yd6GxoMrDrxMHE4FTNpFnRS0GaXHlTEnAqosJBDhsUBUB
9PTedUxtJQ6x0Bmygikfzhv0100gzWH2njAAU1ZRI3DekorXt6z7njr3NMa6VAWIApVn4ZODKY7c
pUQgjt96IaCtSgJJUg4MwsV6C9VlYQ1Opvxc/MEors5ZE6uf0Ygmd7flXngNJoMgpjNJn+wC0EQw
ljD/KfEVfZN1S5X8iGrqhsOMivZo0keSmrLqh6VI+yMKonJDIQBL8U0Lf70aLf3w1MEWsRmWQUar
AmzPcIxK1fwR0xS/6nwTzaXFAuztu5D2+WCol9+txjcoMT1SNTvUhxY1c0f3LMExehDtsNcwtFcN
mUvpjxtfrQ2b/L2EFX0ZJvgX5Awxu1SN4AggvyM0LphNER071j96anzks8brWQAXYqt+x0vn8l9d
1+c0s3m8ZV0XJtQzTEWMGRuI62IrVGvtjoYT72Vqe1thekcKIdwKZchpUH1R2usoL87Jg/fhhBh+
puAAmbwClyGOrrwk/5CRzwJssWYhBGvX8t8yGsJ6hALr3zVhwaGKeUUc0gmTodKh804BuoEPlzvE
tQBq3nk0Y1pwbPbkJY4YLX6ngoL1xJvTvfa1efEqv4yPRc+xsdcVxTPcgi5+wmE8jAcQzPx5ZXb5
tmiSrXexjRQfUL5Y5NIgXAGVYuFoG9qE4np+Z+lV6VNiLc1G/Rg+psG4VrcML0V20j3c/S6eB9xJ
nmwD/R2apGJAhaUbryvlUd0J41CLjBd6Na0OyFYRK+AI8J5yng99QXkw/UJH0DyYxEV3P8g84e0m
0/UQ5HM/n2JdJuAElXxG69EUOyU1aFqx9uay2Kr71YdtveyAzd2V/xw+h32HZpbfoghuVGAs/tOA
XY0KIF/dRGjai7DJ8Mnu2tlHp7PVXZdhjkC4B25R3CSJXHBrJboAJSff4Wbvy2rba7xevfHm6mrW
xYI8ezVpbh3bxbBG478NhSq5Xz4PLB7HDKfWTjRzcMt9xoovS2I9BgWZFX18bIecpFde4O7Wzhot
BNJJwhnTsX4VsieSsG3vbsvFX7BR+Tjr9Fej3Eb9IBG/Meqy1vnR8AfTlH4g4YNeImyYSCaN8WKy
EJCsNkc03EwjXjBbfcbBNiQ7IgdqhsF2Mhf4uwxPDWEhB27t5YXhdRw/8YzgPEegFvbXlNkpvWxy
Lm6bE+vP/5F0XkuS4uwWfSIi8BK36TPLe3NDVHVPA8IjkICn/1eeczvR052VBdJn9l471oyLl86t
UQkl6We14Ph5ug6R7Wcv4gU3GltegiEBZ3+phfnFhvZ1ffNQ1PBEs+NFvZjSj4G7rT1gldgZEMnF
QXEaauHLQ9iO5oYfEfoCHcLwT0qZvvmrR9qd06P4U1XhQ2KsPJgEiDAJLQhLfxRHwU4krUALdBk+
DaQzGTZE9EUmvcrVcrt+cTgW7HDoyoOM1QTuWRbubDxP2Yxj+pjA7Mnh9BrEd3J1oU3oKgzIIugn
jBDH1S+GXz+euqcRTcK6WaqQoSOPApv/CpHpUym9+LmpdLrFKDjtxmbx9k5nuj3ni9otvkSrO6Ik
m18jgxwjWtV4REuX9M+ycbP8Jhd53h0DLgDF1LVcVrjZIDzAc+P53bFe8m91zZYKrLZzboPcxfAm
2oWhr2V7kzD+DTQ/GHSJ6SFFaneBQlb9cUDIfA45IAIuLZNiVJaobGq8RgfXuNdjM4flQMMRtmx8
CucQ60jHp1mFZo9bilPHOj4Z5MuyYicBAYM/RrvFhO534rtrsUss/L289xE/dMt6YTdlkyRcNJUz
iPCZi4ZAiw4f33hEr7H8iFTb09AboAKUs/BtwqsPqkX08B8vYpPj3s/Ge9pKYpcnGVbPCbrIv9ab
I54nBq2bAcjecW3NeIeiheWutum6xxHQPazMYM7R4oNEm9cKYe7UMuDLfJaXe74X52UcibPf5Ctq
VSXZ+DPaIRjKjDHfa0UnsHdxJ3y6Ge/mv8XttPvtLEgm/XFF6O0tBVU5vuR6Z4TpHzAdybP2XIZI
pRkTuqjMJf2syBKNOnadmdlcgYdouV8GepqT7nNDN5M36lgwEUbMHy2IQrthcJxTJTzqij7Cr39w
sMGNu7VnJo69OuY3G2kZUT6VK08Z/xl3i7Z8fVVS3w+m0Xcpv/BbdEMYzKrUi3juBgzF+VJjTuth
n22EHOsL7Wa4xxIi/+opwpE6aNKnUOEMpGpqMqJLgBsJLkBtEXDiNHiN6ijo3lWXh6yUpLCbkslK
dYpEhxG3zHXFuSAxyrMsbmKiPkVQZIfOCwEI0NaQSy1YAFSv3jBGBO41/PZYxbNlOJlAaLn3RONV
22kM8uRUM0qGJQqeBemLYKuOF9bESe8h57Y5/iDislyWzVGVHTuHMItHfKaTuZvwkzzUeUnfKy1D
/kdXaBT8iCRDVA3s1Y6ek5HaxkwBtbvEvtrD/xjnrVJqBTxtNX9FjJEHQ/XHzLLslToTMWMY5nF9
g6y5sLcuoHcEenby1bHuRikJgI4cfVt4XeLdDqtLwHXjkWeAir/tTxHDmw/Equp7TkrToS2UiGO5
i7q3waGPcrm7Sdtd0eXpo22cHPKBFx3xyDJ8jNiQ4n3tZoSJvropp7T8Kmwl/gYyjJ+qjMyNu9Wr
bXFDP4CQkdt9rnc5swQGr8ye7xtYM39kUBUPml/nExL2EZO3qJRkJ+bPi9nGE/FOZ9AvfvAk0CIH
+8AfB/gMzMRHKDOYGLaxRfPC8gJ23+rSkQGGpvQmPp51g0FhmFGazkPqUKwnZL/yF/5X1fBr2Jo7
SbYXWTHRCwweVkaVj4k8LAUVH64XJCbvYkaufpQpgpe9cJPkvExKHoMw7x7aqQdAvSrgIjs+zYil
CHHeWTcW/qdd1unDlmv3L5Y9QYzVEmNlbmIqtI0oJ9IUW0QF29ldwSW0KKBuRczY6X7OVsu3E7Qo
TkU7sFGWuWCQnaZI2O9WmVVPjugqceesAUqWiIdWHB2b64u/Osu+Xbz4UgUy/ePOiB04hWMtbqIW
ydodzKt63QH77ImxIF6FYNFqdB+qohkAXNv0qW1n/VoiKSZCPUXyddNSX0iISWvIiq5E6hevA34p
YlIdkuTXsmZuljHTtt/TxBdUXY2cKRL3qHfrE1t4+5CpNAXjXdVEjGVld4qmRt21s++eoC4t/ifL
eomuuqRyyBW6ZIq6sR+fHTr6kATVVErSxqP1xFYLTDJcpfBlCac0IfmHvgK/NzbfuwT/xcqonzjE
2uBH0HPCLty/Yv0v1nHDgyJGGsKRk0o//qq8OVCvQ6Obmb0oWGGFHSvxqY9bfl625WS1YOTqc+8V
Nw8HAxIH37/xiDC4L4ki3OlCTzUz+pgtCLa8+AWJfzI9oc4XNOlezjEgmeKxqYB/1j8lYbQSyoyd
3hD76mIO4LcylP9cSrvwLag7J0GPF0cAyUfjyhtrM/g+bd6iqMCSP2pOWpnSIhYAGP56odEHISs3
unP6EZUKXigd4RGY6pU11oYZEeE6G0hSPnKrJCByuhfTcseL0u+jSMMoquZkV5H1AInbnabj6jBR
hFMfQhFqgqRMD6g1ootaqMf9xI9va4wdmCqWIHvCt9uhL/AoEmL6zjtCLuIfK1XfhNQL+FQefQdT
yQlgFI4B0AcYgdvNhKy/wkxZt5W5KwUx6nuBD2rYGebsIB+8xRa3Ex1EfqyDkZG3Moy/Nm0ZFOYY
tA5+YDX24rYcWtd+Y5OJgrce/9VPH/FB86Fu1KGbOAQxQWsIa731rheOiPeo3SdxYI7rrueQedFm
8cZqvHixi9vRwqS7nYIMeSWgnZA9RzMv0fc0WwLFs1HQcKN1YsOR65h7w1XNtPxdZNm9DCy4SABg
p4GYkGT7ksH90pSl+FeNTas+WEC42Qllg6r/b/GNVqSPZ4LpvQhiuewCut0y6sJwp6uplqzXRX8O
qSjYSPudrtfDgKCLVz/E2SJdWyc3NMGr4WeV609MK3vbTsXwkbKVKh6FjcT9FfRLRoIZ5ACPh+1X
t8WP4fxX22GAjF2I4cISk5OM3aBzW4l13iPxrDCMChTOnhpPgy7jHTChFvYHAnZw3EUb+m/OVKP9
MmEtfgAUXBs3q1SmvnTizSwlF7Rt0zxTUMe8GlnasseBL8MR4vv4mN/R1KL8AtPF0XyA+4RKtGd8
K/aJa9fpNEc+HKmKwfJHUDaMVRgslgyIIpsicarX25LJD1ivHhXVjh++xYdLRnJqJsXyexh4+bBc
PJeJKo7aZDWp19x9OEg967Rno/k5oRpnJoGDgyX1YWoWf3xyPJEikozjAtWo5o/EhXcVvoz6iVd5
foLFRAaNqUlqs5Z46tZNoz9M+OUdWvFxV81yJcY8orIE3Ya8+4ry0vGn30/XiUhx3YMC4A3WC3Ph
4ivoEhFtsNQHxNGwL2d0Mtdl9MuCH5FUym6NUMOwfAjqVmBa8cP5GwpJcpeV6Cf3K3YTgqlXdznO
IVXDca6dNATS0vXRvlqU+67R0zNQDEOIfRk64PHEiyaAw3V5UaNNQjRRX9bI6tteVeZ1kMiHcZRk
tjrCwLHlLlJ1PWwgNzXPK/3yNrJ5dT+w+J43iScjAlnkCi4CbZpANHgcEevsHVr9/3j9cUU52qf6
8nCDAqyaZHru5mmWp6mErXvC+LW+daux8zGuQyd8LgfF7i5DvFptCUyFWYCaK2YcL8EofGEvX3lh
dRYnT1oxxdrSmHcfkg8+A7twOeFqSopLHOcp3tjcYQAaztozWyP1+oWofvyhSSjJ2hgX6HDpDEFK
RIwQM+Rqh5UG8MXLr2lO18UCgVIYzAjDZY16JRshJ08PgLYRxykPUSmLlRzNOBdndBg5oLqnLhMF
yjM3VodGNv3d7HH9PWFhMv5d4lXhJazDmmwYwa7sjNR9CG4cL4a3RB6s/62gVEgPv3bTYUlwIqI/
c9HL/L5CJ60+k6CNz32E8BOC1aQFBIbCs89m9Oo32VLzVUk27dnrlN1N2bSr2okYjs0CXCp0P2ze
zr9p3TqnWbd+TlTrsjxXTiRGls26/RddZbdbC/XYf8RYEFQHilIHTWAlIDyFeUFSQpY63W1FLXMH
OYGdQRKEumdOiETyLOsp3YuUgVV1oAel5BqlrbvjMNJMIshfQ6a1TuI+Vd56decuQdWho7JzePKw
el5qVPY7+GVdQfMxr2eTEgVF5rnHMhsaCvIhF25fe86aOTkFbVI8RhHaI7BcXvPaIsn+kwTwjn20
T7dFp4f/5qgMPLS2BsZG5rp3XKSG9WWffLhYLedN3iNH4ukK7Z1BuH5pmVhuQY5oDJwtE+dHdjU4
BD3LTu6S5MwnX5ewKVA3+XBP6u9lddxDOuOIpERPXf5pF6TSPvc71hv0Qwg6Kdrb7nbOXLilhcXf
0zPj8PcyTtaPqpzqv+VinQv5kyw4+j6MUJjBySW2KlsCNjE2eSlYTtx2bVe+FWZCQMyXD+Us4oUw
ceoOuxoWk3hV2mEJ2tk4wK8YIWW8+i8QDoyjIEJigE3Uo5ZHJyuG6i9sBOwSeTgzDIWrfj0oF7Zj
0Oq63zUZiKgtlvU3NyJ8cxLHEbewGhvnjrFJwcvCNjBg7NEEdh+5aGzeLNB9LidmK1csmplvWNyL
DkMPl+K5LoQ5Z0wA48Oi+tXZVTgyjlysecYJr6YHruKeTXaW1AdZ1R65JZ2njmKqJnVQpIveRqbk
fnCog0A68kQ5IBaT5pcRMcTRBOMFQgh9nYHloz6ta8Io0TXQI/BbVmdezBHdWNCfB9SehOqSm+zv
U1KbOPBR0l2lnA1Wmawa23inIW3k7GUC9cd1bb5Hci9uAnQA1NFhgrZ38DP0cMM18KXuMcfxMIA/
ztIEU7cElHrpmkSAswF21GC4xVRD4cYujTWRh1PqgFtk3jahZHpp58K8qKbPcbF1uHOeqnykNE+X
RR3cCZd7PLmT/wCGYfWP3lDr/Lx6mDPgaMX5a8c0GjSON/T5HbVGdmdyTC3gSCkiOO5XdxN2SdI8
sjJehwf4iiivIOJpeTsPgv1es9R9QEITGTXnEPQiEi4n65d9OJq2v1mXpS7Q4zgN3rYgwTCfsuta
tlkc4KQee8C3+KlQFu7QDo/BFmQGCsnEzfzmX78CJo+5vr4DpeXz7JBPHDqWc6nMETJ7rj83LH9b
1vQhwv571VY9AcejlQ9j5DXva6RKu+9Mb1+YJ4r8mSQ4ztRt3RSu+cpWL2mBi8mE3UPs9Uw2xgnL
ugmZO/yTRVaH3yGtxj9bLdhSBzWLL9H6xTZDQCKxpA/EkobVFDwFTTRE/NR2Xl+pk4PrjcXEptpl
sV7FqaLB6t5ik7bD38rIrPilwyiwN+g1Ky9yHTCdsxji5hXs+1aEspUMD5XMiJbqRS3/dTZK3qMs
B6DBpptrH7UFzwVbVm1eGQbyZu5HXBD3kWO89AHJIULETe0uLI2XQkYfsazCp9nxyvZk+mo5B2GD
AMJf2pewMAir3DDBvqgt9Kg+STuCpYphuagukt9dD4DqT4MT47cZOEZZZsbN8MdGddLdp+gsgjMs
w6hBWSbpBTRmUKYcDRrz7pu2rl/+YqFqyx22ZP+/Hjh+/SiulA+XXUCAHrJJx+Y4oBbCIi5pKDeB
SOVFcfLeRXbRMRwQ4f8Y38SnIAkQmYiukfsgjXnK9dQ1W1cI66HcCIY9gAEasHZOMM0AwVjPClXU
/NlPYdx/wdvwFXXOkplvgi+t5VYu4g+0BlY/86R4wzsQwR52xJyMhDLOTAExcLflI2cEAJjB5kg/
NCP7Ph6yvRZJctNTh5Mkk3oAsbC7TeGpLuc6P+fKz/4haRfNjpPaf6RwnS5Ju4rr3DsZf8u+7j47
NWO6UFnWn3B4jM8aUMCxk0P3Y4A+3ffoJvSLdLMC9YrjJ3fx6JNDxadwWTajhwRWRdWjfpnFWy89
TAqhCkbaQDb8NcUS7dmORinYViR//NaCOrJ/07UIgBa3yASnXaLAa39xcvNPrhRMpLyqNLzvczqn
hcrJvwwhSxXET6vL1sW6XuHuInjT7yWMD5JrtAJdgdlEiC1fo/dFsScgseRVr2CJYSnmiZ6diRAk
kML2oDJ0Kp+YGBQiQMeE5smtB57+jY+zprudMAF2OyKTYdJEY66PiRKGgVmLZohswbIooHVpjFih
JJP7MSpMRUE+MhFsh4i2YS0q6eCx1QORx0p3fnsGK99EaF+7+e/YUI7fqlwyADaDym5nfBA/RcKu
PSMBSk5o1Fzi8HYBONMZ+EQKOE1Xa/5En44SSg8l2zA9z09pADzbbvE1uScGqGxQGqwAP60csvWl
aMIa7iu6jmNAkCTq6JyDB5Ib+VPW75f+lHPpIlzmia7H76Zs4juFFaVhadgW0X+mVzWRXXla0rYh
KuWZuUIh+/QJE1ZbvdUFFMf9QJWmDotfZvvKh09MhEq3qD1xk0kDgqJM6z8u5j3vI4hXDwlDCKHw
bcK3UH5INAisRdHMpvkFZqX/wtJPMW0p4DeWriDTrOXo2odhyl7C6/L22AQcth09fX0r7IzFukDp
+lR7WuitsE70yPQ7LfalB8P2z+jnEw8IJNF4PFLa4DeBuEjTa/xzSmHj71g7odiT85A7uyCZsCmg
NsJ4GRVi4+LyPDYVCQBUlc56Wn3pOK/NCMb7KKc8K647ey+7XQMHxF5Qz2F/oy3z/buRp6c/llon
1IEh49ldlhXjLc/v+g5oS1fcQR1i5H5EcdLGrsdKxCv633wepnLTB40qsXHkitdChmSHuBHwqv0y
eRYGmlowVwR06pCLmuXczq6a4ZT51T5B+M3wDFPH2QsiiOlCTuxSah8L5abyyLIagja7ZSmiXuqo
QxGigrB+TyogJnQ4bf7DNiv7herpQiGxBmk2Gk5+t7BItqgiAyBTTpTVNRq2Nar0d9ktsTmpmW6/
JLAh3AtwO4eMnQUeWDIQKPgi8H7vV8yZonbmbd4P1DrJJgjYhfJMtf5A8txqdni+oJDhs4C7xIDp
uoyHGAnkqyUk3TOxbB4YxGPwL6qGcbRE+YUuKHILpig+7qyGWUGE8RO25iYoV7KzSM5kopLGi6v3
5BvlSFXiYfHSnVSrlV8dBxLY1o5ZxgtEQad4jguGFy8sEqkIEg88+4mqY8nfVs7BbO9nOcYomqZz
zT4R+kxqjlHesksvw+WCFB/wG5TR04Lnt9v0oWKpUZErhXHm+ia7LrT6I5dhEbmbDP1Bz+B9gMmC
cGS2v5LvcLllCLuCbPM8HG2o7RvNlnXkaXhZeWzL84geARfciFsWvWws32RV2B/4KEH34WCowMzQ
8DEyhjqXJhbiVjGh+UdnmaJSHHTFPn5sgneV+mlwYrqtbnNaZfrTMhiyR8QppJ7Xi2U5ndnsjnkR
+zKVsdiN8IFtGF+HDPhMGD6NjQMqMvJm3EYhc/E9J1b0iWLGeW5JJWOOoUng8cCOkFEL+SQH58qO
3HbtTwui60Y3gz7QduFWCt3aPxn0Da95Dhr/TuJv3oGOcEjei8Mi3KJxqR7yfvBXPNj4h7elZ1n9
s/sK9mx5l3bPD2heFprbV4TwsXuMsTzyNdmyYyw+l6D/I1FedNQL50BGuXiIzUgcGpcvGkTkBf74
nid1+8d6TKDxGA/kHDpunN4UYgGnwvrBfwtYpDfnuV7tcKX46OIE8SC9yzSXH2646/xsMya4iK5v
m/Y+WwHZ8IcqNEweRiSjw8ucTaW4kfAq11eZDIX+GkCGHpouAUqbeG0Z7vyVuuphZeK7k96wfPo+
3s7r8usfjEOESW4PmLaJkVil09B9h/VCndE1k462RafKWyjJ8fQUzAETk5biBuRV5KKpdKPhhLE2
88/DQKkxyYi9ed/yBzeVswzfnbPOn46D8RykVY8baTRHoCJRzNPQN2fj+A3jvIiPyBZukf29kAa9
zdpX6s6TUGieIWEQuNd7sX/izljrDMErGpY9A4f4ywVp8YRfswR20iaMklbt0y8isd7V1Atwcxxi
GMEV0NeDey7/yxNnZqVsyuzejk09//RKIrKb43gRkG4mfQzJRDcHU4EE3k6I8oMt9W791cc+jNWu
xTFuq0gGG2Z14QM3hHip6F4RngQ5no9Glr8Aavs7gN6zxr2tg0coxmpXF5zTeyqJ9SUUSblbBuE0
xwA3/74JU0ylqbeUeEwgsXAwuUeXYvstt9jVN1lswq9xwf9NI8yvaaav33kO/R69o1O8uyQTvOBs
6B5xw/ygSbW/0Ozz0wxthuF9WV0qpDKnAJggI/iwI1pT2+gshAD0U1wtzASpju6whbdubzxdJMF+
dErBqKfO3KcwlPGP7jmsUf7kw6mqGwH8YvI/fIYJDImm3ud4GNP4FPsRi+3wivFBpsCnZFSc/1uL
sHzFpbr8gpl0oFtEacCOD/OK7yKnRjNZJA+zdZsXzcf+gl07PFKhUoqF4IJwpbnFU2Vs9KOU32EQ
ECa5S1wTLzdZkMfiiNEW28rszPHRFvR+KJTgZAlcOfeh19B8USnswxwt/dbtwe/CXEU5apb1zkdy
T6UJ8ZlVOhIzk+Q1ays3W3ehG5h4h6ao+GjzPn+v6Po55HVyn3eVfum6AmwW9Uz5MYnxsxiqiK+r
RNCgddDceWkafrWAXN7yYMYBKUZVnOKZnf4aLn+7XNqjytboiXgfVZ4kL94+4NYjYTPyxUPfDMhu
Ykx3t5NLI763Yzzh3Ir789IHfKuiGz+pP5b9gDPm4LdZMv9GQ+3GBwfmyqGFGaBImSxYjyL7RiXr
IJLT/LYIMklMenLmJvF3zui+yCS09+61yUI3wvObWzCUCIyTG79W6bPLJGHDJVXtQrZe7DZIMLno
LijOTOn3S1jaQ50L6iws5oNi1dfJizH9BNIkfDJzDgAuXNqLMxXZ+2LiF6xWzsGHz3fnono+NY0n
HwVm8uNatYs5e0Qd7TiLOvoFpNLNzgsC/1Lw+4FgxPbA24SBDdnETB5lRlg17wvH8AXcHb9bNk05
O56hkB8te8z1FCLTeAq5rE4qT90P5A9EVyB6ZqkqwH7EwzqVOxuEMqR7HH+QZurXRLVIgapYfSDE
9M9NBIO4mnyiXUmhAScICusPm6J8XzTjsCnAZG5izedqZlhWavLQTdNU7doggIJVChsD4LWMg/3I
LR8wNkw7k8vkOWfZREtvigxZmBOzsVdhlZPTA70LQUXtntBk2b9m7uafQHk15ez4jd5w3vuVndGq
1mny7sgUtVrmPK3XnxQRZLsQhcE7ciXAYLuoRcxiAQQ3oF462Ak9wDiYU0nEzhZcnX+DnIJGVIp5
uu48lbup5ra4CIw2fNQVWm5dIONwfUodsKdb4sIHZiTQGz0SNB5ZUAGLZu6jZgqmwS8DjsNsIBFB
d2fQB5qcl2nUj0lGjiry0n3Xr8gBhcP6D0vtj480YDd4xrnMhb1gqWZa2cWj+ie9XG+c0efy03yr
K3Tl8mVdEil3U2zJPYF4oLEy9Vvaz4oLDSDXZ0a/ey3YpmG4roQoD1FJPZKjIb8cHd3lUW9uwAVk
/iXJPA5VD4T1vTsh4x+hPm1xx0MwRVVzR7FU3UXz1XweI7X4Tbtr7ntEHFeXlDI+kBQyeNA3eKId
z/lP9eDB/GIBtIjP4MDcxbByRApW9YFotgBEuYilqF/KVpRwLsvKP0umzV9S9O3NLCYs6JTDv1Tu
zZ+6bh+qq8OSVzcV/M+EHW1cz/G+bVc9tLrPPiUc883IRvQhlXF9gIzuEeSYgXXdqigx5PylLZd6
Ef42jlc9cWHNl4hKq9tYsDybaSDb59QH1M8Ut5DkAgEuhNid6xVacWO9B5kLQJdZLt9gMp6YUrgM
IPmYa8/sol+K5YKyB7V1rnAvIArpd3klmB5Q224o6ZMP0l+xEkytOCEDAsChKiy2qupfdaVpNgkE
0oiPoisydbXFvo2jgkPm/9+I2lR/WU4lzT5cMu++N2vmY2hgZjRmI7T5PoDNZYvmF+LKGGx4/K6C
137M38o09e/JcVHPIWvzXaVnCXmc+n/e9qhDBOnCa652VT3ltKxZx3oWZsOGDf9wrSzyP3Pqjy/0
+l9dGqRHrcAe46inQmBFSgRB3X+ziLcFhV/X3xitZLjN2WLDBmBA971A2cm3cdQ15sbVtPz9NPxl
OpzutAwsMKt56p6L2CVrdUqKq/C8RgEk1BUtOoF8xx3uv0aBJWQnGrrqu1deflxR32/VEDLYhm3W
HhdIZo8ZabHPdCmcJbHpzF8SPcymm1akBKapGbV0UZRvORcEcTsAfvZ6jfPxcJUrbOkq7dY4wILa
pU93Tu2g75gzrIh+Se+DlrVhmxG7Fz9ltjtg1tohJtb71hQ9hoYaq6qrzLCN54lECNVKEn+LtaOU
bVFXkcjV7SaAlRwnyzuwOfSPgXXGrbYJ1lb70eVZxB7/CupA7QT7Jvs0Fl8pFL0Eky9K5XyeDTxz
9uwxxxmeCs959RfWNkFgyltXBP4nM5r8ywi3OydjEpujV5VHCJFX+VHJ7wd7uJ8/pg3DsIPw4S8O
Pc6dLWljSGPSgRweiwFbFf0ZrJtzLlg8tkdnZDwYGhG/VLiyX0QQ5bsE/xu5XAkMNKH9j6rX7qcD
rs05VoWrficTIrnh1qr/lJG2dwVqrAS4OzFdW595/9UvTrFPAkfNyTEV980YVzehlcO2N5JRP9wH
DB3Ad9Ixpl1usQsVaOPDq44dUmkxdadCSYwCBauuWmQhSr/5v2xGGIVb8qJcjOUt1TGKKvXJ4IV/
bEqe6pHNaVLWF0wChJlLqz8UNHo8KvPCaH0tM/1myuU1S681guJNO1q03AiBw2i3wBTax6OszhjP
sseelcOXSoNr6kYtGGtfdw3+nHN84nGi5AK6fmTJwFRDujX5Om53P0jIn2op+1cLn2JbliYYtggT
vKtOMX+9av3esTws9SVl6EE1leUtgUAgXm9XMOp7glD0LwbsxLDMyhoOuKRACRaJYKF3851g343z
/KftFbvLiZ/iT2QLnqyCdGqn8wD9e3h1vjtT2pua6UxwpASS4LnZhONF4wFHcFvUDhNddCVwuf9A
n5g/mJ+4R1klUU/QlQ6eJtkO+bn0WGcf9BqGGHkwwpmNh03rn++FXEUzYtLdlLvjXx5frznWbOzf
fFXY5ts1pnlYh7V7FDAfHi2yE3q7PiHUV0tbXjH9IGzOqNlCUqUSF1ivgsVpdxoaO1ae2B/i+pnG
MRyYdnTc4IhclX8SQXOl6KW1vTGznZPviT5PIJTSuDdQLTkvK7Lb5W9f8AqsQkCaZdqETGRac8CG
q1HNTbFIbl5+gUrVT8JOBgjH2pWXwhc5zLy2+F383ONWRVsdHQDSRNUjHgDf7i04sQ/S6Ki1DAa4
Qx43zYnuEI20mhrx4FnQe3IMFY1ttcqXPCsjgHIGsd+Ly+i34NiAZ0M1MQVm2iN7aPbp6DnJLQoY
P96OVR3tCxW5e9vTd6MXhF9YFkT+HWhcWS2NQfns8/IhMlurs6vr/orO9OgdFxkSmSTwbJubzp11
/uS1EHVPDrEDBzgl+k+BQPOBuQ3pPXUShiiE0wA1JgwHVo4SK5HZmcEw83GhEzDIwdi/nULG6IdI
ivULlU1kNiJc4zejq6XZZW4T9w92xC5KLN2A/nbcVGMEIDAaCnVlwfn0dvkOc2tPPiEfcLwLQOE1
r6yunAU9ztXv++3StrafeYieAFFBx/oEJwWdPn+88zGaRrNTU2SR2aS3vmYO1aPdzfRCiP31Y2KH
Ui/wS5hAbdlueHw6NqD4uvKwjCFHAVfd4vBp0qcgK/NM7ZBT5XNPMcvIuThxGDiZx0w0yILnBBUF
JmEUkfkb5ESVvqf1ZJIviy1+vBiLgB/HSusYpNkG/lxruX9IJvSP6AFGe8p5O1XNVic3DjiONnWL
Oz9NAxccNSQn+G2S1IfyXGaFmMmwWld3JFWpH+aakKyxqCja+E8KnXnsYWCnwMhSjF80Hqb4x/7R
jf+zFeQTC1qhUGGHgqOKbf+cV2mfoqigIybx2HOgvQwHhsmAv7lq1meEIMnVsUL25XOiXEef+hRY
ELEpXCAb2i4Pk13nJrs67slBIr662GCNZRKWzxkjY2TR+qvM5usmqvLNHT1tCkQd1gU1F56ScDMO
UV+eptqu48EkYf1FfIZbn52SbAIPB9C085VbqhP9M2mJ8WJXdQ/ZTonj0otAnmfIaikizoYqE4SM
fzHBRFcCl4dVU0S/+gKMB9bjxgm7cbypx5SZDWr8toGqJYv5GScTWuHGxDTNPnf5dF+Os4hO9dAk
9iCdYu2x1LXmy/cniLwbSqQ5vKVfsSeNHxIBfjWI4WW48jla7xrOiMrVo1W+an+JWkwLbPHoGPQW
Z0c2HjzoXd9tMSEHCQFac7vUkf8o8mi5UrJGBE06JivljBxMLuehC+L84Pm2qm/5J+OeENEeCS4H
QEyIqTO+D84inpA8GftKKpF+iIUJ+aEIngFNEgT9sdF1AMYuYQbj+T0tfoSgjBK2ci2ned6+UR40
058Jys8fIunwP/mswyUGMiz7d4gSho+uyjtgtozXnxpnGv8lIY6QEy5XRKwVItJ7JoeBegh7n1In
kPOexy7/wU8h9NlhnrqJu0w9KI6D6mhslZeHhrC73zgmGWdX4Dok2IJhZXYqIbnlGD8LPifE4foG
RFhMOJXj/4+jM2uOlceW6C8iAjEIeK158lSe/ULY/o6ZQQgQw6/vVf3WcSO6r49dJW3lzlyZeZul
UM78hwI/XHXSNsM+mnX4AyPOJkVNZyLCotszNUtwGvYmTWRzbLy8+a8DJ4KSZFu00XXLaJ9t9mpf
JEin6zwp642vLX1P+IPoNAuHfAiOnR+L+5F3irerhSnOaQ/tl3lMcbjzl8+9ndcW7IQ1EgEhDYL+
rCzaPLorYa9Zm4QgBo9DTiBxHsuleSOTI5H5eRrhoxZORoZlCgQvNUe6PIvoZNP3dB/kAaVNCqtI
KZ32O6Z24+L7Mj4NPuFxruixgHQjGgKEsmNTuQlqS74sCUEO/jfIfVAOmjQAlQYRXGhQIB0lLViB
t0xOahDtSllt8LP5xVsFCX08VMNQ/VjlhB1tQI3lM5tNgsAQSKIfLyeVSnJexMEL1PLimb9ozRZA
l92Joo/gQ/i82g7Ifg6uo85gN87qcNjpWvnWLuTV2+wXF1l9QxaF96Zre96005jeDMlWm0hfR8r7
M1vGWJ1LHx7wCdtrmvyndVrlW6sf+2RrjW1bHmNwjBlsWGrXCFdM4hm0ObRtyXbv1uDJaDYQ+3sK
9NAigYhYFOuyZAhcjfwygYMqwOKngpfEU45j62zD2Mz2wud9Qmkir2Q2tvLKHALC1JS3n7gfbBSK
2qopwPHzkhz8OETsK0KbWcEt8wk3cSU4t82inGBPsgVWMycleeKOk/eJ7ED1IRqflls+vUQIEgMV
aUM3GOw1rkQKIVoOoqNJsix50TNi83YAmDWsEQzcxwxUWLNp+Te8JAYe12ZyvWQNLFbcWX1mk0ZJ
luLS9DXDVofMWn1q39L6FQG1vlj9MiYktkaVnXjoeduWbEa/R0vjs8cCrJ6AfkKG9DDgX9Dg7JNI
ODVEGptvUYUl0ZlyQe0UpObY/8wQL2+fuaQ+tmwI8ctQaCYwTZLnzTf16OhXEGFy/s+JKypAVpVA
tPvOXYMxgWHTlQdGQCNXnbYFLmnoy+m1L2p+G8UsRvqOPDlF8HcitKNpaqJuO49k+FcCzum4Lq3K
zHt7tOJ8b7IwdPe9hQDmtHx2Vmps+59QsNHeyVKNF4ENR30rFOQCC0Oi+yN6uJVcFBWicu+aXEpm
phJszIiccC0nN8TPpBmyCZPmcPgkOSGqTNizQTdBhRX8qqVJRvvAIqDPvtjpDu2dJ0mYHxzHa/xr
jrxsr2w9qOVQNh2tYm4z1v5htnUeHrktRiTw7IYx7RNewNBnHDakrg1EfW0rFbzUBCFpmAIDlXz3
ZqjVKeH2/6Oahc0Mf2z9bGn8mpsOLshy7yW1/YcXeXoYkhGMtMpguRB1EPbj3MIv2EwjnJiTbpzg
D+cCeznp2VmwDjA6hif6RZbgq4UXuhlCTE893EKmh6rM7gPtGXtruIktXkLE3wRG3vVcpsFpCSPa
jxmt0NxynYLxg/K+qSiU5DCgFFnscpsN57MLYu1YAsFhfBjr3ynABr0yusc1YnwIzluR1IgBvTeA
RKzLtn/QkEKYKCvDEJy1mf/Cvyl+nnwbEBx3dmQDloupb8rDsBmeMsyBx3xhr3/Dptn3BN7TS9OK
D7tlubvpITY+LOMEaYX2u3blg23Zto29EMC33FMIVjDhoJZ42+swFu8kUPv8aR5sHyQVyvfa4dxl
8WE5DwE8IZuscyWRvhrrUeA6v+QoqMW6QtrbKSungvDW9KBrbFrbEmH8iEEihS0yVdEeoxibfDfK
q4+lMiRaK5eSqP1oJqu46NnFmmQEjLC+jfhdmDhexBY+WqvYbMVLWeCFXQggNbnzr2hJQaXVxI3U
NPVtmgo/b3SYe36G9h4oG9tTl92qwtxUFs4qGxvoZXU1f0m30qB2F7IpNnGUk+e4Lwni9jauwhun
yogTXik4DU0VfUCM+Q+6kQd41YyPOAz5/ufDwpcApdZ/mHg2XQEFTxx4aKg7bI7JW2/13r4I+RgW
45zSbFFlAmp+yjPAV255B7cAd9Mc9f+U3xenWtmSRWuBOXMbZUV1iZy4OHRlLt+asOQOZHVN0kjD
Bl6NLRlx/IFhmq+4E4Jt5mNEBjUUR6u2jxwwaUSG9ulABzXeb5Jy/aIp/i7GJrjLBKlmIBrY1Qzx
GHYncElcb9n6scdNCr7gPitS+ZBidbuEgnIh9Gh4RQEiKe5K1f4MTBvDhrltfjGLC/iISTzyvhsE
VZeRl3/YenIdxKiGywJpTO1LPgL2Dq963PDba7k75q6FuVOrYtLb3hmy6cgC1443pqx6ULNMFiRf
+G4887WmYBExuVA7E6SDvQm8VhXfxWzYHPjWxJGbg9oCIVBRSviS4YXCYaMMNDLc0DIF10HFG9AB
/GJHsLw+svRkg2LYCcHXb8Pjo5o/Olul9VosXagfJivpxwvqClEOSUbP47Mf4WVYJTEh1H1i3ciW
nARwqhTSibsunREPADJPhHHS9qK9p0x5o9bS68P1kvj38Chui7M+/RclZMigBaj5VvnDCULvITZ5
QB9OTP/IjoU51bY4JCrQZBHNZ7yyB45kt7YN/XjIZPTXdRWuGDPLgH+84PV5U44xKK2ztGpnbqNK
DAhWMM7wlGOR3tROEjzDz2J3xv/7/L2tG46zOYzUlxuz2FtDOoq4QUjtqmtHspY/70QZ53bCrUvC
iwAyQVQSssBCwqAbdhgsvWf4YxHLOLwaCc6+XGX7tGDk2XJms5TM+zQKYeTGeOkD7iO+5jQww/FM
zQh9MQUWtPFqx5sPpIFGs9b11Lt7UqlOtHeBGh2bCKQLVo7UGMSSts0v5CHadt8XbFW2olP0T0Sy
U4BRQqt78IZbI0ZI3/xbZSm8ez1BkWvrFdBkgQhiBM5NmM2cJMq29xTHoB3ySaJlNqOD2D1r2hQd
wlu1Tn+BcwBersM5/rIBl2Ew6dus3eRRWbJvcmP9YlND+LvMHchsmpy477HoNjzwA0/cfjYTBm9L
0pP2YeosydBpuLendu4yegOp3HN3zbzQEMRTxOPF5DC58XWlgW4HWrJfNnhgeSJiSGYMpM/XLBtI
3Q5EPjcfp4MCZfHn8If9qhF6w7t6zq3pzKFJIJoeOI+IHQ+sJ77eJFiDSYdsqSIKXpgIosyimkbe
iAB4FZ4i3M3w5mI2OXye7OI4tgCw1qabo08rdixnHeS3lBDe1dqHZjprh+VCpz4xlIJmY0KwdwNP
CqpvHPwHlFnrqN95uJqweLrh3OC5GLoQhYn3zLZvPAhNTgkcajWEJdQM0zppce4QR3yk7sbPDuzY
LPvoOxLPnolVBcbQmDDcTqrnIwSBRA5rllqNy6am6q5+jin+lhcdbfB4HH6cKS424jqved4KZvxw
wwKLE6cUgtqchGSjhDhNA+6W30NTwKKJlXfEruImz16Ime6B5XpHpYbf+NOnL9ym3YH3dIZ9UYZO
tMYuIn02sRiwqNsKu++Ui4QummIMbiIr1XrrFKfx85SVVEGS2uv9fSKt0d8yhGv3NQPIb78InlwW
TOggi4gr8PncYD0pi8uA8Q8AEoPwqZCW/p3c/gYvr6Z6zyCYPA8BEZGtagRJclg0U3ixpcjCCgq1
KSEz+Kaet3JqIMwGOABZx/c3XyoTqfyDMsz6jsnBD09z5cR/kz/ktFCVbvY7p0JdKuqqkVLguvB3
X7wypjEUAyUmoAj3j2aPyloFstgnxrumQ7h1oBwRbsWgliaWBRsjyL7RDIxBm1U4k+JWnqoEMxYR
CjU/838LniKstmq7uHjndinSs7MmRt/9sHqdrA2jSutvBivthgeE2iJld97XYFfF6POa7PAh3TlJ
WPkfVkxs5zgXOQKPpw2V7vAfh2I9xflwMSOZ/s2M0aTeIjGpdp2Q7bviguD1m2uYfFbqe2/l7M9n
jSu/AxyrgkfYzJTR0LbR9seZ2ZSDVrNeAZ6FkRDO5JAe6Cfo/uyhyX+sLmMWHjuMk0eHSLE4+NzW
LzOwyj/ARHH7WDtEY1fKqZb7gSHmQXe5f18nigVEzGEKvmZsrKdkVo11qbq2/E7pgv/n9QmVX63C
DoswoChioPHT20Dsl5jwTEeFZKQtOGrGdn9udkG+rlaW30tWiP9BMhK/uNLrxzCZsaPlxPv2+Jvg
1NqJS2cYKyrYb5p2EdJ+2Q2lFQVyYHHmFsxrnhAMs+Q+3XeqWvp8zejsPZUtSPNtUUs8asryWGZq
BdTrGVqmozYae+GPsnmXUz1hqzdBzViwpg4j63Y67Fjf5BoV6OYyi64kr+nn8kWeEA4noQp3JMNN
RzzY2MEmmNOURSr5g15V0XfcZhoNBZLS4s6MdC0/YctyZpcpKe+l1XmvUDGvRTO/gF58LLN8erSm
mboGPYkLbjLoPjpNHkjIzveaj1QGzHoqjiXW26N0DCYL/MnpsTOd3HHLFAfs1+0znT7zlf39suWF
RzHlFFhfWBbtM7W8nM/wbraqo6UrBzW1E2E3vyeyfxlrb8SpkOdrN3WD80RY6E7WHU7nIrROdTjZ
G7vzPxc+KNvY759bEDWbGtQebgS67PDu1KxjUR7ZwLbEZqIgNR9EE95Z0Ye/JeGmJ6uHTcB8nx1S
vJM0PZfRl5LAkRJhWJUpxNtV3JQlp+rQ7ebIk18+GKV3K61vvKrBqR5rEdh37pjGawxcX3FIHQ2A
yEBhUlUwH5BC2gsBp5eFG3/VkweAp2XpDfGMnB7DKfttbHhy8zxYpyJKQITnMBnsUs+P2AXpw9AW
HUJhqM84r6tzUQz5j1IJuI+8yg+aFsAHywzLu+RLueEZG5AJ8pcvnuzzkfuTMEMKaPR9ysgqouT7
/wJl92coSje8pY5/cyb5TRIu+hy1YXtxyB8Rke/qA7at4W3AFMYqt2sfojbgda3hQ1p20L9oyuEA
Z5AxAaYz8++qf/I0iNa9rpxXG5vkOvSlc4S67R4807tvcZ7IfwOptr126APCdCAeHdEVr76ftx+u
H/K+dxryxg5ra6Wt8plmsHa/tDYRBnLRWwsIilRtvheV+kfdSr0FHIGIVyJJnI2BBB43eKF943qo
vZi29jGkBAIvXkchD4VG+7nEDsuoghvMxXi2MUUh7srWZG9QgErs0QyOuEiG3SBkf/BlPd4BcYXi
O0gEANqHEBIj1EXyfPjVkE2O8A5mrC75GLLUmcIV43L0yM0iK0jWc3A/euHzQJbkrkhJv3Iqd+PR
sa3yGwfulcSI+nQHkjdROmCMbaYjjUzxW1NEOwsR7dPnOXSeu8rZN1ggiJSi1pKY6w58gB7JB39k
HZezKK3hj+AfKVXejKU3dY+ccZ9BvWTvhe+NG3C0SFEO1KeaUkW4zB3qOhrX25TBqk9r8j5M//7e
8VrOBZiC5FPdLnDXMX1J1xJwlAGdUW1FE5UHYMHtI21jZD+rMTgupIF2peiPxOtsfCIqyjf0fPNo
6zv/dcYF8smfYqRjwXpWhPE+rYInA3aJ+kIVHL00Hi4asH0D8aGacueDclLv4ANfo9AbNiFr5RrZ
JhmX30qkM2b/3uwW0RKcGod3Ydn4xOmPlexfE1gI8TigU/IQ4Hobs/lZUgZO6a2VvEvdxuuZkr6X
wqRUgC5+G/zAPRkfCpe946rWC6EEUnAo8jhDnZ+k6/yNhOAkVr7qc/j+iau+FlU9pcoHJNDJSwte
FHNNRScG/xsFKbHWXlPJ2r/naW2e+ZvIFfd1sBfk3BGYffOf7dnRRzBifUwn+PZt61fedkmw7ydw
wyD9YpPZ1EsiXty5JbbhO8Q6nZqiU6qvryJv8F3nUOMWrJtB/sobRO1Dp5o25VJCw8Naro4yAVFe
KvwJXoMCK/EttOAwH0rfZgHaNcunPdH8McVY8FkPOmcWsv3WG+khFA4WiwC++rGNo4/RB+Pf83q6
ZkmY/SF64phQGe9/u2jyXZDJYEOmgHQHM2GM5qr6HydAtGbipdEGZZ7OnjYA7te4mIs6BlXiAIJo
KI1C2B7UArG3bU9hitOmkBFvP5TvtY6j9pCM1f8fpKQweBO9Z4NtPgj2MbuzsGpOnMbpV5lI56y1
+Wcb/AgQ0b4yT7jn1qEMe6QKYBeDmVuL3jEwPerknhUW4U+XLfkGfxZJ/tKed3bf1/ekUwBOFJpF
SpeSEG1yWbeEo1nNAdRrv/s89+7y0MQPwp9yTIFWurYH/w34a/KGAMPSGY/bg2WV2eeItPA0CU12
sIIK30KfvKNo4IGeAvexNIHY63nKHl1LmHenxH7bF6K/gUhvcFdLhec2zPU+isD0Mgi6JLyASNwT
JSHrKwezRuNpXhrPxv9ajO22iWJnDcnJ7NDb5GPGd4JpOaX4EJM2ebkl6P6KGOwXxp7RvbKdiYmO
G3FoEQY3TtnH16UMgTMk9OHhTIzvTEChMM9p+pCwdrnfpL4I0kxTx5joDZxW5DHPcFXg3ODLmN6A
pzXJRka8OFe+zaqtT1zvMs+ZuiOvyPZeJM5mQXS/txIlLnAlu/M0he2J9ET7HmgekFIE7RYleP7S
SfoEFhLvbBI+AsT9sj1f4TxFrFtVDqEcmdbONQZ0sev9uTu7juL24RrcSTm4RzGX11sceEt1FUz6
wrHYnfTjfo74hYxBObRrNSa8zEK/i1YGz9dDRoDyZHA0PAd+L177Xks48TZQw21MvrNf1ZIH8Fnm
vjyEXW0fGd3FYZp1SzMGz/sjbyabsaNxPuXixseCbP+pXXj6RKwZNjqWZjtg4RAYk7V+mpuqP9TZ
NL2T0a8PYV+DceMXG8AUZCH6PLVquYs0S3R7stKzjhr3JXdCftqwyyNkJf7AN4TG8GDpwloXVvoy
ZdANKQoABSohJHnr0aYSwhioshMRLYyuYcIa30OKBMbqpd9tFzcbMcbxh7H7e4Bh/pOT3chlVRDH
Z7eT6UPZDNUrOTWMryX40migcZaV7dB81TkiDdtG+7dwqFOp+2bY6KAtYUA3NFtYQ3ylxIONIpzj
H4q2vW8YLvuRhyu5HQgbFyGqeV9DJuGhiCm6Rnsc3E03U9x2yjv2VDfI/iaLMzfdsD+irBFzJpZF
q5kxXseOl7GFrpatXfbJPp4QQvnk5Os6F+6M05JbJW6ZC9xFNr9pavq9P/XBWz+Z7BdDMI4KIF4b
n+j431wLbACcGXrVUxC8zwL3vR+Js66i2R/HDfny8opMUkAI923r2SF78jnUxuCJ8K14Jxs/vs9G
meLs5pmwpc74Le3bnpIM6T3iaII1xgleMPFNNb0AHumLnFINgjhsaD5iqhNeeJLifnP7ZIMfMdzp
yrf2SSXEX5SPgD1uiHXY/ymzeey/eBS6E/tx2mcMyxqeYDyDsKCDO6umnv5fWnlYG5YDk+uor8Rj
lifwaRav+zlA2StLc8xgDTHRzQHtDSrc0CUY49lMhm/frexd46r62mQyyrhB7HSTCMHiNwkpOGji
hvFAZykc5kgeKbaO7tu81989V9FlLIPgldDVsJmTnqUAD2+fTieXD0KrlyJaISY36xj1+rtQ9MWz
ipouAjH5kJEoueYprYgb17Xrz5y16i85ynRH5SVrtsLuHzsFeMEp0uxXOS6+J2u41WXF3hmDXn6/
RBM1lbPlvdW4XTdNXw27JBLBzfCnwncMHfqV1WR8dN0qfpvb4b5plv7U52D7a2pufhIezluyHRwb
c+esUjAZNzSKAK4T0vssCqs/YYbs/gWdGXb89+IXK7R5Drc+RXMDNP0TVGV/5/DWJ88VzBcZi+lY
J9zbY8XaBgnS6e8z5iJFXeyNv2Wq/8a5Hu5rmH13vk9eDHsnHHV7IlRYVvkvG39O9yy1buRc034P
E7WxCHqnCTzWCshz8g8lq3jgGaA+58nQRdMaUb8uxnkjPod60dE2uFY9w3akguEhgm9c3LLgNeKQ
578bC2cdMfxgpFzBlye9oG2amHu2Hqrk6ijT3udtb0DST221onFtfAKaaHZ8RW2qFqzwhLIe9fsA
pQkzw/8TbK2zdNcpTMypBzLSnehFHA40ylR3GvLnSo48s1agcHu4Y2Vtce5myWfhD1QgEz2TqzKZ
yl02JrwwkYTf/E7XRGZz9rRwWa8FsM49JWMhLCibxlFiIBN2U0hHhoAFKZGVA2zu/20TZDdcQ/Mt
ZlYSZEwOPMrxD1VpHB/wFUbTlYaTQV6wEBUbeiTiZ7gagkkfRlIDeP/WRKbXJRjpnZaupggivFWw
hDkN0MLp/gO7mT3QjOVnX2YO+bhNvBP4/r92TsaPpN3+g3VIsSn5ZZVrbwnlNve5FhNk5vcQlCmV
oFPSrEZLMur2GLmRlUZPoSkI9zDJWu2nSHQ/KZf6/3cn4ReuQI/KdHCRHCHDdiHWUh0Xq9UZam3E
0or9DIWPzDeq2Gr2jU8x2aLfWEM/LdpYQsGrvL/EHzSCDJL4hVMnslY+3xwyKl17DEjVy52egi9A
pbDlm9mlXgiIzMGlUI9PVMrYxq6BOJyabWsBpgpbUoI//gcuRYm7XBGXWIP80eeFdpznsQcEQcIs
PUfZ1P5Lte6ucVQXhHBb/ZlxKp3Iz5pNQjXrM4Uf+TEixnthhdrvLck8lFU+1svZs+pt6PTZobS1
rraRp/RVWHJ5s6pEnufC8kOseHgFMTdU+PGQUiR/ks7eQYZPN/3kZyfXqdytNU39FR+ofYxQoj+K
Nne2xOcKlO268+/L3OqxcjKZyUflWu1HxqKSQwsJRcXeTIBkUdlhwmz52SXJ/COdcnlsw754mNXi
cybQZBG2tngQnaQZ2lT1u0eB6qaPvf8gWnU0UQAx7arO+rZG6m4m12SHAHrYzaZff3aTg35/a6WI
q1QiXfnpT4Hxg01A7ZwlFY6r0bgZ6XsyZhA6kgCIGcCKxzjFMbUCFCmPiZEuAJ86f7oht1YmpUhK
jnyyc6EAahCs6pg1nTJ8JDHdvxBQ1nc1bzwaPIudGjHuDu4BEIy7X/A6IBp58x2dk+Z76XILWsSC
2p9HhpAFDtO67hilEBkTouVTWB9tLjMS/lGcuneDwhJlI/5j3Czlm+HVFK0AqL0TgyA/bZEv+Yxj
Ze5JKI9PS5r0x5qrrSb/Sk2IJ8mRu9Az8PQCcmDpMoZbGhmW3VDJcp9F8fgKNqU/U3NdXcWtcQT4
hofJleUum0TQUWhqnYiulo+7A1IzvK6cXMDVr8gnUyrDy5uAtcn7HSWn/heD1Djt6qGnHRAHsjhL
HN5i51is2yEaMEprFnn7QcFF5s72PpBqcyLPmRmBgIYzNROeE17mcQpAZ0yZj/reZcMvyAzhYA2T
Kb93vHhb3WS4eKJJUnlxS43sPFxS7/WNb/+E4CzkFiCcc8Jvxg4IGbryKfrzfTvaZoxIL+waUZ76
KmD7l+XUs/0QUxyfUMATsUubsVXrEffJdHbTDhcvJXVJ/ojzxqEziffNryuF7a6rkkXKHS7/rgE1
nOafKJF4nqgfTZcVAR8szKKY/GpdKX4ZCG6yfDSZJmQx55VLTK0YISAijGO653uME5lSIZzJEY/D
fpmsO1PegDL4YjGYaW42mpeC4rmIvFsjtsgqdjOFyVNaeFJ8DFWkk6cRN9IVahIGibSwCD9DZNnC
CmToD1y3PiisHUwoZR12+POEZr0XAUY6Vpa4ETODaPlHVIGkULj040mbRSwn6JXqBfQyCDjNshpc
QnObxPJAxOEjWFc2v+SmuC29FLoQWLLC4q/tjyQmI15XaF816cWzQ7SVL0PWV5QWhUlfHgwYMID3
ExgwMp8K0BtMdns/yo5ISl4XHyMmVcZCYnJyhQuZFjjTqOi8ZJq/SmY7C1g+SL9r2HsO0hnbezyz
PIGDKmLnabwUtkdrQbPYTnNo/ys6i/IT0lH2OQMCwFuzUeAo+UeSremyWUDEq3z/NI5DENyTzVF8
75WgOtm2Aus8C1PFW0eKutpoYCjqXIkoOFDCZrfHsSjh3gVTJr5vPFOmX6ObP9cfg10lKb9Y5ewX
Xli9dgvlM3ASdi2laeM5E7b3Z5uBp0uZhuoO7IP3QCtL8J5wmPOERQd96WIeSVuB2ZgiX/Bke79q
wNdE3K6wOq1P8Kb2ESKtQWh1qibcYboU4TaoWKhukL1wZNBstB/bcnx20Ft/rb54pRgYYEsSoaWS
XifD4MFKMfM3MOETpltc2HHhzNhq2+kZtkp45knD4JHwNH/HLk9lA4WoqGqA5ePCbCPwm6vScd95
OSIwmMraM2lHb5me/mY3z3a0pfDYkwPauldFhxZjPaMEwQbU7z59wndB2SoOhPSfO+Dr4MsAqlr+
zBzX72CcTj7B0dVEuXbjjo90OKxrn0w4OLhHYpHX8BZQjBgiSdq+y87HuziNmhZzSLjbCp/VRgyS
oB6UQwoWE2eHg4pYq1T5wem6EktIOOwdahABUcr2nhRL8Kh6JPh1TA8XsIJ53JEs+cDgON6hW9vn
PFHB0fZD8eH1fXyCjEenVWhFzeei2uiuMDevVOy9lANW9sGOsv9mHvZ7m1Q1SVrgIg0GmzJiIe2Z
lVOEl3BypjsBY3BdNraEFUpmDU9D+tKyMPNXXo8/FOrhFXlZvCEIhnfodc1vEgvzGDa3ISW+AzQE
shIHR3gOSqEemABCfRullkN/8+YXTKWTI8KnFN4rYChICZUIsK5oVRGkXzz4FCV4K7DQ71Wo/yL2
6jtQNvHXDDjpX0z7Ni9j4z36YAx3RaymlRtaB7ZhyN5VyIVtE8e5DFIQMpMdF09WN6+J5T8NjJhH
AU1lp2mGvAfjULBO5Yhiz3VICnIkXRRbu9pJ1SpHsNabCYz8XW386sxjFg0uvLIjzPBWtPIMFzgm
/praKXPh+CyWcvZWoYZYXI5Ul9acOFsUZXYOOPX2GEx4LrK7Qu8YcCTO/qcmB7HqB/ctZLe0Za1T
rQisPwQqiu+tybnLicmtBlLWO9BI/Kq6st/MS2B28xSpDUpwvV0syKGD36kfoH39Djtrv+s87z2d
CUBSw75mjgclCbCYCZbFQmQH4QVvqTz5BvuxFpRm6Ri/ndHknB0TvZQJlDiKg2HAyJ+FwCMYR1O7
5wAj9bFOU/nOSvzsLxjFhc4yOpF9NNVBfM6z+c9pi7sO6kHXGsdFQrXbsxtX+d4N5BG3qreRod+g
6cTpAWtyuU10iorY+POu6bXziOQfnv1sPoPRQ2uOxxcQOh6z0LI1qTef8Vl+pWIICNpocNi4lXd4
nr7BPrJgS2iQxMYJIIJar5u9MCEKujjJ+DjYaCklJe+cEvaJ/g1cPZMKNnryBKk6d/baVZDW7afA
c7wb2wYecDviGj5TzBnItQm4G/hmgGEVYjWFWHhZ8Ph7KEjOU3vzNjC+Ms7OpbftDKiJ8UbG43jC
Ra0bed/i/cSPLtKNTQMushrN5EyrG0HuGTe80x+Ih2FNG4VZpab8V7l8fPpwsa6aKfAU2ro7gG8Z
1zrMmkvs9q8Ru8fnRLtITTkWR0PTaBe7exW404+wfZ4TXngJUMB4gwEJAmqhd1DWwGgRzzvAOSru
Ozgxe9VbPwZc8YoirR6TMFmLUMqObgyOokOQ6eCHQkFcIkU5NpTPE3S1DfunMhLmHgPZHRFlmsV9
my1OONfN1vXm+FgGFq9dJufslNYD8gZIgP0Y2IIVBiGGCuw/rMi8pbGWbgKPZC1l2bmg4NCSn+S4
+x5jWulD0AjEwGMcO+YKmldPZFRk9y2MoR0oqXbTRip7TYX1A559GE9hZgHLJA/9h93YBiADqXqP
57/BN51R623Vk79bNHW1CKfjdGSu5h5s3OEMv8Y65MGgHmlfyT950OOPAuLP7xK9LVNz80j5Q3Bx
XLOL5l+vyTw0Ik0i9oYUAz2xkDZsCCZK6cijidAtcnsoHsPS9VdR6FhXrhuMK+N3i/Em308IhJ+e
28v/zBDinRHJPK9NnnTOkfUvz/rsc+i8+EFyK53RFXeYCcI7Ug4X3w1oV81rLxk27Azea4MRnxsW
IFXPMyGj5aeaSmzYzUBolM8+S7L/si7AUR61xYb/EJ3sdFHzWSx18p5ZNFWHsROsEehCmoDk9+zO
/9rRmKc2pbjcAz+CZFD+2GGM7yNdLiGdBQ+twutlJ9WlrVrNVtQpMC8X9raioGe94PwoV74fqt08
DuEra2HSHOXAk3Kgs2SfO5pbqQ2iS3hbsg8Z6iN9SmA4ksQWZzVpLkDlVy/sV2iZ5Ws9eXYDqSMt
XnlecSCxcSO8xvHvNcgBuc+OCdCorIIHdvgPyW1sBAhX3hXL0J7cund2mPKbZ8q4Y6qtKWLaODZ1
7TIhUlkxrn3hp6KffOhftYUprqpDSZtfAyFJBcxSNlvmNrrxRdg+XydhTvYwvYdtsot6LFY14Zpl
cidI67ViC+1U/yXurBRtHhaMlYCREBX7rs/y4K1YqGqZ5vzB9iVXVqv9Uz3Gu1IXP51VArWB6x8B
D5Qzf0xyZQSbkv86axnOJHogLY2c15BczL0XRS4yfab3c9rffoYueZBOerv8pOtfrDDp9onIuheu
0nlrjw3oD6/qy49ASvlrTyL/xV8GQyXNmi2tdM1fHMSPWUYYZjsM/UfnLg9G5ogLE1usdU8VQLrI
7iodtR96SCWB/knwIq9ZVeUEpib7MPq1ubAcu1VG3xAuBeuaMTVbHyvjmivkhwnuBIR0OjYLB41H
EPvo/I+iM1lyE1mg6BcRwZQkbCWhWaUq1di1IeyyzQzJlAxf34fN60W/drvLEmTe4dx2pjMy9XG6
6Vpm1watyhAJtjqIwfRDoxtWv0O94wK9em0e0QiJu0tuVvl7t+DDDFIz2YlKqnEO6/y9dniuSiOm
3Arr9zj4wQEA+1+07gV4dRcWUMYuaU6+MgXnfeJr4t5qIzlMM+2v0amibNchgu/ayoZhnQ6jgQ2M
ryHUe0sWZ4NvDkjF4tA7mSVYTsFST+6u6+nFIp7o1I0m12Y40FH3X6D0EfBGibtS1sBlguc8o44l
IxIYlHlY4pJzemIrL7tw/IoPE6GJq66+iPIQwx7eDMbJPHgiitYREQVU9AWaySGWtc/Bu+o022ww
RQ0Ye4dhJG5YjfnR7Bpr30i3fNE0BMM6XbXCrGTzqSs4DJfePXazo6Vp+9Aj6X6R328OjmvMe/b9
OHzbEjrfMKibXpKHD4+GIwkM5xKCs1plcNsS9W9ayelPl3evfIEsdjqL6a1yCbzjsoofrulsMjgU
qR+5KtqbTfuQXVGkY9sfvlshKLtstJU+ktEmRe0F8apucojKQWzC00ao8VJ1DXp9J0P4oixCzzM7
hRsoJb8DXdUXwDN12M8Jp0W97oznGMeX1lDNqffSYDfFDBLLinNbGv+ey5aXozu5e4Iab4lV3ZVq
eZUijU5gN2J5HDkOPQbcTHpCEylkfKhiTP1Dp6XxmlDNQbzFp7YJ6K7ffevDWYF0WcAxh4hmcTRE
8rJg75DEyetdTHb6xYj65yKHq8uhwgzRasxQ+U32xyRHwGOGL24vgvwwIWCFPEFaGE1ElEKGLQWb
88bwkg6DZtiH1saG0G8WkyRaZ/pSL/1Sgs4Ko13rjHdziWesTIr/e83vUylX7imUcNOLAe9yAQa3
vWtTtzq2WQKzKYIq4/n/oi65umSpYZ3iz+T+L64D3mmBN3KwR0fcJI/2g5HR+Z34XFQRL0eYJVZI
ZpcrLWJpP+5V5I9vvojrXSr87I21g3ODm3NzZOP8pVeDVTdk0ZdDOXeF60F9U4Mf4ql9xL450Kvl
UuTTvZkn0jr1gqIejPOI/UUaeGeuh46dEXFqpYrPeHYcxGegw0+B4Y6o7NBfcodxhPNCE/pWQMw/
ywVYIp9cJb+DUnaP1nCeFPwCLC6k+ROJf/KJSdCnl8SHwW9z4NiQac/uS45vMgzsCGR8O96jtky3
k7K6rwWLDvmDyW04NOk5HeLYO5WClGqNHsJZHk0MYDRoPmg9XDftInEONKuKHd+1+gDaoKXRAsnP
ZVwOILMkrMy5k40ksKP8UKbJuEOt4ycjCuOLUyj4e6pjW2KSTysnEifWLs+KTCTtkplX48WWU/nq
TnH/rhvRPNV5bO67ZBnfLPj/6HfIRefOQ6cQ5XwpNBM6tV1yNmQR+B/Y6oDj5Lh2qiRTTjtigSCv
yjgdij3LSuqpUZ2zHzrrVx5UZ+H344/mDnehAGjx7KX8MuF2Od2/hB90cchL1yNX2DSQANJsifoD
ew4j7moUPRPfHi6xjr3sUSDWuPtRoAadPKvjsa+4MlPwRIXYJKrrLKyZWn40tCdCl4HoZ5kiSBtL
T9KbwGPl8g7Iuxcp/R9rSBO0qtY5FBC0wsmbySTndiAgMXtT6HL12i8cJA61z/emHCTMpIkSUcza
D/n1ZvXrzAn8Da1bAutuvvzRfdr8mkv5Z64671DoNg/xv5OcHGHJdxm17bgAi3nJRGl8+6qOGI1a
G+vEh6mY+jYLvPCNGy6mxbABJ/sHWi/9Spu3zcpT2+Zsbh64OPXbpmc+ht88/Itkvddzl6/PXR0r
2vRUyd2YVTYi1L29XYLsJKqUsFzTaiKxc3PlkQl9gLQ4UWxzmD+7wa5BCtGi4mHJsGXxNjhYlWc5
jhmxjbbiYwrPirBin+AJIjCwCJPyE9kT2PHkAVZAdyoqIkJbjwDZgeRai62Zlu0HOzBUe6HIuOJc
wjqoxydJPAvP1xh0sp7HCE5oKq91ShDPHK4L8WVQK54U4VJG/3HaXh4uPWpzQy3dPiJR6dMAUOGN
0rIEJ0Io8KORGjI/UcTyYepxPORJQOSy5x83zS7+B3FyCAPGL8+U4L9pblTHhQD7GqZjA7Zcl9iN
GX7oHmZKU4WOrN0Hp/f+kk+wxghfIeAF2orvkdd6YRrwuSTqTkBDjWi1dvbFMkx3TjQGPhfcFlCp
xA6jVj+cTQijmOnokBj/2As45QkxRAb42MfAwv5Nh4yurJP49ga4FANZrDX6tFgQ11BMNmgO+QHj
wcnCwiK4QZg/sd7tXH9kc4UMOc9QbSj6O4T2RPOvS0rAnmBJUd3tcJTzPWdZdzMkxIz4/uymavCf
yNp4t5akLthisIyNi/E7C1aUeB/8SZ3B2kflnOCAjR+x7QBvhSwHO4Y73KlZloEIiMojVDktxzNr
9MsmXXSx8n0s6zKYibx1HISPVEMc1nhgkQKoZzynAflFeG08T1ZKTwszKCyYYl+cekFFOJoNLkAV
JMmx9xva1ilMb7fogl2LDkPMlCfvN6crwuxR775Hif3JT3VVwMnmbmIjuy6RXD4rF2Jh3Y1E2lqb
Ac0lrZ6t3NShr2fy1FnzYHkU0z4C5LxuXFj/YvQP6H+rnYO+Z1GMhz3Bv2Q1GBDNeVOB8YTCInn6
8umZ253fEuFRZs1JKWOhjI23gD2+prqwOzIwQxn5GEtdHmbrSTSCT8gYxuSjtBCz39GM3dROxiky
GNmJgg1+V5n8Ny/+354iP4UaWCS9wcoVCaWCtGXvEgJdGGQPeyFt7k6C7CdEQuibaVbvbb9akzNL
xS+4iHc6aAy3e9JL/+NF8kLJk0UFixI7eHIO/Mx4LfgY7E1HjxkKCI2FuZ+eeP82LxPNzPlE5dyh
SsVfZjIGM08NNMCekRj3ObOtc0/y9YioWh6zrGcUxGaWDwcv2OEP1NicFlFdO84uE/GMhx9MuwSS
8EGaDvZ3Yf5eYuOgm5bdygKuYjMW6FuJHbzMI0sKcmJmpJjVyVesTxECM77irHaAPLZmxLfJW2AF
NtZ31Q2J2rMnCihkhA1aeaI/cAhtz+VC1IsxTHX329k+tum4UhyYhwtsTY3ACfB4suyCOxU8Z4Hx
GB273rlwb8nHGmi4xWhPTP40xNzbsQMY07Oh6a+A1flbsbQGZJ/J+ktfwldZKxH+d+1oMYdTNi/l
xYRy/iqRauszYQH0Ct12J13WI/jS1o+edM/X9o6hWxfhVOeQHpK5HMa98BZqsTt8v6qjdlPal6ld
H96Nbl6nfHpktil2dqN/Uyqa1HbWpC3Rhzj5qYXlRzDnlGLbGMoOGamYIJsAPbCbuBkeyzTgD3Ay
xZ+pD9Q5Qqcj1oj01/rFu2HQPIxndHSTOFgCLH3TUniPqeROONrTFKNNFoR7cjMnbmEW0Igi6sCo
Na1VXPyFRVcxF+M1dws4b5aMm22h/JK3bTaa9pawAvPb82h/8Fiv/3IKWD4Vl8spbBc5vaK16ld3
gTeeUcM+WiiS58IwP1YmdsigRBfGph28EX/uqfokI+Fwp++wKE119szGP3GYAHmRTzIkbo5gZzPL
8gxRYS7oJDcZfeg4ugreSvndcLQ1XvCA5zMsFY/olq/6IzGLMcDqIMCUcU89Sj1GN8ta4Ej3Mv+a
y8L7pZgPerhL4Xyw5Yor0JTa39jAoPkWacaCtphVMR2RiOXrEkkgAHAAXlK57XvGL/zZFLXaD9oN
USvYR1wo6u75Ldocy7SgBM1TPFrOnozSRwp+7Tb6YMvQxGBnAYXMpn06TxRWylHk21nq7o9f48p3
skF+4km19z0u2TWfXaNM5yQENwHqvaGPdgRa1/AZ5IrHUi2JZoZks3QHLooodOrPO5OayDEtA/lU
L/l/8MTjcKFOTDVONufEa5/KbnmrgVPZGssIDBODNMbS/u1j1MNA1mSxvRG+t+dK/MWyMDaeVzYg
IRIxrP+ut6hKi5+SKEgYNENDDisNFkqsRr4f2sg9mhCdyWwW9efiZQc3LZ+9JP2XezwEKODTxu4z
ygnYELy/1NisQxhCMgqeGtk2TqAkZQOg3RgCaFh1CGgU/LryQ/dejlcGcBsdlgdsS5Zpb3DtP5na
yW+Lpm3foT6j3GAUqSg4dkTIjjm3BEnDbX4d2Hd/Zii55kMzowIPjd6nQS8uyDdcnWU5HGrazNcY
pNDfFKYA+GAwT8jJAdePwq7vcp6DI660TQKLEvoyNXLfSf+vZOL7wuwPRw6Y6gceOTBZRcYPga/x
Xk6cEUi0LrTAvPpL4ST4DI8uDM70WmxFO1jH2rffrWAqajotRfPfRDyH/i7sqGRfpNJ+IVn+wmyD
c+5WXEJk+0++MsQTGUHcTIxllmmtHEx9Er0kuJQ7pixtuSNJ37P9MThBCP1xfm+G3vode4SAbZ9+
1JDV1l0NFuebBo6zeayC1tuJti7vZZBNO4dm0wOEoQj2M3+72nSOoyFjE3K6YHKqD0fIpt1rnYyv
uS7spyWL+Lg6aXakGVmcOQvikHg2BXFwlauvzuEW64hF59Egk+A1Ra8foxTqV9/G7n+cY/pzHs/G
QWkruwRJ33voHYZ7AKtl/SDiJ3/N2SLwjkhezF11k1NxG119rzGSqNIHVMbHIi0eSzXkexY81nUV
Sk/bYPQc6LsGc9XMU51Kbrz8j1sBmmY7GleBKY66+Zum4IDslsc6QiwvPOryuIQVcs5mqSqwsKP1
aJuJX4TvLHvtxZeVdc1+5LaSbU2TdXvhymg/ThXDYWx2wOYI2DLE+TwlDfRP1Kt6mWEZYUgfq8mK
IyodvWOcDJ7mdMDqZnx0dmNMaDBWdG2ayh6OWc+fxesCuAgQZ+5xM3ZBTDPRw0ymhrWxY22UhEok
cdxdaDIHAS7yYHURsd1F8FxoRohlghkyVHFNM5SdYM/6SXAt7wASmPdW/Cj+JXIpTkMxSgNvh8dd
ZbIIEo404e4+KbILfKpgzyeweJ5L8UfT+gsjC/pxIgAX0ipoNyPftmykPD17mg118BPF30BQJqMz
gg3foyH9y1SMIN5bxXjohHG0RVlQ36teHO4WJOGpNCDoMNEQq4TMC3AwLAELE8TyDPvgqIYfCs2p
V+DqdHZZCUIdVRPwKYzNPZE9QBpTRcLb0950W+jrogU1IkLARfIjlIhi6vgBbKzKq49xjX1AbtoJ
ljfRd4kXtq3svrUyy4J1hnJOd9FECHZLI44vHeGIQX8AUyJs49aDeZXsZp+DLDeCV/bXvFBaDQDW
CnxKyEK0/c+iDPziuXGkNxPRpZ0mWPCVdFD2NnniOrcmmnu21gh977MgXaIDCfeqRQMq9boyiEuf
Tz36yWR3ffrKBXByQkCYyNlV45e7zpiyL5HY+d7hFuF9cx8fh5Oh1ZjtXbNjfBSeFgk1j6f2xZ7T
5qVuwVOB4IrkN8R7WT4nCJjuaydcfCUgD3XyonkZ1GEQBaq6g9cWXPtYjh7UWVP+nPZaZIZYRbTk
2qWMN6oxzZxXfE2qLY4Z+90GEgqrg1vuIfE+jSgsI9MwHY0wZjMJrZbiSk/UYb66MnzO+JOY9YiY
waQvThUCxql0ZY7iQSqSeG+toWilrDD7ytVUsgvuYBuplqm9zJ5tFa8T6Bbj0KdyNKONpZsaPYSU
FstYy6+2ZI/u4gIv+kVF1d4XlYiXO7nLrA3bqIvnd45qFPjR2dPqx3c78cKhr5SHwvUjqo0DAlJX
iu7JKMzcYts9H70ves21ujvKEssBO4B0y2ax0Aa3cwJrRW0QmwZYhzmwz8iIKIOltssbr2b3S22N
yS0mvn49UjXXLZOzF4HdgD3z2jlRVRS/XDdjyJwYm9jximDpNcqs4SnFSCyuMYBakjQEw05L1pbu
k1UD4L2xjlA9uPzl4sgFaOSxm0/0hiMLsOgmSfi9b3IfbhXkmAHa48jrYkZO4G0ZBGXBt9W1GRYY
ZK2sHU+d9IvjocOIoqnK97nNh+YTpJ3M+BMkHg+WQB/aKMN4b5ibjc6shpnWqUz6eLpitM+ChV+u
W1tw+slnXba13I3RQIVF84O/lqlwxzOZs6qDHef4RyJgnf1BvZcVU5ex0IPH2fgnY5PjAzOkET/p
5KbXUfScUAUeagi8JT/DsOnvxWhVR3Mtk9Qm+1MbQyGxI2h4a7QfSM4HilrO9GQl4+i75sQ6vnik
j3mGsSftlIbLeEvdVet1txzoMHldlI7/JgrP9a4SiWz2BHCm/ndh6CD+nbFrPp5Ne7Tza9HL4aQ9
FFO2g9pi7aKPLZlkI47OisSR+SCaPT0oJIL/azvNIrZXLmDsmb5JuP08EV6yib+lPC4mJyX+tQh3
SK8VHbjsySxtFhvj2c7ODpFxBZ0mcXHJuCvrAgGR1YZjZWYEfa0mzknJOPEj1gFbBKJo6dsPZcEu
ZJ/NV4MQd4/hLNJPY6lQ2t2KPeR740QGAVgHiJbHvre8ZdPifw4D2eGNMTETHyHBfzRKiV01RebD
r1V1EqnX/4rtwJPwTWxhEa6kF3YJFriyaQrRFurdrKuBDVcUD/TirE4PiGIM8o06NpOD7VBw4MFO
3YAnDlsufRuR2SbPXH87Xjw4nBQyTelvwqs/qdgcf5iEGr6WHEUzofJWDFMIKxw9tI3h3qyxCytS
p6hrbCJdRbeQCDcbsz5nYDlAqubxgNjGtEs5YbtAkQYZRFXeWezltzWIfvxgbyLu9tlUZ2vMI0lZ
7Wim1M8O7Wi6t5ar+PJwLGJwOYQjWW3o3Qh6/yzxMGakVfOczKwvkCNjpm9jDQZbP1WFCBRqvFo0
WLT9/tIZ/eAiaMbSfzLh8EeAJVL7v5rLDGxFeHbWIWFL69ygaU9kTG3jHagaLALmOQYfwutKUE62
rYVdzTWus8HGnv2ckH6DhJQxoV1kMbECM6rXOWurgoPnQAkmpsCre+rb5i1v4CuINeD7oYbWCf5p
ysHDnb5pDUFeaMouBuYmUZgna+5M5MzalIU4+6y37uuI1OS2HaBXXdNxsDUrCk6VnJTPCeE44POH
JBb7d6dNAaOpuObyugZtTtKF2EBiF8AP01Xyh+N/F7L2RqgoBqf5HNhYlxdlEd179N6aMOzn2oZE
2mJtku1j++dpsAqfznVKA5x9LMalWA2YStupad/pgPRyUTUnba3BQHNN0uwzFST/2MSw/CfkSq98
Im7pkgINLL+hDGyhvCNFZkJS5spGXj0yMXtr7+B5yrsTxAnOCnbFzlmgq+44pObzdep5wT6bdYvq
RdCouchyrD/od0wclSqj+yxMuwnztFTWF+e28pRyOsF5FrEH9IWwdveuqJYnGC+OtzNbHMmDHUdQ
uLzEP2VlG/2RwPnR0Ad1AYwdnZlpHq8ytUpIOfwOXDaMO6cl3tlT+8jw92CDCuIEHRcxzC7+AhTP
SQp4AVITj+fqmOwJ03fTzk0EYEAyVC7xMcfFgKWtmISxRVH4UpVBsm5c9MPiXzzXhsE1DnRXej4L
lN9qMRSHDvoAJlElzXe/WlHNQLCQFu0lLcMcl7LcBs0MIJ/GJfe4gqfKNtONLNina51twtn5Ix1k
cOc/E1+P5O6wxkzn5C4xt+yNPTh9cuDg3REiZmZD3FtyuifDx5ilaD6ROQRyStYtboSJZeHMH47l
eh92oq2XfMixzcd1g+Dmt07b30zWTapbjwQT/ZQ4fDw5bMnzFB4dU1ZHrpgojmhN7DLFMi2MdBdQ
o4wLXhN8fo/GmDq8cgilvMVTKa9S9qORbZirMYrbbHLngU6VgIKfeO6rTVca8ouTqWW8mCY26ZcJ
UfRA1Kn4GCjUjT+EciGf8T53ki/Zczw5kGNX46PK5oTBl0mS5fFmNe9axfwHO7fSpaMj6xcHNO1M
s5q7685jM4c/tpp6xWUpM03+a6W0fg5Gm4VcitWDz0SkrzT17DfWRtgcN7k0nFLcVYmnLeIvalP9
vCMhF/DV4o88ukRwJGlyqiYEAzIwhTQacut0U+XiMtki8Z6E5oJ0BsNYimUDTmUmD9XE6QqQcOj+
vyNsxMS1HfT4OQoowJpJ+cezfH5ZmxBkiJ81OmS+OEIfo9kOTsDueyx+viahOQ9NfHEm7tPbnJx9
ec8aD/YDUhZn32JsPHCHvY2NZ5s5nI9aep1BwksISafOt+ngyo5MLvTLwAtZbvCm7wA86ZNh8adn
71COx4+h6g2n2rF11X1Bx2YlvFEcRBw6Fd0l7ht5RiBIsi1JiFUs8Fw+cG7mtjQSLZiT/sbyXTs9
CdezglOVpTLf2gZvjA0aLHHERHpjSL1ruSIBL19xZ5ntYZgbD+mlnZn/GRbGq+imjVvCe+61ApgH
508kVbbLWQpdKPBGnfFB2jM6+bKVPAzBVjmP2q6a6SWl71ln2wI6ET2xvIl9sbd6S7UvZTKPWBeQ
UCkRCCKofAgaDYbE0Sf0WH0lkGUzkjzDFjGEuEr4L8GOqLKAUJHVnfXdAJP3dkPLqXmbwSaZiatY
aVCAoJLVeLaC1aOqE1uoZldDFwm4RstRzMMuG/lM4n6xNF2wu83XgfvXnlJgvIunQfzOaN3ffD6l
R6a4Zc+U31JPD9cw0YObMQJ93tNAASFcZC71+hZB3nOCqd2JGa5c0TZkaklVj78xiZLkx1csDN9o
SRcUT232APc2QmZECjPr8v4lcQfMdKf3q+IA+8cSDzRyePWjdKpD0kQGmkATlVTjGK1TmrL80TNp
l4ZZndUXAgRFqBtTHuOJ2OmurNGfhknAnJJVIlfmZMyPeWlvTA9zlo7F2HUhwTpnj5Q+krnCCWzg
4mRD+dZPfp5fc9MfawLui/knSBrrD0INRN/acAKLfxz44HfDF0bslhaQTTz1AMI3qVdiLfeF+06T
091RmRjAiVXGxaTwzKEObbA2dqrwrQomXFFAAolALpDjsavo1zJ1Y6ihdAwuOLJ4gdzZV4Z9bmLX
XHuK+NsDdbR3rzCU98vskvZGIHwBuqTqA/EE9k6wkTKH3M887KGMTZj99YBuAy3QTfh5ZPYQghhs
udWort+Lhog6qqU/PjjBZfU77DZSB7xltaQ72HOqUWLmLdBo3/O3lUt2c64ncuUw/uNtzV4mGWZl
zPkLU9GLf9ADR7VT17uROPp1bKm3Ym0WIb2DkPk16XmCCVhBmsrW5LRS5wVEGXVwadoDd4IlTl9I
hbfuCwCtkT6Yq30u40FiwKphwlqN4xmuYtKyx1dx7HmDHcc9amd7KwizDgwRCi8d8FoX3o4d1xqV
Jc9+z+zgZtBkCXMi1nlNb87EgmIchBHKLlRy7P+6xeqDZ8gz51b6cG64kjJ0ZffNe53GwSEVltPs
Y9tKfIJcwn0rpy547Ye8f7PaIPk7AVUwvwVwhhXu7lt/iB2OpMxzoZ85tCcgSZKJQEIumpEXeQLe
p+VX6YIa4dTo4+TNGGbjP0Si+RHEmRsxLeHDtwXbB/nrGsGTe4m4rP9tzACxiGeB9wYOm/2jIh+H
+V6AQr+poOc/HmiCw8aqq8s4dFXj2qyfNlC7By+p27C0KIZuXauYL0aGvcjuqKXfpqRNfgUksKw9
GfekfPaVSaEkCmhlhWjHPNXMiXNETPr4DTylIc6z6w8T554CMDdcK1FXoL5zJlFwPvDqzCEIbnRd
lGLKtWEmqPSQyi4lEdyCMVWGNWmdJK4VDix1XGyFAQ3AjVVtvDzeeyFxwGh6phQUfNEEKd6xpEcd
trjXJ1l6UP0BAj0WG+vlzJXUK88xzufvxGz1h29q/0ajwZiRMPyZ9WsbSGgQW2P/zY5lM6rL0qAJ
1YSoeFc9pRrnj31gQ+n/mLUhoEKIZ8EyAzMYUbkMTMJjYG4XBDIe6xDOfQIxbm00l4m93HqLMY8V
lAzdiC/INBUDvsL3WmjD5POmJ20F+q6bXj7ZaV2+erAMo7sx5SzS2pGe2ElWsg+sXWWpjnNfpII6
tKFeJsD1m/SYDkp8JC7rdCdMetm9dZxeKJ0XdmLtAlZjJFdpBT13Qw9yBDFjAOe3GBM8Rq2b/haJ
1bwLtwVwk2nzp8iK4EwMpvnXp2Z/zVLfvagijouDHWgmkQLKEch1Y5n+KeduxbY6S6yZ2DG8Jxlh
bj11SZQE3A05El9mYbb2lcxz1xwdzX8xiS3IRkFSUdKqJz9toCHbnvPt6t44UbLvxg86aYGJ7M6F
FIh7S+v4b+3z8r+XbonWiyux1MEf4XZudivGIUNhssF7MR3AK4WgXeRMvF8s3v27isFgaxMAHjtq
vaT6xrWDNDX9eK4IU5aBMGS6VC1MBS+cNE+el5GJHWcVsGw+6/jRUjQbwmG2clDiS+I4d8IuxkAk
lSP/eWIkg3/HnFGWiRx/fNK8Hl5sucx3BoM99czCUPFfVcVIqmMQexAfUpVSQFv/7ADUklSqaDLv
OuovxsO1AV5URytmKgS0+9wG6sVwAzDIRiYA5200zxy7XoeAM/DzIglAeshI1KRS5cgtYYNxOhrQ
O5SYYHvx+z1HkE4ZbBBqKPWngSOYOFvRK+phyFHpFB/RmsFF286yOr8us6ZXs+HpQ4QRQQ4ZaU4+
YqByinZ5vbQ7fHU64Egpk3x3GUGDCE50JLu6QSf7FF4g0Bm14ZUVtFeB5fTpReD/v3sYEQVKSR1z
yS9nhlEzmA5gIya3puMMAJ6bpRA5+yA9dUzrsyzbHmzLrJPYvHGN7InuFbQ1MdGd2s3pSFAcISrn
u4uBGk8zFt8KbejEeXfih9fV3rG0KpoacTsZTOD54uR4Mu/Ah3AqgQYL+MR7XWvH6i+o3PIQj0Id
nIYr918p1g/JwCTHSQY2zqRWafkzZY6dcbm3lp1m3FzuWO7m0zgODUJrMjC49nsZabAei5rrx1Nq
SFXfbdsYmn1LNCzeWrpyi5PRTaZH/dqtxC2PcwKT7O9RPGGl5zjx+QeL6Yye+dclkl8caLLx2My4
2l+8MYaim+ZFcwdbzas8ytV0q3EMzGDT9nHjvRUULt1X2gtlEW8IPxkh0TZihAqSFYG/YPzECYTF
kAYmMXkUo5gshzLsW8HR+93iDFK+LFmVvnoottzd0I1/mObgaOe7cftidW1W79hW8C8V3+v/qDsu
MJPp74ZcyBCL8DKtKd8Irh4TJPW69C5pHfM3oNzDFmR1wQfU2RmtesJeS2GfJovTeB+eJecjaAKX
tmzFLCFinrMZZAbht8qbU+eo3Lh33IGIcFiOmO41z1McUSyFctlNnYw9Ui+B85aCAiQRlQZVcU7x
zrcBweRB7cYys9sbadq0/K9KSM9+u56nB2YLCb1vvajrx22emkb0nBgUhHDWXU4I9GFr2/uqQXpI
YxPDH7M/KQFhkhHqCvIT4SN1sycXqA1eg/gVsAkXUUli65hZH55G3sFYEC9KbjmI9zfDivLob1Cj
W8Eq46EMVvdb8SfqHflatT3LBaVpNTenY/v4QwsE8H022MqihGlKGWJH0ZyL+3EJaSGwNizxocC9
9O4ir/4M+QA8xSJvFasqEhtoRvoIwgI9B/8GsOUbeldCfg0flEOITyWfJpTDJaqmBCHz4Zz5RIZO
PNAW78GAdxMDRzGijjOzwkcsGOpz7sXiVFsVWUQaOTAmlf/eoVJxU1elnP4gnxNj5eY5k1pAblQ5
MiQjWJP+6wT8F24tN0WjCKahe8uLpHK3JWrQ18yzGDvU8JKSE9g8vXUcrp+LRRt8s5LmE46Oe2yU
NSzXRmiupSm4170HdiF+dy1zQsxYrNz7wx3DpbyGvWW/Fknjfy5MRMTx3rYXIB4TT3+wH9LK4WK5
UfZW1XUc3Qc6+nsmMwCmd/nyOljQ99ZVZh0P7+5UWEkY6Bl2KiNlTdW/8NrJCDyXZVV/2k3M15MW
TPIfjxj/q5tHieBSLIzPsjzuPluGCEzKCI3WKGrFQmCidN2XmfuBeeqZxviu/cFPPwkYQTCbRJuz
Ge1HzkPXkU1PqMm5EiWj+2UzTX+mh0ynlvOqiN96eF3+C3Ok3Lb45gS/Zj3pQ+BYlJQnVV5aa43c
I5IWnxxg5yPyLy1K3/H6kHlmUImA/XtIYMQG5lsp5vaTokQ6veZ+Mc7tptY2/89VIUV05Gj70+Nl
r8l9j50rGDWQkwZFsa4qWxku3JgpvMTcBbdLHzjp3wjg5HWa2WY8W1lQ49XlvacO9rBwAIXKpw5J
OmSYMm0D38Xm0EqNFteL5d7Jc7fV2PlPDEJz5KYBgrOb16X/H5azehlcW0PYEKXudMiP3zCvVSDH
9j8Lvo/xPlISN7YLja+t4iHtnixptfC/amlo9hgcnfyRnE+LU6vhRdjsYcgrYrZujw4FZb0DMleS
jQq6XN39wB9pw3HTMsQ/9CdBsduAtKAeBZnpOrSkpI8IFhNCNvXiEXtVGEX87BjQ3cx0YushNJau
8R9x1lIp5QwTbbE4AX+A7gJbldKZM0J+f1Ld1GjW5I99nszsKUAnrCOu9btoEf7PgqXEODPfgvcY
7AY5ixzuMn0Kg6lMToV2se2Wcgx23Ils53dQUeDdwk7GJYb7Y84chsnm4zVBMAAuRBMQuQCL7NXp
DWYqGlxQuI8eNuVol6EA0zXgKUnuAcC4yJzYycqolWZPFQVlN96PDiVtDcDU2Tq4cW9k5M18n3E6
WR1yc/Z//c/ZmTU3jpxr+q+c8PUgJoEEkMDEnLkgKVKESrVIqvUGUa6qxr7v+PXzoHwjggwydOyO
tsPd7WQmcvmWd8kRnEXWKjSqfE9T2ofAivmrNw5F/jlr65qGR9xNAcjKRbaT7BZE3z4kQIXh2yGq
gqRekP7ouMHGD07iGsmDHndR2+zFVCrta4nslvpedi66jG3Au+OhugU6r9L57xTxKJ++oHCQEhgT
PH8wxk4k88aUwLj+CGHHrBsXi4sgMbpsM86XVesgxMIn/lYigD1/hS1gByjpxFnYPRf4BD7Tux0D
LBSc4B8EtrvkU1U5JvLeIBUOqcYaEhUr8E7Yd1ruDxyedDwIZDT9nFocjcM0oMsKLVRunCkAg61E
QApBg2LRTQqC+LHsguJP6jsuBQDd4s/QDey97fTUmpb29+QB77bqr3U0+n9o4TnFz4GHAptIcN2E
R5pf1y850gwox1MDfPKtitJAgkAQ74fhzD8TLSwhxRHYQezDhRzPmpJLx+qApT7aoxju01mUD3U4
+O0LYJ9RPi0iAfWhNVokC3ZlV024iXQ+94gZwph/xq4oC59pMRmMKRI4p1LDreaAWYX9B2ciEtHY
aUNaS3G3r1xHfajMPjkaKqnuKj0W/1bQ+uDSg8wHjoavTfXOng2cqSiLAdCaOZJ7eApCAKKK5oNe
5CRBHWfDGaVGecf0KalQcEJQQ1jzp1oDZrUzM2v4lgfZ6B4SrContJt8F88EGVON2CLJnmM+yOWB
PAMq/r4xzt9ymmAARfV8jidoELztW3pS9iJ+SYSx6Q3LKV9o0DnzMYAAmpD0TA6Sa9yL1X1o9TWt
o6l8pB2Z11ByrFz+6kK7/OxonW4i3DMN1gzwRuMfbPOp/2jndfcOEI+6xzFHg7uTGAAu8gEpgslV
7lLyz5F4dfN+/irbMkLESozDVwEf2qLCBD1U9BlbOGJdzXuCpQAbwtx9psHEGmeaE2tcZK4FvTPH
/BxObhbrxXPglhkWe1xxQCW7gvjaRxvFA4FKdTFAITu9I9yawWG4Zim3CSjc/FB0dEEDMMgm+ujg
C+8ze7QSzn1fW99BVxZxS7UhrqgLzDPASXlvQjdghHgSofMJBGz0ODdZWiBs4PTax352BizMKtcW
H8ZKb4XHXQaJkCys/lHjffMxEVrpf1Flp1mL5IRRH0PfMPYVRAwPU93pvWlO9GS1yH6cSK2ab71N
D3ZLJc74TZWliD7jxjB/rjRF1EYuqLaFw7J+wg8x+tzQxdmCgy2t3/Qe5tLDLdN9yDp8dbZonrr0
oWKMiKAS42zwgOR+8pF3AWoSKYHU7iJVuXSv4wxe477J1AyFZYg4oqNXIZmHCLBJ5RevO1xQ8Y7W
bcwdkEJ1h3irp0QPBkCXHgblfdIKW8W7gPNJqJtZnXqOBzLLXdPNA9m9nLSPpTNp8IyzpaD9bgZO
HhyGGKYONkqu1f/QkV1MXqZmTAIk6ERDWcIaXGgyEK2oJgdoTY17rcddU2wldgaZtunMkj5M5eAF
gph9afhT/wQZIJirf5Soux7aYl9O0CihRbUjdcsC3Fo+7foqzFvxjF5ujOO3r9Hab14iiVTel9Yp
+vERoI5WBr9dgu3Y39M/44CB+R6Byx+cDrwxDmsZlN735HozNhymEm6QImSBEMQ9fiJQH6yJ7PM9
NX1n3nWFUfyIar3oD7GpVTSQ9Eqa3SHmIeug640QhPKtyoBwynvaRWH4PexNbqz7CbfQqdzrOfg4
q/3nX//1v//f//01/p/gT/GxSCesjP4L+auPgEDa5r//pev/+i+u9eV/Pv7+73+RhqBSaSkUXYja
XIsKF3/918+nCI83/u7/JZMga2FflT99u62qHZnPcEhFqn+1DfIJ2H7wtCHOY8PdCHcie6kdOvdj
Ql8rAp50/deo0x9jKIrceEW4cDptd+mgnv4YuneTPfDuf0904B473SzdbzqclvbO6LMpO2CkAh24
SkJCijeODCnfsgyhpC1R7Zfm6ciGSQ9IC7XhK7FicqizCVsWG3CcUnbwDnLkL91H4Or6mLp7Ol2J
4Jx0dJOaORpwCjv300GBTVFKUuC9MQAZmkdHdjbCka1pZRv6sbSeNgPHhqu5bCz9o2XAO0UI33JT
XmepKAuVdFN3+LwW4t6mTBtTxKo7ggIsNRd8oobBdTLGZf886J3veEFGYvPu+iRWn0wKVyIp7Fiu
aZggrVzndA4GCzRbQS+eJqX3wJPK8Qfqef1dYwikuiRBzbfJMILj9VGX/9dXu1bqhtAxWKGKyUax
dHPZ1a92bTE3SWj5dvGM1CMmFmXuZO/6BGYhNOK53VIOVvSX8Zg9hg7uHDe2qXVhdGkqk91q8B/C
OB29AytbN40onv1iaJ+STFrPQbPAdNFHvDHUsuPXE5WOZUiAebZrmssWejXRxpAaDQGzeG5aMssc
4McWMlG97xJ33NdKOJ+vL+z6c+qGyYYEb+hY7EtDrD6nhWBPNUJ/eMJ1Et5C6C5tFuoYCMtF+T0F
f/pGNuHx9VHPF5RRLQr4pm4QhFvidJbUOJgozbenIiFE38ya/e+woYJN10ybf715LLYplTHH0tE9
Xd8x7M1KUGLzn2idy88EiuiWQEeLlmoUbLrrg11YTlOaunIM3aTRqlY7xYQEblO6XoyBFjo/6nU/
p4WNgxSQAX+NZB1byTTSp7vr4+rn+8ZkYMfmK3KPunL5Ya/2jaUBHjXc1H8CfeWVmqzTfS3R4g2o
tWCq3SBRHw1z/TOz9a/m4tGzTZoWnwEfxYqa29aG+DCQz7nov3xEsuTFdXvzxiG+8BttEk6q0DZF
RyFWv7EKy2BoEK94mkycSTZhZlOWgy9tPuQNvo9RWlRfry/L+sJldyuDe4p9xpJwhZyuSki2PDuh
Zj4ZnG2AgfAHWooC4KNtFJwlKlL3pq3RvYd+0u4jLHG313/AhY3OfanzO6hu6bZcbfSk16GJdIF6
srvROKZmQyWpTH3AuH13Y6j1y84daS6QIO5ZAG3IZcjTyQbx6HdOVtpPCNq5uxJe7R74PTkh7fxD
HpcPJZHfBv6r3Om6j8pGUQAOqOfs/vqcz+9qy9Vdix8jmLmwVq9ci5kLOP7RetIG10DvdnT0Y5mm
32DTE+kXSLH2qZh2cGSjGyOff26eJYdBHYcnnWU4XQF3HmrXKk3zCcgHHVDNGtVupP60d+bEekdT
6kMK1mjvd/YCDnHKh+sTP//YFs8TT6OuE1KAtjgdnhfKgTPQ6E9GTCSrx0MxIvoUzjsZNf2/r491
fpZspQRGdabBsafVdjoWFtP4bjSO/ySAM+5F4y4JXWgdgEi321yM8eH6ePpyOE8eJgW2UiouGRjJ
Aimp0wEzEBe9IzK6fIGmlw+YG8byvqfjSWk48q16b7eDOGbY3CAiNQXY3KnZlscJU7v5Y4Pk5L8L
wPZyA7BVfW+loZUc/dhHUb0M4/duaLkfrv/i1QrZNnh2zoKyBX+Wurvahn0zdQjG6vmDMefzPXph
9X2hZfqOZlz6FITi1vk7H08Kw+aTINvrUrFdjSeAHGGAnlR0J10cavMB4joioj46/zQsUBd39tcn
+Pf2evVJmCF4JeEo1LwcTr+7uk978BIFAKbqgT5y+9k1texgmka+tUMxHiM5y2/aYCb4wI3AQcqs
TQ4zneudIH+5swxjvPGory+g//weRcTAhkTX0F0dPz1FT6UzkFMCL5NnIZ6etfw9xKUf/uOXtOCO
dTguGj8ijQ85gBlEhlFGfTYxKHI8idvp5xsLtMp1/v4gIEiOlFyHdFVWB5JWnQ5csuWTBFnabxGE
BqRg4tPE5rRi8QH7SEDEFGYRM8KpcZJ7q9PEP2lpROGuz0w6jdd/0YU9oivXdS1HGM6yXU4PkSu0
gaB/bAED2OnejfXpGW2p6UDdQf4ROgWj6+OtruJlAXgPdNe2QTobwljtyaTD/qajzPFQoRiNbDAq
TsOjkdg0tysJJv/eqWp7fF9T2X7BXbOvb2xRY7kVVluUOJZXn/XXicFWcXvTpTjGNGHzEI7pdGyx
qEMYVIxf3Kh+T7BvIqMVflh8a39nS6+G9FfyLlWUy22MU++xSkJcnL7OuFFgoBAF1p1/gh6BpcAe
4o0f2tHzJJW6j2QKEiSjwghk9uf1RVx/NIeUmQ+GGKTJ80Jp9fSjNSZahmTt6bHkp+N2Y1uI16jo
A8+f2urYFTxdH2/1jNiOY5uuBTVaGDTD3b838atQLjTqUKEFrh0dx+0FJE+KzyN9xiqA67ZJs4nH
+8a+XF3uDEk2ypMtmacudHt1cm24CdT6ndYzW1HeKyreWH5M6BW1ZrO1rWq8Q2uxuLE5Vq81gzrK
Ig/QbcNalBxXmxO3vCkD7okfgaMcOocZ7DTrg53SLrmvRFlPewS/NO04NnrZ0rAH17CNOzo/NyYv
z3+IK5AcMXhLLYeoYfWBcwG0p4bz5eHsI4Z39NnC9ikDTp7xcttd883sdBtab0fBbycDRHoydNba
cXpRfWQ171oaruILlV2LAgkqwiL6PsjFLQcwL4qb72NAfslThSKHvxP01dxfjYnw5p0OZJ+LJ+xq
8VQi2hqSwVZA5RC0QMQeWHQbEqGVU4RRdDSUujg2SANh7JOZIz3TKS60JQeNROQNXdb1+DdGoOu3
8KS04EUOCDN/jsHWpx8JrZEjHIdx7IwN/hHIcl/fs2dnhNzctaREqoZ0zrCXJX61Zw3getghAFGy
m5zmaOIP9obuImo4xlz+pqbi3Phoy+Z4fbGw92moCUPnD4cvt1w8rwZMGqjbWJFlnhjG9hNaueUz
nqjBjVHOnrT/DENabXAoeGlX8ypRb4nBm2ceWA1snCkaHmtTYtRi9hK359I4ahkai/h/h9CesCtJ
y6zZqnBKbsSW65ucH0JKaQGP0am+uObqrR8Tid4l7gBe4JrDZ7NKo32OLbWXY8TXIzC/SEBGRemR
7VY3FuHC8TCoStlUChR5xXqpdYT5ijLSsQyBWbi18zz6kCFjdDcsu3CE03EE7qPwicR/OKUa8/H6
1rrwpclnJPuKiN6Uf5+YV186zBpjnjKAlEGug3gFDpr91qIsevsONsC0CZ5JILzCXsUK/VB0CiNy
vvQMMxFl09F+lI4/WfsgHoKvIPkR/78+swuHhi+qkEkkZkI3ZrW54iYcyzALQ68xccQx++YB8iCI
+g5gmWVgh3F9uEubGfllXQAA5w+28+mZqUUytXTDQm+wU57RMam533wuj3FM9qg84JKSlkhsTHH5
LvDpDkxOq38QdfXr+g85iwrYzFTHKTkpe6kAr8OS3hwBD9RB5qGgamCtPqrR8eDpjMk3E6/SeVNh
WSV/jA2gvS3JkxHt7IJi8WZ2LC34nahRlB/8zkBtFaWWera1DZ0NS+5q3Q0MuSmIJWMvjuahfD+D
SOo/VLqC6e8KNI6abeZ3rrwvcrMGgAOiFm3O6xM8e8F5TCVVdkJPQmFprrJ+RCLxjzYoxDiA1f8s
YrGHtu9RdwU3hPff9cHWpR/eUVaTPywgxBRV1okHoIbciXgkEM1LZb4PkRX6BcUTlezEmex7LjVF
Nor/5rw3gA1UizFX/1LixpO+4x/Nnw2wMP5WOU30iGG2Xu7x8DV+xcSw+o0teGHHk5NRclecMJsK
4GoHToWA09tEHlKYswSnjVWtGajmszUbTvHY0tT45/rqXLg3bVaFZSEFlMZ6z492bFBq1xJvmNx+
h62QBSJWRV7MNbYvpdG8a2SAzWEZxJ+vj3y2CfADl8iocm3zQNF0OZ1rk+qYMlUR+9DGZRYWjxFk
AD+76CED5f14fbALlyQBvkXyBcNPUlk9HUxakAH0ssJFTzrjsYVfudWn5H/wCHFP0TlSpmGTWK2i
+QGDhz6C8Ow1c0I1E4Az2FGha3h4oqmEkEKH4dAEDs5Ps7vrE7z0HQnNhC24L5di9ekEZ3A5bmsW
sYeZUEr5zigOLZLDu9Bh+KyBtAo9ytwGxjwcro98HhvTcljuaTYs74O+Osxg2OXQuUnitY5ZqA+h
RvnnDlOU8NkIDJq6I06NWFsUo//2rbvEUst7T5YPb+d0ynVpyqnW/NgrsXe5S4ZS20yg2d+NY2z/
GbGgwwkjKOC0UGstb7z5Z5t3KZRTnBc0CimoyeVzvHp0gY4HkdPNhmdDotsW/F2fZsNHCjAW2Y30
6mx9yXDoRuq0AZkkR/R0KAtMR059yPCwczZg4OHppICcbwK7Ge8mpPdo+YrsrRcRi7qMyisEvp+4
9XTQOgWuPwmpvBTtjgfSLFSs8ATa5HMbHVp6HzfW8/zt5Ukg0bEd6mfC5mk4HdBQGd45SWbx5EEd
gBmJeXgc/1PZ2BDgXjJt8ihj9mWOeHsI0wOmo7EvRjRr3ribl6dJV9QeaBKwrVabyrTjxPQD3/Sa
tnIPTQuyE1mKfGfWSm5A6oqXHH7ajdmfHd5lUN6p5fwwpLta7chHEnMUvvTSJrZDwLvdDFhmIF7f
uITuHgKHqFErK1P3NdDVt0Z2jE6rkkjDIPzhLj5delPoNbd7bKG4RCP+a60wD0D9oyjeg8lK0MgI
GrgGb19m+j82dyRNPOpzp2POGhaOWdATzOEaBiGliu98rXA/OJidHIJF6g1AbBbf2NUXTq27RJJ0
ukxD5+uuRtVpcAxBa3qTyKRAjappEHYKfIqxegiO9vocl61ykoIt64ocJEeIx5zn53S0LFVdrGm5
6ZklN0MbqnxL017fR+H0UyJm6F0f7tLkyAMIFwk8eNBXO7eDyRYh/iQRjJiybWtE+OQJ8Cw56gQ3
Uo5L+3WprUqDcJlIeRWYV3o1zCYNFi/tcIkQsnPvNdS697nK5bEF8v65jXR9R/myEDc2jn5xmg63
EzkXCee6h1EjfYB+bOh6EuH1zAHdPJfFFmWcsd5U0Er8OzcChnaH1YbAWxfvXhOXiMCdXOpfrbTR
6Pdh7G/4Z2M0MpHZm8R+ztGc+Ay6wjduwAEubQKFjgK3GzVWrvHTTeC3vh/UEWTg2QGE2AP+RClD
Zfd5TEozhYl2Y33OAh023YKcYMORNrlqlcPMgPDLagoQF8/a9jd+jvUBQmr2/u17zbGF7tjAFNkJ
q61tts5YCVGbXltU7TMGS9lD26LuFDWzeeNuPP/eVC90SZGSEJ4AZzUhnAksDVUKRYDai60ftsZd
V5loPUe9vHERLtv29MAuhRIB69jR7XPMSxJYTQ0bUAHdd4BbBcggKyNqvwAQ7/c+EfgdSHp/N8kS
foxAlOX6op4/9Ayv6I0DOwKV/Hfnv4opJGJLaE7krjeFzvwuLc3HpETolhKbjxM9sEMjREHg+pjn
J5kxQRYp9iiRsbMKGxFjxA9wWvQqKNU9iXlExkwNEn9Glb+3CmyWm6GHgF1ov64PfL5Pl9iJnbM0
Ixec0em5aJyhrCrQQJ4dZ7b5WJoNAunIJVfJl+sDXdo/Sza/JFWUEdZQil6z+mqS3Bch+hAe1t3l
u8gOP9eCpb0+0qXtwzKaS9WWD7jOM5OwFdFkBI5XhrUGgs1ucaOM6vhBHwYk45K86j8lqcq+D52I
/1i8jZ+u/4BLa7oEERRobIMkYPUCkLuWmpZNtody1PzBRx4QIyPy/bffMeRrhIcOJ4VuzRps1MfK
1BSaCZ4VxnGPsmlbOYeE8uKbbxnG4f0EjkfRmSbJ6R6hfDs7c6kwtgRm+kOZc/4AlagmhxO/r6/c
hWNAsOvYBsC/5V/LJnp19JQZmuCnXcsby0m784We7alxj9u+rzDXBntGjI3rskWr9MY3uzQyoR9X
jq0kH2/5669Gps+zwMO5c6CMZ9+RTIp3bt7C8uA9RbI2VtkBWb9uB6bsVvPpwsmgNkn7i4Yk4Iv1
ySiiHj5p2CkvdHNoWBrdralNk103ONHh+vqev4KEWy4kTy4bQUFl9V6Esdb/5V16cIdpY/lTNNxn
JkUV6sRorWg4BV4f8MJdyrQcGkS8u/x7vaxaOaiyjLle9AAt5d46dpaLtkkkcVAcinqnkP24PuSl
OSouGZ2tyi6y5OmXJG8YKnTZpOf2aGwHAGgfTAPuglCFicZM4t64bi59PiAOlCltclDgM6fjoYg9
i0lW0pOmAbqAX4QI2YwhyeC8/a6mK0uyK6lInZc1onYaq1L00psLy/2q92G/c6yxuHHaL50EpD4s
ikJcKWrdYzMaHRFA1Fe8skI9uXIz7QteAPku6AvA7VZjNFuUGH9Eyn8jZJOLhTqEVI4Dzs8E6beK
0ZCvTzDoI1DXwf3mG2iw9pemcL8aOhhrc4QXUS9p2Zu3i0E4iFzmkiRIe7nMXx/8olVh2SfUQClY
HdogCXamW/gvHaIkuwpuZnQjMrywPw3UEKncu3xIcEenA6JOAIF7IMns28bE3zrqj0Zu+EeMiWi1
W83n6/M7Q18sq4rQKwklQsCg/VbnQcT1ZEVuJz1EfdqtFcRI3AA13EXDAC1hJDbY9JFEcKM3FalC
Xz8WC8lnoPeLtEPYDDcW/MLzbFBgoEnE48XxXH3lEaPFqbAH6WFp29A1d/B234BJgaJq4wt5Xw9u
uW/gMdxXILGeHDtO99eX5MKJJedckCjo5gCoW77Qq09u+rPjR11tYIUz+IeIbro3VnVzF1ZFcGOy
F+4/qQNcpeXoAHwxVk8n8oESgdLO8OLMEQ+QTFBE7Tr7SxHP0Z9JxdNjK3tx45a/sMKAxgEAkBEs
t+7q0m1dS/VqtEwvFwj5oijudjO+EGi4bNIKR9lNj6Tg+6BF9maLNrt6UOYQdjdmvpybVRDPewqO
x6IfxllefWakJ2NE+0iAJtwWv0fN4H+a+9CY336awM1YlFuXNj0iM6ffskgHFPgKXXq6r+i7dOiZ
FmVjwMyHkSdzOr1v3zsuty9IFb4mV9XpeDgUD5jH0v2qNT37PWqm7eEfr70voB7ceDsvbNOl0W8s
2T2h5BoUinpfoNVmanqCyu0WsdcR48oW/eTACNEuvz6vC7cSwQcQnCUFATy/fM5XZ8JN4rmXJa9m
BlD9xe3J6jbw/3BZkng4YPPqOv6NIS/Mj81JjsUh5E1bb1MYMTHPmWN4cLfEu7qwSop9Dep9NvKm
12d34URQyrSoTv+n9bDaJU2EqZsf+9g86QtGx0J5Y9gEuILvYM5B8Zb9+F2Tg70f0DQgxZysp+s/
4MI9AEfOodnGaQB9ubqEpyhVeeSXUCvDYdagx8sF+oboDbIbxqijTwRyJ9lCzHKqGyfkQkmX2xaK
E6BrkiIy2tNPC4e5aqoiTAmDLDVBE/QRmhM27ksz3tmYd2kO+nxRmLwfDD3e9g5W3s4cOn/MVtl3
19fhwq1AK5UUF5QzG/sv8+TVNktGTZBVi+Rh1hL9Dzsj25ZpbL09mH89yrqS2qNE1KGOnzxYIvZ3
hjua2H6gCt06WfFFWe7THJW110X5LRz3pc/Mw6I4SXS4oIGcLrWZA+R0Ia0/DFDCzIepRsbhxQ0s
/ZmmZfqjHQUygEpP1XgjaLtwlpbmD+USEnm0tlbvTNxqho0wZfyABER97+SNcYhjHc+KILr1fv9t
JK1udsf5G+k6CnrQOoBpB/6axOniQdWpiZkKqFZce6Isw9+iK7u2POLe1/n7AJtIfH3HHJj3fVVB
OJ6xjoZRdOM5P7+6wE3S/Vlq9gbX5Oo5J+hJZn/KsoeYuL/CIrSeoq0g5vs0ldbwoWvzWyyf89Ve
UNtclhA1Fij76jqBFRVYQouxpA3H7JCnIrqrrKzZKcO8Fauc7yhpuZRnFh4WEGp39WGxaG1xGYLW
FttV8zPUoxwlT44oij55C+c8NLKdmFxUE68f1AtTXICEvODgeWDOrC6N3i67GB9Z3xsRpKt5Sevs
sYvCvNiWSULL/vpo5zkHlRrawexdHWLtejQJZxXbEdC1CNs671Ok0O78ssMrBpNv1HOnrmu3Rrng
1Cl3+7+uD36+f2jnLWQE5quoLqzu5gJmhxrwn/SsKKPCl3bTprbKHo697W7SIKpuhBDnd+CS3dDp
p8TIa3DGbJQZ8nWY8nitX1FEtVLjMIBiubs+q/MPyNNqUxhe4kDIS6tTMSgDCV88zL2JoPpj0Tjz
ew0OuZe2uXsrpbk0Fs+aoGxDqZvI/vTaU5FKS/BOk4fG0ALsyJChRv0bnnJyqzh7YSgSpwUyz2EC
67WKv2Kc7NsBPXFv6lT0E6+t9GMea+lOm+f4xqa8PBRqenQCwZ2u7zkcOUqB2FUPBaMYP6Iokt8b
hZnfISt+C/98YQtCkVggJwSxS9PzdAGdpserz80Gr0ft6+DUqGdn0QDmo0AgcB7a7sbU/rIgTu9w
i7b5AshRNO1RfTwdECaxCAfb7z38BDPMNh0rOk7h6D8XZmV9x35CHOrCQauvziid2AHv2K7MjOHe
SDGb4SovsaLFdPf6nj2/7CwuHDIXwEjU4NaVsKzGG86IcbxC6wBVDWMK7lTnJ16IlgxCHOMBbdA3
kr0oOsAdBL1MoXi5ztcBfZeZQ54izOlJBHy/aSCav4xViHImahB7vcGs7vocL+yqJTQAQADNy+ba
Wa28OyKtk0Wd16AT7eXoIR+p8c/3SjX64X8wFFwYgAvk2nTpToeK9G7sw1RvPXS6UtLtwD9KLTD3
IYnZjfbapVlxzZhLGWWpLa72Ew7cHcJXceuNfdR8dDTdPRDw6i8UOpwbC3hhkygK0RROyImUtW56
RohslKJSrSeqEcV5rXbvB4Wjqgrj4bGuJrSq5uLtKTUFN74WMTQoFzLO06UM3KZ2VCZqrxhm4CY7
5E58oGgpto0Z9tQhYssYoI3hgdY9WliFK1P/N8IsZXOj5XvhpiD24l3WASVSmVjFA12XYnNcF2DA
EfidPrXYHYTHvK4QoyPJ0dBA7Uw/3b55IzmSi2kBNTHu+nlWzUShYTYbT8lsPEzYbu0jRGDuTQ3h
pOtDXZrfssSkoS7Rpbt6tnDlGhN8o4jOF8EdX7i/8zny78DdTUgYaP3++nDngYdF14vXkaYUHfQ1
mtboetLG0Ko9l5OPGj8M9wm/jPsyLz7hLxTdN4tVF/I+zY2zeXGehAEkwBQRzoAXiBXmk4Y5rzc2
VvSCskf6bbCtYIf6wiKrWNZ31yd6IQukQr2cGiJfIAHrJyYmzCirtuw9CxYWALQ4wag8xU1sOw0t
MjNNjUNJMEUO0pLZPJIwZcG/k1pLfox60hyv/5rz64KzBLVoqbeCVFtfF+GEoDlyNDN1t2oIdpiw
ze/dPqmmg2j04taeOv/Iy8lFwGFh1i576/Tw9mEdT2ZaCU+vCqzM4gQd+B1OdfLzhIb4i2sjuY3r
VJzs6i4pbyAez68r2gJ/u9nci7y3qwML1EifkFYSHj2SaquauPyhD3X0p8g1VGXcxSrYamPn55sX
GCg6ATWlFfhUa5xljFaraQ248gY6onJm3Dof8sxodk7QZDd28oVvSYET4BKlKiLANYTIaawqNC2K
U0ORyB+5GqcjoimIDwrE967Palmr06gFqvrC0TKpnws+5umHDHgjF039yQtATO9pq1pIN+fWfQr6
7x7PW4ABjQYGJi5HVCbK/MYZujBTBfydz8lbQLawegQc5HizhVTqETIVh4ZUZDPgS7JBVe5WgHZh
KNBDdEMASEHDWzeVGqFJYs+k8krA8He6O6XPGfZIOKDW0Y0r8MIGpShEX5DiFCnDul9WU/7BGXpk
ViijAu8ftcYD857hXo9K9Nes5CA/1ByX4s1PGf1WVBV08kt47c6yBq9qQeBjoykMMX+U2IMAXwrU
pAiu1TzvWrTyfpVuPaRvJNuCdQYvY0uTkH4hUq3GbPEkFDhi517mDmV2mCvhZvsqTFB1zOwOE5SC
qu+Ny+7SAoPPWpqui7TDGsNJXbDs4XNn3pxgl+pX1s8IueiN08EHNOzyd67hcHf9oJy/LkwTIQng
D8tLuu6k6ePiPuT6mVdXsnm056bct6ORQcKqssOgNbfkA9bjATdeqnoLq4qinrOOSvQOOV17dMzj
pKdFgDq9xMUSf9sw6N7HrUi7fLO0qMSNHbS+D5ZhaS0sbfNFK2id44qiyEP40vKIz1XT35cTQrXb
TNY2YtgdsrF5oEOEyyxnF9LAvxuccbi7vtBnzyqbH51HClBgTbgS1qjgusKFd84C44h3UEsxtxrz
4aW2wC/t3TmqxMcRx05772uu7+9LZEOwzkrLJHgcSmrsdyHi9NGNWPysQMdvomAjF/gsXCjokqcH
KwzsABBrOR3TsrI2RRDUDyOd1a0FbQYoRYjRDQzXrYOlFDW8JDiUWKy9NaVdfgRP7RLCwVQCo3L6
I3ReeC2CTXIcgOncKYcBMRMfPaXaXwIz4xsh6vqNX4ajsE7qsfDpCVNPhwvNCX+jzOiPoT2M9cck
c1PYSeGEE/i+YZvEaoN4bYJxM65v0UTLE1eEG9txmdLr54nfAGyM0gSHXID8Wz1PKNZHmGiY/RGL
POMfe57SL2kdpu/rJuxvTHf5hKuhKECy80A5UOBcc1JnnP5EM1gdInm5wmyiau5sErAbT8P5sabU
Qv9wiSO4wNYxo5tZOZ34oT/2fTk91im0XqQqcKVJR7FxULfbXD9NFz7iIrvCI7uk4tQ9Tz+iG8PP
zPW5O0q+3vDSJwXxeJfJacxwO8zs1IPiZvg4JGJcvAnS1hQ3Ogfru5qWPNESoQzEZsBwYrWN7DJR
qI4HzZFNFuNREJv5lO6h10EmSSqF8lWuRR0WlJnEw/uWqNIZ4WwZnqnzRFGeIdBZFujVk9jlbq8w
ZZ+PGHEFhnvf1yT2ycbB/yndI6ddOw8OvT/xOTeRyqOc7rSlO2zrWfTO9w6nFf39MDuOPKS2EWnf
NQT2yr3skT+/0wTyBYcGgllQb4ORcsGv0K/j9KPexQpvjmIhQv1wXJyYnxqsy9HRjEJUON/6hUGV
8Ezo9Gc4JusQyozcCLxvQO8rql7ysMMKusXUptFS2BR9nz90ymj3Uo+0G1Hq+YGR4HEXOB43xJLF
n65sIjGtHu3JPwoBkjQm99qG9pR9efP0GIXOsElSx+5Zfb8a1+DCMDv/iGedEW+Cplu0osx+oGrY
WaVzcGzA4XdqTAwTLGkWPL91fAAl8DcIM8DNYn9yOstQFfkIxco9zsqHG8pNVW+6np7THCb+T+wB
g10SpJ2LVpfd3uKnn98WKNqQzlC6g0pIOHk6OIp8Jco2s3scex1/IGFl7+LKyT72OoKPlcOo1yd7
YTwKMejxLbwf2AvLX391WFxEbvswHtWxSSo8jQspe8xOa8hlTamRADRBdSN6vPCyopdDwEEasmAa
1o+abfsE4FWujsHcLlQQ3M7ngvRDTPTIVeVL1CursKCRAZgmigiepwi26qCH2WPSuGl+4zhdWgKw
5RSoOZ2LrNLpEtQpegA06VkCLCg8LRhfUAuv7vxeJI9ZqUU3op0Lw9EhsSGOAWxdKAenww15rFrc
n6xjMMbZJmwhhhTBZN/pgT5uJkF34foXPo/vALpRtCB9N5bq4uo9GE3WEleawOsKrAw2c2lgR4qC
iP7TLvz8XdVbNh5fk9l/RgEeVyIXu5L8/vpvOH8ReA0YH8IiKhdnF0dm00j2ZQM+a9SL+67BrT2J
whSTBookeYDCYcp198Z2LjVU2rkIP/KfS7q53GavtnZGk4siwRB4qOm5u4ye6cEtVL6H2H9L3eI8
aGGoJT1Z8hN6YKtvKgV1ZzxjAg8zcc3YI0IZFHeWgKd516eN+1awKzOjbrkk8CiOLH2c05npZVLi
ZWTgzay05ojXpbbJMzv5jq3xrcLEpdMKKIjyEvUudqy1Oh2lL/EP1Tss2yxr3ssEA8/cxqqs1JEP
r4fB3MYjyqjIyeFnDhMJB1433F/fPheWlxeHtJoEYYHBrubrp1ogyt51j23XFfthsD450xy/80Gg
vP0uIGIgeOHiZ3XXJZ8oda3ZQsbm2LMeByfLRbmpJd4I27xP620aZNEb9Sa5ddDt4VGl+ksST7Z5
+jGj2USbf9CQTRt14xHEgwUzX6/uYZS1N3QlLnzMpYBHmYke+HIYV/vUCIZMD/BROM5lQ52gqhrx
xy8r/Zv9/zk7rx3HjWhdPxEB5nArKqvVk6c9c0PYHps5FTOffn/VPjh7RDVE9PbF2ICBKbFYXLXC
H/oUa5Qa3vTZnNoRj+epU6+zqSQvOAGaKyHpPgS+Usg4xECzKG9kyPrty6zKuTWgLdensVJcGrUt
ulkiTa9uKcRJo8I/PD4/rwKvt5k+lDVSFgopRsVU2bcLli0mh1iYVCcP5xokS+wsV8ozmuSO/XXG
joIHNoIcgXKpTXNoPbNWPo8YotRP1qCm9b9BrUzW2Y4nxf48YI6Kd41ocuNPJ+nsEGeewYhi3wy6
OD+N+lR1e08bCgSaY4GP0SbRdXw8MR7E2HczMs5V480Uhp7xEnkO5j0HTdRNtLfMtAevD5dC/6Hi
GPc3GltYLLrIhDu7bEjC9KNblHm3iQNRKLvHW3QfoVEw5lRwVUC4IL283aHCKHU2gt8fN1Vw8Mb5
MxPT8chgJN83E3hedQzGldzj/rMmVZfyffQ85RRqsaaimBhd2ykyrhg5bmOBfbNaWDb2VjQh3/t4
wKVIqyBeUOkx/F48XjLlRaTk2WmsJ/27iXtFuG1Ttxn9wNG78VD1IxjlWRBPV1a+L8eY6UPYYVLJ
tw1+9Xbl3AtzwRS4O9koAI1w1kMV9IkSYuBCMyTdu2aMb2Td4906E+NWIuf9a6UChKpAY4fGGV3Q
29VhfdWCa2s8WX1uoMwNl5BOwrjr6exci8ydPxWSiP14s994rx4jCSZrNF9hjC6ujA6oNDN3fKgd
fYzqY19AGzyqehkhjt28/y5EYs0xEN6UU2/mXbdPGIe4P0xa05/UWrV2doNfOAmOt5kTY61PdbeZ
r6AwHW0Ah7KAYdftUg6izdNYRu2pAmuJk2ZW7/D5G57HUNXORZKluKmma5jSu82U2BN6P0y3QIkx
1l8sSl1pDmXcnNogRPaedpj17NSTV6GfVoXfHr85eRxu4iQKS2TkoJUAlPL6Fk8YTwmWmxiznLpm
8HYj863nfKi8TYhE2W6CubidUrJHtyukSXdtrty+9/eTLLwkkkK27DEOWNxPaQwsCruj+lQaENZR
xPcOZjFkCE7PIvqAoHHmT8ydTH4BhuJbvIhrHVuRd4PbSc7B/9HNZ37ASV5q1qReiYOyq4lTPhuo
ULSdhfMBRuCbDDXbr4/3/O4ylGtJ9RCDyTA9t0UU7CwdeU1EeE/WZIBkLTDNTDZFi4jpnohi7c2o
DrSVL/StNcGUk+kwVEN3ehkWTBQ2hB3Up7qxquhY5Vo0frOFgqF1SVvoswNt/r2DH7mnJqNKIpEc
FS8FUwMnG5W0s2oae135jw2Hyrfn0P42dWh8PN7S+4Yya5FccJDJrci8F3taJXFgW3knTgpvOOmY
zlZFFvqZaBtatkowaUcSAi/fuVXlfSNRr6xdlMZ681nBwDRINo1Rl+1KLH5j00ksgVyBepdd1sWP
QlWkbXG1zk8Jvm4vQBL7n9T3kbIBttcf6EuFzftfM01sCk2pSyS/69vYURWz5SilkZ+6LK8bptOj
Fm8jzNnmn4GZmt+NFtfIlRxTl9/obQyB7UL7EdKEwZFeFidqOhixRZvsNAPsyJ3NzIcTV76FYeGE
iIlsk+lRVk3R2TCwKvpk20Uy7GsM2qznqdYRs2mtaSj/1jDZMfzK0trw1Wgxwdyns+mCeHGoet1u
iDwPzTkswAZrE1U4ln1VnXEUx3q2q/bw+ES98e6kFi45hGsDOlpOKKLSaJxirDNQuWV8LBRLP6aK
GHd6ZX2r3ChZmT7I0nSxh7SLKVmlzDcF5SIOVnlealWcNCeV+d45HdvmUjjTWh/xVRJ1sQz0PsAT
XGnc1Mteu4g8FLbmejjhutI7JyrcAikWFXeRfe06DLkDBSy/vR0VTBK+1uilaueQXA0laSMr0h/p
jNPIR0yih+A77Rkv+pCY2L9NW8srDH2Hl2CI1V9KpiwtW8cKTzZ8M+2TNYzEdPigLqLwU50ZOytO
g/YAyj5WjlBG6bgVoqhhAgI50I9xZfYaPtCVY23SOZucT8jaqijkBJk3/2xLTGoxwcTV669C0dRo
lwe6WT1HnhbHuwzBjsGPG0yBtplbz+P3zDSRfIl1vf8X+4l8ep4Lre0u2RQpBjK1RjRr5OdRUShn
4dXIDW00HVmNdAOuw/KekTwMXPqREy5Ejw/Z/VXP4INcUcouQ5heAjrAsvAbKAJOLWK647Gp9BGT
7jCKMx/KTPPP49XuElNAwkAOyIVRh+MYLBILGOTh5DG0Po125tTRFjlxs/6IVb3jHIppjNN/2jpM
Om3r4lnm7OIRb5XPj3/CGw8MLBvCJ0xlOgvL+KQMIgOOPNX0FsbixYBS8SLwnMH1FGeV/8NS8kti
4gOTY3njeUXuTHZciFOLLLT2MkOYGH4oKRnqvyM6Xeanx8vdp4psLdxEWoqv+oKLHvbQ1UkFEMA+
4QbXXHOBGRwM11Omie6K52q2AT1orUTeN9aUjWPKeuIuZK5F0DATMKqYUuEKK6ai2+pdqwvfVsz8
Wx82io84Tfcl8nC9efyody9RUsfAPkhKDq4xy2KetMZmcOzYANkK8+rgd32OmVbjZ9mu3et3Ufh1
KXQEIdZKbt7iyIokChoENOxjEyn1n2bjzWKHzWb6UUcM5ZQbc7/yRb65IEFfarzTjF/CJI0yaujT
K/bRNue/AtSurwNuXVvNnX/luhp/e7yT9+kvEoIEfBghvEOgAPJa+K0vgjHNjL2kYx5LVUk/aZ2l
/jA7koldkhZ2hHxyUeKTnAxtcNIVp9U2aoBo1BbrWX33+KfcFQIG4x1abcBDIeFwld/+EtUNmtBt
HP049Bjt/qNM0dQ4u9x1h6R9qkYrCaUeWaY+zwkgF9+uAf3tk9TIh5fHP+T+dHkUzahqyFmXA+/n
9od4XcMAM8ZudZibcBMakXrQraY49GBpTu9eivJRmvZwnFXQsbdLYX2LjX2FEyiGt25J2ybKDPuL
LkJ7fCFNc72vj9e7C8CoKEnpHxCazF84Y7frJcyMp1FVuoOd2MOuye3or6nFTIrWjzhEZgVd223D
i2lW8fbxyvcjUj4hrASAWqAkot2NPLJidgUSN+0hchp82xAV+Rzj9ntRjKDasUXVFo4rCj+a0wJ0
1hwkE8v5qWnU+GR3JUZyJvqhABPyLfp0iHnlVXnKUHamMPNq3E77zvpkVUN4UgdMDrNA6M+mljgr
Ae/u65RPgbMVBHDY7oxCbzcwBq4SmvgdHtgn+xLVdX3KSjXxExwg9jiaranG3gH+SYDAhCCqSi0O
NGEZ6kgG7GKoEkBdphlVe9TcI0boRtBlyE3Oc62HX0aURruzcII0/NCBtM/IFIDzPLk4dKhfvTFy
lQO+mrTaNgpiSuZaZfeaid7kdPxGwgdSCpRZQI0XMVJBI9hqx04cGuwZzloz6RshIrFp6rj0o0GJ
/7Jz3dip82BcxzKgyETnYdvWCda2VZIctE51t5oZYkYVRcknHLjNfWNZ9baZy/SEmn/6hP0gLqBo
JX/z2krfeyK2/IzgeKqixt5Y+KrugYwoR/yCp5WTexeX5NNxfbtglhBcW8qQIfSHgFCpiEMeOsUW
elX29GoYXlZC3wZp115HNKO2atu1TwzDoveGCLk87SbEd+QAfnkBpUJDlniMmkNeTkBO69g9RKKe
/d421uqo++gAuJSpgEHKQimwJJxqcPzGyjaSU52rnui3Wpo4wX6wxJjsjbkMymdXtxPjZxBGxfzn
LGj/qSubfZdQwELi6zKY/ZDIgNFafF9WOqiZKPgJaTZeorBsfIxDm6s15PW5sfnQlXaej49j05uL
8sCQumTAX4qLDwi4CtcO05Mn9LaPfdGiNI6yuF06RxV7kfnvVNfzJPWL1BTNmtL43XWDEBCnS45H
QP2SK94+8jSISi81NTgqA1pgneWA7+6ddEefKV3Z3ful6CQyw6OJYxNQlhIhEcWMHeeTdywbOzvS
QtQ/oaDh+DNOvCu3+V2g5JKh8U2hJ/v79KJvnyqcMEBWncA7jmkc7tUckTi31+0LfIDvItXT9453
WI5eMzM0kiM5D71dLh1LfJaw4D1mEOV3KmrqfoaY2lGJcMlSKgSKHx8ZY7GVzNBBFJDxvo4vqE8W
2TZ9TDUwjUF5MoGJ5KBDy3p4ymMRp/uo692a9mHuIMhLOy0UG+GoVfEHdr+DekgxiLQv7mCqqMvi
T4LQLIxFdU8e3c0/KorSfykpcWlNZgvM8kz5muxMO7WngwU0YG62eE6lT+OQqvZeG6s02ngo/9d+
0I7jhOHVHIzKswd7+SOqJGZ3TCb4ij5C3Ew8zABkw9FJKmvczlUdhIe4DZycEjzXZmMN6bEIKDBs
wXdIywOJ3JHl/u1b6S1c5+n8hE9qZgQHIcT3vrXsr0YwOr5jdvY26R3wPFO/1vdafNEsTIFJ/gYt
lUzDNBcLa1Sxr31lpMpChDRU7U84NsquTlv9pEXmcJRiHvvHR+KNNRHkJEYb8uAj3nL7sHglx5U1
u/XTGLr2MYzRKyi6yr2IxJwQGQ/TLfC7NZrxa1b8292LBDhCqywpAZuIVy4L+LDnereENV9o4Jjq
ru/dWceWp81KZmjaFP0qRTD8UaeKgZ9y2WSm76JH/jnE3RgBhwSevV/XdtNsJvRCn826LsQ+yCPH
uYZV6H63ZqGHL2WSK1lLJAbMh7x3Fhk4lOfRVOPkxlZUGy/EWfkZnaw22fZT67hf1Vpzi22tlm31
yXCrWfsuhrLPnxwcw1JaKsGUln6RgaHOEcX1Ok6iFIwPkQcUuFZg7DCAOv1MZw+9Dl+t7QqIjlN5
Y73VwqYQ2w6/oUvTwF3bc4+kL32FTN2GuflwQoZ+Vncx1+aHESrdrxRfu388CIrupsEN+32RjjfA
bOZVxo2RG6FucWWVXjR4M5LWl9zTBDpj2p/TFMTPJuyc4xQnxkoGenfMWI6kkGQAJSJK0sVyAhxc
MAJpRDDSSi5N0JsMZ7EED2hb7efO+lV44Tu5lvIRgWPwKYF5BzSwVObzmAc1I1zbS9WJ6bNVzeUf
rd6Ji20wr/WkWN/jT+kuuKIBKI0SwInj30I1dvspWQiPxiGp4XMdWdMBYbXkaZ6j8gDoeT68cynu
ewIFvoaY4kg2zO1ScxrUBeTg4Kmm3v6iinHaYF/U/sjGcY2w8apP9Pu3CpyFt4aayKvAD2C727XS
3K01SsvmQqwsqcEMs83Plj4oPw0lMfErS13xTyNE9yfwqqHzFbR4vIPIneGbm+lhCnkPG5Rj69LI
hgCF5kc9ddpLO7XaGix7cX3LsCJFlojdEg5JbnL7U+ewpK9d98alLs3pRwEz52/yCuPzpBd/Komo
Vlpl8sl/3xnaRzBJyHMtOG60hhexs0gbOx8Kc76AxukvAw7F16G16/dGaBA2TBkBgtBagQgkP63f
eh1lV+FQmVbDRUvK+nuSDlj/Vll+1Cqr/Rh2cbw3h9FZWfR+J1mU3IQ5Mf0jrqTbRZOpByAy6/3F
HOYJEZFK83xetHVAMzfcF6K01yR+7yMEuwlvjlqMKAHa5XbFcSrmUilIn52oVlW/MhA7jwMjzv0x
b6cPaojvUD956cqD3n20mBzLHJq4JCfVy8CkaKjVw1LTLo0191slte0NVdW/7eytCUO/sRITEfm1
MoWHJ7f4jlqYl2mRde3FClA/2kw9PBzLpEzcaHYkVgLEK1picTZlAGRiyUtkKr7YThWOld1mYXsJ
EiXYdjpXvK8IAGp/dIbTio2Ow2W7cYcp+tG3Zl9uWq8zPXRZ9cDYyGRB+xoyC+uPddf29dbsrBTf
Dl154Sr0yl3eWt159lqcy2wtDtFUE0IznxyM05laMRNIdk7ed3+Zha2mPio85Sc0UPV0r5rTVCGG
3AmGJk4zrn2T97sMkZ+yBFdGMP2QfG6PETS+0dIQFLhY2LcdcrREN70T9M+ML4aVbPr+GyGg0SRH
wgfZBjRhbpcSTa9ZEwOAS+n0/xY19X4wcIlJfn2ysSq1/PudQZ96HpAIMkZSeobwdrteALJvsKMB
WclMN/8dsR/a9a1ej/vJCac1tddF/0CeHe4waRoKBpNAt4g6zmQEsSg982Ih9rytChPhAD77i1WG
DjL8/ZTscfYUwI31bD4YVbSmW3K/u3QtGDq/Cm9wz8kX/VvYyxlMlxOWvRczdMez6Dqz8r1Un3+5
trA+mIWIg5X3eX90uDuYrYAXRbwQSsTtil6aJxnm7vYlqLt5F+GHcwq7wd2FYzyvRJ37YIdlFQq3
Oqm3oyLee7tUaPWuGWoUVEaQajsV2dBjZ47cjBXKFyp+OD9dBUPax+dnaVZKvof+i2QLkO+pZBBy
y3/b0kSUQeh6QXUhac4SQIzOkPs9Us/zThjKXD0h+ub8AUksUAEAB/V8qNRQN33UvvNyG09mlW7E
XLrGcxINzr5SIeRv6Og5+j6pi1g9ZIEu+t3jX708B/JHwy7DsRQ4hESA3v5oPUeEwJ4glcWkiMmn
oktdbdvAIPuriqKq+jiEg/XO8Yk0dKUnCMWPulxC0BdBZHZHq+/tqb7EaZ/9Rdrj5ltFtNXVS5Ku
2XtBP/1871NyB0kMBu10CB1LPJEDDTabxqC5iL4ur3ozq0f64OIlCdUODUdjTUFjWePyhCA/iFmo
5QLmX4pG8z57vcyx3AyBuocU4VrcbkPXyINTKTDD2tiIhH6z50rxB72bX979tGAMESJAqJGux1IP
xrUKGlSDVl+yYbTNXW9Wlut7XeVF13Eo1V2SWfyQd68pSU4g35jW0E5ZBDRpeZ0HjoWb2JSV3+NR
r5Hlbl11Y2lN/il2lebz4wWX4YQ7Uo5hZBeWnPiusm5Mm2tRV6aLZMUeMwbwe+GBpuyyZq0cuP9G
qAVARBFJaBvcQfuqwNMb5ELGy1Bpxq42zdIvJ089hEX490xjcqWYe+vJSGFYDZydZP7efpIS4jEY
0NMvBbqXkS9gxXfbITLbn1YVv1dzE090mW5ILLYcsmHGebta702x6YK9PmTjPOwcPX8ZIJdte1T1
ntK+M1cmma+f2u+ZE+tBayLBYXQqmTeLzMklXRhAndaHUhsimMSJ4eXPbed67QYAVgaTSo+rw1hh
KrkJi8Jg/qWg6HPM4QJ9wVHTi1B8rIp0U1e5C1Gl0YdPrpa6L7UiGn0ToH76RW08pfCLXBkZPENv
dH0so7NdmKDzCWBa6XZhAXGcTpMoIn8KEdfzI6fKvz0+ostL/vVRZctcoiigAS7iHIkd5q19LQ5D
p4jnsEkicMxqvWcSVjAcwn9ntGnxaoWZHRwvmFYu3NvlkZWRApFIZ9NjYxJDeL99s4WWtbrLIGo/
jXZ6DPRcP0/KkOwMmi7tdlAww1amuABkYVU/wlRdkwtfoN/++wGgR2BtEPDhQS4OsmPVXpgC/Nsb
Db6qhQ5rOdFm9XME9HeLH/J8HXXX+tDqeX8SWhPuauCe28RWqpWr+TYc//dDcOGhISa5dPya253I
66hTvNlVsQsPAAPQuUJDMkRBt6ub7hzAmP5Yd064h95hHh6fAflX/+9xJ2DILidJiCTcSjG1xR7M
2HCDuIj0Q+rY4dc0mIOnhix+5VXfhozXVZgIcsXRwKcLtGwzZnE5q505GwfXpDzHsVL7rE262HpJ
sNawuA2G/28pJvGk5gyMKbhu9zIAUVU6kWkcYqfTP8RKyxUmtPFHEI7ufp6DtbTq7tFo3VNuIHvF
lA2xrcUGukrfeoJO1CEuepgwKrwXjEiV/UDzwH/8rl7FJW9eFnKfXJkkCbwtqPaLL8YKuctxCtQP
wmrbj3PXBVtNcd0NVFPtoLbJrzSPqhNV8vgNA8R5E1qRe1XdOP1qFzgukeM1B84hCAmjdLcTSdd5
svE9150kfo6jXPk82ykQpgE5ZwHN8NCHbg4NWppMomewK+yu/vT4mRazYt6XfCYpkUEgkqXx4pk0
q5loNnf6oUYw9Qt3dIJWgDMfjdQQtKFBUatm0R/1Xih+lM3OMStswTBWETvXmBA1cFFXffyb7o4Q
P0miGBltyUpguc1qFWlGz5zp4Bqp9QEF5k/t1ExHUSDtWpbzv49XW378cgPIErjaaI2yCYuPv7Tn
kRGqYRyg5XhfUw8hM84AHWu1UQ/VbGqbGvbYj6QiNL57ZQZQpIEo0tEMXhbLaUSWBrHEOFR8mudI
AzSTGFGwcZxq+qIasXKJmlk/BUqzNom6f2ZID7RD4DoS7xh73H6khhUImqVTeMzoF2+1tuv3RoKV
X2lmlJeuKHdZluPb2xlr4sz375YMm8eVctoWpcVit/vKKgQIt/Q4e/CbqtIpd6VlRNfUJUtDnGuN
L7RYj5Ga9E+Q2QvFBNFvsV42mqjOhBUMIaOCP78fUoXMLKe8cz2Ej8cZuVNarP3x8au9X5a2Fgw2
7nUOFWzA2w0WToy6si20Yx4YCi6QOHZhnv7LrIdxH8/hGv5rcZXzlLLl7fJSLYir9Axvl4Ps0IUm
0tJH7MjEtvGcbpeWvfFiFHH001K89piOrr1lp9VNztteSe4Xx+l1eTTj3P8My/mP2+VtTKK6CbGG
Y8Z9fu5AK27aWBkOdZV8iPNW3WVx+gMao7F/vMu3dTw9H1oFgFzIT7kBiGSLdcNCjb0mNLVjVgfx
i4s9pG+mQ/gR7TP9MBtkd4x/85UM9c1FaZACvpJ2P8vopMco4rlerh9HYRl7JbddJBkImGYTwcKn
nNvWrbbmNPrGC0Z6hs+FKhU2xJ0YFphfe85N/RgBLztgTxhsEk2rD0aCLoVNceV7Qdccg7K0tjB0
9H8fb/T9cabFrhkUyHDDkKpaXBIDmq96PDvWERHocZd1Vu7rzpAc3MhKNrMavc8zUL5YfiT8QdJ/
eoh3MPYp1o10qFP7mLij69ul6z5HgDmge9YIT65c6289HCpG3OqYBspy/Pb0on9RKHPf2ceUM3zE
11k864NETw7m8D3nw1lJ+RbMg/+eDoofJAsiL23vxddal/OIJkrsHGfYBZs6MeanahjyL3oZyM6w
ZhxEZBcHPTNxeAM0eZi4AzcJleuhz9v5KQn0/nOT4K5OjVB+NKoi/9g6cEUqTYt8MEE5cBSVlGgI
wiF/XyopXw31GYUZ/waksQQ60mLtjTJIsHDWhvyj1eWWb2gI89aiW9O9uQ8rhG3pYqIiekCWrt++
mLkPtKJxevtYl25y9HSYMRpwlI9DYwNBgBrrl1ns7uMa1cbH532RVL4+JGQ2rigKRmlVe7uy3XBD
Ri5IHhxUrD9mjx+wqY0a8Z1C074+XuuN42f+vtbi26pQbcV2vHWOTqhhGe5AV5+czj7bcAl8YfbO
8fF6C48Yjp+kqIMJAyLG90XD4vbh4rnq7IAR/JGrqfusVP3HQuvSrd5E7ddBeNGv2ksueldZpx71
kA0SbeOeREUSUZV6+/jH3G00wHPA4OTt3JZIEyy+PafHGVqFXH0cHcX2UXi2zvA1r5HXGF/euxJJ
rpSQBY+NMd1SihcImukoZLek5+gcKMms7IbK0U9xqtvvDCiMz1gCjgWbywBo+VCd285lXXjaSbfr
/FK00Z+KW/2KszH/rOXqtHvfg8lhHSmsZCPSM70TWcDop3bCzDAhH9mmLxovefIKXBuzPl9zFFte
fSxFkcCVJ9FgzAoX920vJtE7IwcjVptpU02tLc/E7OdtoO2iyfhL5KazUqAsP4/XNamEpIsgzDB1
cUKsKWEuaTbWKUKIf683pbbFXLTwY1vEu3am1/Z4O5dBR64nKU30REACESxvv44mQ+u/oCo5gSuv
t51WGb46AiLcTjRL/+4VZOnVMfdmSHo9n+rjxeVf/luBieiBXJy1AT1zBSyHzWpQOF0/WhZgylr9
YVSVuu0CgT3W42Xeeo90HSg6YPnxzyLklHlldZ47WCcc25S9PU3fDAUKT+KgT424SnitQ6deufXe
eo9MP2j2IAd1z6GxkcCt2jS2T4nhhhdU5PtPie2lhPCp9PV8UP96/IzLyCK38rf1ln0Is6h0O6WT
dCrH8psqhv4JucLpnz523DXcw1tLUWbwcDKCcWxujww9JRh3YoDQUtOpytoyf3a4qLaSlbESxd7a
RTjrAMaALUopl9ulEnUoAhcgwMkN+jTZBHbo+nWcpeQNqFxtersoVtLdtx6Oux7WHY0qqZJ2u2Ie
NqaRqZF9whVCHAg0yrXTA+uUAlB991IIO8npi0uQ1qiKb5eaJqOzEhE5Jy3Of2WZMT2rCR5aVVCN
K9t4/1BMBmRewTiOcumV4PLbKK7rB7cpnc45MUOIPsCXN/AsGaRCY/0+YAU1LgxaJjyAC2Wnk4r7
9qHSLimnIDSck6F3ZzuTtsnu0IJUc0GtOfDzjcievz0++/enhOkOXEn4MBLNsTTemboZd0J3Dk5t
KPSNDa/1rApNqgA05gEU5/v01l6fUarR0ICD5YDz2eJeyIN+HBsyhDN3qb2dChF+dMzUWGkLvcrn
3EZHT06QSJ2ZodKyWSxjaGFmTeYYYhno5Qcnyxq/mbP+c6xM02ZI8v65qhkcOEkQfa7NOPFJUYfI
R8Y83iX8sWmaXj/CyOmYYOq9sxJVX0F7d7+P3JGppQQNLfHEZj8i0ZVpyimx+3DTABP4hQ9U/yS6
4XtWooCkZLaxh11tbI22cnwrL7yDZRXNdgoi/dwPY3ssxtQ86kljSH2Zj/U4Aw2tsxCVfdfwmVCK
PyxsC33c9AjcGWp6imKHO9tK7F9pMthXVLPSXWWaw1UxB+dUjPl47KvG21oCNPWQOOHKffnGp8TI
HkSy7Cjx2S4+2tLOGxL1TjkBGR3PWYRq4pQU1rmlSlzZ4LeXknB3hgIMwBZXc5mKxrTKSTlZXNDP
ENHRnQbRcw77QqwsdXdD2hL7wKiSiQAIcW9x1DIU31LEUOKz0zfRNk4U/eRFjbpxokY5GS58PtNE
SOrxZ3v3fCwKNImRGwtKz6HbUAFBkDBijMkZCbLmEHdWczDcuD8UZrJ2G7+1FC1PKRrMaI+W9u1S
jgLxJbKD5Ky0JY40oz1eB31s/bHJixWO+F0w4ql+X2pxO3ZZb03W6CbIm7ndRkRasZsiI9qy/3+F
IWPMx5u4AEwSjOR6rsRdcY2QLy4OpDfBm3VqhAH7rrT8QinLbZhG1U4fZ7x+nCJ8GiywHlbhOPtJ
MTrQ/8oMgBgdBT3Rig8eojtfp7CvEIShMCmrLHxvSssvdPDAA3zC6eIl3G5+4BSVlhjIsBD+8w9J
Z72Muhb+yFhz75lZ+T4hw/92hGkFQElGqxww43Y9nF7CAU38FKeVvtgnxSyek6JDrKRwlA1CBrWy
GfSo9mdSt2Izmk1ysbGEW0kAF6zR158BSweoFpwVUH9LrJ/u1mpRNGp69owZBUdFRSh3rMbZfJ71
NMZ9KRPen3bTxy0dn3z+u9EDBiweJPz6vTFLgg1fFcHpfsM1WRxJcPUIvlZueu5UUIdziM4VLP58
b/F1ryy1bNxxGvE9II2A20H1ucRaiLbskxI/vnOVZvpzmGfOxgJ/vos0Z7iOQW37LrYIHyM7Ui9B
iOHX46/hjY/vlZVlAcZ79bq+ffUjyoJli5bYudD6ce82anQuE7XZVVM5fbEYaq6s9+ZLpkHElQDk
XMrZLxYc5mCu8j479/ZocMDTAQTL3NabwbOjjD8jy58hA4T+nHW6X47o5/BRrvkgvrXtAKLljIMU
yFqm5EElvB5RwuzsjM74ZQQKtg+xTzubWfed/zO8GIqX+fbUxL7d4tCzcn28EV5lVgmCgYKZeke+
lt/yy3auwymo5uxsdllA06hxnxu7is9AKNYc+u7fMEeYyp9OKVha+ii3S1U9DP5+9PKzUkfTphyc
gfawp/yJaOdXvYvTNdnmu/aRBKIDtwadSDIGeXMRvWCdgZ3VvOY8lo7rqwlqiw1qwnCXonKjFAVK
Kjl0QLXzsl1vGN2hMWr3E+NH68XpzbWZ7N2BI/WgH8mR4yPjJltudV20djYp43hMnaz1NjVAkWPG
UN3nqFWIhMz5c8w+nKaqN38w5q8Pcaz8/b6vjFao7FMiDsF2QFzSb98B1llWOZQwxzrDG581HAA2
llNGFzQ5xsvo1Gvt8WV2Qmucy4MOAZcHZdkyUcDRmGSrsLSzZxbW1gQHvzV00W0wKNIR5dAzPw0L
eyV+y5Tnt+wWiIrUfgQKSvbFRbLURTLroC0nK1We3Kk0zsXoRB+VVu3R+u8Yy7a9dRxL3Dryolhr
0L+5shTEkIRhJP8W4XocQ9pDE7Q5LbXUcxl67gGrwObUl2hIC/QSN62qRRQ2WPg9frGLfgzPjDIT
DTy6eDKCLpvdCcIiUc8059qAjtqmvRbsk0G8c0YpV+GjAg1IOUqZuNR3txqnab1izq/jqHXHSG2N
TdiO0VU06uyn2qycHj/VIjq9rke/wqA8lDDYZXKbg/cZQmvKr5nrJFvbEuFRjC1+4LO+Nu59Yylk
yeiJQOoDjrfEGEFEj/s8c/MrVS7vqSoDx9nkA8KlXp24awWizFpvj6h3s9riOwQmPStNjnklgxDD
8WMBGbYb7IwxfvmFRN74yA1df61M4V1RFjM2WDprK/nnIh7LzZV9BS4XAhO4pkV4HHBuSbPIya+l
MPNwm6Nc5UPYNL4Iw7yYSo4u5uO3uQzI/60ogRz0ZmU7Y1GrTC2P7EzssRXO0yW1piuGU96/RafU
5w4jPeBvZLlV4r20nhOofmjR6UARt+DHVWskygXKmcgkn58SnXoQ4ROuiNtY2EVN0+B9XFzT2VKY
/IrM9vu6MSFipwDa2oS3kevhQR+c3FeCrA03GlzTK8DiZmdFJirTBl3CsHLt712J2qSDSoCxDfJJ
261s3FvHRaPPxFfHx8BLu/2p7aAxNlfU4tr3OFmmMGqxAAht3wlM9SlWyFRa8HE/a7cxvzVlYuxC
t3f7lde3iOWv+yVLTOTZZctLXSRMmcyW3cQurqpqzSAiBqtneG5XB6vu002QtMrG0dN3zpP/WxU6
tyM1tSiVFqc0UHKnd3PeUpgazjPw1T+KUS8BuUzzrgdP6pdm9E9Zq+63WfTzynf6VlDgqvz/iy+y
oyGoR2QmmuJaMch7blHy28LRs8+xXv14/Irf+hhJv3Q+DqhiaJfcvmG3UoKorKbiOtVB8RNYcrpz
0m6gB8RFvcmphPaPF7y/qlADAGnHTAutj7tphbCTqqPxU1xFXFcfRITfWRDb3WGY2o8Ilseomrrj
1543vRLT3zpGYF2Y6akUV0xobp9UNYapUROvuCp4zBxitY631gBbVsud6KI6SObPIaiQx0/75qLA
kB0UGpllL1msSCEzA5nC8hrF3fwlsZ3qyQgxJHREbu0DMxSf4speE0lewkZfzy71hdRLBBzGvXn7
qGWmBmH6P9R92ZOcuL7mv3Ki3+nLJpYb95yIESS5VGbtZZf9QpTtMkIIBBJCwF8/X7p77ulK93RN
x8Q8zIMd4ShXikTbb/mWucfyYSJ8WSDIv8PNtWz0wPW99sh32KtG14l2Pg7gsp/g4KFQRI6C92jU
f/btIfABmgICo3MP7u1zlLPHoecydKdWpF4RLpH55rIUnWkr6s9zSsrjYox9Z55/TOTFHXcuSQHK
iSIRJIkvJhqghKRZFpT5fQUddxirOw+DISD4J3x+ChbXHbNqcNeXNhSkAPCIbeM6XTAlUu7LUvYF
mr3siIl7r87zJ68DotUo/+KiRyZyGYj3ERqrJmrZCb0cKC2ZZMljooJNrCCPuHhJuV0WYbd/cwWe
LxmEo9huQIr81Pwsnb5qG1jxnPTEKjheAVJNXSPh1oBgoL2erIGODFHRO7Pw03fFsAi78ReQR4j5
Lyahr0KHgBnOTmL0vO8CVtJ7wFWag+jsc30+1IJ5eS8WvRgTMASwgFE9wWJDawWaFW+XWz/rJrBi
6G56eLzUW1UmNhEUqFpJZIZ2XjzeuuVoRJH64xL9vZIVBj/XdiE1AtwTOLuXtut8ZS0KVrG5kcMq
r5DHfUCFCxymWXsUIifzO5fixbkNKCSSSzSBgPs4M8KCi/Kk6aeIyJCM9/izVQYsSUsa6L7D6WYH
7GJw+9erKMWr+8OewnCA4gOIeWbjINBPL25DJeOwSwMb3rvwTctmHxlMy6EGEEGqDYHiMm+sq2C9
zkR3bKR1Hv56+ItL4/fhsaSQyZ+vqYvVBAwBSN1BHd7rYOWbdJqnvdMqF3DIJc357D8Sm0TZjKpz
/tcDnz/45+/974Evvnegq2BkVR/eJ7yRuYYG1h33/eTxr0e5XLi/vV0wY7BRoOJ4WX6s4PYQDr0O
73naOM9qAqHRQaZZLElc7eQg0qtWBdM7X+3nFYQphQASKhRQQQLK9u1uUaluKrdaw/t1lLaAb1yU
RyMQzfBCI7RNy/cwH5e30o9J/CHwDUEN7NTL5o+o47qL1ii8H6beZJ0XDRls0KBHH8glB2moKiKu
eCGg7vEoIW2b+cxVdwMEXN4pwV1EV+cH+WHRECCiPPsnnCf9D7WnRieL19Sc3LOo6jbEDPXB12Bz
r1K+J9XyJy8ZDlrgr4D7BOj4pcpVVIkBaDBL7ufJ3A7x5B2CipDPYmqAlIrn4T3K75+sJDR+UEZF
1grE6yVuofN1Wq7KkPsF3Opd15r0Oy4AJ7dQ6NiU4ZLCDzB8jzvxJ7szgBYNSJBnszecfW/fJ9zr
At74JrqHjx4ApSkf9+lsIIAtx/C0luBTNFLeh+68vGfseHnXn6cS1XqEkeei0hlt93bo0sIDzHQe
ue8XEGFFNKCFG0JcvQRislhKFw6WTVVvSAzfIbTKTSGBAaIMGrU35cijDet6d6cr9R5w/e08ADeC
ix6h1xmyjgwPicnb5/J4wxhqNdG3M1EivUKxU/hXZe2qIc3LIADgd+pGPn1ojazI31Pt/zE4hgU3
Grgn0Ewu4WvMBqiuwsbs29zHddHAjuGAl8jyJorfI0G/vRd+Gwp9ClBQYa4YAzP39nuGHBFLEszJ
twUwta2IPVVYXyy7NDIQYHBi8PvTxnWfEliBUQ4D079166IkisEBVzsX24AtAUPq7fhEeLNBeZu/
yhmEkV0KmUX3Vg9sij42A/NsSR1oB6zvHJ0XBYXzsCguQqIOVVvc+lCTfjusXw/dMoaD/7rq1gFD
LmVRs4EiVTTsY6H6SecAELnmIQDpMLkFDNTl14tumaahXwLyDhmJcjOWyKDfCbvenjd4orPBMeS6
Ue5Ghw9CUW8fDBEXIHtR7b4CJQl6Tdg0XsHLbpxyotvhOen66T0i/tvTFHVsMOBBIUU1/4y7/gks
mTiQ8Ztiwr6j3KFhmT3bJ9gSztRrW/bt79yTvw91DkTO3jcIZi8ObjYabDhY2n8HWa8Ojjw1wLqB
3pSIR8/n8e0yMXgRYq/F5J0Zv3yvWOkA0YMkgQIdpDgu1QZQ24bpVDrzijZTbK7qpAu2C+T9A1rH
kbOD8ED3nuT7T+8VsF6IAqHuAQ9InKwXUzmVsIVqUwb/WCdGm92pRpL1FU5148pq+9cv9u0JjhcL
WZrz0Y1aB7p+2FRvl42DMyx2xkFVlJOo3MmuRV9fSEuX3qtv7BqHN9BOayiL13b310P/9GYBsT2X
5bBoz3oYl0OrdUKdEAKRsBwPk+VaImnM4PLVo9AEKSR/QCfwrwf86b2eMfop2FygUAGOc9n91rVj
gGzpSnxXU/LPED/sIwrImDm2q071O3H6z6NFZ54+2FGo+eHviwOy8Tgq52tjGbrGwBoCatS0VHOR
ptTipnpntJ/mESkQGjzwoML5BL3Ji9HcNazWyhcRo24VuhajQTuUKsLKEE0QQZozohfUhJQs8hQs
YfL81+/2oteEhYQ3+5uIA0qGaOxe7FCL8q0IpqBkFK0Q34W0cMCXvLdtIg5yTuHypWTFYeHtquQb
SyD5T5sxdZ/HUY9/zwEMz3J2/T0r/aPPePZFvngWhpB5jVMbM2rioN4aX4xXo+wnTHncwZ9ofU+V
4ae3jxYjSlqwcQN7C4fExS7yJ1PNqE6CsdDZUd+jnWoKaE05NBSi3LNGmrsqCmxOEIm8s4su4w2o
HZ9terCF8bVRJD3f038IaWFyEquknTD0HPD209L297BiDp5k56KFHPvLvoH4/Dunxg9FoH9nR2g3
IfBCyAdRUdRIAd67uAanssZNJAOX0RCBvH5wB6vnXM3t0mX4d/gYRGyWu1nM/qdobOu7oPVN9xIJ
bzpqqDNaSmSzPBG3qz06x+3SH2vehc9A7pGTB/GdW2UY+Ot1Rayz1WBdzp9xJNrj6IJ3nI2I4NRt
DAkv81uG8B9f5/+sXuXtb99B/+u/8O+vqG6qumLjxT//daq/Kqnl9/G/zr/23//t7S/962Z6VaNR
r/84vfT6H4Xpvr2Mtewuf+fNR2Ck358kfxlf3vxj0431uNyZVwi+vWojxh/D4ZnP//P/9If/eP3x
KY9L//rPX75K043nT6vwWL/8/qP9t3/+gsn6jz9++u8/un5p8Vv/43vFXjp4Kbxc/s7rix7/+Usc
/goFQkS4aAtAZBv11F/+YV/PP4ncX9FjBk/2zMUCrOkcgnRSjQwjJr/i/kTt9wfy/wz00NKcf+Cn
v2Kj4l6HswnQoCh7//K/nuzNXP177v7RmfZW1t2o//kLQsC3YenZzB44EmxFCPQAVgLi89vtYPrK
hby8U268zvIjrGNeF1YFOaSSj2HNokwQexhGzg4IXVAinNinJuRnKVWSuf7ibzwYfZ1kNEPeX8N/
poANszHUVCDuZbI8n9smUemtIRBY3ACPE9fUjpUVtw0netoMLCSDi08ZUE9XlM+wwf1KNLpq3wiB
CsY6G9Re+9SX1ceej+3zNMbTaQzjL7HxzJ3oWtelABCIjiashQYONKo2lYnS/RCl+RSOZZO7TpXc
wefbiTwqZ7frTxZ931JTKxWQQiMgtMc0qZN1V4dtZgDSyiEYaQ59gvaJBgjzAHC+ychg52x06tt4
nd2clHqibj1ctzjHqTMEV6w0nxcVSQhDhn5PvblWByizHjXpakHXyotzMUued76KtlG3QiwM8DWm
waFnhm9F4w66mIaxIzR1SyMzJ+3A/ZtKIj/oVUNoy8+19lCGr87ml1MI8S13DdqjFwHlNEACZqPa
FGjUSkQ3LTg51G2978ZZTrzV9qEa2mtUv3R13bcWKq0I1tUHpUJKoJl50vhIQ1FzaLw9bniMu7gM
7lONX+PIEqx91csUkgxYuN4WyofPCJ3ZyPz83JU1GdPkg6NUojNbVStwsq5dsxnanjA0t0khDext
PiyLxx5MGoxXaGZ8GGoLEaLIhG3h9S4vjBv2VwSv7dbl/d4Maw4M263szLhZvMHPBXpvORKHwpv0
CxipEObytLsluJxQKWp0wQQUwIHHGTkVXkoh9+DdgANhyKbxpY1ojyUzHexI2G2VVAxJF4qgFgLe
YnmCl6kHtHHdX2sS75DwAhpgV1bEVRWigbWKvtwwBXcfWH0iaTaQ1aScJ/ZUlmKvxmbUlIXS9nei
ZSs7gHUOjTvU+a0qiLCxygmoCioLHZdCXhrJDXRx6ABkHMl8Hddb7VR7M9sSfaWpymqmp2xSZoog
5zlvsK05JNXd9QGg4FZRZ7bgcgjz6JVrDMzfVDXgefsSWWxUA0CTgDILoY8bJJrUlB1umD66smtl
8rGHMEUXzgNV9fIZ7fTvHe773pOHqh8hccnRxk2/RE0wF00fj7RU6TH2ajjdMKCsUusjNSUlyesG
QAZKOji0YDPVEOvnMNYdt3KanfbVx44qsLCXGfxd3s/ZujaHiHRdwZquewjXdakpLNHNaZ3h/EwZ
zp/mIKdhvgXUkUMvmU/JQgPeTWtWV9LQGTFaPq9cHxzfbe9B+44fqsk9Rn7vd7TsneVg1ATQm+VX
Muj0QOWQCkkZmgjQHowmsGuthND0AgCRKFC+0tsEWv6g/sSoxG5nWMC9uIMDI0w0p3SbrXqGmU9Y
z+RgfNPcuSBMAoatVX+qpKx9qt2lu/XNYCTt55452xGVpi9T5UElM1Z2bqmIZUyQ8C5ZWIVJwZ22
+r7ys+mxWsYcnhcoo9kmunOWigV0cMT31Ib8WaSQgthONZuoYcbrqKO4jWlSNvPG6Vh9b2Nxzf3R
O/prw05Dw5rMqYLgEUgBe4idSW9d7Qfbtq5Uzr3Egtk41F2zcRb4ra1Cpu5uSPvPZ3jDIYX51BUU
AqqFoq03WhrOgm/HviQzDdUQnD2qRIqjb1Qz9SFIgXcN7QZh7csIfFAWaPCo8E6xzGqxkXJSdFln
OV05vTJgxjVe11EbVWqFkI63HqSJ22seh/0zj7UFJTHV28YwlduqVjtwcx+DRBuWz+QRyfK5JaEr
xODlrJ7ASb8RPSjCzpTsYJeXdJSBTotA8xnnqzposICOAHhmoTs1elct/SluUZIYqEBV5OyW5c5Q
wVFjVSZ5O0C1V83QBaOa+PkYEXNka6yuHMfekJQNiiZcwORjCf26zlr03KNdX9fRXeNAyyDQdfcJ
nBn2tBpwXejg+5+CdLiD9I6gHXy5aKv6JyxwKBZO8R0QA8iGvfAOJP7FpSsbTmVKXvnSfAPzmUCT
E2llDqMX9xq+fpCtTKtuxkHRyrUHnQlFyswOQQcCc3iPKyo51J2Ic1WF82lw+/axa32A1sOk3QSO
Oxx7D7hlQCJhMbeWCkE9h2bkC9wC8gkC3FJ7JoeCLqej6nDl1q0+WJl2FKWaZQMedQv3qmnKe6UC
6EzCFGGiPfxn4Gixhps25YqW2h6lH8C3t7+H3Ng6FlbDsjDCRivLj0OHTB0wd0hE0i5Ki9LptgL6
xNngOxCJqOsGWkC1Zz6v3tQ9jpDr2tej393ASkI6GQeKeqHg4ynYVQH2t2aR6h7LuOaYSLbi1Ewh
1irvHG+dKXehLJKV1aD5AZpV/GUZoUINCmEAFU54jC4PPq9xUNUczALq++brFGPPFiGauV2WgKDz
YTVJfQi6CEBydOE+9pMXDIdxrK/RUsLFsurS0lgLUNRT9zjXFSSNLDvOSeyklDCQ9jgnnUMjwK4+
NajteBnq+V5SoLrc3kaLCcJNKVxxGps2Gq9cT88zhVTmMQVp5FNcNco/ztq/9lTDb7WQW362meSi
+9pxN6+nKRBZyWBTn/ndMD6udePOFCWmI0pJLeRUECI2GzQIVxq1vNrCL4GjQg/tkcDMM8mSqoUI
qi+A1MZViZLWXB8HFtzXpQ/8PJYJGzaQTE1vmYvJKWqoqqW0FFZ8qbyxMRQQHe5TsHzVmMF6pOyz
pAcKIq/TFt+j8UPV5KAOBf12nCNjgHFxwzGDHVlXPVbjEr+KbroruTuC4x+AVr4Pe0RWOWZw9OkK
+VD5IezjvoKftpaqSNskfvFr656geRq3NERQWl4zpJIKHE1eG9oDlznDCfPsWmZ9tF52XNXOij4t
NCKKWUV62E6hY79zL4Zul6OcDzUcYPMFS2nnaNcvAFdDyc0ZuykoNJHRzeRj00IdBiaBvDouUiYH
zYFlquX0UTGmit7zIV6Fw5SZzEsHwMjrDp7GWGl5A7UreHHCtsYJI24wVbL/OMMutMqWyJ29HI2s
W+2Vx076S9FLUl6VrT8VTpk4LO8S08zbtTeOm1esdYGXb9mYwTFggSjaTCpBB7Wuezjz1AfLme/A
+W/Yjca3BTJBRb1avIo6jChciPxr1MzjU7lMFuj7pYLHjQPeImhv3fQF1SS1CVahT247QAQh0jmP
e37H5pZobAR0/4EGviINhHIwywjagzY8LQFh29Q4D2p26yqf4lofapBWN5yrJ7+KYBCOK+jrypad
27Qd7JK1/hDbbmZ04knwBdw+uzOJ9L5jYvtdJXi0Ta1zh5RjTmnd1V2CGLz8CP7SvAGsLf08DJ47
FWzWNYg4NrFPOLkTcxhZCT0xouxGtjZ5YriiBZ1cQH5y3lT2y+TAlyooRfvZrnYC4j8Yt+UkCMyT
+sDZpzIQLyxommx0F8Wor73+6yo7D7YGgHiQAAHMpuPDoXFMKGFTraAKt85kEUco7OKkBHYzWvPU
cvG8zhP4hEE8LYdp5RBT66xZ033i9LCHKR0PAqurqUd0yEzz6EXrlIKBD/zENoH8ZZdZC4lCClvQ
qDol/krIiZHQgMHQdHWwUxxdtikNZpst3RB216GqhjnjC44ryiIpaQmy4Zjj/03BA/BBODRir+1e
UaEhHkLv1AY+RQNlWGmQjv6yBRWzz8Z2SH+QVyaA5CzP/WSOvvCpnW4FEDdhwSwCPrupsMW6hVZo
g6wP6QSX1M9KxAivw0HtcRDYtqPp0JuXFWaF3s5A9Kc56rWW1LTcyVzjwBVJkWa4E7Dz+NbEzK8p
PJXOynllSB7HkNSIK01M+k0/CNy7y7yc2iEM9SOuEYAZhVupcuNI8eDVvpCHsWLrVEQQoxkxCJQr
5k2pRv1tYDDDLKztb1Lbb+OAtWDlLvo5Ip4UmaNZ8pH4Ew52riBOiWtCq5s+ls1VWdbkSwtHsZhO
8CP6NIWiGzcMtoCkaKAJMhatRjzVKnWLRj42ccDSl1ogO8oQD9+BQQdY3xKN40ZXOFHyyRC4PQZd
M0NTg5Q+Is7UmcgGmqxwxehlXzuFi7uLUc/F1G9d20ChE5cq/KLGhqNlDRGzKAOpIYqLwXJuYdmQ
Rlnl2CYsRiSN0ed50kO4aWAsCo+ffgw/AHAXTcBnL7rZQA69XejZOe6uRdVsKBgkbs2xZuD1RdNY
oYOnwG6HPmHbflfwWReFTLn3hABGqUyH0zlKqppdN03dddlW8su8xMlAPad2P0ZwwkSaNbEuPbph
I2+btCdiW6NNgiAukID/uMFUlECs8xNBopbuOYCPuPd1H7nPaSoYwFJe75xEXUU7QKzLa+U6dQXq
Wy2fuootdbFU43QnSm/8olCdzPo1KL/rbpiKxlsiGqfM7bBaZgSzaBcFN8K1YDbN3iAr/B33jEas
4tfuHAz2nthQZJVH1oD2K3GnvAR6J9mMddnxk4H65ICQNEYMOTAN7n1pEiRHweQtIaTHyqTakHIM
y8JA1f4jnDvVfbqWJoKhia13wYQz4FmmpVseQBm0GhE9EJ05Aw9WZZz4p9gBRABWlgdRuc3W6xHU
0GiY/dsp7cHhXMrF6C0jCAooeoHNfOpSlNbhejK6uae7+iNfx7k9pFPtNHsNA2XEvGxZ80asVXWE
6gzSH6vmAHVqC/njJV9VzR4ScN6XfB7Q9L0JwnqRdPBsZPfO5MbwRvBlP57YivTsVlc85bmTcl+B
rBTwr1UHdUZoP7tlgTAXN5m2/fgpDcvGoaNxoquZJ/4GMFZENUpw525hQuOSQiMLF+FyH51Fiwxk
8vIyDJAZ8jq8hvxctEchRt8q0ZxFZTpJhRN1zzG8846IQJJ9inTlAco07LOooMKGnlTi0QA5Oq7S
sx8mFtw0VBR2dLBCSvzZ5g30JI9T77mIclq5ifxOHyDvvN7UIeaBzfX1yNDATh14RpU4DvK5Kxd2
HQc8HHe+h4bMg+hF+J2BEIkW+zBBcz/lTgOTlCFmqFNNk4dsq0tV3kVV1N0mY71CT0DICAxZOsZz
l35xAjQnG5yrQ/N5sm1/VAP23U3cO6Td2doBYo26ndmFZbIBhLLMUcR6gIfcA0T7PvKUfHNM6X60
Isae9IbHWfao3zjqtiP4KFfcWbfatQm6O0nJlxuDcO+hR6SNnhY5lX27I0niwGOn+jA2uPbAih2m
9gtiVtghDHep7u+V7722Hj/6xo2zhrcbqecXnzk1ICPjvirXe3QVUjpq8TKcXcrcmHx0wF+jE5G3
KpHAdrefiAofate5sfCQPcqqZKioAXIXMXnTzvqMQr2yKRaZ8tYXIuUn0NHcPIlrUrR9rylYByNl
Lfk6RI3/TcBAHAddih6Hql5mv9nIrjk6aY8KTYoyiojnjJiqpmOqB9SM/POCGWGAgWSaehp0J7B/
dm1fP7qQZEUZBkEnVvurReWeepN/z7j8oDQSIqJXukS9QV4OJ+uqbjR8sHukOTuXu5LUWE3Ckqe0
69dh0/WLwSPEkQqrp2YNgIRY1RH383W5KNxxwTLSdJ1vyJBCIyu6R03nJL1ub7sIBr6oeAiCc8tD
SoHmUF6uza4fXL23zgRsuc+L2J2vHN1dBwjhy4ZHdI3QSwYqGQKx7Ggjpz11PXcRGMgbdxIIS6Kz
30ewFo2qTdEMdbr3+YwnmfsbxFsaLtATZaSzm9Yk0cYdx6d0iW+Vl0og+KojuCuPLs4ndAbgT/M0
jOQ7WlvBEQdbcrATstzK2uHKaYb12ovma4RaPpVxvEuUhzLa6GY8Kl+rLiTwaVhf0MP+5EHwYmNF
s5e1Ux+1rG6nWYLc619P4xLeBwItCZcsivYgZ4HBI/u9hrjKDi4BE416FKhikwQUaU9/5cOHbw8A
xHPKnKLv8YC4/Sni1gOcl2xWro7NvCHezkJcK4/M+4jxewkqS44cssTiG+qjdIgONsF5zqEuC1rY
9AU+oCH1Q+SBcLlxqRRrn0P3vaS+mMc9YHg3ECd9WFuBAtLULzdpMy1fdJjsoeb8Aayuz7U0hxbU
w23QLDcoJgwUUsj3HoJ3d4XNyTIB/dzC/iDoPbLjaCgdmRfCqKgl0HHRq8E6m9YbMvv9zsb9tpbt
RHENYTnh9M6E3+oHDNNDGhDb45xP72LlvQwCwS+A5pY2fR/TzmndXaQ9uBUq/9T51twkqKVR0zeP
KmrvCS8/mQQKIClucEQbqAu45atAFaZJ3VPUIjAt63rEe61xDZn0TieqO0gWdohGBBzJBPJovbFn
K22wVshztbhzgQLIzciSz0E5XEmPfIbvAQSZwW89x0UmE2llKTr3nzTAg1lVr9dJDMb64uljFTXj
55RNDVjr9X4Q4cEdh4TCSGxMb+BQaJFG8sgvN/UQMmen4ZhKdijzo07aEaDIvgadP4hvKvXsdmVN
eqx7b33QUrp06Jl/p1gSPEYrX49TV/lQpHY/psiyNowIQFMh4JPDIYGzzOrF7ix0Gz7CmdWl3bTE
m7hWcWEAWb3XJVsPQV+22J6zU5gFtX/XV/EX06KegZbJZuoRFjHe46aZ5uGBl15bKAhCAGnHrmJr
m33VDV4Rc97Rsa/vS14fZCMfk3a9A33ysUKYTwczxFcTPGzhcQbyNwJSP4Ra4BidoPmsQGiMypzV
9UQJzAgA2mMWV1z86DXjkKHM1NGu9r2rAUHKLmnhQuqyK2zciDYozFFgkz4qd+X7Rtftrh2rFZkL
X/Opj9uNV0NWtR1PcYDiRNvUN4a7T8sQ7Vzd93mI6tkViOrDq4NO4K4y84o2c2vzRIXHutMEXt/z
vkvN3sbzQbdt+VD1ZjlWkKdWedwE+ypCAlkGjX6GyiYqhiu/hv7zjrO2OQXCjhvlT82xhrP5J2im
fQ2TlVBol0PVIBmfVshtP6IT5OZs6JvCJuow8xmKL0w/qrjtMqb8A3wlaV/DkCQJ2u6jX8cznY38
UjnVl153uYUPe9GSecxTYb832CSyQYeNOkK2RR3ipF2RNCKbDFDeQEaKT238CVvJ6KoQVaiotfBm
RVL8jcPgKAZpQihvS3CO7OtQfEOCgwvegbXu0MLRiD3PSZkRb3mq2gEJdGWeorCPPgElEBRYe3j4
RFddlk7N6aw2sELy6Jsl65bN8eey7j4avFDoFeGZh8Hfzku/D5toPzflaSrXV9+dWNYO6O7ntg5g
4+nPptqjH9Zm2qToJKFcHkJ9rpHFMMOblMhOVjmaa+XB4Jj6ELjmmY9k3CRD8iEu+SdkJ9+D1dw0
Z0eLwR+vERcu2RQQFHRMkAH1X+YdQ8EGn/mQRCMSHti5n5RaX8IQB5DhQwyYZVPAX+k0BQl8ZKBU
678IDg9SgAKDuSyqZIS5lxxAr0Eds+5oa2KdhwrpbT3DkiYDIzg9l9viG8tGzGaCbAHSb+QIgGey
mUdniwJMvKlYKp9FIqNTiln+RtxSv3gOeXZXDbQldBSWBLtacH0Dj2XHQb+RlHWO1l56jYirC3YQ
BSmhXRuiX77pLV5BVjal+jCDUnnHOC9gTGoPU9X1hK5JvD5B5nnh1MKHfERS7ES1yWbRQ/vdCcQk
byYUFSq8Y7K2ZUJDKUd+P63DTDbGU4YXyKQsu28dn4iMjOjWLGRKDgpHx/cGxfuTayx/9aOxMhS8
r3p+Io2YXJwIcbdLhkAfGrVaQY1nZ9Kc8O1idsMgIkMOUDxyixalrYqyZgy2KJrBkkk0sHWtYChb
1snnpW1PDYQxW0g34SIVMFfs/SUD014AniILv2uSwkI0LaCgwvXXTkJObdk5X2ustVsPWmqw/9Lw
clmmIrUlKs1w64Vk9wEd4rLwKucbjpvrbg02Ih5JrpMKJGs2zPkkWdaVJQ9RQEibDYchzTfiW5Zj
64T5DDjoM8RjcAkYezOUHARtWUHKcAWDtg/aHvE3VhhUcYHargiaJYo4KC99Z5G7OvwIGrvnR0g2
A2kRUwRV0fBSxA3tpxVwG9rpoJmwuX03I3GzFgZV0arow6l87tem+cIh3DZRtJ1nj7JORhsTiSwJ
y9/Qa/8v4Az9a/cwqtfXEXiG/w9ADCHgZP97FEMGTMvrHzEP5//+G4DBiaJfz8oWIQFCAEiE38AL
DlDav4JfADxpgAyAAI7/3+gFx4sBXwCiKIH0anS2xwHq4HcAg0MioB4gGPeDAQLzIzf4OwiGt5g4
UOTPVAuASwHogWkb4Nxv4QtBLALuePOKHjoc0tG1kZG4A9JZlE+ojEjvCcUB+eUPb+Z3FMUb1MQZ
E/FvMA9oSS50/aERALYWBDABbH07KJqCVVtWIjnE9Kai9x+P1w93zTv4tAtcxk9jXHyxFN32PiJN
cmjo8+fHih5L+g5z8kKt/eevcQZp/QEJhXSpHZDloty9uXs+Pd7y/HbNPrn0va9yAXX7eaALyNUQ
KrGQBQNdIfDNH1mOL9Pm78mT/FCM/ItpIReQvtJnnsslpqUpbd7DrBEVxQ49fDSJQXtVWRm0eQrk
c/zgSRiZIVh30CIpET+NAAAH4aFpcS+iPfHXy+WdmbwUiAFM4/fXvBY3N2m2vVY0/b8cwn87k8Pi
kqkU+OYt/cyyx5Fe+/S913uG5P3h7WLF+wmA60BegpAN6B5gTH9cLT3qB5CqjNHjj0O7cZqS5f+T
s/PakRtZ1vULbQIkk/a2LKsltdTymhtCZkTvPZ9+f9lzgKNicRfRWoO11mAGUBbTREZG/MaKBI3r
QLHf3Z+xa4gekqAM9Z/TDi8OiSVeDKX42Oe6VXtWTL/4GJjOQz6PsYeVS/IwgO/gVbkprbcIJGDB
QdUi3y8l1yjbGAuAXjIZ8ZxYVHKqRmtOs0o30+y7mheonj9kOhCN+9+49G9+HhAFLnnQDZgHS46P
T9VGr3WdAbOOlkRtWEec0Kx9YSb2oSuH6pAklY81c+gew5ZnBnio0mu0weHhF1SnIGmH72Wp1tT3
Nbz76No4B7qrSNN10TgflNGP3ytWhuWsmblvbJ/yQJdFhRfUJTf22LfHqOntC+D97JUSYymBWh5i
cl1VnUwdk/GJ18gRKIjG32Xpsezh4d6fA7ll/txSNB8MyaZG8A2SCayf63Uu2sxGwgA2E55z6slN
U4rTxdC/dBTUikCiIyIA0NSwllzHSTFxZlPn6jRZmb4fTL8/1QrghPvfsjwe2C4g0YDFJrh+FTzt
Akc310qiI4NB0R4Lkc+lkysPaWUOHzrknDYQrCtDSW6flItHvw69nutpoyQCDzvxDUrnPCQSRv40
IcRPmcHo3r/4qwAnWvgG0u6GIbM4FUU20XrEUfY0a4F5rGozPhhzHp5CAGD/AUmvcKR/3qo3mwEt
Fu5vAPwsF0DJxQTGej6XPojDE/q95nF2yuHQpkq4ca0uQwvuc+iGcdjZCqQnN3JpTQeSc3A7z/Y1
/TfaaWDV0KGPfqe+S1ibG7v84DY9rZ37Eynv0j+3Opo+wNpVaFfS5Bfpmes1UyHoVS3J7DkIgoK8
vk/rr4DMh+SE70D0pTXt+ltErgXIQWv0rfthGdwINqRiKINLzX+0BBY7JkOfD8WiJvU0QIaoZQWU
fDw67vawx9FYfa/3bqC9cKYB1UvJLGz+sCRHt3TxxU421lmbK/jOVEXkEXWDr6UFQLOpbfFqduaC
fmPRbhyN5SaCdoLQMb46MEJsjuTi5sBqDr0o0yngDU08sVSzeFMVYfQibVlilhwFKTQguzB1+Mjr
xZQUjIkDWHgVcimvtMwvdlZqtqekGbck31Y+COw4m4cDISVRF7MY9FQkRocPsmp3Pgw2qu5oqG8Z
My4jCh8EHh6tVSjLFiaWi1EwIx7tGYKfN1A0JElCCTU6Ba4BvLOqiEMbIoK3w3GnA4iGyEJ/HVmz
6/kDEYCBuI5zN7wOHLKwbHlFDSja592QvszXmTFseGc8Qzh6iHoto8pMT7qQLTdP9f360fSp46h4
uG+k0rerxLGGEIR8hQG1XV3kXwq8xsDOsBXSskk5tQNYNqXKf9wPISuDmCrCe4hWWSgiLGnzDcSP
zFXiwSsLbT7GQzHluxjixO/7w9zECmYLNohU9EZPklL/9eIUDrbbhpYOnsKefGt3lf9ah4z5ppyc
ed/Qsf95f7xFeixXyLRZHegRkoi3ZEZoGOwF3VSMnoUx7RPFZXAUQkLBs6w6VO6QAFptdfouvnWB
2F5sLN3KXrQhvUCtgqAh4AJffy64GQ2cQj94eDorR5+GPd3VEJBVWln9p/ufurKCyFlwccM7kib2
y3fQpGbgobTBC/IoSWWZRd+7CEaKjdC79k3YwyImYavs/qXPql82IsbqcPLGyci/M6N24zl5E2nn
gsGKy/2vWrDVCYdsR6hZ9Iy4VTXkqa+nsIm6NrJFqnh9MAgHGLZVOe8A3Refc6p5j/OcZ823OHOd
j4PvOIB3C4qDQDiGYFcgLhVvROeFaKv8PdAsTMg2FgRI1nQRXoLRio14UFUvYB56cI1j756xcrbT
E+54Ro2nzmQ2x0gn6T0Q3lWNHrjVl3sj1kv7nNBXyk+paSuo+igzRKwQ4aTPWhBN7/QxF1sCfDcH
gJ8LBYxXByRUjsBi+kbLjju0IWghQM/4lfuKOuxDvQMHVuvmq0EPYomLa9509mAfdXUaNqLxMiWS
0yVJX+wYVg823PXy2S3uHEZWTd4kKnpnuWvstaGPziLL6q9+b0Svc759Y9PcbFEGpXIjoMFJ9K27
+Oi5A+qg58rkRVHc/5O4uIPsA3Cd/q7Hp2XeyC1XR4N+C48c8u2NJkc5JGONCsgEzCXqLzbY4whk
MRYseqirG9tvbTqpsBI6dY4eIrnX08mx9weQMJOXtgqgJZ5chOkp6jy3iMCv2fp4HG07MDbO/HNq
c5VhyhnlduD+htSmLXm3IXiKGR7Y5M0Ftfxqhg1x1lvhvxORMxj7WM29lJIwLcfkixrQqTJGS1qT
JnvAsmKXjn30RuPZAn4Kr3l9IzG7uVX4daSBeFzhYG+RP13PihLZSjrQivcmA3JumDfTxxS9NNAN
bVu/Emq69XJZWwYED+A2kdzIusX1gJizRI4KYMMzUwrFoBPdN1Tmi0+lUQXHrhbGGUqIsqHXtzoo
gZDiJh7Q5BvXg6oQOhUz1GevAkJr7fLYqI9mr1cf8IEK34fQ/wBjlxJ9dj8Er+xvihdSVIIcnyLt
ovIF+IdHVRupXjS4pbFPsLxRjqnfO78sFvfL/cFWPhLBKBIdrCPIF5dCXcro+qj32JMXJuBEjLFN
USiNrO5xCJv8yO/oIAl0zUsTOXmPkTFKyrUGJ3lxd1oYRaWitsBzUBctgZ8YdOlUqUF/vP95N5f0
80BEYzmRSNIu1tAJQyHQSpi9LFa7Aw+qxMPVd0tocW0UWEnonPEWlX5Ui51S+bYENWpeO9cFkgNI
sAICg3C8ZbG1rPLK21CKTlCzQwaJd9Hi5OUWkuQAujSvqlV1PM711IFRdaE/70Ugp0+jDvwRHodB
a3KGsbkra70JgJxAHdi3Q6raO7U0k8iLnMjc0sZfmwcydDQY2L2owi7mwXf9vIyyUvPi1CndQxEn
ZnOyjHDeKi+sHZE/B1osK2/V1J8AcnhmPuYw6PMKKlaJHcJ7uIfiZTovzykID1D45VznJGHLA1lV
bVcMCX1zqJX2Hn6P8sWKW/0C+h9fVJAtb9ETxTI3E2JLLnolnUAjQOplowSLfM/iQyd/SFB1IBZM
mZt/NJ0ZdA9aKuN77gUjgO4IjyFQ/OkBifdyP/UpSKgXnyCed3w7Ohe8U5YPFYhoXeVaDa140DjF
LlebZngAg1K6G24AK5uHnc37k7c4yvfLOnE+pXOSgxXz1ACT5zQtx0MztS+TXXheS14oZEjcrVgr
L/0wG9ENcA58WIGmYlG7z4YRZukQZT8JRICFm9k3vt6fwZXNCp0ETQtOBoYvy9qwnhRAN8LU9gpl
kEQfuzmKaVLhpTT+xvtn5WJGqpLtT6YsBXAW24XMyMG7WzMoQ7ftPxlaz++E6yv9wa0yeACgoOtu
I/db9oNkSIIvxQa1qJciK7EY0yzqctK0wPAyfa7sUyMVF3dhlSXvag2R1nnIy/cBujy/UTLDc9Ca
I+2p6FOotfenGa8XwuwiaeI1TbmRPEFjphfBkSK8mYGwAZvcdm68T0aykVOrtdWTgiyE9Yj4gsjP
jlm2MR4abl3vklE3f7aBcNWTnrRWzAnKAXxbkZN8joOwQvqMG6S4RLEOOK5NgTMd+1i0n/M8qrt9
BPMmgtgK/3OProL/odC19Ato6+xRhfZQfRVzAk7MTbTxbQZGDMIN/oEWrfU5s87oq/nlSUljASRT
x5TlFdSg1tnPRm0MQFMmDJdNlMJ+1XXf/iYBrYrXoW4qDYw9PflcKdhCs4FbG1/otCnem11v2Lu4
UdR5VzaN3R8LvTV+9vh5TfsIBcBsV+UaUzJMivu1czOJ1zTGpD4kZq84p5GTMeyVHmwPGCThv6U/
1Bfvobqa/sEWPdxOhRqciSFwBWPD4BGIxF/lgA6bYaH+o7Wh0r6F11O/6QcTCLEVmvU/0GlsfjG1
ru8NAG7nMmXRMB1qpDg+t33ZfSxbdMF3opm1jwI7lX+nWjd+hjz66rOWKvOT5UpuYjLGpYABp7sT
KExedqThoymeUs2qIbNMuv9Ug3SddtyF1nsfaiFM8jzwf4Z5OwKXif3ysVV9PBP5pv5TAZHYf2t1
AbeHacVqdcRqMXtEUqts9hn1rHFfiwEn68HM4aFIcZyzaJz00ziYWnL0q6H7BTURn+SOPyPZZVoD
rNr0VfOnE2gD31OVef4qxOI239vzWIW7oEhoiVhGB4/C7/hBpyYLnOqEm32cPkHRB9iYAVLDlqkf
m27vpEL1kfuLp37f6uqg70IBF3IfZKHuJXVZqOcRiw5/XwBNFIegGsAzj30ifhZmAPErAb4Ectiu
++wBQkv6fcy68Scp5HyZ7MSJd7mm18XO1KtanGpn9H8Ejlr8MARCeKei7lIVuWNVyY8FgJ6vGNyD
Q0matH4qSSPIIjqVn8E+C46O2g7qzgRS3bBDRvpsA46GxjHgkvz9P30yDmMTV4Lrs5F/9ET1E7Gi
qEw3HoY3ZXkiEfccMgy8RB1KM9dpWCxKt1L8xvCMQUAMAoZdJcdkHMOvdTAOADzNOvdqRYD08fvW
33r6r4UfHLuxoAJAYZMMXg+fCcXPB7XUvZYw+VjTsThkaRpuhDkZTpdBjhjH9/E8pI2z+Mhx6lpw
rZgM4/PUF6Crp5Sb31G7DN4cN2i670Rq/wjtCY2P+xF27XbheqYvhqStvEWvP9BAs02mCro3pXGV
gXY0p3Mj1Pm9WTrgfRvr2/3xbj9ViqtIBU752sQ97Ho8vwQIpYWD6c1AkRBhksSwvVsNZQf4eTat
ndKYOJCGs0L6e3/o260kHboZmRoi/bLlnU3TSYsqZYwvsKlj91i0tvgBDl2N95UKZG2XFXbeHTu8
zIedHkIT2nh7rpThKNzSqpOPFt5my4dLO4UWusFxdrEiKDFebznY8MCxK0CSIneRH1uedNquVqJG
ePQBSuXUG7XIiP9q+8nATyfZmJLbNIZWHjUt0AKkwGyD69VIlKgSI3bdl6pu6EO7Te2+mhBVfujr
yPl+f/pvdxpjcZaRN1VR+HEW78MyMKu8UMGr547ojqGIkiMGWN2b0Bjck+mAvrw/3u1O480CZIAp
p3JtLHXtgEMaTpTO4HajODmDCHJ2FnjCN4g4aeeoSbTdpIpm4ySvTKgsEEoba4y9bp7eQh2lWL5w
PSJ3+shF3kCitWYQn6q68X23oQnZOGm7Q9tEvW2c1EFoAQ9sXK8wS/2kGF3y0MbTVtd8ZdXQ/JLG
GBxWWQG93iHoV/BYKDtAOWqscIX4ygecz/sjFOCBU6qFG1UEXecPvI6FUr9Vp0RG986kGn89YDzO
Yhh5tVEb1qEKitAh/FHPENWrEY79E167eG8O6Fpk+0Hzff8ch7g6NkNtv4sUoxA7ZxhpLcZ+rXz0
J7sBpNuILH0T69inAJiOZkxqShPxW7WF7mbnk/Gt9Sf304w7wBaAYmU/AATgtUfrTlroyn//B4Ir
mnRSS7P1vVGFIwkOxK/Co0Drx4bEao7Jy7efA/yHugVDylLe9XAKVvXlDPLHKysUueEH5JlypGpc
fzTSrNhSS1zZgQCOCERos4IZXdbFq0kDOxxqvtdmDell0FvfUPOoN7BG66MYXBVoVGL9sogbLh5y
IKcmlPwsJSQZSUTcfVJH+HUbA63cD+i9oPyJ3REl6JtGk230lWWUvjfjVzujsyJ0sj8Ec+oG3/Nd
7VvDsXTG8HU0vdRDSr5hgTZJKV8e5VIFdPGVaMoLhEF031OVNvpIRtTqX5NY5J90pTbKj/dD49qu
pDRIasUbFsDYohoZAClGALJXPKXGcAJPKTcGRF6pl15zo9P9sVYCCBuf+i59XrKMG9jNOOeJoU0K
5HI3O6R92x7UAHo8Ol8/Jo7HRlRcifo0K8B9Ukmj4btsJ5tq22KPpSkerXHUkdSqPqCZlL5uEgSo
pGLopdYya2PnyMVZxCwG5dSaspyDwOT1sWtRn4LpZCqeXmZIxQaZGvr7pNIa8OpWM4LDywbcikSU
D98V3XfOetNMxkZ6sfbl9PnoFPFfgyrs9Y9I8tHKTKtTPAqXmeaFhQ8wDNr0MJzA1E/qYcazFSkB
GHQf7i/x2gm1wRn/V00CO3M9Mkcx7DvEY720mq1XaKkr+4Dn7Mb3rY3icDalWq28kha5SqNAGIYD
ycomU2jvsEZWxAEudmNvDLS2YzF6IEGj9U2DYvE5Vu8aienDjIIISpfbbcu9G/W/DJRu9jUGBBvF
uLXDyLEwZVZE73k5XOtGcVriAA0ipkHZUhQN7afWwle1/4vD8SxySJsH3fmbw+GY4FB1POq8LmmB
h3VO3D2pYWaAZMy6DESqUfJ5ceW6Lw8CUtaav1BlBYOx2JszJj95O/ONnd+2HmVZhG+02fqU9tRn
KLbmx/s7cmVOmUvuW2wY0YBd5rVmSlFdPia9FLLiDpni+DDBWqP42GyJoq5sSykeaVBDpu9xk9bS
ys+FhoYClktm9IgZTPjQWX18fvkHkYJxTQBdZO8vNn8ANGAoyOS9IEnHV04Tt8eg0oJ/3cDMD/eH
WghCP19F3A3oL7uENESYF9FMT8taG9LY9WK3KS4G9ZUTaucoJNSqBfHSN9JD2vr5Pg06UHpNj/oQ
KoZfanw+z36qbPl8rVzLSPrSWgIWx828fLalFDayepT3f4Or5j5xivJcoCX2EFBH20dKkB6jGn0U
6iRKtTEXa/sItVsOpTwvN63iCPiY3WWMTa+ljiEGj8ChHHgueInjQrjlDrU6nDRtZaHJGperHCFz
0uXCJFuEgX0JrVE46NNYw7uhnJBKub/OK2EOi1iyev4XUf9lujP4sztAB3NJd4BSa+MIAVroYucD
vsDOWt1yNFkpKpOZ0hmkoKPz1zIXtpR+SHOzdb0Gw+V5l7W6QMxRD435iLp9jcN14QfxK8r8TXLG
ib4vkLQXUUU9dJy29F6fH9uLO5ufQi1CCr5yqSxOVDwYjYFcl+818ZAZyDTTdXuoi6wI39YFpM5d
CNHOP0J97seDkibJqz6Lx3+tyeq+hiXSB1BLUwstgDGKEV8IkAg/q21nP0yU1Qfk1obK34hqaysm
s4vn0rzsTF7fs7kfBaM6hz7KCHX9b+mK6JuaJMU38HLpdMjjHsGW+3vk9uzxFKNTLh8VPGmXoQCP
TR/BrMwBFDDjtW40vfbNN/1KPYCuSNFYgdKMGJZeGh/mpoGyfn/429jqqIIWGVeHKt+5i2ujM5sE
fY/EIa8StbsfAyu2T8kIwG/jflofCAEl4h1PmSX4NwT527WBY3tVEDhnBeeXS9caWz43t8ebz+GW
ALBGsYU9d71+TRrUVlI0jJKE6Umbe+OQ1WC1wSWOG/fF6gfxBIL8BBwR4OP1UOFUdCE4ZdtLfUA0
SBFkXomm8/7++qx+EGkEhUNpCbaMV4Bs1bmZLNsL7To/NK5W7eteFRdbqV+eJTF3PKUpRmoSkLTY
CjpWI9FYDpT6CRV7J1enY+mGCFdOhfY3XwXBlH4TKr4w6K7nLkfijMtItb05HL9ogIUAYg+oUaKr
+uLWnkRY2YhdI8gPpWXxURG6s2hOjDbArqK9RFrunNQMD+XRzXW4TsJ8cQDhm3gcAYAVwMmWtRU/
FHoOusjxoGdirar6CSJFc3PMBWqmSFhvhfzbgEUeDb6PaUQQGfjoYiaTPCRxgDpP20tFYdiZn3i3
Vc1rP+vNn6pfxPrGS2xlR8KBALwJYE+ylBZrF+ChknRK6XihgkhhhE/vjg4+Zqclgm0v3vy0K2Vy
QKopDcmuP85uixb8mHC8OZ+dh9BsmwMtoPGQG/mWvdHKaaZqyEGWKZBMAa+HStxKWC2XDhJHVGnh
OyeHsUaS4/4Hra3WH6M8399/1KqEFoPjnRpH6tgAvnT1iZ7f1H+c0GH1xsyy/mI3sumpiGMcI5Oe
668aSN8murmsVTHnOyMv3KfJGpE3G/HnNNCw3gJerG0OIF84bLExpG/d9YCK09vU+LBWsXukru0G
hTILQB5drnGLTSJX5Dq7oAgM91W20akCu4uhOjNuSAhy5rJW9T1yrfEhMdiRSTYn+3kQqlc6dJ8r
mAoID9f6r/tLuZLDMz7wBKoggOvot1x/alsg+ycs5nawY6P0IkRv/3UrtFAPSeTY6FHoqEe8m6qk
Hs5OrdsVCZBoPmSW3jyUlMjoNg9hnG0cmZV0glgAwhOeC5iqZc6V11PcIY9lU3cy0cYGL6C9iWvf
/t51VTPsaTvjWeGIvvutVfgUb4y+dorockF0ocQGk3Cx3zIJja5cEl6rVprDmFoRSqDay+yW5evJ
oXgI71jyeMCHLGJ6GNjGiN4lmyypJvS8UaeJ+8k5OGP5c2ORZZluscngnXBTPTOWeC8sFpkjNVPg
cTwgD/3bAZHZea/R58A9Lk+tb0bexMUuQijmoqo8tl1toNvbKltNpJV5hSKJhD49PR4UN1maiAQE
m8n1cjdMHruk7Hf9lL8Ymo8otsplQrcKPypehNcfW1tGog/oKXkoxUX+c3UEFPbktFvOF3LWbmbV
AvUMaZ23xjJLC7NA4ioC34NkUPiHtFFEdajTOvmM84UlZT7T6o3QWnWreL8Sf3Ve93wdPM7bzsdU
03nPi5T9mSba65bZfsB2PXiDs2q7zydny+J95UHmwFnimpTOBjZ95+sptQudHDHRqJIYov+WOH75
xkKZkR4JvYNw8MejGZGjQnd1zw1yZSfUOrY2z9pH0z5g/yAPYGDid/0bRqOd5yaii9WhS/ltjIvG
PVt2FrtYemJqfuQfzMnGxbNyD5CCI5dAw517dXnxUPYYROZy0Tmt3e3rOYzQ33DLU1xPxV8MxViU
bmQYJku+/jxhTl3emSF3HECGT2nkGhhPFCjxoMAWVBvPpZXwClb1/w8mD+ofF7iqDmNuTrxirC5U
jb1CFv6tQ1L2MgIfQ54UsUoUjGvH3iGSmI7e/XC0FgZ4bsjGPlw1LPuuR9fpPRrupDieog/FY2Qk
w2uYAvpGyry2dryhZKDBqYM1vB5FTcgnym4ivE5mfTQQx9uPk4U6ZFX6G9O59kFUSmkhAxS9Zc0Y
YTDPakrW5SPFc0n8OToguFX8xShAMOXrWjZyb0ABbQzHLk8sL0TE7jwnWXGYcZPe2IcrlBtsXGkL
khYjb035/HreKGCP5YwWmYcFZwnXTmveTwKFbA44NT2EkPYlgoznUh+jQ1P6WC9AdXsNeIympdEp
WHQM2s62q/oRFWt0p+bY3FjZxe6F9k3vRJY3SM5kx36xfxoTjdIcjOHFtkf98yDS0Dl0io2KOaU2
KQmlFz1O8TGKYAcBGG0Lh72I+3J8Os8GARGuGSWPxcXNKsC1i9ryMneJcmi6frqAeO6OuBJkOIbo
0TEeW7HRa1jsMTko6aEtVNgXsku2CH9DXAQg5friMgSqOAlMRZAUHLbAzotD8zwK7TcctJ+LAcum
mKDtRR/Xzy+hlhq7JCpLBIF0cjxF2SKqLkEu/28siKoGr7DbXliSAqVSlT6/4FxYj2dR+1WzA2aS
vUPsybBOpVlESNTV/YRMmj4mr/WxcJRjPdnVAAfGzbdS8bUpZudDyaS7ilv7YooR7A66WZv4+H7M
f1a6dB+JQOPvXxT+nr9bOiga3KdslWXVADUk8r0wKy5J1dRPwZDYF+gdyuH+KCuHhFKt5PoT5iES
LcJfFaV6PbpVfjF7NxG73AWdfBBZF2snpJiHBwPVOGUX90p8LnQeWBthZGUuSZ+5qSEDgONavqCQ
Bq8DpZnry1hZ4qNiFsOD5nZbnp9re4jqJsobtN8oAC5vzW4OB1T6svoSKIb6CdFY/21Zq/ZZqbVm
XyaGsi/Bpe77HmMDoNHuXk/G6qOpZMkGfn3l4Lhc3PI/lAZv+kgRuEcdz+T6giRe/ghBLf/iS+E/
RwT9+f7Krk0tlw3VR5VW4E1SEpfRjMU8ppvdbIXHPuepxh7awjPeBDk6jYC95B1NHRmrx+troCiF
r4C0SC6qnVMbSdlpfM2A1B6CcXOFbZRlNO8CZOFfyNrBP0/qSWHnBgeOftmySZzmoH7iKo0vUegG
70XbIWtqNN3GJXIzi4wCXJMLhCorFbzFJeK7dZs7WhJfGstGWyidkZKcqq2zfrtB5TBYEiIPIyiu
LjdoliJLHGEZdwn6ijOOqkgf7UzMncrHPskGpK3CFkG3YdAbcerVHvsnJ8OF4lgZMCJQtHPjWL/c
30BLdaXnGQYPBlKV6AOXchEbkJdpdDts4gvquWLk3lLRL56MAPlxe2TDHdXMny5lXcz2LnRi96fA
S8bfURtQ41d+GCmv8e/C2latQbvvRks037QpVusTUM3wI8Y6SY6PDdrzGxnQzSFjMmGMUS0BYQby
ZbFmRtfnISip5GJUxvgqtvLoMhYp2O80czeu29WhSC4oAdGFvolfimvnSO3MyUXgJuvNTajvxiKx
vWhOP91fjbWRJNGTTU9F4OZdE2RFGfdBG3PQMPhoRd1eUn/EhidIleP9oZaQueeFh6AFv1A6rBI1
rw91Tz0Q1dk4uUw4kP0qjLxsj0Mm3E/YULkThCJsFyrW4J84VpP4wapgXu40IInfKtwz0n1VdwYy
UaQ93Ruz7M2nNm1N5Wjjcl7sR93Jf6DNYGi7Hsulz4UD0wEB3wzp7yEQ09bXrE4cZXG6PmuVM71C
71WPh/hiD8D/cn1ECx51g32fvTTB/2/eOL4AgiVxaJl8gR8Pc8iR8cWIoNfM2Be8LkQdnO4vz1pI
4sqGrigRgLzvr1enasLWTW07vlixKz2E6mBfRJN1ePkoEqMO/MeVtp2L/B5myNxnehddzGwyD4A5
xYmu7wvBDnLGiOC8ZQHKMdYSXxjhNRMWIMUvQ6IH70aHmjeQo+zlQZxRyIxRqHHgvC++BRvAIUeL
nlEwAzlmvZ+c6MKIjYRtZaPRIoB3K1si9NoXYadW3GKKq4RYkFdSmViS23c+Ui54ApRAYza2wU3m
xtTBjEXah8QYaNHikCZZ2FsUO+KLPuST1/VOjkB6iiKsCwnny6iFlNzVWHxXkfHfCLByh/1R0Xpe
NbB35KYy7N1UtJrQtlAs7+NL4dbiUIugUnZFhq2BN8IOeaOF4/A5bxX3N7VBG/FR89f9vbk2viyI
ovEC7Z7uzPUJsHwTU7naTS49go/TiazPqR8DGOUIfbtJEgDNreqnBgmk7kjEopUoZicpzvd/hVzP
5SxQ2nGlopvk4C8WAI8xAy3tNrmEap+dxdgQiA3hOu9bLc4/hEkc6Q+V0agbB3Nlm9GMgjjLLmMR
ltuMdgPeXaUJ6B/+1LT3nbx6Vla3s31emN3LLzgekQQaIIAMt3zpQVxvbGTo80sBAF3HusKo31dO
FfwaxWRtpXQrM3o1mH69ronhV6ZZ+7zYuwSFOicODnTB1F0Tf1Ji9WuBL+bGIVpUC+VOpuEmcavk
kHzgYg2x7RlwxjOSC3LPiNEmaTx8bHJqefC7IhUhPSXIxg25iGUv5XlQydqwcXSlOLDsGxSNqoge
Huklc6r5iS4KulXROKFbgJsAXhTDqYeUdBhjSwO0XvT7OKjqI/lj/aOZcmvjMK9NOhcjXQZ6qxpO
ydeTzu6JEN51SCzMmA9W++5hdJ3ydReE8cHn3YS8egKH6P7hWbnEZKAkrTZBgpA/XY9KRz7JLaVI
LjAO56e2qAWkGcX5cX+UteUF5U3ThGI0jQT57X8UMGt9hq/YksjMoaOccnhfp9aNqw+1ndfvE0iI
f3E2OSMcS84LR32xnayW9LxBsemiChTge3wRj2bQAQDBxOSvhiIvB9zNpbO8n8Grj7Sls+RioRmz
M6vxR2lo836COL1xr60uFdQTiVijRrcMATGm8Erqw+nBszZ/rdrK8OBTW9uo9q5cZ5STZBYNUA1A
52KpXBVQvD3w0IIyOvdvc7/Bs210I8w7Inpe2FFFgdAPGENW9kMeFuHv+1tlqaYiTyUyjkQCSAHk
VstXw2w0tt1gW3pJcgdeB2BP5ISUEfSJMtfJ8FVokZ1+ySv8TPZOW/bDLlImeju71rWLT/hRWMYB
Hmvd7GczNvJjDk4dacPS1bZQfSsLwi91gQpwB8jodb2rZ7CvaHxwdhr8Up6SNMpeUdzYODprg7CP
gU/YMqFZRsbeN2YBPzO4RI45nnnYJDtzxoP8/qyvHFD5tmQTQ1OgVrpYdRxv8r6liX4xodvgwzFF
bxtzjL5PJTTailx9qxm3NiChAOwPYj0QFRb1Chs3GCjRfXBRiqI64Pmj42MYTG8cZf4mJqAr97/v
ObVcJAmyDA+Cnta5rMher1Xp0wwfij684MhWPAnsfzEwGabQPARlkH/QBr8v3ji+atWXhL6sh7Vc
b+7geU8PFiR5eNQdNNxDzlvN/I7lgcC5II7D6YBlfC926pQE/r6Nc1yVuhFi+S5AFSg4Wm6EvaHo
HUEdJmhh6uRZrOELWwdJzH2SOv4pxW0U6c1YqR8q3xHtrsYJVuCngkDkJ/gchX2qtbGIXh64KIiT
UHD/STzBYkYKPTecANX/SzEZ03FwgCeBwMHcoW2mjaHWFhs5CnJxjrUsUF1Pfsq/GiivKp4zutPF
z3XMR9si/ccoIxUnA0X/m91FLROmN4QRLvbFdvYr+D5ZAGVi0Dr7EBTiMdAM3pvgHB/mWdlCDK2d
URgw1PoJXhLzdf19c5aoHfA4GBqq2hwiYQaIYM/5RmSW4WS5hUGooTXFXKK+sQg3Kv2doHItxdP0
Vv1u9pX2qsnq5v0A4/LD/eOy9kF/DiUX9I/7eiDwwoZ08ZABDIp1dpKdbYzuz38xClhdigIAiAFu
XI9iWfMY4pAUXIK0Rt6Buvg5DuIthP3KhQaMAkU+i9yDh+di2tIoHFO6pMEFezLa7YmmHDGJQGSz
6/WHzKpD7EUw0gpSYt7971vb9mgTg3A3wCbdoPI6tdXLweeEdfiKoL4aJGe0NLSdm/C5A6LO+/vj
yV292CCULoFic33yGF3uelTOSt6hdnjJjEl5Mhq8cNEKlz5/4DcbK049c5i28Jurg8pWKl0h/m9Z
o2rLxk9j0wkvg4a2RDLM/b6rQ/PitLqNsYXZei411Y2sdeUoIDII1FyXxVqwWNc7x26syleUJriw
U7XHMrFaHrt291npXXG6P6mrQ4HWQseJa54jfj0UcGird1Lu3zyKnFNn+SnShFnw6FT9r78YiTee
7BgDJF7iDuPczUyc3IILdJ4Kv9soNUoabEX2LQN0Phzvj7YEicg8y6RnTFpBJQYhhMUNPI1BWLZJ
GF6atuteG46CezpkUmi2TmB9aAYnKo9mNs/Z3kCm4R8IuNXrasbMcmMt/48fIptfHBbZKr6e4aCs
7KpI8xCcbCUOGPQlZ2B1mIzqJUSB3lV4A1Y9U6EVzt4xoaM1fldvTMfKWZXRgTtK4zqksHv9IxwT
izdzFBgDJR2m97H9KxN6s3OtxKSwYr1QNu558gWtRSq7oKyp7F0PlxaDofuFJGrK+t6hGLvIa4I2
/NEqSrUlSroSzdlN9LmoIlOwXjY1xmIGQ1GUihdlw7AXWlM/TImqXu5vqLWDQpZK+xCk/a043ZRV
VmemuuKNJer2B7MvTW9KOhddyTYS3+4PtrpcvINAwQO+uUkfw0HFklcfFC/s+8rc523ByvkaXZC4
0KSYGli1l4+ITBH8awpdcGwXOUxp2CN3S83tW82O8dox8AM8dHHgP+KxObUHM83sFyoBPO8SCiO0
8JlX8plF7KlK5I0dxBovcRRzDDPD3Rc85f/i2iAtI6+g8nBbx/bLWZpCkIrXudIBxLCg5pxxhDVP
Ti/aVxKVDKtPhObG9b+yYWSrGYkDqfB1kxW6A8WlMFfZlmasPYRhER0TMdg7H9jAxuItUTJyJtEF
ldw3mqA81eR++iOhUYJmnty4jy59CIn3rGd+Wx2yPPXnfTfoWJX7g1lZJ6RassjLLVPafeYNSiX6
7Cv1DvlMBzPRkD5qkIjCS7qs/5RmTWyd8B421Y3EYW1m/vy1i4hYK1OcIjkdXQqAIwdj6jE0Hlp9
B2D9hczR/yYGTKSOggdYqOXDL21i+nf0qKn/zP1HdZyLfZH/L2Vn0hw3ri3hX8QIzsOWZKk0D7Zk
y9owbMviBJAAJ5D89e+ru3otK1rRi9uL625XFQmcIU+eTEbHnjXqOwQi/HycpvmTN3+6K+8Klf/p
wca0+TAE3zd/3TIPuh+oGaIuaR4m42xpiHhMNp828+NQWDl0Uf8Hr8fG5zmRD//5KsPKgSh4whpP
afCfhwG3rXAyKIZd4GbrdXk5CAancTBJ91iurqjRD4nmz3qgD8pQ2gOoSBS6dCXv+3gpN9vp5rnC
g9etr5y5H8/Y4G7T3RIOhwiI1YFg+6OAGPqJ8sZHp4nijCqJmQsg+bufu5aqaV1kqXFlLcK7PrIV
Az8EsNxmiD55sR+EZQJyiJgkS6Ywhd7VFNEWjusuT7MQVDoo6bXnHCV2tMdQgVyWtt4/uSkfPVXo
w3RFJ5kKZLD/+SqRb25whw6ai6pcyu9mbBWEK90chsDZossagz+80ogLZ3Tvlvzkw//3t787x+wC
UGjT80Epfg9VBbNTMNXWPNm5aubcXSw2rtEZt6tLb4zWAVGtHtFjPM6r3JtoeZmCVLabDl7c3aF5
YZ7KwepR/yrdsbtbScxBpkqnuMSxeWofsEyfHpIhHm7cgv8sUypW+9kQ41D4yY34oEKIKBAASBBn
+Rt+Xwc88hoNOqJVg/nuppwSU+YxPvv3i/fRxyB5eOpPGBj9hTI1zdrW1iKqi26xtut4Rhqo86Pq
k0/54LzDJEdVkSNoU06+i54hOlNzaEJ5oQJ/2XOvxH4wTRBV81MfWPjl33+T+8ERjG1EvtDHPbk0
vR+CLdFpffk0LCnQnCvPihGDnxSGlvu1lr6Zs7BS6NZxTCf3uLkbmp8t9cWCGTTLry/SDZr9jN9R
i3zDyfTVK+J9z/zVHcR5hE0I/okSpeZ0TuJiPPZ7uT6YbrbNnW9Xpfk6hSF+834XLUOGYUCJhSMv
k4y1zOLKL+fuAZIyDjz//qM/eMQsLGHDAfUOkOV9MNNoms3R7Emq5U7uWaEXc/SwTFcXc8M/PylQ
/icb/+6esYEA+eckr03+fhfBdtFNC9xZHnG9ODFWtJNwslnaA7pmAdvqiLZP8mWCmqyubV929lGV
2DWkYYka68lpdoxTaxmcGXzec6rU7FL9x43yUyKltoDpycCBWdb7PrizHbmvy4bVbhPz/m01n1nr
hk+1EP4nUfajp38ylaH95bH8Nd2Y/L6qhBjERYAAy9kshul3gQ8lK9d79/bfXzQLfrgznKarzIf+
GV/L03RbFYu4sKc+PttaL8wnq46zsO0e//2TPrpG5CcIcsCzbJN7//wkU7Rzu49SXIDGvAhZx4ck
3OIUXbH9wU/Mgg1n0ObGUc0nrcQHQQl1ZmBvZo+Q4N4XI8UUlLYMeJqYkaoDYq/RzQb567/Pb6l2
TkOC8LTq937OJkZfdOMwcjzKWpzvraUO1bpHN9bshJ+wLE7x7f1tAQCiboMYcNIs++eTrFHOlNjx
8YPisrqspOmyIaQjq+fNIQFZVSaU3T/9++v74EwmMCA4IdAR/uY7FxNKCwE6ABf1hmvrXI7FVeOY
l7iP6k9+3gcHBXeh004XNQY80nfBYKrdZCAatxdmtZb9InH7QVxWBFOVoXm3Dzd706/r7QLVNPzK
1rdbfBaOwr8f8GkaQ1AmwfxNe5i2QdolincXje3XvwsLzJ5Nrap5dEIhdDpGoXwMcK+3TorXTfjF
2lRy0vMdYnzgAr++cyc25I4LxhRXcLxY21CmLP0U2Xg5Hf79vXxwGGh6GEySERGieQ8q1ZG/zE3L
NE1Rkh2lu4Zpb7c72nLenglJfV9g0vFJxfnhK4KkSTcJvsSU4Z8nMFa9sYtoaS9mTEJ/OEkvnra+
M/TlfnVsxqm9ljxf0psdXPz7z/0ITKLC4BaTjumY33806NHWsSfRXrjRhk8uAudxnTo9sq2ZQPAc
15HYFSKf91512bK0jpetKvacdFq09eXfv8xHd4IVgBN1nOLwL4nTqfPonaNAXKBWjE87/b37XJe+
ds+gSE/rJ2/6gziWBHgT8d+CpLFG88+HTpctq16RgKD+Raw5jOj9usVnIjIf/SbqXdAIRpH0Eu+C
S0m9AnA48ynCiR4g0Xp4fW3doSQvfvKDPrpmFKMA2pionSDRf/6gFeV7bU2huPCDoj3ilB7VmbdW
0fe1NZXHvGDunv7rC3NYU2GID77DWPl9KtiRTDJDgo6ni185QKiPV1yeeGoK0n5n0fLfP+0DUIJK
mOknwPLJ/+X9YkrnAwNaBXEkXmLdZ3Pf4N3cyaD9xsoenYwvx1hnU1kP6iHBF7tMiyKBPr4NgbUd
QxIxm/C6XIoDyokNjpHaN91Bd+6EyWvgaf8/vxAU9UMmhlQd7P6/7+7QNmPRwsDgDGAfsUe+BpdB
q1g6it32bkqm/ZPPC/6KsxDLmU6e5CLhtb9f8IBPp8Bd+uaiGBovo+wYsibeWUf1UIb+5F38DUmc
oK8TQAoYxZrH6c//H0BUTjoMF2cSFwSVbcyreTHFeVgtNMsrceqxp23/UYhR98c9GnA131jXWFNv
iJoytTutUFyYZBVewUpfL8VaJq+QmIY5HZLVZo+hNKbMbTgPeHU3hmz8yfc/4dP/TPqAriyCnXbB
+BXv3020F56KNASqOnKG+wK47ZcpqOtSf3P3MBuKwP9D44j60C4TIlAb+c1X2bZyuw470awphuFV
/UnR8/cNZgOU8w0xBuANRaJ/PlSe5+wk4ylVO716dGorTD2TJIdFLs6Tmtfv//4QPvi4E3J/8hsl
L/9d+GDfZMRSiwtd0I8gCF/ezs0OoSkJAXX8vflsa+bv5MrVpSo+6Sx9wJVpfEK81QZwf+qp/mIq
ONmrjYDJtvvxsZDbfA5rs/mk/vk7zsNpjuifmSlyGd+3t2wD9OywtcuFwlESt05MlIfOjT5JpFyx
E3by7kgxMqWppcphf+49+hzKurCXViQXYzl4eDmzxVLedlsUHBJkH6tUGlYHM1Ot0Q9nMqjbVcE6
RrkZ9bKlMraWV/bWO/e0lhY+T+j03qlCVPI20OOK4J4jF33NVsk0ZqZbt54x81CVUHrccjwWWxEZ
DI6ndbkfDUvvKequHb1wW4jpap9tOWReHyU/0Q23nn0dyHtJlkW1KXCL57gsqx1jSMqqHNqh9Yas
54CQ0r70t44sp5/btgp5nezr+jtwlqVhNSJYusxr2evI+CmVSBtnYicawtj47XSFq5QVXB2c6Smo
tmxPoq2973wtHu1Ots9R4/bPONcgg1+5YvyGtq2NmV6973sqBmNQ85+Ltv0jLF31FzPYkJXGiahM
qgIlpq+m6CYpUnYjW/9oTMjoJEHnRP0saw+McNt08MWy+/gXLkM6ONTU4ebo1jpEo8lpp+G6tRiV
XkvWpcp8DlbRXs3S2uwrSOOe92sRSW2lrIyb/TcRrZ2yQAsXurqzd0VWJ5u4QTfCIuMNg3LuRVdo
rFKsolzYFlkT+xVN/KRj/1cb76bxemaz6QIlyyU0R1Ynhot4bCGmvrpxNYcZPKxupd71glcmC114
RQO/Hdtt1yPShMBp5yuI03Iu4kW8VoU7PzMwplKR0BmeZls59vmKe8OSwrI0Xd5Mm7um3aSiEj+X
KVEZcJjRGQSi8i3ulOdn7Ds2ezp3Urz0W2l0GsrSMLTQmN41qnAEjDBZfddBoTQrZoP4MQ21LzI3
HqnJN5JdAscN4t4BD2ipU9g8DkJmu4CqI4YugXO1efK1KIekyhwHsgd0/HIrc3hqGNYC967f2LJ1
biljph+QiKbuUKmxHQ6LKM2QDm68zFgsFIXI4mTqkVMK9vGNOx7kC/SKh21Mujqttym8tro5hmoX
MXiUPVv8GZ1Im2GJEM7ZklT1gzUOEUtJI1bKaeTr+aptYsxe+N/wrdStuGoCnDOsTqpfmxfK5Oi2
m6Py0bZjkSWmiB7qqQ+b1OrcZc04/m2Tkh5sLx32IPrjLF7xvLtledk3a70e2KoRCq9c4Yl8sskz
15XWLsslrfIvK/DqHpMiM17NNeYHaRuVxYOz2/VzQgoV2Wbq8mvfFs2jHej9pbIaLOaCunK2rHGL
8rdfm8pKa3cRNeZZsi9Ta5vWk21EhMiKcqb1m+dq7z5RwpvR/Snbbyty8k9J6c8m2/UW3s4SZmle
1bH53fvW5qbz0oNfDni3VmxwzXh+6VE1ZeZEsrbzql+2OU36fbH4/+fk0MTzUGTL3jd37W6XDr+s
jnSTz2Mf6Nzbxnr7zdoeV3lM6qDKe+Z/4tyatH+Nypd1txdVkkttdSrt+9lsKbRDf8+mhfXfvGe4
J1MZdnEmxWi+WIi3jPk2GffOLz3BP4IOq3O1xzJbdxNUmUzm7rluB/HWKout9ASrZN4ujtMTp7Dr
7vWmqygLMLb7XpUC7VK9lvgJYGfABVkGLBQzBKj0rzZwe5MWBDOZjxr48GyqwvBbaDfmbQxj8c3r
5nY9TOGCL1wyhtV9oKywPMInZxFo6/Rc5pUYAqxTQCy9nIIfDxGNgsaYmtJyj/7YShzEe4ZI6VKO
ww1WHNhazIU0T4XrAn51PnVz2keN97u267I6bIPexrO23WKgHaYvP7y9a6o8BirDPB1hgKfRqoo5
k3UYfAffG6ZDY5U4X7CXub9ZzHlPa2xrvCMzam3f+9V0A0aeljwffJrqzOjWaVJmeVabh5yZJHUs
1d2z49Y8Q7CAA7aM07Km6CdPL2VZ6A0vmN7+GQLPfhdwLXRajW77IoIt1IfSF4QHbO+9Io1qPitr
apwG+EFdECBEXqs3zIjCIR+wJZGHZcFeELEbW9yhBdw9oAk+rdm0VtWUUZ9739jkBoO06zlWT8Vk
h0gN+kv3cz8RTLiODhYme4kKypkbKS/3HQxJ8la7E7poUbV+U2zpUJoGqxUcSipxRF/w1pjzaBh2
J90HV6/kP2edj2G379EhxsIIDk5kQV+Ap1q4qe+r7QJ5sKA4jr06bfxFfs1DcVcQ/yxoW9fKOuU6
EpNby/0GPICFASQmCHpz33uv2OAmN2wfsW4Ybey4pFr2c5crX2wP3rqo66CtxihF2ARyEymyvdvc
YXvy+3Z/6oXmrJZrHb7FBXXcoUfBQhM7WuRQmna2yZQnixV/1YWXJmpGrdLe7I4n00hfXHt68S/q
cq5+4qE9ralpKiygENPVT6PvVe1Zs7DksgDz95e1qnbN+MdHIkONzk/dlpiJLoq/YbbcsSbMz3Z5
6IbIvKkFYfq0Z7EHNFmOhEF77JMblhyKMt/mLTo6bjfqzCuCsMtUUE1/gq4QQborTAXPmm2KJLes
TN5Y4h62tCOaWOneky0zCQ2wQnGh1iJlBi3f5jpcdmqLCv+YoBf+ljrQCqbMKYdSpI7pkruqrMbL
xd6CNcOmVg6p7+nmGZfO6k+vXLPkRSTjDVTbCh9Kz+65/4Hld0ycRECBMRYLBCUSa6t5z6k/d+Pd
HrvziG1R7HwpLNbhzkZi/8UcrkWSr7KgOFZkIhescJtj6NR1FDMdNGTdMCyG767fI0Ak17J9HLY9
EYeuhwCbLrUV3yn0BpY8WgvOZI+x9Hjesq32x+us7r61OjwuAulLk5VxrNrMNAlCalt7ilpMMbaH
tezr8Lxxm/oGI5OJFZN6OPE5gmG5b90u3I4IHu7OGVHCvo9na1gpCpzt0M9SJbe08M1DssHDPQy+
jmSOSgpUt8060SXIN0hRMTAR6mDXtphSVdqkndILUZkWWObU15ZVqh7dtV6ozLBsQX5EToMrSrT/
0+1Tc48MIt2/g+i4ymaAM/d8n7r1NXHm8jiGXZBwX6b1sQ+3/qravOnRtiVp0B475g+dHvF17V0i
bKbhTplU+jbJ32pbW5zHEbyDcDDhDxE33DB7H7zLopHxxC8A+kyLgaCcYQiNG5hvVUuflm4f3tDL
1WsaIWCvcr/xZvuwt73rZmuliYuDtwZBDkkHGpFAncHliiTxHSSgBp2PokIa0DJb0XH8Kut6RJRC
pkqPC39YL8ldL5jbkWci7KoKkxhzXCbQc+ZngsKrGcrij3KDuWYznyIWOqVsglSMLmel2Ob2dea7
FalwK+erlKp8soI5eY5GmyRfCmL63KDyeTRVVQxnwz7JGbEw1xlAqJXVZ8O4hhYHvrMYoYRd/7wk
Nu7AguHAub8NFUaqa+09SgyPPPoPB/9mLBPhNCbz4HRntrZ8CN0BHI2cqQY2NDZq4nd+vEc0uD6T
YrhIQaVSOiwxpGpzK7wuGNVMaQ/v6lTtRvhNWmHQ/prdbh/OO7+yvkhp1006QlR/ck4EkSwY9oUO
IYQ+nsKOcM9xY0Bpbhvqtk7JSfPXpFbaztopXl5G2ymvq4hrl7WDJ/Q5fbLTZKxUkEksmp2W8lD6
eBAhgJW2ceVc4vnlmKOEdjemIjbzIzIpAd/aDvB58rbQfmlV01yaEMfBrItUj1ukVut3DWlvSitn
DE2asCq+ZhV6ylMK/75QWdGatjo4M4V4lnR0NjlH1UHuGfbt76r1F9RukzpqUrKMZd84FkSQK5oD
NL1dLNVopRZXftF13Y9p3wn3N2vnASVI0slDGWklD6bpOGR+PW0mRfBD35dQGvsU5YHilzc707dd
yWHNV4qPjud06gQGucohX7Z2AjiP8TdLC4aWsG+0rr+OzZ7cMbkh/+/hNpizkTLJP+mYl78n7RU/
GXs6MgtibS9ZWPiKj3Xr7bZnjvQ6+AEVdmWHX6TFcm7aoZp0WyqbAezWBetPYRKfx+SwB535vRpN
vlF5/cIIdfiOFzwePYZ65NnaHVTrvAT99GKd41OQltuUtlQvP6VY+HnuuC2gy+wB3BbMY8yZa4n6
Ny3a+iaUwNlijARH1JdqaOkmFm3SpvIJwsUa8IWNcRBtEfQYcgRiKrzpBkZDgJdsp8RvL+6H336Z
kDWEb3By09WIXtHUWP6zP9ObZf4amWcaWgIZAQueZEx4vm5L6dfZ5tRLhZY+zBKej0RSZNrF9hKs
ocbIddnpLQN3915YFKXyseplWvGXS8TA/tLSP9dFbV6DWULlaCStUwo5xbqjYg9oX2ctiuOipYMm
8jytvGYR6PrgKby/cwncMJEV1+2HrNsCeD0abAs15bi5LJKuJ9oM7fbLMmV91bs4jj10DlSg3pLh
NwwYy/ZMmS1hGaFXiXcV27pWeYwF2zEuhqlF1b5UEFicbVFHuSDPkK7D5pXU2UXfQTtxZzpn6btc
a7li91eEJ8AY6Wmd1UM0/MF+PG5Ts+01PSDYn8CXuLBedgtP3TSEGtTmxOjidtVe/RaGk9/kwWiJ
L4tr1x3eoUF/1cskonDXoa0z9grca4+FDYC2cYI9Z6gev8ZbOA/ZaMxqZ1BCkOczVju/nvSmFuLp
3mM9gnTNedck2kkprYanMt7iNYsaFChSaxisn4Kk8atYw/6l9co9SY1IZmI/xn50xCFVl+OvDv5O
s7KSDLuB8TsOpEGdDtY6RGfk/e1rY/f1T2gy+gH9JfmCka+D/9fi6ClL0JAr0zHcFBlDdnOfVbuM
CP8SOjA63tqnOW4rHxnHYbr1aj43rbtieV1VKwVd924KdATwREwR5t+CzNaruRf82RdRW4l1DFEC
/VFImXzBw61J8sKCeMVN0AOZ2QfAT/+3InRSMFsvcNnbKyywZw86WLyjeW1MVz+11L7HRMbJi9lD
pJurpGsC4t2EK55SRfIHzR+N4VgFq/6QDKjYn6GLEDeZF1cEVFxZ5XeqRufadPE+p74KnDFXkTOO
Z72t459r0WwvvnGny8BpIOPoMtxeCdeclXgK+MBEzh1REsZgmTpAAK942Md3c7RrfHzDpv5FfZT4
KcZ73SVLGdPJdXaGcQAeoIuLSu3gSKO2d3NsEtMA2dsN2SPchyihofXksaEzX88HtVQWS/GB5Ryq
UYw38FY2vCCnGGNgLiwQVGeVvP1Gz4NIR7cTpDNvM/GVpYz9NFfDfMfKN8XQ7svqmqKZdm2rRIk/
SjAuMt0WF8Cu3i2PuhCmn0gr1S/jQQZu+WDLSZx3rtt/Mfs4WrmTdF2SFk689rkpqkile7yYDoGI
OK6zqtq4HTMrFcBli7sdYr8Sv/bFSV5saxqarNKJw0BW78mcLvHmlqmKAcmzeVbeo2cv/UuDtWvD
dYyNAXwelX1B3zgbKlYz1Fk5DbaTVQDLeD4isfm1xMKCc7Ho6ta2EoEDtUAq6IzFRKYd7EEGX5oq
dLpcuPMOfRGAa0t9J0TwpInW/jXEoGZMS4RiyfVJPH5rm7X4YlavKHKGDO6fkV9z2yYu+4SRI+KH
tZ5WvqNsTtvIbvRSQMmSadvQlKVjAaid+kNS/sRmdC4z2WtFhimrWB8UXfsf1zNxlU+q70kr04LL
caA81kJ7iMW3hSfJqRqAZjxzTht2l9OulzvMRWUFH3BK7lU4zARozEEBNqLBm3ILtLU77EGPs/3K
xNtJbbm7l/3chz5fuAif0XJhmy0Wi3ywfKe6QWt6DUH01v57tM2jn9lhvT6axi15XuUWXlpDb0WX
0I9jh8HSXK4ZST4KLwtvWN8U2mxtruDPvSl/A5YpcdBMGCslBM5hEvOrCsw8pNvUutdUZtt8RI/Z
pVCswXjQKVXr3UAZ+9IlIfK4EcP4p2Rv5oqG/KReSvUfv6guEY+L1BQtxarYgmORhF6s3fvlPkl6
nCl6tCydgy+xYGWlKrK/MhC0hovu5LeVJoUb3oqg8C4jLq6bxks5v6xlIH9RwblvntyYBVS1v1iZ
UR5CPqqI2oqKbXeGY9HV9hU7pGqAWF30ax6bUv2sPSQIGaEl5YiIA1bKh2kvh28LWJtL8V626kAt
ALQYzXs9IvZY6Tdha3tkBlTI3wuGwU4qwGxx9MbShpu3r/IeT7rqDYYOPbar5+Vxd8b1bvMr84Pz
4X0JEZ/9VYFyYgk6wg5NHZT4XyR6ETdl2Zcu4oFL+XOjYoyzodmYAyYRzVi6t27/vTRL92NvHft5
wQ/164BW0LMlxyE8GviDd+zrRz/ruizUQY1b2+QaBK7Ld8tZj/DSYBVSZLp/dljgP0ZEjJ5Ft8o1
Q+qIxpVK1X2VGzh/jpIUDob2zCWZY69FOM922sfQx1P30LoFpBKf/G+nSTWNSbpJkQxZYK/rekwG
EBbKln76xuDafWiipP+KdGZ/5eg6as8nadtV3qIN4meGZLKmU4VPJfNdZx/TzfjlY2Hpkw1I5Dbf
TVJZhM3V2N6h74fgT2dFG3AqI5/nvZ4xDqlErXyg7dZWB2Y+5lKFZkUZ046mb07pVpqgVnrREVOe
JU45l1Ce+XVIDWyzfU0gIrzVRV8weVXO8gaVkKhi40zkZAyXeuuM53Wa9nHMHzcVrfQLE13Ohaew
m023njliqhLMnVNKj+VFszXQpay9YD4JWzQcUsFUoEu1qv05nyciTCohYNeMTGYOlle64s8IwACe
7diQMYfRQzUbbqGT+dPs0T5XA+u4rIkQGrUlaIl3hapKGgAUbnkPeorXOM5q93OrC56HkWFPzu2T
JCsbPVwaF3k3vmKzNLmMSu9GaJmEmaha+1uxDuEbUrHd165cqDGmlvM5w/QdwAmD3ic8jVaSe0J0
393JSOSk6qh+WmZv8Z7MYPwvGiqZ6s5ixdD7OzPr8c+sXYsYP8az19M0k+uCY1g36qZ1k5l+Rsvh
2qnhc5wjwLfIw7b0xctM7LigMlzlWaPgUGQinPpXvy6a/dAXIh5SDDuAnltLJrTO/TI/oTRdgbIS
s6vjEk3zTTJN7ILXUbm8VdqcOjYaxIdga9X9VjtRh9LB4BmK/0beGOW49+2y2vVBs6BVp3E/bm+N
DL2rvoq2x0A57XfJKQ3yPdLmflu94Wff6PBbx6AdBK0OaTe7k4WdgG7dX0djF+NI3AhDW6ldiudF
Og2Q0LIE9BIE0lrfKtDVwTkXPdrYLSBMsAW40gf21mMdr73IlSFgwYBtL1OBLqLKaTYqdxticHuo
Bqeg53K8+lJpAfpsd2XUpVa8OnY+EF+fGjz17mOQU8oNqDh/DCJA3+d2tJ4HvouDP3xSbMyFRof1
RLr112jyfMYrtMheBuOguZzAtFRejeqEAxJlsGV2Rc8Wlmv0oSn4Okw11vCS1YjOP7MrFoRehcO2
Mo7TwzyhOlcsVDIJBSWKXHT0BAdoaMjzpkguF7fB6ttrtmwy+doZvepzF7v37YgjS0Nn20pbnbuG
Ju4QuHJdDsLryu+dBU8W+GIA0hG7qcLM7pOgyaut2qcrOyyb4rB6e5TkXRfGU1qPKjJ5f7KupSyZ
ui9sbGwNg/lNQ8WODA+iTQbzFSCiH7MmEXb8WtkiYCoYV4N9Oc4Our4R2bPKRuVRnk0xvpVcJsr0
I4Oh/dwdZxoHHSotcy2l3sBPWd04eE5n0wDWpY0aV7JB8DjrhbM6916ULFA3yXHf3a2IAf+7k3v4
QfmetA8hhjTflmiektx40cQGc8goCyV9Y/Y7Xp9GeT5k4pZPS6yuSNryeRmMh32M0L9bMlh1vsDM
bc8wE5fNWah1cieXUbY5lwUIoXEjXdFmhC1uuQ7bomk9BxSINQC7OjulR+eiNHUf3TQ0Cr8L4e9v
Qi/ej37CgCRvhNN16Yo6S59hUEMwgmLsvAWdT2WTAodN4dGJlDvdb0E978+AHut4swOBhwefMqZK
C2HKP2zxldvRYXQnr+QeA8vgbRLJbz0apO6Zo5HCyAEFfX0Btbgpz5ZoqPpbf1PFmpZmj7oLA5w+
0In6W5RxLyiCQaPr7VJ6/ug8E7boaBLFFkKd1maYw1TU5ODb1RZ1cG8lCJ94qZVs63RgeVQ8UlUV
4YULjF/ehXqhsWvjYHNzaff7a18DBf6cT8ubx4mDNnHlbQZ3VW07B4+Q1xxqjGa8bJkqURB1O+yz
dVzO9KacH0apjkHErS78ZeLf7Av/EjWqcLrCEsTtn4xbxevvRlgzTphMrka8osOZ54WG9nqL9upM
aOvtZsjoWT3vJlpXJMvpdmWbsR7RAKQbU6EcWpDxw999GKjkCJQvy0zEI/ORKiiT5cBsIvlWbYkF
F1Dv7m9v88f1C/Ln43zoTdsmTFW7abwx/oJuQZX42j6KCnHqGwRmLedoNTVDPWsg9J4R5/Tb6lmD
fYYlErINE7PQM7E75lWVDThIW2yroXhJnLeFv3y5BoLT7ZkHiDk9oTPWibQdZ2u9roJm8TLMxhh0
MXLcvIwfrZdn5Hnma6cj1L6SSGKTMWnqnHur0LGXVbFKrHufgk0hzrDPy21SmJiRJPfdPDj9PJgb
sOnIf3YQAIkO4zr6TFb6zTWXzRab6YYz70wZXaVCl3PiAuR+z1Z8uixjYP92mGsPeVwDxV94Rgh1
AYyLmgB8e5LGxP7BSJwiOZwPwaSqPAhrzGTcGfpQyqbK5j4K4KAxxfcFze7WBjrP9Nav3U0XjcR+
Qd865mboIKSvaNXIVKidSA0xwr6ynaUBZKq9Yctc5ScTrRCCqJcJQNvrrjZmynDRx+lAo1p4Z6Uu
UP4riQ/LdZdozg0j7X3NJ0qd/mtzWpYgN9XI4KzziuhzH7Z+y9ecC/yy4QCEa1b00/LitvuCZRaL
0HvKAZtCzD2jZjobcbOha0hsUR7cbummbPCbuc1Hl1HQoUBRzs2rydfb9zaWrs1w0p/Dx2BUTnSZ
MEulKUTHMPOsji9eNt30NOj/I+zMdh1Vsi36QxcJCCDg1Qbbu28zc+/9grI5GQRd0Dfx9Xe4nq5K
pVsqqV5O57QhYq25xpxry3G0GGD244KpdDuOU7fZVNfLElGj79O03Y75oPd0s4EuM1w0Pn+syOKf
KZyBJPJkbcNX/uVciIY/3PdxWkcvtdOcEGfBHP8PndP4SOiR2i8DL/v3SFf090W9xu69W2zsOe6S
lUoiXKkvmdA5lHVFpJrutlQT92BVODZKIT4s0+5Jim4/Ipv24jZxpuAtoJ2FtisnAu0OiJNVS5uQ
z/a72V0WrpMcH+eME1omvSaZ8/zkLm7QfWPwMPLDLGWj7hAumPqPeprQlJlnRVm9FYCHcGYjo2tV
e8t3ZPdCnezGtiyGdWHUp12MUZi9NPG0PbazdB5CcIr4Bvkg6g5O52rvLkTr+MZtlC/phK7A+Y6G
9ObzLaDEBVWw308S0PBY7yJBd/WbDkHOa/LiNEkVsZdc0zzespeTCOC20t4rQiwdhb+zXBa9iAD6
A79E+VUEnrGpWa3Oj01ku5ElcybQadmC63x2TUOhK5hGlQcp6ra+DEaP7lNSYZk8Nay8cR9c4u04
sBcUAkaYjEUocnACsCGJbNWSlEqGXXUWby0msnkYcfIUZY2m6wH6Oo+CnafjC8u/K/cHmy+Lgtnv
wnA268qcNjcAtA7fuki7Szov5An/Kac87pkNcGzWlOPINWixLs9579JznYMBhfLR+l6pUwfOVWRT
uCbTpVXBOJ8ScMDibR62geoBE1x72hyCwzuWsJrLuo7Te0P89B0LBeMh9fVkGSKCdaSi8ML2XorS
dDdcag1g4aZRRPQ0MhcctFi2EyEezQfyVh4ddR/nxSHOw/kveTLgPkHlLv1dpwYymBacH3+6zhuf
VmZdH1jZ2T6NTOKi+0/TLk4ow45/o1GAivdYJSx8WMdA9qnflU5OdBAV8EbmMTMuYAJxaluSAt+J
qoFQl0a0/5TzuNnbljNwzZxVx0AfnHg3bd4xpVl52/xXcAtj3GNToXb/Y2pWSp4xmFbNcWBsLVO/
ldFy6gOm8rjINmfuzUHastLRwXWXpXtQpIgvpBOjyNyDuOrlFJWm/+JJpaIjK1AjJCZuS1oGSZ45
B6JS6jj6Fj9+vdjhB81DszwNYVLcYyIe1LkY9kWcDJowosBSMaYdE+u1UDWtyNPOr6roMKxTDMwT
DWiAY+8G8hBiQmsOmyPWB82IPjnrlbPk6I1MCI9hs/n7xe8HmrfZGfV8aqu+O0+wVeooamGLe58Z
WcNqKAzCl5g8LKDbva32lE2pc3c0/u7ZdFKhmY+MFLigudW1YIwdzM5xD6V62LpekJverjFCXlIV
jxPEJuBQMYf8wbRns0h7kzjvSTt8lu2gHhdMyqAvms/tkf/bnCxt0/ei6KPHnc/dHpM8nmm2lTY/
1q32f5J5UL0GYd19qdxrAC0WG9jnK2gTP3hiQWMFVRrJrEHj7o5oUcYeVgJjv0Tly+o01BWYlgtf
eLab0/7jad7oU73lU3tqBx2GZ97CKc78Qi71iYQIYKjJ7Ht39p2o2s4R5MB4HLWS4Qnjz5i/LzNN
cToEwfUiaCf3B/8yb7ifKEy9n2s3JeHZGMfzU1Ostjh1cTQmp730bPc654v+FpQB76xmXz17TZIR
pWILxBdjHXitkniwt2lHGMw2tYZfg8Iqcuhp5JgJU5zwrnMifR/R1opjXgz93zUI3CbVzIAeUf4q
8Jloks9EAAxADHG4lCem6BuvkF+wOcEVRsMVmdltCQVUEQp447bfCrMl38o96v5CBwf1Q7C7Gki5
weHgL6ZujtIUaGmhqzu8az2f7G0Ke1NcQLQMd/+CQv0+y+twgop6fonWfv/lwdw0hErG9KaxY/o/
DOJKfS/aiYs+j6IxuBP7NI4fK1ykPOWVPwbnoeBgud1b0+szxjy9pf0oFtgYf22wmuY0MCXS0XYz
azm9EcHLs+k4UffV4Fn7tUJYvzgJic3HVhEmw6vI0qNLuRELkEZy7dZvQrULHJWY9X4pdmcxZ2fp
t9dlW5n8IOoT/jIxiU9SP96ZESmnnpDlCs1OgK6jjQXaWPfxArA0ryn/qPuMlQhVzGBZJD+Uvpal
ibR9/5gl3hhC7ZKh86B49H6zBntQB+Fv1ketXLb+BriPL4ECojuMbbs3J1FMHiu52dj9SR8BGoBY
tjffZzOt3NzzwmU0x4bp9QEPiCEHufPHIpsRW8uHypT6e7FWdZX2JvHcrJLzYD5kn7cRP5pgWiIq
5mMX15uClQShxv015SuADtB9aEGn1uXXODmW1IRez9MFIojVCCznyVkRtS6cBdKvwidXFsP6p+5n
tJRZMIY7ru6IU7huncJAcg2RPhVBSYZsQrYeKXyi676vPonWp2EdhvXCYVSJjP+vmY/QqrXcxx7P
89g304rvVNsPryjz9kySLxln4HnBlOU8qMi7EPXfylq58qGPcgWToCZPZVsxoZW7iRPd7s7cIQoV
sq+Z1QzXypTwy/AYyhAwRGEwR0RVbg55xKClvWnrhPS2pY3VlsK4FQU4SYdctXRqsoe8i1EBPSOd
73vb0DHxdX26TjwibXXYxZjgM+ZNt6VgHART6QI7cDQ7h03xK6d2ruVw0QzRf7JJCJlMohEv1G+q
osLQRf++LDpZbrZi8/6JxiLKswGd+6W0IzARd2SBg6KT0XUM2cwZ9usI68hWBClzw/C9B5uJMqwL
+T9kDsLgXMNynm3kN+U5yRtX3nJuLlVKmS187oaup/MNrQsrRN9enBTlYnwO+eH/unxfPXXtJPW5
Bkiuf44DifgHag1mzwctW/+C/K9uccA78w2etqS68i62O0bNRh/vIzX2ryZCNT/4bYyYN5axt91x
bpbrMUy6OIuvHrHDxOTAu4QEtDZnGqICV59i5+gthHK1AV+GIwZ0iaJ24glvqwcPkLThDUTNyDDm
57esahseiomf/2Sj2X1jSLa8ssok+RogLdDzSQQyLjq0y8MDkOj+1UPiVIeJAWaRMvDxxKlKNoYY
qO015NeG4D33eniVa+Cuac6XjXVzbrv4MAHIrQDK4+pnqOsVwz1P+3DiaPH6rmJ3yYAtzpsUA3v0
qw/JEh7nXgsqgDTpGfceA9bgrke/8B37ApuBwjb1eRKla+2GDzWsV/G6Gz5xeZhsM85H6BP9UE+b
1z4Juw4M88a9SM7C0fqamD96ry5+S0L4HO1vL31iFCZht5v+2Qzreu42tF7zRC3CBj8mxDmFcOsa
98yIlTokiKbef0aBMlPm0DF3nK5x+cOMaxUcRO6Hw7tF56WOqhQacE4J4fzw+t5Z7vfaYwpnMZGE
j8hc9XJia0AYfHNMbUUKvrUhEUdaxNfuZMWjAZxUpCMVrT5Uazk5fE1d8lzSmCFTMwB1L4DLyaeA
8i5P0xzw3CRJvYEsCrH/npdk5w6sekbMCmLmuil9Un+dbkiWV8V2IE7AnDWkz0ER79CiiELrsxXz
8gU4Ww2gqxB6h35hr9A5mICeMjUlrNYTdh/Ho9nk8mzn0l+oYHPzOVEBKXwmxvncO4cqsQ593EuJ
aJb1PcbvMf2OEH9BxoN1wgRjbLe9WRaEuM8TwhBohD8HQX/R68IFpSDfXny5BwF6R5j8aL3a/dkn
g/zOarZpvvZ3/WejWGP+5uclkLhvWSp2v7qdqp83K67KVKzj/uyD18LyCpjhY+cz1H2xGgXpfhj6
Prn3OskcIZiW6i3ETxo9OtPsl2dKn9zP/IqBCRuJksVBz3LygY42Unq7L0N0p2xlD/zvhKt2OY5F
13FUj8ZtTw33Nl54zxvR+Ml5eyphD5tDpLsZzKKlA37eEYpMSqZXmx+oNJrpFHS2Xg7grwMpmCHj
fQjJa2oBDddC1dJZn99+ikH0psDm01GyygzJy/izOCq+dyKq5n41VBdR3B1dDtxr7Yo/MDU7M24E
fFjJ25xXMDnuGq3yWPVNbKhfur49EnfMJ4yTzh3+2q0UfnHloOc9GxI/9I8e8venrtZ6PeD1FH42
y0IGD+Ng+B2DkZDmB/IrQKW7xO/G9xot1p52dpFcn8YE8Q0HRlkfbTS29SkASdlBLq9tDYkdsE/c
11yCSxR+eB2C0pES12vOlTN2w926VPrdG7pmPC5juTvpvEHjMnkVsMkBOvWTZdOGc4pD0Yis7ZTq
blevL4u7IO4WKlWxwGLy1VB/tnrdH1vCEYjy6mtDiirr6Eq6zbEdqbmT/RbfR1l/4GxmxZot5tde
FGBCW991P9dQ1n+ZOcbvbKFB+p79HMze+vaBrYbVU43D+XltzTRkGxMJSM55919rCmFm24y1X4OF
S4jZJVFH1EYrG//y2gdzdudxOa3tKJJ75EhPpnNcjF+8DT1XKa0/I3BvZXuDoQr9bOJlwRSxD2Bv
O4sh/6ot8VVW6rHajgBwY3dJil78bRww1iyqgSfoIGNfE5Hbl13E3Lnafs2g/j+2kTviOruOxlNg
+8p98nbO+SPjCn+4EXrO7bkCTf+EhsLs4O9N/O7JKRqeOmC8CalKeiv6SpybpzneOaTHeCGubtni
8Gehq1KekTiYihk16lsh9wTzAkn19YVLfQIxlcrNZCiHJoNdBZIb8Vre2c4yiSjJiixuG9blvphp
NGyENIBLfp/zh9r1mlPIGDe4jWXDKSsGM34ujeO7J1mUnO807ByyfEi6o0rXUf/T40L5thXROBwL
YnBE5oaFiC+NpsDPcD0FHVVOG5IBlSsj8bd0EGRltDa/tzqef+y708+3jnTXm2pSS/DaeWG3B4e8
mf0/SkqmaEHrI/mvZIZ9LtZH7evJaHZOluMrBScvWzy4XZ+c7BzSfqHUbkVz8pzN0xgW1vm5cJz2
D/ketMO76w5fRtelOQFmQSeXy4KQb9rOhFTprfuDRWlj8Y7rZv1Gn4KDbov3JN0ttyeMhHDx0gzc
xjsF+686GFbW25uZ44zFgMBYroiBnRs6zMcSwvIbEQIM14K+6H9LyLTpEFdJdyeFMUEW5zNaDgsa
9R3KB08R+bbbeIwLP/zaPFV+33Ws5WFkPFIchh2oA6e1tsshqAsNdXUdFd7HbJrZMi8fqS7l5MGF
Y7EG3FiF4yOgjDtZXxO5Ge+BbRRTCqiI33LG23wjl9XimnZtNJykDxZ+zN1N9GdBsZZfp/iJPi6M
LbLeKajByKs3vzWvY3E7tZjUkBJ9v06dVXDMzo4JUKv4A5X3TcMAA26/hySBHwSXb33agqweY2fM
ukRtj+QkrdEvyzdJqgp1o3vXyaDBE1XO/nIqdDKLLFrFXl1quQU931fISVHbesLfsxQs2aO5Ia3+
sFFO8ji4TD6Q5DvzRdIWFi9+CqFTJqFXvKhzk19uB2d1gBOv9aN1x7rPnCiG5KIuCQK+XJa9wqX3
Sz6fBqwx4yV2kNgZ3FoY2WHyeOZGSNcxZX+ISeBrdoBeTRGOTU+xNCwjv9sHZCmmx4oe7kHKaVSp
LCYl7yOxe7/ERlIxc9RlDc7oStt+HnWydj+rUY7+US8Q8bdXNqxLWYKBBILCFy9p5Cg8XRQYcXwZ
vbUsH2zvmd+0yPsrp1qlz/hm9IMzRnN3XjelwzuQ8OSdMCr9u53mnUgzmOYACLgdWPZlWl3Q1hPY
fWjkwgUNQ9VqehMg0yPWAsxHDGsVGpOhWTyRj8byvl4LLmiwu9Ce13KZgmdsVJ4+5f5U3hO6bKds
pOCtHkf6jFM7C1K2EqcfODO1M/xlZU9Q3oIZLh9JkOvHgH6DlllV0z8qcuVHJzBZPcbJOpiLHdzp
RdabqD5ddAj7zaplbVg0uquJZxTPSNrKfkkoFCo53pRKcsNwBHrfNo+M22Md1Jx1lPwcvtyDMymi
9E4j2bNeG5yddQ6cFGdC+4p8rf8aZ3F+d0B7dHczs0NAwbn56TQtdSKbAHt7YUIU6Sws6ooiqtyK
zNfldcAVXxdnNtS09wO6Qpv2LlAuTnZRBVnlSSdEs7fyV7sVjOq8BV8QNUxf2XRr8ZRmtdTQgwuh
a+ISOfAi53K2/qec4adSDwy7PruRzH9FKx91mPOZfCOmb094RACr5g0I5pp9A7kzNe0+3YQo36cq
2rcevoFnqcH+1g4/inJx/AvQInmDgwjX7dwjffYcCk38E8eweAGm8H9xti/RlZyq1AmtsS/evMKd
O0h+burppahWw/wGpjTPymbbVy6hUFcXz1c+1Xa002ICtbcmdRDHP0xfBPNZ7DRcTLCUaR4Kn5Up
OPlyMz+7RdiN6dLvy321VC10KSgkDZRg7veAzcK4QLDaMupvRMceyWDS83ZxPNTtAwKrd/G7OnKh
uja8PFg0xjIl/qe9C8u2D57YMFEMp8i5ijHjkuhnPlD7BVXM93OwTMWo2navQFhofdW9iXxj5DHb
ZQLqJcAeD8xq9vG2lCZpssSFR6tw10HeE00enznj3OXiFOCqoBDJyOmIVv4Ojr5TRYe9rx7UMLfT
45pYO+N6lBZWwcX8wOBiwuEyzhjrz82Q5/KVD9Ui32LUyY9r7opvrIAO9bHzNE2vLIokB71rOYyT
AkBwd2dM5guwwH3uO6E8tVgc7qqKh/5FuuQkXejWwfHptEDmot5z8o+62mbk0Nasf0OwA3tD8zVs
Z4ehrrgFjqfcjNpKnADbax6kUlcPs/FWWFSI+He8UrBePKemfqUETX4DOFa4hKWa+yMGLp++lTjQ
4j3qC/UTqkjup47gzpB+gk18+LMC6Z/65l/NJ7l4gvcOyf23v3bDeoCeLR9QigZ9y16HZjluTTX+
3VioXJ6RhKD8eyICeYD6ll9bU77bkxvOnb01vMoqrQOtn7VqSvwYklf5O7dzC/kPB6AeCtjo+BaM
XIt0rjCfgkYytE3zfervmlqU+REdL/7REzFVnXEKUs/MTVV2N3LwquLW87VhlyYlBnYcBkxkZSpU
wYPKmXIfhzoYux+rqXjLfL8kwpJwNJYehK07TRlid1w/geWSrR9tO16U3e/UE4viDLfuUm8ZM4Ag
z5pyReHuHBF/axU0E3/Sfc0feMkAKq4t3ZurAm++1DamcsllzBERhdiSIqy9cTp6I1d/IjoT3c+b
xGQgEQM4fL1VPqxVZD80+6D5+9Dkk2MjcmZuScVebgxHy/7c8N/hW8GXoHmBO/oRdOiWfe7AAmEm
2LOxZo3ABZi1XuC4nLCoe4d5gKs6RsoPqjPwTRWffB03wXlzGJWSwNUOZzfWwLT9uAt9CaJcB6dF
F+JKi4Xl0zStuYFoq6LuyTaDbl94f010k3vOut1gm0A0roP5qZD4Zo+mKxbwUL5EKnLCqny38+YH
8oC2+DbphvZR7djXb5KdjBFgl8rSSeg9hnXJy78WX+tww3CTJgphKtHuc+OEcXcgUK0KeNpKW6fN
VIQmHRii/hobBveZHB0zHHuJkkSJZdXLiAtg+9lPgjUXmoqtynJQkOjcLQy7Lt0ySCpHliH8ZYc7
ClQp2caUupFftudlDpb1efJMFWHlq/fvciW1n/9E1MTYE8RwF5tNuWd3gnI9zFYxnSDggYO9VbgT
UaN6bp6mAnw5bFXk8UHzkrEHEl0NnOw60Z+kkGo4Kn8r9DEe9t7LGgKsb7aE4/MIW0moaUi1PHB/
bcP4bVyUjRhTsUvJUDQFGLLUvH8bqzx+UUx4PEoHAP7UDaa8PHpgSNDNpsDk3BLWjIejDsf1EOay
/8kkhKF90iaCTjYoAAv5cjTKBXVhdQEd96rMF9Ii2ERzoBmCYSHOCMtR8uQNjABudsAZpKsW2JQS
rHJHJEFgurSXq3aOZTVyt+XkPAY3mwUfv4RbE/9h8oD1ClGoVJnY+k1k1jT7N95ipolYL/dD7O3G
O4uW5FniE5bgvYc2NPcmWffpVvXh8p0X/LqPb5lV1iTG/BGT2P8C52r8Yr2zQ4DFFM/RDN/JpRHj
durKRmduYibm3VjokrOzjXY4birPbTYIQRfF4/5sIKL+MkJPUoi/q/MIfXr4sPtiSz5cRC280m5g
JFlU/8SMqqc83CBcbqjc15i6fBjig8ktp55ICHQ4YrRpTcbKjhDa5drwpFtBCDy71sf9x5KE05vo
vfFza+R+Yfe10bc9avWdJBftalldsdrUrE2B2pWk/aNs5eV9D/H24RdD3FJaGq8Duubg5pGX/ZaR
YJWja7JcRV7i1YmrdBcFRqBkJWejiEEdzh1YHwEOTh/DI8SqfWYtWP9JuG3xqvfK+fTmlvFOI7lN
7knCqkWGXLmERzD3+F6WG7YR9usEYE8uK/xEJcEjmtxfL9cZKJM9EHvUdXi6hzHYul8uy47XbN4C
YgeIT8AhLmOjovPGto4EXRDA6HXao4QGj7vnQLOUfB8h7zQumXyOCBXKw/cQdrk8oyVs77Kx/Y8o
qFgyJTxT/Jw49basRoX+1TvwXQeQYrWdyaB3f/JIkBNKm+LSF8l1eyJOIrjm49kwYGvIUFXZmMzj
+MxWlwGEWljvd9Tblm6EaVybGkl2dqqs7N40WT8i67tZPWsCo/5wmcsodeZ692mnPQFH29b1r5Z5
3QZw3kv6GrsGMHWiYrA1LAZ4yAqKedvhUIWEjavwIn2as2MBZY+E5JO4fIgG0iiOvlcw1wg2lZBI
oQkvmhjTzOdKmSXnml+jj9j1VtwsogmflFT0Ql6ZiI8llz7TfyO3l1LXqr6LwFb+RnLRH6PT8S43
vFv/EkrtnJJv18gjQUjFd2lMuVx6bXFnSCWTi5MIf33EDcZWryXZZuhJX4v9No5gTCkeFzQRU7Gx
9FBNW/S5rxuUwDYnU36umErfeVj09KljV4pLaTRexWPsj8HZOna/n/tpnW98DHdJGlU0rfgL10Te
MSsdG17Cnk/hzAY5GldmWTEJJUEiDb2p7B5blRNowdPrfqs4LdozgBabnRxR7eNrFc3lczXu9reH
t+Fm8/BQXsfkO+bDxfTqBIMXWqxIMbJ1kkeJfww6qoCbNuoDFxDFIWEu0EWlziFJDMzkw8CodAuo
L8/o8oX3tY3b+m6CxRlPWBijBzupZjhHBEB86pnOApG1a17BN9v1sIZ8cTwG5BIcuTHJ1ljzyL6a
eg73A0LCDqs7OKSuKS+CZZmdnZaHbn9XF4VSmfnuxoC/1I0XULgs/Z/Jj2kSJsiC6TCt0RbQ7dj8
pZkb4ZwEdoHfbl2L6CZYffHPbLuwQVqJ3OfcVg2AvYnnj+vC6BE6bOgoFYI2CW8tWCWL3ckIeWpJ
qgqw9SserWsEylOfAOxne7eE9oTLvAWRxUZzCIke/bninEdFj8PxZxI1hXMzo7e99RgTygNeaP04
gQ+XDIW64NlDG+eB2wXDAX83On/AeKgxeFZD8jR6db2dMWSyfde/jmhgafo3x5tQqtzWT4osnOqe
N8kZpvkpWdWmsn2t2SE2EvluLpxUFF9J47HJlyezZmfQFlc1j5YkRES3UCSFYlzGoTTF4tz5QQjJ
8y+xqLlaQpE5uLGOO8buu9BsCw9fA85EDVUwmiG8ZYYJ9Bhi/aqGInkquemIheFO+YrwdQ23usiV
nzmbRIpAm1hFJgkX0SmeW/nq59aDdRdd0bCnYpDPU9Fz4I8z9Z7T9NhiycLpOMoJSEwYEyS1Eqmt
8g7Bze/kyWVQBezUFiI8zgxjECRd17xSr1HTrcb18LiNnFhnG4r9qfY4Tg/LzlxtDUt9raYHBGi7
RCUimdHFUW8AwIclZ4vSnejcerz6UKgqf9HeSEkUSOg/8T1zrYShy6owjPT7S0AQ14/c9COpC4UA
wLeaw+REXNc03Lo0M69qlRX++7DTwEI4qZaDKeHQH1Ag0MSUGYPveVzlz5Oy+YPL6Ca/C0xk5ZGw
DWfNkmT1moPdvWiH3gkITtsmt/nL2sHu0ynm/PsONWpvrlFcf5mGaDaZtTARh3iyC3HgfYFM5uVJ
c08uNOevCJbiF0FGhTyTJseWxH2v94hOiDyEG0d2/VNe9B6SfEQPloUDsz9+hqLFwBRGubhIB3oe
Iz7OszQe+oGhhIm9NGgbQFe2DIYX5mTMLuBkyjwNrIyh2ECcWbpR1XP7itlhft7LeXkRjRk5sSHZ
RzD8YvsxBNdWBePIcksIAwBZXDVyveO4y903nkYcFNEu2gV2LQy9TOXoJjhAAdkO9KjXxH13Wu/y
eAOaDJ2QmEymec0xipXnqkPFbqV/ekbuV3gNi/EBFX/5nL0Y9JuWZXgtpg5WnxicOzNFOszynZkc
gU0KI1oulP6j+tnbUlhxMl+uYRn+wcKA5KcQCWYiKUAkP8LcL76T0W7eqk3z4uignS57ZFyXuUwR
3OHMUf6h5KEh85/Sp8zCShAnsWs3OZukFPeMaaeWNdzo3k/tXEPnoFyH71MSL+Ohm8XAiwAIlKMs
KC7PgEpyfLS57pODIqUqPI5ee7VvK0qczFFe+RGNZW9PPZOX+ZmPur0O3FMk8jt9gpgahWLKLD4D
wEqusYivK2Tk2QR2/E7WE+Oguo6732OyyOHgqSjm1qhnLBtQHUAkwTA500FdtyIcS5E3+jy4W8fY
YB7Y2YEwJMZH3yb6He0/Ch95EGvCQv1ozjOvD7nemAYwS1czmDX6ZdirzK1WomD4R5c+I/eYwIJS
WjLwMDKS7s93i9kKJQkNlkwHWabDsk7laSTLtqDXKpZH31/ca3pAXDxYK5z4TeXB/t5cX0aUipKG
tzNJ9O6ChJBrEHbVnRriWhCtk4wfC1PQ7dxgrn9suBvYo9ayD1YxhzLcEvP6NZEJ/Q9RCcF94DQB
mUYyzuOjCqCnb7GwuUQ3d2a7IZYovB0Gdi0ecLSASViKLJ5XWv7wy0Mb/eGBalJBASGhbcJXyrfI
r0WXLcMSEXHD3XwccRfdkECx9Gf+WlEdxnVjXlD7UeemAktRc4qDef+q5YrIbZciUalPM9x8oc/G
Gd7eq7ojBkpoOj1HXEAL59tFLEhKTtyHlCgyTH4yTvNr3Pdecb0fiIXGKFGv4p0INvdtG/36t8Nz
8jk2m3koArVf/SI5J2iY7+1vHPru1ZrsoZwlpNf9UzQOW+wYyETbYef+ukt40ve7OmjqZ6cqq/Bo
AYTLQyhhDz6IxFDY3FhAjC2NXGYkfEvTyD3D9Dmdtm593crSTq+G+R2GqWSYvjfIk0CiLID9ALlY
4zM8mejBglpOSrZByvDQ9/Sgl9U1zvjFpNxtj/6q++4eicPcGkotex7gZPyscJWDlwGmi3SeZite
KEn8L0/lFKKthSMB3p6g4axb9hM5Oqx8OPQMmgwKs+jKs7XJjpWsramju8hNeOaKNqBi5gDcTg3d
HKeAGb3uKWmD6hEXzVDer10dwga5DRRWpUQLNlwGKguRlTuqyeU6GO2JX3wh/gzPeujpuL0Bm4nE
EVAr/0n0liqfuzkcyhM7MPw2G/xkBc+M/f6Rzc19f/C0y6fGYeP7t34MBw6uHdfn2mvq4hat1FDC
sZcIYr4dd/djijvnD415y7e7GvmyR00AhLmXQ3QgL3LWb72y40mobZ+z2t9o/q2/jKCwIjcnMLvy
2SPiiIwoYzr7qPtesG8Wjw2b3+BwVfP4PzCCkTPpab2J4qW4JZezkw+Lr/PkYOW+een/+LkYAvDY
5sbmCyuyvKbtWrJ2grbOVuKAtxM4umv4V1koBVN2+6Ub9lZm9cyNtc/8cDgmqvW/xHr+hwTRiAKH
XE1iXWlXrn/9/6R6Mg3dmfl08w1J0S7rDY0AFIHk9Wk5/1sq9H+KS5TsP4sjMij537+FXZbXmFCs
PPPNTD5CmpN2lOnIjx93UmGOiEXyy8ktrUVCHciQGxjNUJjjACzFf4nd/E8JkVKwM54JkWQf078t
xXB4pFHO3PlmlHY6zQRhko+tl/P/n7b5H8IvI0kqXOyL6zoHcf3r//e7VSi6Ox3JzZwPb/yA6oco
aBv5B5wbpAT6qb7Gif3//0e9//gtk3zvQTazNejfl5m0eB/XHP3xZv1f0s6zt24jb/ufiAA5HLa3
p4mUZLnEcntDOInD3js//f2jFngg8RCHsJ/dJAusgcyZ4ZR/uUrfax/ANdh3UmjKUdKbuRB1IVkE
4OacNeZ8KoekOuBq6hzLodhz493aWuh1/b8fsoiRvpo+Mku1VZsscp9lyO6Bu7JtLXqAJ9rveLNu
fk7wGzhBLYruV9Ku5mimlqw7z6SVfKfbuvFkohe3I1a9OYolLVZL10G6rT5nD2Cl0xqdDBZbVgpV
0nCLoTbOt7/f5qZ5NcqiHP5q1fQ2MIFljZ1Xwob2sKYIzjaNoq9IcOX3cQ2ykpiv3zkPG58Krx8V
91JNtTAUXk0N53iHmqPsPAshxDMt/PapSwYf1Tb4frfnt7GKgEOB2Zjgl5CpXymfd6gsARCJOw+H
OgFxtjXtC9hJ+ui/O45gN6g6tjcaGrTryybMuc5BtbD74kZ/KmYBdnQeg509cS2oyyiEkbq0IEde
Sc2i0ghC3GDn+egsXuyiEs++Myrj/RzFwqMk6IsdT/Zr5XiMqFSJhYBqoRy/3usCjxMLIaLGI0To
voQGaYYSp8l5zM0ALeVF5D8xC2TffCF2FG9fjAPe6t2i/az9zxVK2vjhvN2baAbpMMKi2Wt7xdS8
BOQvmktScUiAy1wUXm8BRPTqjnjMpUFgVqQpmnHfdfAULonqVORVPmRi2vUIthipNWVHyBG+4ebw
aMETZAiA0nS1neA+swwa8iV470MKFz874wMFZDZD7AToYDrLz1Y96+XO9Xm9PZkiD4MEQiMxrVnZ
DmpOWkRRJCYvtBPzMwpRQBrmUP14e3Nen7dllGW/cEPjirQ6b3WiJJL2xkTXCn2BUBnao9KHwhvK
ubm7PdTmhBzTsR2JdiJ6TG+/mQpHdbYDi6Ewyj4nkiLtgiXcOdVbE8LdAus43ZQmNfe3o6Ac5dS1
I3EXBF10nBoDzYOZpA4Sw57N4MYBoMipUmYl67Fo0L0dCrBzDoHRHr2ABKk4pNmAMFQ3LFpGKBeK
8BF91fDn4HTgcEWqTOHOxbL8+1eHwGZ4TVpwVWkRrC4wCqtx1slq9CiXKFQTM1q3xQBuj4rDQ1Wp
8cnUiz338Y31tSkGGliUcc1g2fx20qVfRrHV1pMXKxFeHuaQnq26G846eje//ykZajFIkFh34CD5
dqjAjFGPT9ibsRy/STF28Lxo+5q6zHZG2lzJVyOtNk1bKWjHdNnktQShn4BxmU+5U0xwZUTvVcib
0J61zcvt87A5qENjUcdBRyXieDs9mHEk0DYMjwYcx9+cmOCfrCR5sXMovJnWiZ8TTdi/bw+69fkk
b55kUaWtroXCIbAF9HeSwQsgvdxXGWwrRUKBoFpd7yzq1lC2KSTgPEcTSBG+nR+i06SoQzl6g0QN
fJAVbKSo/9WNg7PzEq1WEqceW3CvADdgFVXQrW9H8nusgkyIe5DqRYfCANgt7XRWc7QIRoBQOxfz
y8376txdDbe6yMK8RJs4CEx6t73202+l/i9653126Yp6MI9ZLRM3LsMCkG0qy3tbt3p5dnzofDsX
wGqFX34I7RQdRzuH/beOLFDlgslk9iaNr7j95oRIQxiiCt4nRh6eb++b1eX9MhTxMyVXxzSIwVZL
jJ95iC7yZJHsKzogUXU+BYhY7WyZVRDzMorD1YLxrcarvv6QZtwuLMbadtGssrywscVJp350ocOP
ljI11Z0F3Ng4OhvA4jWyeGnX/kQEbGVb0oZxcfbtHnwqO+d6zpQnVmA8jojBXJqpKXaWcuOrISTN
y6QSE6pi/bCLxPEDm4qFq7eUrVAOXMTTFIMjaEQ76cjGeursj8ViBgskKdY7NQSVlKBA7Q5R6RxN
DbpvXyLsEqIBf1SCoj3d3iWbU3s13vLnr1KGFC1W+tax5QZmFAHcE+LJKiD+OWMVu38wFG+uTszC
Wq73fkmzo4socboZrfUDRl2wbCtleC5Mf2dSW4tINoeOpGZppr7OExxdp0pK780bCsQAkVmsznVj
42wwIFwXW4a4uz2zpfiwul4oCGCLaBOWMeyqONFHmaLPZF8eFUUr9Vq/hwmWa1pxTAodmy5U/tMz
1y1YD/qf4qFN+ngnvt447RQJbDYEGhncLcu5efUdWwj3Wi7swOtQZCYLw8hGpWe1c9pX8dNy2rm6
yIswABGqvX6LqH5GKRWsgFZLWz7SoOrfmci/viNXNx8Dvy2cEyvUBiCSnb10SdscHEsyImuxZDDL
V389RWsOEILFyRygkFMdxynW9XNUZ/hFd81Q0g2vCgoROBtRPjf6JvTvoZhlKE4oKEVT/+3gcI6I
L1xMnIfmQwXoqrsD8ADiAYwQOOhZo7RzhGpVyW+3d8jWbyfTE6zd8ve6nNOhTauXlDHdACuXEMlY
BVZpF4YfUhT27qFjGzR1GqD7EAL+4PLiEZAUHqCVXMW8vrUIOrUkVWoGg8wBcIp5ioESKVK6O5tw
6xzg0smRwx6MgHP15FgcOjXL58jLuzChEz+JHkbMQjz/QYtM/MDxWvs+KtKBtRdK+zHRitTZsY3d
utDwGBLUCbECvCphIfUKRzbCCRiGXwQNofbPkxX8A1Nt3rllNp4iqaGshMsGFR25NlCiIxaocopw
mUdO3TyEERKix6hT6vkYwrJAwtt02uEcVUO3Vw7duOAkjpEvzoqCnHp14SA0yWbrG8XVSWm7d1lv
w4AHL4JofcGffWpk2FU7L9PGwpIEmlynhmFrV8UD0GYCVbNEcbFCeKa3nj+rafactXa/8wW31pXV
JABETv86SQMj2imaKHwX6eQxPKiA0MM51fv7asCH9dDPgJzP1IMRXLp9SLdmCAxhEUWFyHNVXqI9
2XYtbWa3oIlmnzCIyAF4mFqsQ46t5x2noY0rQcJ1h4jKs8G1sAq2rU5JeUom361HCHR3Tgv6FyOK
3m5dzDjr4g6lJvMX1J7gL5RJm+n3r3JpSGqR0E81tM5WWwhGAiKitu27hFrKs+YgY3cKrGaCBUaY
MT52tgQjI+24qL1qHnrly+3F3rgrJDrpWGdTAOMMrabv2Gah0XQMPdQmrP7fjk5MeF+w//rTLIbB
Opa2FedHoGKoWnaBAYlZcxogDrd/xtY3Z/UlS037S10f4qKqKiAnGYd4bIIHeEkxVi/IXqHUku0c
IG1zLMn9T8DMzl73SwoghsmsWIpbVxA83jmlHqgXBP1CeFUT3e7CgtyHUYeCpPUlNNWs+erA3RmP
qkAo6FL1WR3fWTTe741RUbqHQVEmZGLzYs/jdPOHLumZRVPnOksxsqFUnTpQXBsWlQGdPAl+KH1f
S1TOa6j1tz/B1mXGJhTcKfaSW69ejQxOaOLDV3bD3CQxQrwBAV07nHUvQO4a0VBkVi63h9yIlngR
qfoLck/aoatoiRinHUWgRp6ctOyCgl1xmQdTnG+PIpZfvooLCVRoLSz1EDb7ao+DWkUUyjaIWOo2
zP6F+0IPozE03Fhq9P5GgH4icO6nFj2gu06FdOTRSUdBwae3HXuB0NP4awVRaZFA0mswHHnfPYVD
BBOy1fvSOE5zbGGKEZnddC9imGafIn+OzV9wBRZFgKzECwyUdlDsXF7rTtESCb4cGttcROKuju8g
tTHRVS3yFCfVHU8DlzMeFCoY4lBNkxO862IVPILwHbCv3dywwpkhm8WcU0mfUPDEAeH2am99U6Sw
OMtYZ5KmLZv6VXhoAmVTB92MPM3ySw/3rhL4ebvnlr1xNIhrqFWqwsGnc53vVujm9bVpRx4l5vhe
JRz+kLRzeWdFufb9DyZk0FhRaUzxn9W5gHhdR6BpIg+3qPFujPHI0OxG31m2jdd2+XdzzJHWJUJc
7VHkdRM1J4/12g4ip2KB/gGY0VhuUZooeSPy9C7QwvLuT+bGItJgId9d54Lp3OvgZzmACFMFULwn
qcSnorLTnTXceGSNpahs0EwUeHkvf/5qUyBZB9MAOruXwHiTJ+aYi/vIEjqUgCT30c/17ah8UrC/
eUY4HXOg2/PcuNsouAphYBBrO+r6oglARIxQs5eLpiYto7Z4rLIKSGqt+vQt2tD9g/F4V8kB6TVS
9Hg73wEcZqlLAD+ZAfZnLgCmSfRrT9EUTl/VMe52ds/G/EA5LF1wiuqGub7hWqo0TjlXgQePpzyn
IXYlQxzld9ScR1eFxbNz72wcP3N5QKmHkoRa9uqQW/oQpLZfBt7UwzOcW7zTMDQTlwnTuh2b5e2h
eAEluOXrZiNXdzwAZQ48qIBItVemeKjgonjlENXe7a+2ORSMYLYq5dCrTAJtAC0tBNlhPwDImeMm
ffCrwL5Xsm7YmdXGcTdpHlHftVm+qzrBjCDp0HdJ6M0TCmUPPZR/rFpICPVTWc1osE9hHPvfjKyd
w6+3Z/nS5F49hyaYVMdZclFi39Xm1HAcFkakBR593KS6g0FP13GEWPtvE7biIRkJPC/djEHVadBV
kM6tA8zmYplRmIIEgnx7VEAGf+0b3UA5sOusx87k/zib4FafAtWQ4ZfbP3nrw9Cqoeds8eBRAXx7
nJLRRHZn6h13qAzctfTAcakCpfdkPsrx9lBbNWqqKwZezNQZDQq3b8dS5MIbAxLoppohnjBqkgTC
xXDuRVAcQf2G5yFrxjNalLCgwdMdqzbqdqLhjevStNEZWrJaXoT1ddUAPKtjtXbQBij7/wqAzffN
OAJMtGd5nHAT/GQb2S8/rvqdvbHxeBNQUJ8wgYHTnlu9QjOMrCgaNcdNer91fZwVP1h0HfbWWLCG
6x1IysE5A6FpX9WvaHB3+qjqjku4neSHslGkf5rAsYUXAWXxO8Ki8dcW0ulXA+0S2GBxmJNrhkVR
XJQ5TMw7q52d8PcfCYp2qqYvtuqs/+pcAMBuoL6zt5q6Tt6hqD3/ZzrBfEdnEB735Jffbm+1ja9s
UURbGhDUgwAxvd1p4YAsuWmWtjvU9F0c8z9Li96HtfkOc46vWHP/LHK4DrfH3Lh3AIdw39D5MJyr
bLdBgTGvk9Fx50Avvjd+hjWg3SJ9M1qUaefyX8gOcueu2zi9HF0SCw4uk10HGUgeIPsfFI6bOfF3
Kk0tMtyQassaiPbt2S1faLWvCAW51iSoMFoFq+1r1oaJJKp03A4/hOiotALBggbeywjgktOGZgMK
uKjuadXfCE02SJdmtfLh9o/Ymi61N8Phk9I+W19WKHYrfVRRUNBKRWToJKnmU2MZvnZEzwIH9D8Y
jXfEIPaX140fAx3LHp1Bn0ZFly7gv+BLbYTIsuh99ScTezXUcnm8CuJwwuuDMet9N0KgGBEh5TsA
0+EyacnwByeRgo4AIaODHlzDtLKBBCNGc9LtUJfyFpjfIwjr8GJPUOFtJI7v/mARibnZm8CatPWL
WOo6xbS08l24jLDXYDWq3Vk0bfYLOxPh/MEZJDciY6Mxct07i/LFSqM1HRdKMWqB7YjsGwq+hpGc
BKqSFFhiSGQHIzCi8vz7EyUMd2xg06zueqKOjvgXkoYcfzvuzyoL8pQXGfYEhaz+YCgqeLSVYcBz
HFdnUYE7jER76rs4lMNAos96bGSgulpn71WAt04cktVUSBYIFxfN243ZLgb2GO5ZblIM6YcMKzrO
Hmrp/VziZnR7BbeuGAIn2oJLu/Uq0h4sJ8c/l8ZgKTvrA7TFGWioVD9K5FLRmmiH5h1pVgMWtxm+
D7Rm9vLrrVcDOWdD0zC0I4hbvRqBBFU7ZGg4FeCsVA/2Rd5dZsomv9Ct9v+rwrJvTsGQ6l+JFtJg
54bdWmqHUgPAVOZ+Va506OHRdnAsoGFT9r7NzPFS2hCRKO4YO7HI5lDAIAyCEePamd1CySLCndR2
i673L3Wsz6eqj5J7tRF7gM2N9MmidY70usE/r0pfOjrmOqVARF4ce34s8ck9tnabYqQACbFP6r0N
u7GJWDxaUFKzzOvmSIBcRhfNiMrEbYlhk68b8zM6DjBYItxDvk9GwuuFHq3xD0lEcT+JJvp1extv
BHqAEniSuWWpP69PJ3ouAO+AZiPoYVjHumkxjs2sPezDxidcGpXLOeF1JaB8ezB1e2wxyUSMqhtt
6zJUMjyC0RnvoO+aO+fyJTRdvf2E7aAqEUQVxnU0hbEMfreO4/ZIHPSuMSDIkcNyMLS/K0hrzlet
TFEpTbsurX8FSms8zqOMnuBl6+WXWZa0iGRfWsPToA8wI4a2mtIvCkLbNbpYqMyB7iuCDHhRmP1V
lPRdUOKt5yezR9z/OA11Mj/2mLr/RQMYmTQohXN3N6OR8K8TI4OC2U4jALMNU3WCDNDkRyjxYeRh
lBEsrD8dU5taWDK8R4fiUDup802zhmn8aOQjpj1Cj6Tm5lGT/qXNTWAeGs2J+pNocK5qJEzmAyjL
sj3GWS5UCF1R+xPJOgH6N+jYSnbVhJ/MxJ5GRGUSJE3Ttq96+gyyROo0d2pIrl3cqgdFpU121rLS
mA92acunGEHe5CsC9rp6vr0DN86czT36cgrYgOse9oQxY9wtZ46qFtZVA/ofio5LSYZUmdfjivv7
gRLjLUAnUGMQvlf3ZkQI6htQ6dkZqvUR9dvsvi1RsupVZ+dsbe167kDUu01K6WT5b3c9wFroJXMY
eKEB1/1idTnK3loS2A2KHQjl7Oz8jZCel4/4moIMYLh10DtVgB3InRW3Axh04XkMPhvT2BziJDRP
sUSjjcrxsDPo5hz5t4JlpPpz1UhHgKJqNNWgC9kPjcfH85+EU5jvOxwEz7c3ytZlaS5tSCpc/LVO
kxbe/zQ0NX0JACs9HSERULQwapTWawUVenyapkIeoxTRPNF31niMQ0uv3Nu/YmvC4I6WlqtmaFfv
vh8q2WSOVAvLcAieTSvLj3Ku7S9I8+3B61+isPVVxi6ldr4Ata+eeNivlt6ih+rWBILTXx1Woj/o
h1rloUwjGV5SDIGmCxD8PH2YIyV+DFoaaAe8KsxviaXbT1laOq2nwzLNT9Y8YjWBbNzcu3mhyPhj
FJgOeqijYeG/iXfuM75KiX0cmlZVD0aL2dQxpzfyE+xG/IVQNVcuEHe1e7xAUSoa7Dx/wCE5Sn5/
S4FnwTsJbUUsHtb7eKQmp2imUFxHzZ6TRHfuysnEcxNRvJ1vufH4Ab8HeUxvmc95BdLpY+H4GDu7
XdKmi2w0d28Bqf72jtmqJFFqlsiOMRaVvtWNU5SldOpM8hkjOaL9odcnJAMhujsaSxzn+OGhZBOf
RzP5NvRhdA467dft37BxyfITqCI5S52PTOrtVaR1FDJzR+GYQtRzFZmgOlVAAD8DFNIuWpIHO6CB
jWPCtUeBn8cesPr67mtmEyHVZlLcROr9ARfV9CgdJUK8i7f39tw2vyIxMNfeS51stbwwQfTY6HTF
NTAEcyMznNzBqY0doOPWKCTWC6DLEtdFoSivRFgOvuI2gZyOTT0jrdMiqnt7Lpt7ZQHJmYh/0qVc
4ykLG1n6caKAr6Ju6TlVELg4Asn3vUnl23BGrKlIO8yD7B0TE15jDpGHqMyPt3/GxlPiaNznfDeg
CIDV326X0RnwR1UiyvooiLsTsgqLxlqMaJY1U70ZEZZDaGnnO24NumCVgB9InpN167+iM4Xn5ECX
OwzMc6Aq/r2uNfk7+MSV2wd59UmgOrJTYdh4VFCpZoNyERgczVVkWjdVZI5jARAsjMovWogJStDi
jQ55MTqNSp09jLGNvMvIy6nleNveXuitc0kWLgGUm+K6aqNGiyyZUXEuaXK+w48sP2lO+cu3qTSS
9o87S3y9ialrAO5AjdOS1+2vWEMUQuBi5IazJT5bSNngzJ5PO2f/KjMlK8XfgkYNlQX+Wn7Fq/rQ
JCr8iulquE7Z2B/rvi7fd45oTl3aWU9I0VnHGe+L4AB+6bcTDYaGNUhWSn1xwSu9HTrrHD82hNW5
yOx3KqJqYfWj8ecZ/YUczYPfPq1cBZQ04ALotGtpS7wdLphsOU8o1LqgMdg0+Bwo6QGRujl431tj
ZZ60kkLocc7LZDpUJB4CTjyiKwdCqTjewbNsLDsJMvy+5fQQKC1b/dWyx3GLRlKc98w9d3AUBbiP
VT2r8TWuOvubrVadvASNbiGGFxokE7e38sbwC92QB4bwiNd0dQ13qIr0Ax1+BIdr/VhgWE2Mhhj2
AUul/hHBZQx209S6F1329fdHFgTzC42Nivb6tnKwuaDIUg88AH59TOwyfVBzWD3YgObDnYamGy5F
Ffajc+x7t4fWrk4UsnJgGwm4aRERrqx2gG9DjYUpMrjxbPX3SY3f1GnKfXFCCWpGSr9BECfu9O/O
1PV0jaLmEqu6j3kithD0MOtDUxrhP52fOzsX29Vtyg9bnkP+AXIIf6a3uwFzI0wGY9G73aCYX+zc
dA55OVt3cBDmz7UT6s+dTIfn28txdZ1RfMNkh4ICI1KBW+2BCsNQDTR+5w5xZ/X4BjixN6lT/HnE
zVE/1yJr8p0zuPEBbFMioU3HBukSa73rh4QDGJS9i0ITkj4ims4qZfDz7YltjgJ2SF2q+bwXS7jz
6mw1KDpHhd1wtsjI/17EQJ9ahE12vtnWKORovELgBZYeydtRKpnaSHFStKgH27hr+rG40IDc6xRs
jULD3lJByW7IBDTYFiDkNZEFlIVyRJTHPE52be1cB9eIJPYCsByQdbwFxPKrJSsrKhWmn/WuHCxE
W0UR1Ce89xCX1tFLPFnxQJ2BAojxNKPp+KHKusI+EZPqiFqhdzycbn/Bq60JewMcCT68BDR0FJbr
69UXLKw2LC0NLeFQQYz0gLUQbhNtquJJZDoFvgMjcde/t8e8WullTMprWHhaYF6u6tFlEfYNADBX
ITz90Mm2ecpKf9jZm5szg3sKE4Z3nQfp7czQMDQg8sqZECbAc106nRt3UfWJ9q2406IQF5vb07q6
6emHc9ToqxGkETWtTnmArlPOV5/cGUXpswOc7RGZz/ivER+Bw6gF1p3QisoN2ij43Q7iMjK9BP7L
G0Mt+e1UsULzO1AgqqsgQHKR6Kt8lBO9BBOPwnBnlsu/603yvYzFe8bXW0Cx6+TQ1hGSbxEHc4E2
y3ONccJjW5vhX0ONg/rOWNdhP4NpBncmTzc5r7F841e7c6RDiOuAmN0hVaqvOg5cD8SjdoTNRt07
eIk0EXJQjdH+M6Bb+2Sj5/c+jqkI7sQQ1zt2adAuXVPQtxotm7e/A4mqsg+QMXJFJfIPkDXw7FBi
nGhu76CtYRayoSME/4S58naYPmsLI7bYsmwwPz4E1dTYR0eD5b9zC+0NtHodEk1kSoV/nYtytXyI
a6Sa8LX4bdQVza1X03nBnb76epJJ6mY8zS4SD80BDbL5Yynjf3wx96dKE+POpK6e9mU4nRoYnB9B
w3eZ9KvhEJWhqmips4sFB/7gmdF4kZTI78UokOTIh3lYlfenP/hkrwZdrSSWY5ox49Xi2sao3eEO
nCHkOoid/Xd96LRFSGL5m/uMpvnbqaEHHUgTuxHXF+P0IRRTdW5hhrsBVIedoa63BgG7w1PAmeNl
WD+2GDGHLbJVupsrSXiSIQge2TV71LfrCS2jLEeairNBVv92QkvFEsxhpbstOpxHMaXDcdBHtEg7
qu+3v9D1OwBghY0BgwDo6FUqG0uR+kmk6u40z+pieaSepxl1rTbLIoRCG/Xr7fGutyGMauDz2sKZ
gNEk3k6N+KdPzS6UFATS/m7I1OoHEqRIcwZlgBhl6gQV2o+dulOI2VrRpU9gAcwBNbQuAxdQhK0w
C6QLkDPEbyvtj6lGs7xQdHVnz2+tKLWYBU7BsgLBejtDFMHjSs1j6VZpUnlh2yXPQWXOj3Mspl/I
aRFT317S5RC9fXPAmhE08Rrw8kCnfzuggQBmVIawP1FqrX+mUWJV93NsQEjQy6wQhLeNYtylNZqv
gkq/l0tR/HP7J2ws79LPJUoinCDSXb1EiAA3aRnlljujB37oHKs8ysTXzngzjne3h9o4gVS3Qfwz
5Y3G7jSFdKmCzHTnQg/vIMWZp5m1Od8eZeMjQo3hUABQpZa+hm1DATWynmuUaKWyaM0Z2WUoje4E
cRQ9u3RU9sKj1bToxPKw2ZZJjAnyhwLI249ogQLI6TClHpUV+9FAaxAhx3Avv9sYBQo0LwsIEgDG
662S1p3uTE2awtdJ8ictiOrTXNh7JM/VGV/mIlRcXZaGC12sq7nIKklKoJ+e1DDRTbtEw6ch/dvC
4bE8yAl33wNSw3s53eoYvIwKIIakjhoyfdxVRNu1rQbLok69wYjyzzFNrPvex6vmMOQxntZFggrf
wcdXAIiMEegfEryf4t87iv/7DbCi2ZsLh2ENvVR0OY08qqmHtqD9ydAJuEYfddUqQEzNjOb6naLg
Jm1OcfYN+6Hy+fau3Vp44Hm080imyTeXP3/1xpcprd++qAuPNrN2rKdB/+5baPAQn2EeoIj8HeQw
br3fHlWHUo98wIu+xZqzgYng2DhTVXgzZLOPQauKu8ocmy+NOtrv4jL5FYHB+HZ7zI2NzP6iY2/R
5Lqu3mhobrdz3eeeU1T6+6pQKhzP1dS9PcrGlgJ+wAMsqNWAuF/VafpgAchVSu5ptmP/wCYsTs5D
NSSlS2RTB6dMBHlx6OMgNg/4phv1uVz82D/e/hWry3XZVODYKO0T6dPGWre2htZGysZICwym/eab
L/t/phxhawXZ6c+3R9pa1RfQIREiF/n6lQw1rDraKCu8yvdbNLMD4zLrY7Jzg2/Ohzvu5amgtLx6
r9DZC2uJp5HXxKSetCBrBNh9jK4aZQ/udHUg0C0j3zTQaKfMZ6wpttUki7zXzMGLm779EMSpfpm6
uXjGh6J6tP0Ax7VI3XkLN8ck1CCLB09Cde/tIYwmNI+1xcuhx8kwO9Xctw8pmIpTNKp9cS6lmmJA
hgGm3NmtqzeL3bGEciZ7kUIQpdzVwBh35UkS4/qLd3z45CDWi6VSn/5bUCT5pcclrke/uV2WAeXS
pOSugYa3GrBGGmgIRVN5mP00qFpqA3ycqNlRmbnalC+jQISBg8eWXFcqaOYUijK2lZcVIx1kZ9Ts
j05sip3JXO3KZRjerRca7/Vn0xB3lsDWa68ewjnAaqiZ70yq/8Mp1IP+v9srtzEY0G0N3AulT2Bj
q5VDin+yqihsPSdslYc2jLtLOPrZ06SW0Q7Z5uoOWy4PsmW24oKFXdddnMEwkDz3G68sm6r9N49D
5BVEN6VPebkYPfZRbfT3+BL7H1IarmhxaoiR3Z7uxicEzMLxo5RGEXGNyDXrYoZzGjSe4Yfdo9p2
ePNgkfzl9ihbi7oQtKidkaAB/n178OxoLlr8/zovzER48efsJ/iO7AxMqd+Zz8ZJW8428ZpFrVKs
5zOqSAFrI9guM57VO+BpQYzKtuwXg4y+u2sdrbV2HtmNyZG92yYMVI3kYh3doB7TjnpttJ5aK+MH
9KryCzmv8yAquVdQXteVlouEVhIRFEcalM66vSkrJ8S0x8CFGbv67F4WYVgfMgVH4QNGsPK+gdj+
K0+m4WeZgP5fxEw+iwAHuN/+nmwYYDv8BJTl1mEkNowjBaXFZAUDws+ARvBUsCP0EqYMR9DbY218
USa9tKCo1pMurN4ky8rISqOo8yKsqB4UYv1nv+oyPMob0xbHZsirPdL69ZCUeHSuTrJhgMfr6WEr
lOdpFDdeWmP5MBrmGaOI5qSWGNzm8O9Ot2d4fQYZznSIjGnmEhrab0/HPFAYClu79kIt7LzWsDGm
Z647o1xvU0ZBmG/RPoILc5VgYIIo/cGvvah15qcSffK7NHBwgtSg49+e0HoovhTyMagJ8/IQnq1B
qEol/dDpFNw+KNDdN4XeYKsHQ5kO+O9Kqr0MxWHXwQCCqFpf10jEY3lVp6o3qmHuIqv2Da/zYTGS
3kNIr7/SeqRl07yK4LVJd5KkLVR0X8vhMnS+eZKKnHeWbv0mLKPQckMEa0k6iZ/fjtLHE/hwgkpP
IxrJF++DL0tjyUNV0Dr3rRafC5Lfd2NuNOdRm/a0DDcm+VKLXERm2JHrhl+iodWwZIiewCHmPlfs
zo0WZ9Tb+2N9vpjkUosGrIkuAUXP1ZHO9diUETeLlyewdupMBUarzsMJaRssKHOj2nlot2b1vxgF
pjBhhHi7qN2sEA35iuphXaDStp2T+FtdW/ZedXpj33MrEgdBWuBZX78EPdZEk5KbAmBxB2nA9yng
euhWDWDstNrId966jWkBzGABXxDuV4+BUSBzMdFgQ9jTwDeZHOiRj2t5tz+WvqzOqyIWWQdNKAht
UCfhRlwVsURrxuBQsQzjxDfOl6iAsumFsmg+V6WCYZWthpRE/DQIL7lspi8wz4XguQWfeMBsrxfo
qkVaeGntzoougaPWcCxUrTnWiN75KP+GiKLAIyEILnAc+FjUeaucfDwfPswYCyEum5K9X8whiZzv
o6NOzY+wFD1mkZifCmT7h1C5H3016Y6tMedAYNJExegSe7o9XYutD0wliHr90kq6YkmMASJXc5IK
L1Tt2JuxSD/ECukfDP69j7txRqhks+wQscHIvkQCr66bOK5jxNum2VPHsP9qRdiR4qA9nDrZlb/G
qf9x+ysvb8zqI5NHUxUlFIVsvk4Y7Hro8llluBrFSPWIFNh/vtXbz0Epi6MWjuK9SJLMKzOpn26P
/BL8XQ0NwIjQEO/LK9JolgZxU1V4Q4EbD4yHMpfRNxxbnE+9YhseNTAbwY6wC97PnVJ9E1lXXTAh
NT9XfiG+Dm2fve+7eTzf/lUbX5pSJrINNHx1rqvVPZyNGiW4RM6kAY3hBnXb3E+YQz5j97WHk9se
Cq0GWnRwVNZPmIOAAPI/Jl+6VfV3aVHjJ0Sd7F1BGWHn4t0cinmBqiJdc9YJG3XTKjaxjPDCsMJo
OezH9pQqYfjJUZJ2h1W4sYEXJUkAv8gOg5pffsurDVxBAXbixoZGVRRz8iUgtnsesTt514GKyP4R
YlJ+M1LkotJh3yDrD1KF/1mNCJI7CoC+zp42lNYnQDTGCYsu9YQ9EErRaVDt7Nx1OWEZD8AF4h5k
9ECVVllN0yulVcEh8ZIwEKdRoO/Rl3g9YSCTYWsX/KOSAP5m5P0yJnuSi5iI54oN44ShlWWBwQWc
W8WnoLOxoMevEC5zGv1/DrU8P68+YEvlpwh6e/JmYcfROW+n4WOWLPolSqqKaWdrbi4m9B6EopYS
6TomoAdv2iFGNZ7TDNrDkJbpHYCm9L/F6dMN5rL8ohKc7OzRrfNAYwUhZUJi9arovtiGlUOHnrKB
Q/LT2IbpXVvW0d2S0u3EIFsXLJQKm8FAcIHFfbuaMQjjgktt9HizkFEPAFTgqa7h7Z4Ikgqin64p
ApDV1u+q0r9smVcjrwLX1jSmWKEuuQSuNvIoFv5MCMJc1DF3XDlq3b992OB6UptFvlMgWmtKLrED
UqRLDRZMHbCZ1awro+yxCEn4qn1dF7zkaHfiuTbRzs4bGUNOANAynnLSouFo4ofoTRKVk0Nu+s59
GSu2dlBRi1zoZTIID5qYsvYgptG3D7VRNeNhQMyseN8NfZGef/8FoApE8EMvWV5F4lmY+dqUJapX
pXZ6GRzFOpVzmhI9qnv6yVtXJQEFpV1e+2vfALWXZiqHGXpUXU2XoAgb1wEsdlKDaX4Mw2K6uz21
rbMG05r2D0E+8M5V/I13oR4EOpZRveM74iI7HY3DAWeeD71eCNvLfEWrYTY17afbA78o2q/fehBb
eKXy1BMpr0Y2A945tU0wzVZGUZ4oacuftaNGsddalV3fIY5q2Zcc0+zoDPUunC9ThVcvTnCj8W1w
SjV/byLiIE6xGuG97BdysE/lFHXB0Z6TJrk0WgacqKj6+DlbVFBOfe6X3UUtwzq4xzB0fkZcQ8VF
aTJMTO7w15I/2iBxyiPswvafuZ3n4hTZmBidsPqtPk8DuJbDbFcjFqJdb+UPqhrq5V6HbGMHUK2l
8+fwmhBlr56SMc4bU1luB85L0R2NUkuVB4heww+9VOP00nQgwC63P8bWmHSGl+awRJR8XeUo1YrI
slWowBdqOZyqMp/YdtwMZyz5UDVowp6ix5+MCTZ/gZlR0l11AmvaMWKsGXOSls9H0LBcbLkbLoYy
jn9B2dvZcMsbtdpvWMLwVKo6MTRI6re3LiBxvfd9bNGCbJZkZHTAUAQfMjpvtye2caQAaYN0oc2P
PNQ6cXbCRMclOxs9aTRV+KimKt32sMlU5TyNuN8egnCeH+Nmin/eHnjjCYNtgLILfKSlKb78sFev
9DzEjfl/nJ3XbtxIG6aviABzOCXZraZk2ZIs22OfEA6/mXMxXv0+9MGuxSaa8HpOBjOAq6tY4Qtv
kA3cB9SYrMeLzWR2TmYISwdlG0M9AGvs7Rn26AoBBUV3pbelF1M9N7g+B41Y+nuMLDssGBNJnXyE
WzT1ZGr50T2883DSwkAMD1LzWuTZbBm7iiOhxc2CZ1LrlI8iq+TWNdGKwZSt+G5K0qNVWtrklbYI
D97sdXdsdw+GDmv4DxD/ihs4z1Ypd6SnAXdKA96AuRUCC7HW1tMgz3T9YhZq4YOVlBa3Hpr2YLX3
vu2qY2+ZRNDU7ja7lxJwQXCucCuI8tmexiLoMuUHqlzFwYOwlc5c32liSedP7YduyzY6yRSjHktg
e0FDmKR+QGeMoip0RXiGvZrSEXGdpagfNasfsbeMlfJb0zXlBRsp+zOSxBo+aTAZfnAKGvM+wVlH
BLluU0e6vdl3jjPPFdg8UJX0W7cYL1x0hOUU0xLoMUbzai/6k9apR4KZ+nrbbr479A8k3lYhdSCN
m6hFAu7Ke5xQhOPVz+/Coejrh67B+AYq+jR4uNBBiUgTJX2w9GqZXJrNy1fquNXiiSnDfBeLz/JO
thJsSS2rVX51MsLsXowbmXC7BWyop4d0r+/yGjwZ94RRFic0ezCkTR0ntX6YUmeHXkJdX30gP8zn
i901Y+SDbcpGt00KK3TDWsx8pCSrcxdx1yF/N8xz+mPS4/pZT6Lot1qbhfDDUYlkHNAtufdQpB0V
r0Bq9B5tVIs2uWTO5aWtR/Vek1Hv+Xr7e23pFOu+AmwLfm1VergWRMiNpUjWrD4wp6wKv2Cl1+L5
mg0z14bu1OP/ejDGX9SEkOdJ1jtde2yK2JkuWJSal6afFswQ+VKxR2Vt/m3ha1kcvEg7W4oSP2eL
gh1R6ra9YCu1beaNogdaJYMajwzlUxzl0z8Sw9aFIEGk+YV0NnSArVAicq/lWNWGHiQSF43fh6LR
7xFIh6obCRzvX+g5xP+e3VBToSCJMgxDbm/OaEnUxJh0DZ5hgfIrMYSTnEe1j6b/ZtizR623nScQ
iR2wNRQld6CRcTfTaVwULSi0ygw0VOLvWuA0bqmqxRfcJsdzIdcHAIydx2GlV1A1AjYFRnL9/3+9
fuSR1iDKWKfFbWGXh5ozrO3RLsantnEIpdH0DepoyR6cBSri5fbu3tk6tgEpjteeiBn5y7eDj8XS
VXqUm5jo5djHRklxlyXT/O93Hq86ql60TVd85Por/primKjmks2lGWS9MbqRauV+GivpwVO389QA
qIP0T12Tfv62RJ4Kwwl1orNgqnBJcpQmhY0qpJNW0Ua8vWxXTUzOAgkhiEgFUxNWbzMjbEPnPJHw
RG8HS/NlszDe6bZITolkLBdrRnA30gvxn94Pmh9Lduov2qAdrOpOILPCT/hyVHFXYvrbVTWxTI0G
PbUCA5fkL3lqiBerUcJzZY/Gl7lzoqMu8d6sASyuOHx6tzyx6y/66zvaXW7WLc4qa+hbvsK4wN13
QTSidYzap7EkgQqDxJeNU3wuomT0wmax/NtLvztr1GG48Vb05Pa4ZHC3pjiXrUAvHP2caSqjpObk
4xaMeppmpUf5/7qMm5d0VWemWUzIyDuwgWlhfZKbcDysAIvm1HYn4WSnptVLX9iYhlhoLXlJZicv
oCByX7LlznMsiv+zkSJET/3XHwfVvktMu/l8eyX2fhhFUGiN8CtRsduEzUo1UvKWJYOza+svFvGu
a/RDdDD/nSuRlf5/o2xuCFDkvH9yYgZypkQnJ+6/2Y5Qv0yj/n1AL+e+G4V2cJD/QAC2Sw6GG2ga
7VckATc7u7ck4nebJ7dui15ya0vq23NVTvWTZuWrLBloOGyF86qbP5Rd3GGtXIdZ/6imfam9y2Qx
fBWimi+Q78Pha5JLuvSkq6WORnaupZ07ANtqsXaLpchrxzF7Cc3R/N1l6mB6FEuRUi6lfPpMQ0ey
7qYo6owgro3OQiNXGe/iDOadr2GLg0F6k4rRr9pUCX3IjUb4YocTICUEFSgyRjiHRn43mhgfd3CE
j/q5uwcSmCLBLgJxdKnVtwfSmiIkaKPOpC5Wzc45TYnk7trGkuOLkoVYsHctEgcuihnWRTH7WfVC
NeJyMqw4NA8C8J3rd+3zrBLR6OQr1uacOEmvVCKezWCh7XBKzcg+NanaerzcRyD4dc9t9wd3L3yM
VSSW9uHbaWdGhisy7mHBECXxr8wYJ9cu6u5URO38iE/3dEFJab6nv28c5Mh7Z26FOFBL41KgE7sZ
uUCrEVaNGXTLsJxKQx08fUqOGmd7S0lDlJSRKAvs62b/m/kyZwnsOlQvp/zHEikFN1uqfcni+NPt
O2RvJG42GNpQF9bo8e18xCxyzBcKXmYnxNE8S6rvOARqj4kAW3F7qL2LhMLxH0MHYhp583hIJeoR
NbIpQTFZ2n1kSM2rWRTqu4QM/J06jcY3y2wPYqvd6ZFqUazhcHAFvp0exghaliYspKVFvXWSCMIK
LzGG+oSaYnqQKewPRpKAzjVBq7o5jHrrNIURDUaQlNp6M1SE4pKSXoy+1v3ba3k9FDks4Hfe4VUd
XdtswzlJkBIduJQdNV8emnaWEWg2lo/1Eh8Vdq93/Joua7C1qe4SamyGMvQq41JVjcAYK9kLEWbz
iryzz7cn9Ifr+vZIw7oArQhDARTaVSXPGeIwVvsUnhjaE87dRAtDfTb6aowfiqkoc7eSnf5h3Ve/
SklSL8gQD+hBUy997XCBfnV0QIZeW6SNMqwilfTQtXmyJBTN0qbww04orZ+Gwv48WWZUukqslr8X
rFg/DjV2ouewMnXKlVMY/jRzrNcxKoijTxhbV8U7GwK0jYQRhUgXaTpJ8ewhNH9CPTC0u6Sds5+W
MdmZa8eS8b82HrSf7bKUH9JCt38Ip0dXlXx2QAdtUGvZdRqru4udurdescam3pUtSzO8dFOelg/o
wM/PS2mM2Tkc6uWXrWVtcQmrxJn9eQQf5Mlzo76O5qwBSGqA/HrAvErlTIGugzKWw2l3IwjUP/Ms
jIdTNadi9rlL9Ue8akzUNAs09e/VUCq+Swp2T25v2fD+c1Prj4TYd14nuvA84VAGSOAoeLw9fYmQ
5VmglhQQBS8dXxD+1Q+5iXkNKbslduyKLFUzNzad3L4zqHGmlMPtIaFYXTvtQbi0k8hzKNccEnIP
5bBtLjmIYaxKQDrES/FHu9G7U0q7/pJr1ObbR2wQxalvQx2/Y5pYqFE5foythp+3eIhJdJf9mfry
6+19r6xrsNn3K5ANgVcSCVqxmwt4KaqmnVB2D/R87rPUNW2pfJeUKYj1dnGiL9YCmuUylYkuu92Q
JKlXOPIi3eMjLPL7oi6m9KwnuDsdPHTKeh1vf9gq/owIPKg+aqVvPx6NMBCniJcFq7T1EDhoTKen
fB4b53F25P77IjkIiAxdZlde2Pey8BpaWiqevJ1UfFYLMUGJThZV87HIyGvPzoT4TqN+/lAnyvDr
9jLuXFIA/gEfgq8m9NimQoY1N52kthpt80L+iHSUPHmzZs5HZTXnelEoxYMxBgTMaObmDRt6yxB2
DJtVHkvnaz5Esg/Cpf6gEacWLrqKaeH16pg3p6nLrchtUlzWDyAC1+8oTwv4f+iNFBJBDb79MJKt
NmaWN1zI/MtHPqntNnKhDkgDo45/aqQZfXgAkgd5wN4S8wrQ3wEmjy7ZZtikLri3xGIEzjKo59Qo
0nuyBvXgkO48bCqinNSwoDjR0d4scIj4gYR/rh7QD2hQHas652fv1NEzhEg5Pf/zriHLII6kNA2l
fns/EdIPU9nmWlDVhRHMiHc+LyKNDirgOwtH5mhR7aULC+xhM6UGUbo0s0YtIKaM7kPZGVxIR82B
DMH6t2yOKxgOcHtQUkyEKzcthnIRVqjBHgrKJAyd386ompkPw0A33bnjAD6WdK8PxtzZiauMBo5v
RAbXnfFyMZFOrZopUBqt+zbKK06lgytlDVXi16mVvZurJjv4aNo6k81MdSKfVehhTxC7Q+slTiZt
CIZsbNvHQm1AzVltTBcFYFP7xPJIamDH6HJl5hzR7TatwUB1qItrlO343pAt46bxk6JIFT+aujb6
MEGT/zQmy8ovBbLxaOVNifJ8FtfKK7XUjryfdCBxlYwL97sWV3H2tSa1+o7Ig1JdMi6MDkiXmiAl
m2cZbgyE1tFLbg8Ftn/VsZH83tqzp0BoUvuBmrvptlqxA1G2ESJIU23+GEpd7iZEEw3AFqGeJyrZ
jT8pzfhy+8jsbLO1SQdun04d4jPr+f2rAhSXjZbleCcGCtYLT1C4Fs+obJzYMBZ95rISB8/Qeqts
PzYFSrqSZLfUENdl+Gs86l890TOQ8mSKjeexVLqfZWXH3hgb0wnLrOUnkJsGNauuPNhnO8eWxJI7
CDWq9fSuT8FfIxu12tVhSze01zvL1RtV3BmRccQ33ntmGYFTtN4OSNJswusGsfOxqU38tJM+q+6F
EcrdxUwVNTDr0YzYsFW2+pDakoQ+cB0vD0bHnvjYKyHdw6HXQvGrjeqqOHPRDfJTqLYqCKAK01xV
nuMjNfqdbcdtCVcE+i22aNsmWz6OWorqHu08zIVoFJv105znIYGA0LLeTdowDyqUlR3/9r7bG5cr
GmQB4Gc0ZTbXW51qyWAv4RxIlVVf8l6gstJWkzcMmfKBZ7LDyKtNPt8edGez/ymMU/bbU68dhsnk
6+B1rtlL7RepnPmNPdinqa8+h9VgH9Rzd3aciSMxbwXwRvrTmyPdlpmsD20yB13Xaxm3qIMNrF7n
R0CNrQwSjRyQ8RRqCGUc/mwZOIvR0BisnTFA8ATB+zHSku8l5SVE2Khrh5iZtHqgSM08ANrIko+y
FOvq3aA3xruJVuX8/fYy73xbDCTputi8IjAaN2d8CktJt3MZxZCRAA/Z6cR6rtnHdwKFpodMSjr1
pORx9e9VljVS5FislGpWZHOXLVkmJ/Qj4BYOaXgKwzB28yzqLgNhwen2FHfiRosLjHeLog7tls32
nZ2ZRDWpO2yNYsUzIlNxm1Z2PDlNxHnS6vBOCWVxTjhL59iultfbw+9lYmwqWkncpRQottCOdAHl
nqi1CBZtXEIfNcLCdstuKp4SqcZjAalAIz03Fq/GSUtynRJrqkRf5NhUj0jsOxEehllrBAtzEFzC
5l6dSLGzOYfDM2X97JugdVAOlaa+9TvI5Ufd9p0jzA0Ol4FzhZL89pkk2QXEJTpYXmMFdk/E/YU0
q3edqgz9rpfLg9L13uxwVsHkm+GY3+YMx8gt1pqTikDAWq+8ptXs5m4q5+jrYMed+m+qlutBpiNL
erZ6HiA/shmN1n7d9WYr4JX1wsMS1/GwjqyCPlWkszXN4n4CbPzc5BQQb+8o4zpvpdayhs1Mc23Q
bj4jQJc0rHKoRHD9Mo7qQKjuK0ZfoPII65n+FySS90tujx+dNHYgYev2/CVfbGn0QfNhq1fiLIum
6oLXgN+GtazxyoWj7ItRdHgaLc2UuLMztopvL5SDTt2Yl6nXRavFko0ztewiMJYYWG6Fyu/C0UCa
D2E0Wy7ejtZHBeOm3F26Ynof9orxO0ObJD4bEy2DAJ8h5bWKwkJ3h7bsgXx0/UdntFr5jOCTmXqh
MCSNjzcL+zRYozN4lBUyYL1KN/oG/MTAVONw/F3FZh8G0PeE5ZkYX5R+24oo9BQzQaTWNYq+U72o
iU3jYJtdh0UcZVCd1MpQp716hhF2gvInK3OQIKetfwxTJ3V+L3PXx3dZZoIriYsW1knKfYuwo4aG
0cH33/8BxEWULWTlCuzXRLHAaETiPTZ1kb4sHSgb7Gm65jEimrujYZS+B+bRfZjhlv53e+9dn+lV
LY9+B/EHl9qfy+6vyCzpaLQtmbYEEfUcT7ayxJf1yXJHAwfceSQsuj3e9Zkm4CAIZKlJd5CLfBsJ
5pkVN6jqwTjQu/KUFJlxMlr5f2LoR+/2SNcv4duR1kP318wmVS0To4ZUJqoxO4nJ6bFHGJpzyZt4
VuO4YAPPzd3tQa/DDgblFNtox+/IUIh0hpkeMz38EQmsE82+H6bsyL+Q/jA//m0ozzjOn4I1t9bV
xV8W8yion6wt87QcP2vDaCffnKbKtO+Y64JvkPVYHe/gnVmqK5K2mPG4DdPKb/MwMk4YwzoNdr8w
WoIJGFvq1uYsFl/CES+7q6piMVxNEXXj5jGWEN7S13X6kDo5FfHIzOre7QtQtj4XTd8EXa3nwxOx
xaJ6dKqGX7UewpGNk0aocIXCRXKNXFFKt8kmC8W0uONuVTpFGJ6Sh2V2F2nLPMCnmbX+SYotolDg
3fH0CiBI+oQoYI1Ych710YMxIErvOuEY/Q5NK7N8vbY67GL6hLajbsadu4y4y2HpWCbpHUX/+j3t
7CQ/rdWl5azmiflBp1GCJqQmyp8VQeJZx7Hr2QYG/9Ty4x/U0VFiH6lF2XTDdmw7f8EZSvelPk2b
d1CbDarOaZF8VoRiZ16shu3E9IT6fhTKkv6HMnqUuJTFBWX2cLYcnseirb/ZaW+3P0ReURQdhtyJ
H4wIaZL3iyylnwVaSaHfNN1YnY1Yd+7wxdDET0cbko95XxTZnWl203ixo2mpnuSKI/OzpCbQMl+p
jjw1NjswXWJRP05tp4/c732an+qp7quntIGk5smTYSff1Y7y6H1ntzwtODflmqcUrRq5jlEOzqXS
5TAJOLxL6y2TGsMnr4V9NrNWme+HhoKhV8aQ8T5gK2KOIKSxE/BtK+rDr2admvdCqHrtUxmntq9R
7v1PMtpuoB6uZNNrvtSq49vwYLQPYZLq9Qn+Q5F51lwl9ucxAkr4bmnAE342NampvkdZJimuarXi
orUqW9FpZDyP9VQNo3eSCKPRnaae6GqhX60/tEuip5eoqFryqQ5MuYuTgqT4BOFm4hq0BbrzPCm8
ernd0gCQU0OrvyDfaY1fOkPqUG5uVPV71Ghx91Dh3cW27GK98SbuX6xWGqmfvMlawzlHaNUH3Iy4
JlEws+RzbFVyda7MfnieCuC+Ph+ibH1BLT7pOFoKMpqiDTH5S8WCm2VVFKip1Ib6bcgS9BHbJaV4
oudifs70UM9dO5KdH86ShRr/ak6PVZHNSP9BZuy9DHTFjzBsTWpDWZHWD6XtTL+czkp4o8aaz06h
atIe6tgypMASkBbcPE3i5Lwgo7maxlr4ypBB5B38SEnNvW6wheJpua39aA1AECfaPrT3kbBxZA9P
v67wI7WVE7+cpKRAarHHU8UmZCndBN2+z9VU9Q+mEWt0xO0wf5YNYRonOwW1fg/DZ5jva0dBGdla
rDDgDs7GD2QSyWOK9FJ1l4+maL1iLjlYVjzTWZziuYjeyYoYtUuey+NH/K7in9Dgxejq+dSq3mIg
TOeP4xDVLnK3qeGHZttnXtjVuXHnyPHyOLd288Cqsei0r+ljNfSfsFu15VI5LanTNj5IFLP/PMmi
tX5B/OjNk931OqHGNIctOYXK2zsbZealHXgQCF08Wb8w6jSVn5MqD5+nRJRPSq4qnwwIM9EdtqlJ
ME5dofj41zXaQ9M3bXvHX6EFg03m5VatQb9mAPx5ELzu9GNW+RyCxzW/RnB+89rZWW0kaZ7YQYgq
a0M0F9vop6r6d72ZzY8ZUl7fasPIH9taax+TJLLPXaSao2thIvgtGsopPI0isi2aSbpykJPuxBiI
gCI1AP0fc4ptn18yE9WeegnSehg2Htu+Pk+OMz2Ucjs/yENp/PvLj74kB4/qN2hpdf09f738IhKl
LGrWIiUvfG6tKZ5cXrH8ErKX49W93Xmdq7D//M9vP8BRhYTUoJZ41ZNfqm6RQObh6oA8hU+SOrwL
adqdb49ynf2u/h6A0NlyAES2rYMemLJwQsUKJHzgc5ekMJw8JOq19yUeq5/bJi4fdKMe3jVQOl+W
dml+3v4BOxGcwyAUPBCNI2nZrK6pyqkqWlZ3UU3hYw08unUEWWOSxiNZkfWv2kQ5DLViU+iZXyMO
ZMip8tSrzJXimBvKVkxKxqMg552DJN58ZNe2OzWKFxQPkSK4EhFT064rCc+tQFHj73pkIs6YO+ZL
Hi7y5fYi7sSJaGrSxcD8d63HrinBX1uU/riacZ0AvItikqN8VN4bwzi/3B7lOgT+o2qJYAntFqgS
m0shnE21GZTJDoxOkh/SNJLOOsqyLKKoL3QEKm9U2T23B71eRIjjK1p+pUisJI23UzMXu0DinIKe
WsSGWzZLcyLzNoCnD8rp/2coerbsEHp427Mg0roJ5bGlzDUn8bmKJs2NdWO+K9LwyDP4+oNRcgKn
RE+Us32FutW7OokJ7OygiYHar0j0R6Le5uAav97wjEIrAKEakHpUWd6u3ZKDrElH3Qq4yUP5BGIz
yl0tMqwHu5IK/BaaRCncf1/E1VqBainVaF6Rt2PKacdpyFMnwC1pjak4BYrHQyx5pmjGg1x7a3lF
lWWV0Vrr3esOodH1drTCsioEtWwzGBs7kjynD433dEgN3aMr4Lz2iZr+hpZnYLEJYLt2V+JE63Xt
WOKFV4IQdCnkW/V5SDupujPDYVT8oY7S7DzYPT7DdVO2th85Zt0+YXKj9oTyc1R+jCRoFI8o5yKR
AsfPbE/gODRxmVGmGT2AAXYwLC1eonWaaT/BkPTqwb15vYOoMKB4xWFHbvzqFWyqYZnRorIC0ZTp
JW616GFBPte//TV3ngekHVdqFGIFeDNt1tfBLbB2JK6wqh6rl35us6/N4FS1q6lC0dyut+L7soiR
yFbbprpL7KL58q+/AFi6qSCNChaD4vvmfeg6zOW1MTOCfiomwi49jGL83PMUaPMIXN2fJs1+nnDl
6d0ZKbfQp6k7HTlE/xFkePt2oF/PSaIdTS38CnIhd0nahuj7BdpolaoP7sQsP45Z3fYPdkmJ1ANX
7RReTor0OlTwTe6QEinIXmorEV9j2WlGX0hTVV6gthXhScYwvXlo0tHSTrM0mt1ZKezmiCB9vUnY
GTSeqUOufeDt4uWLJdVsXZ2ihbKcklQpvClSjmyCdq7o9Uwh/0Tdi2O/uWZGqTedNnGMoMSD0RMZ
TQIXTWCSviZXjxSM1h23+RAaan3cmpSNV07B2xOf1pEuIhlWhERO7PXONP83LKOVujYA1yedILXx
euTO3yWaOBS42FlPNM0tGjMy1RKW9O3gmjxEWmYCsm8synbRbGaemI2jx2GHxgywE/E0mLNIPwBt
fzsM6iid1Ta9HTjULB9h5jG9uS66506VUKcjL5klCmuyUBuydI4m1JeMrCArJW2E8i9HiguibPkO
nQtUG5XXiLNapUrlIrUgCre1lzKh993K+cnO0va+FuC6vQIw22NDLx0Ucta3X82BiCOCkGf3AwLI
aiOfoOU5P21FoLtVWo323inI8kn/VKnyUPKptZO2lE7mTvXo/PONh+wG3VisrQgTYf2/XZViKEL+
Y2oHdt/lJ6zGtIsGDOff3y/0ZemBcOtQPVU3QU7lyKEZTWQXCQx9bxJWhi1R6XxIm/no9drbTdCZ
kBeT/yh9bIqXg5rziqoEAYrayT41cMOPCdaD2xfo3un8e5TNhCjopagjZyybmiygduriHE3h8Jpi
PHAw1E6ASBSKwMaKwSby2HyhcEzyOotiO+hlZXwPai4sXF6QFvhZkr9zGpr1kOaPrGN2ohzoSxzH
Fd++qh+/3RfhIlQZ8yoT1qZIzwYml2d51GKPhsJ0auNGebq9oHufjbYOhhdkE+ADNrMs5HYa9HG0
goy1fL900+wBPrMPQpu9tVxbcNyshG7s47ezcnIQQ8mANBsVSOdrJbrIcZE987RpUe/rbpSCBDjr
kaLzzmZZXZBXnh1B6dWDYVPiQypcN4N8GqdzUkt4+s1R6qpO/I9C64Ruq7ANjTiSXLhn22yC2x2c
Xik76E7FJTlnZqg/JU2a3tPlyR/hUhYH4LydTisgOcSAAe3zctD0fbukU9SwiGiQB1R/o0eUtqxf
ACW1L9SnnNcJ/KNfrsaeKD04fqYW5nOTVuF0vr17riMqwD/YEKD5YQKa2L5fRDoV2nBVdF+ZlNb9
AmOjhwXNchRLUCv4HBPWOR71liz2HLWMCNKxyDrSnN85MqsOzmq4ySMGleHtSmCIAKkaBHYgFBmz
O0fGpRYUqDT/LpeQKzU24+rg9l736+bdpmSjogAGoAABsM1+1g2kROPJkQLbWZJgAr/xVI0RKJFk
bi9JjP1a6cSLO5BR3N1e8Z3zCsN9RWXCfdGuPvsYFUbtLBQvDUtYT6NZDq5TOvnBef1zuW0naBEC
cWJXRarto53CIo0Wp5GC0Jhk5WJKaFMNSiFbbjaCMXDBcsv/kyUre0phSAuXqnHyQdbT5buqLMby
WsRZGromwWFM1mQs0/sKQe4C31UHkdlaaUzFc6RBqK4cSYlyRvXeCr1WwSDOK/vIodBZYHZ/GmCy
vusgVqJc0ufKCLsplwSfdLZHb5iTMXs35PQZ3AHQunGpo0h5hcbgjBcFdDW9jWjQXrqxC7+g2JO8
iLbMVT9LjKo70UqJxd0MCfZ5QQkLjPg4KryP5O7A1OdGn90xCzvFxV9q+mhmMPm9DDG+yZ/mXvng
TJJpIz5W5C9DGRemH/Zm+ToQreHhZddEGiKUTNofCbBSr52KFjhmI6zOLwanLjwh9ZXpikiJBPGJ
lLzwzAxA+xFf6d24nxp6OdVUPhsVZki+MiHlhrBPPqlPmJZVJZBxrVz9re35viQZ/V0YQv3dRwC8
65k1Po1RX3xDnjJz3IlydufJNK5/QDTWXtsiKX7Q0gy/9m3U/rTzRJ3v0z5dPkGsUkrfZqotIhy9
/Q4eLSyu1JLyM1akZJ4h9SHdRToMIn0OTVH/VEiWGR+8vTs39xp9A8Ci8bxywN8e6bm3O03pewmi
efJlnlS8AtNWsU+6XiYHD+DeUChKI5dBHE6UtIkomsoZ+RkEKpgET88IsVRPZYH9ahJZ0emfz+4K
aVQp/kAOuHprafCloWoTUQg6JpesF/P7OR20gxrTznVor1QITHdWxNE2rDerui+r0bIDfVCk//iA
DXZajpxAU9FsUqYKx0j/3ycGDgXkD6gqmeBl87nSLkpp8FEmmBHgkKxheMxViKu3R9n7UsR+rBvl
wbWq9XYUOx6VJgEvHoydsvjZUEy+3o8/gZNlB9tv55Jd8UsQJf8QcrX12furAqmbUm6aMfOxUmhV
mpTkvlmHR/3w/fn831H0zXwkWKBlXgJEo9iZexk6GHc0jhJPQIC93F66vQnxXlH2X2Vv0Dh4O6G+
bOxsiB3qWEpvnDrKXb86yUp//PMovL+8S8bKTLuq4vSVZedSGztB1A3FSeur+axUVfnvpwgCocyj
BKaOkHKzbCnaD0WYRQ7+AImtkKGNoXMp0nYUB4u2833ImCh1reKlqxbF20UT8hIWRbc6Udd9/5qN
KUABVUNHjS56E7m3125vMJx00fjF8wXs6eYLqeFA+UWQ2EDGCH0o9qBwMcF0Q11JDy6IneDFAQqs
ObRiiCC3sWpklkQuKr2YnPKH5HVKSX88zOxUc+dKqgWAgMH+Ucb1zCNqLs+3J7pzPaGVzKcjxVm9
MzYTjTW0rIqFuvs8ToUrzZJdA7KudSi29fyKqkl08Bn3pstphoNLS4h/NgPi06gpKeCMADWI7Ce4
35SADV9kn3Zf/l7KwWDCyJDfd0OLUt7tye59VWgSNEiRnKLivx0bnbKkX7Mr4L3LvTAHg1DHaK1H
4B+6enA/7hxy6F34wK8VPdS1NoN1XCDhYlUWqDw8xFvNKd7bhZofjHI9JSQp6JrQwFgrtdvlHLR+
seauC3F4QkQcZEPn9l1cfZisQyeQHc4awEOUyLCDt/Bk344FwFShSx2HQdlQ6PHJ0ufYX8tGuEot
mv2JlKIdPYzZzdHvRNFNXlWE0Pb1Wi8j1dV14sOTNXXmEcz2ek+tP4xSNVwMOGtbBRAZrSGzK5M1
Plmi6EzdM/uB1Kh+rrpQqRHc64TuqXPUJm5eNUZ2ur2tdodfgVR0Jrhst2dosiusN2QlDJK+Nwov
pt03IHQE+tOVoq56GEZZ+wIuMk9OYkTj7OACWTfS2+SATgXoDSQYkea4kgiv2ngscd0IkQiH9aNL
juOXcj2cytDRXoooO2rV7eS6PCjk1ZhMryT1bbrVtk1DZ7UKA1mrE2/QBXRSpA7Mu7nXSq9XhHwy
lBQ/kNoen9K4E+deH+uX24u+t/FJuECQUDDFFW89fn8FBXguDF3ntFIQT6Pmzc4EczYX5UktLePg
jF2f5PUBpWTKnbHy2Dcvj5V1ZlSNlRSoE2YVeko+bamF9v+xi+hRo5i2Wrhf9eStRfR1Wdrrqqbz
WVby5g7gV3qaMjSkekxU/DwbNT+xkHO8vZR7G4j+LqU1sMTEqpuljHuIeeGihwEKwKbXmJr+GPVN
6dmyVH6Q6EAcva47utn4utJa48YAg3jV7c30TsceTzjBAjxkzduKTP2GVljUvBjDYhbnsujLL5YQ
2qduKPXcs8zMsrwytJPKjdGZ/j1A3XvWqo7qzu3F2LvlwEMCql5FLUByr6f9r41lZPaSy20NJCM3
suI8jFn2UTZTFdlWdPq+jLOs1Ge44+U3WXIi3UUkv3zWEktt/bG30sVrpFrJDrbgdWUHCCrhCKfO
WOtMmx/VZasUSmtZQZrIL3NfvKsQJL9LnM64nyMlPxEe/OptdfGjvMn/u70i19VC1oE/5DCoRVzJ
uZulGmtmQbUwUszHvsz8LG49gEj5+7yKgb2hu3m5PeLO2QYdhKksz6ZNN0R7+wmiaMgkrWmcwAlj
AOCOPJziXJH/D2fn1Ws1kq7hX2TJqRxu7ZXZsGEDDc2NBQ045+xffx5zbli2taw9mtH0SKCuVeUK
X3jDz0IZX49uoLJLUMlzhr4xL8j9UG0xwveif3sNzVR1NalqD1C+mp3PtzkhmCZzvxPRrWXgEYca
QSolmCswPf8IrD8lw4Bq+HHqNZKN16+egObOv4ZOIWH5/ZQQoFJ1byCF9g1AhWBPswN6OMIxVG8v
B5y33eLpAYzNhcW7RwNzWa6Wc1jrltTa11SINrw0HRQyxxswyXCwnxpyVzZCkOhqZ/kf5SqW9g7r
xs3F+IRZ5AT8YwnwofZhEWJxj8iWNB0siAHHSWvKQ252iQtpbU/pe1665Xz5ikgV0rCFzrKI6eCf
qso4J/NtLfq3JEM6+vrhXs9za1YUWyBpEZDzwC3em7GT6AOQmFx9fF3Dm/CV/GMaalzDcmF67RGl
oddj3bmFLZq5SBJsICv6uLFq1SeLM3vtlyrX1VORTt5bKnHJHrVz6yygNCszGnNbnYVRSlu7Z49e
h0LuEXpF+biiJunKyBzvVGc3hqI7iH43IINZIXTxueQJBIw2Gto1MEHRH6eezgclMyH9LoI6To+P
z93Wy0FpFprVfHEhrbEYLi6VqZ+QLbqC7Cx/96mGEhi4Yzl2ooQc+TxOeT68aFU/obvvV6jDdDbs
6UMcqxVV2Bo263GQCznZed83di0+sOSxHBSOyfKOQ/2kjFMfCn+iS9WXSfa/DCKTXh7PfmMQe07r
SN9Qplp1yuTA05TCQ+tPKVTfVagUXqURdP/jUdZHYy5oAdWYzWb57/Id9Eql1WfgYmvlxQfJaO0R
967QAIIzRd/D0dd3LtP1DceAs5oqhRSB9sXiLMbIXJq1gtgePD7vQ2Po6WkI7eJjDm7Emcag+wrX
KHPtSNQ7Rf/Nqc4PPjU8oNnLa7xWvEaL5M4E5D6MZ1BjBc0kzXBVCLd0IrXXqyKg447dKjJPvIS0
qe+fjTG2DTr8JbBcrxvO+eApl6rrzVc/7UCq5mKUijQxMeDyvVVR2aRGZF4hL8PzkjX/KaumH7ba
5a9fPyRLKRTNu56O++IZ1M22i9UeRCb62eo7tbWBRTc1CrSVpJwmORQ7Vcp1mESnESINonl0jNHe
vV+/yuyiwIB5BYQAGfTICKvjgNKE20necJMifXRR7el2zsP6hiMNI+83eI14hpcdP4AZtjrVBT3V
yjYOYY5RCBuqOM5a8J8fH731AQe1CHxh7rDZ5CmLKixgn5bxB+8yGGHwoav76moVSr9nsLUxI4bh
iUVujUVcsoJHrUHgEm7fJbd0qXAlRckPUBKH9iCr8V4LYHMw6l5AaOcTvlRLRiwZV+k09S6jbCTn
ui1wZjJK7xIo5R7S+0/f8y52QLOStj4xCcVysaKvKdieWalRBTdptMBlBshzmEe5jRFCqka9+W9M
i3445GiwG45cJWgRtaLJvmeTHWVH3xQZWv7DUH7JRJ7+6jOKTqd2asecSkOS/wgYF65Y2Zeeq4vW
TNxoKsE7D5olmc+azzdTHd/HudZJpkg3EToK28TNsxx53VRFGu0wtbHvHXhMxy9a6ZW/+jGOQDUC
7GqRjwLQwc0+Imo8M1pdDTUu/nDK+uyYtWbTuUXvlc9CmihxpZOPT3w9aekX/gIKWVOVdb+nyK8u
4IqEcggyW2nB2LUJhA95il+GyYIG88oNOy/4bKdDZ5ZK4zJngoGYZh5eSDdvqP0DrZ7smqkAHB6P
stpCgGw5gZxBMi6QhItrRg4kJAqaQbrWYMI+63KhHZJJad8FHm/646FWJ/DPUH/UIhhpBVe2AmQg
hACdYVZ1eNS6Sn0zZekeiGBzFN4B6kmU9VdoxClpWwN9D4ppfWKfkZCUjhn8tZ25rF435FqQL5lF
PiFarKrexWRXUWcJ70pzUT16ZpO4iqSGXz27jW56NYR7Lgcb34kqN6K5M/CNB33x8NAKq40Jt+Jb
F896tbVsnj2weE4QdHtZ0eol4CIhUSYWhEuireopnV70yWBU6Y0+tB8dhNrWh05p8Ka3QmhQB6HH
MP6ayfz4eH+sYhXGteG8I+esUQtcdhJkkWtFkcDamlBzP0JEQ45Tk5NnraOjkClRferKVn7OkrTf
AYOvFpcmI7VHUkCu7HWte0hTiTaXSG5Zwx0m/IC6cDcloAaCZufFW1cfGYuDTQOIyjook8WHrA1K
0DmyEHDT4Lw5Zkg5uVCV4RRlhuE7VMnLU2vk5k1FLxABzaFsjTelrbVfXr3aGAPNeFGyGHuVCxaS
CP1EleKb7bXV20CKa9eI4bQbsfcrVsP6k2wEIwhimI+PB14dUBYAWUbKI5QT1pVPdGG0sTCsmO2F
nSbOyPrbpsDl6vEoW58UGhSNQ0i7yBjNm/yvMlhGISmScSa8qfFQf1Lktj+p/ug96WLYE+TYnNBf
Qy2CeiEVnTl4WnxrhsI42Ao8dhT/vZ0bZ+N0zEJxM6ObjBARm/sJoXsSFHWTJbe479PvhNPIPBqV
dS7AEV/1mYULHErAhSyNNvv8eDFXtx2f7O+x5z//azFVbewq2E/xTY/T7KhlNroBNFKI5WXFCVnb
nS2ylnqZByQq5LpDKZz9cj9gXmLXAusgvllji/mUqvrJNaKf+QW3sDinUIn5ilM3QXWQRw8MXkNm
/CT8fHoL8SLdAyRs7SX2IUQzIJTI+Sx+TaRPfH1YDbdqbAvVMQcrfMstXRWOrvXtp9evNWZUMy8K
b3BemfupJzi6aPYwxZC0i2+ZFvqnIPJ6kPtVeEiUIT89Hm5zbnht/BELIhlcbF47MMtoksb4ppAW
3gJdr11sl6RD4BtiR3dtawcj2wNiUwFrtqp2qUHp9YHWxTet0grb8amOfuilfLrIQQvwvjd9zKGq
0PCGA/oJ8ev38BwiI9HHtbAGLVBrHAdRhPFNDifjRPXyF5Kk/hGKZPshMqO9osXGusLKmOXG5nxx
1Q5Res0aE71Kbl3VNe9t0eq/S78v/y06KuE7x2VzLGTGuFCpfq2aqJaY4qA1iuTWkGs/ZZ4hrgqQ
v2srxlebPkMOnC378KRFjnTVFc48FEUob3B548bzbpL66WT4KYhpqVTPj3fmxrU6F7VnhUNuvHXp
IusNGQp/fEsGEb0fRGhd/BGc2ONRNtaO8isrRw0WybRljU0B1m8gkxHd6rYM/h3rpnSbBDPQrq21
nQmpGwcA5AfPLc4sAFyXR1sKS+hy5EO3nrKvhLZBYVbHvOcqOQ1p0oGpQggYC7IWeXSHRqDxwyNP
wmKm0uRvzdT28QFR0zE+UsxGPxjOT+gGTW/gjSR1te1Uic//bwQGa07awxzHsNKKjoSoI5U5FXSY
awc29AhtDNjwfp5qv8qg6qMTKJEaGbTG8vKdZ2trfUntsT0AoqaAXri/zroqgIeSZtEN4ecSmYRk
PNrZZD0Hdf/+8ZfcWl1YWHB6UDyBOrq4ySQLeCXWIxSca5zGTLKDszUY8blJRe7C309dDf8VR651
7/h45HkOd6kxNNYZqUaOCjR7Vaclfay8VM0J/LsIZQDao+hvxP05gh/tpJnc7cx042QAuYGSqPMi
rbtpfuCNgZRLwa01aMfkuTd9nczB3gnHt74c8Tg9XYpCa2RUSsl5Qjw3vHlTJ12jTu1fpL5qzxpV
/P9hKIPN8Qd8TqNw+el0IQnfl8NbD672UIZ+dYqQCAId3O2VTOa4b/mt5jyDgB9frxW7VBpbOqCq
F94SPZL6s9FoGBtL9CBdO/fCEzKZ6YdOVCh9PN4jW6s5y6hBJSeAWzXhy14xJz+yGDeI0gOKa8O/
qTe8az2zfPkfRuLVmRuPKNKuYidAc2ElRHgzJYC7ME11F+6u7o5Kvhdkb238eQvOhhcA95eHu+lb
CyjgGN6CcUQ6HmmX7wlauK6w/fHJLFE+eTw1Vdv4elRfCYwgCbBdFrdJ1iD5kiV2fDNR0vyqjZn6
pTTj+INciPSLKNIArkKJHHWIsGqHY4+n/s6laPpoTUEmuzIOHaNLvJMUB7Mrs+tg5y0F+DpIbr3f
pAA9IrP73lHpKg6NXQ6GEw8CGfZKzQVmYJne7OyKVV+cmwNmIPR0DrSu/2G7/RVY81bQcvSG6Ja1
VnfjGKQ/C/LeH7kZVVg0TLqF71CFxx+sWeuz1qN5vvMobd0l6PaiFEp3YH7c7+/nWlgDfDozuk2T
yL9ohq+4eezvWfBunTrgNiAt/3iSLYvZqhc3HciE6CZVY+aoUQgHNEw/I01RXmxsKV3YtOrl8WbZ
OnGgo4Ekwn4iOloE0hMtiRp5lvjWmdKPyC6Vt0UcBRc1adodjemtY0Clnpovzdy5oXy/hpNPgYKA
K75JSAx9syRkPWiL4zwZZVP+1MMG3JnafB8uLzFQy5QrCNjnGtT9gIHdQYiZpazNoCqeORKja4dS
c0AuUafJ2jf/aLU0HpOEvft4UdcfcvblpXw+g/XIUBYj11oNkijnpm7sHtiGUvROrlnD0Sq9yh3a
dnY5FsFOjXI9XQYlj59LoWh/LhuAU0kEg6QCu8drsosq6T9QS9PdZPJVVwoS8Vx7uTiodpfv1IXW
QJ8/YMsZJk4EOqsG3i+0NQqtChF4muWZ4q9SpyfCQW55muCMaOGRRop/9qMqDqGc2FLPvSPsf7y6
zt+V2dir8EvkXHVrSCV7V++6Wzv/NAQiWRjAbKv+ml/SAiMpJJ9BDvUfsxwy3xF1Enp0ULrsl2Jk
uXBiTYqe67HJftBAJSDSG1X7N9YhyDtQoEBxPN4d83Lc70t+kwXAiuoO0dDyICjIE0lJSzAtpy1a
Ul2kn4zKf7WMAjMnypq1d7YQx2YWtRI88ojKVSpunRQjrFxga6Y6rW5jUv14TlubjxRubh7NEMUl
bhsBptBqJa7oOAilN2kyi5LJyXAkmZTPqayNJ2gy+hvdCvKdsHJ9gTFPkinqvtiWrzWWMbVtazxA
b32vyxeE0L1DVfKMSUqW/w+TpA5IYgwuhBLz4gYrtRriVTrHen6QXoMqFyFoNVvSD2Dws8EZR8/6
p0Tz6U00aRCQHi/x+v6k8Ui4MpNm5uxxMboP9hKRsiS8ldpYuzjUxR9M3wycKe+jM/Itwc6b90d+
e7lPdVQT5iO9IVuEKtEYohIR3OpOi96GatPnbpcXWeP0GXSmQ8PjVPFxq6x2p9wqCifxTP+7Gdu1
dTStdsivUVyP1YvsZ632BHgY0c6gD/t3OIY01pcu7KXmSM0sSt9OpppzK7ZeiqVElQrpUhnx4J0b
9PMwuvJGZTbsoEd/Gkq71o5ph6bWTdM9+FiUKlrNmZqufNsbXQQxbkJ9y+HV896kcZcHbm5NxheD
nwW4JkD7HdWuXH+L73aAnpg+QYL1wyZ/ScwwMg79IGn50c7LNDxWUzLZjplU1Mx83sXOGZAWFGfU
m9AW7EChS0w6zHO3KOoK8mE74vSLZV/3Q0iU7A69GMzxLFVdwiEPsSFxM1SZclcVDdw03p+sP0wg
l2MnHLrYQBlVdCosBM+wTmobgrxLCjkdOL+BXtBgTof21DZTVV6I47TPaVbIWKPHslccyqGT38tV
j2Nn6xldcJiaXtF2wuaNTUhaAD52LgMgZTW/fH+FYkMxK78WvKlxUdpOKjepO5a9/i7id/9ECKX7
9HjTb7ykqDoBp+FWARGyZAWlSj41UhlGWKK0quTq9hOC/0GC9pKv/exwP35JO6vYeUm3rhTMxyDB
za1pgPf3k2wby+Z5LoPbGPn4PyIbi0VM3p7L/vWYQW5pAQwVoX/4zOvcAFpKGRpJcPPxLz5xS1eu
HwvvTZ3LOyu58eUwRyAJAW0yvwyLR1pMo4nXXxfeZLsQmtNWRvRCpmWcm8FqfohSlnbuq61njno4
TTg8ptYtHOyPsOQpy/A2pticO5Lnl8kRayLcsR/vka2ZzUoeYPbAgjDB+88lG61Br0QPb/gtVW7v
6eWhVcrGoewIhrsb9/CIW9uD/hvQForcxBaL7TF4uhoMFpg9TZ6KM47BQBHjrn5pq908fHMoJDxI
Hc25GbwQeMCiIuzkLIhuhtx2bzDAC29KodXHcTRe7TrGTiQLIMkBdEjjZP4pf53sbFSwrI4GVjHL
9KNUx7qDEHB1DPR4L1jYmtVc6YLFgK0xXZr7oRrDGHBVjuedMRiWK/VDdEHr0vNIMlNtZ3ds3CAw
GDQyNyits1zA/WChroxJCrT7FmvIo2qTbbVOingm0pdWcW7GNnlHHWOPELpOWekZ/j80F11cCNP3
oxZJnlJOIB5KBz38QVuqPMa6UgIvF8OUHuleILMJNwlZy7kW/9kHX7sb/M7ruHjAgV7CRsXYZ76w
tfsfYcoV7w7v5w3Et0lJKiuld5LdY5CGRUryZDZIo734YP0qZ+wAjNKcT4vPqSynxBdh3u95E2wc
VBVgDKnJXOCliX3/ewYFIyMjzMObNWDATPVjcqooVx0RVPHRaLzp9Phi2GiQzaZbePiyyai9yIsF
QDIJ6INJyBSoEbLD8Efw7J5we0OL9BCLMr4YZl6cdH/yjxi1RRSbW+82WdOee/HGXQi0nuInaoyE
cMsfonRCDlOLZzNKkvZieiL8YKe697/Md5YOwF+Jixc44f0CV7Q7a2En8S2ymu4kW6l90stAdwtr
Em9QVc2uJrxKtyEPcitRUvupFXXWLK7Oj1d+44RD+fjj9gedgFT4/ocknp7nZi+i2zAO/sEEU+rA
yJpcxGr2ql2bH9kAAYecCrSa1W2S1qGHbLcW3nCs1zpHzmtLHHpZrX4SIxbPXW5Fn3O8IC4iGJ96
T+1I9TIVkH5dXx/PeuOq4UIzmTZ3tcX/3s8ayjzByVQwa/QNL4RgSfeG7lb73mjD9kwyXv1D1WHY
u7k3hoUYKOYaGXgQ6tD3w/oNWuI5FdWrkg2G5+RY1aLyggXiqYILkbloQWX4yxUWggSvnjCoa7qF
c21szasoTNxpuya2r7pozJMKs+lq9+ZwlvQwfxPVnnYqkAjeGXTjLCH5AiFs5gSsq4HaFDZmkDFo
qOT+CYxMcjQ6ahyPp7axgy1EPsE6E56tK9FeXFn0CSF2RoqJCFsZ+YdK1051L3s70ebGfJAmoAw9
c6T0VSUaj4TASEHoXQtQF86gVer7xo/2EGwbiBrIx8yGnIRK3ypDryE6NY3qozw2NkPv9k0pvUQY
WxEx9X4oOVNbGPpbuYiq8ATIuywQP65z/6mksBMdX724fDpuKKDIM0VgUXSURsMzsUQBtEeyeMrT
3Pjcx0hyBubU71QdN+YNd5ZYg9uXAufKUpyoN8ky/MOuRmZOT5ntTSPvnKL8qNV0Kt1IscvmWBST
9zFErzN2s6junu2m0n4+nvP2DyFanKUUNvqa6EwHKJUUs25P7h1QhAjdqgK64FAo85ALqpUTJmaj
q6IMckghoTgqEvK/Hv+K9bZmNRBfpdpLuLwqpY9lLoqiKyQEtgp4ZPweZ+BacUsBp/XxUJsTZqNx
Q/ACr/l/IDP1oMMK+BpTv+FG8kvY7mGueSiwg564BKLBdysPEJzH1qNDBQ+H3epWVpZaHHZ+yzoU
moU+CWW4n+n9L0NOhrPjRgif3lkNahXhLeNjFEjJu9Qvuv8i4J0XWk/6y5hU4xVRhXQ6xhLEeDTO
A7/bWZl1cHj/Y9T7C7tQZJLnafRvaiZnLwFA4tjpldF8KqOidxEHt45o7SSObfnvizobdy6czQ9D
NXSWQNSg1S7jwrIutLYbg+AWkaIdqB/GjZtVvfZj8EZCvyQu7Hdjl3snHz7yC3739o21kF4tKjEr
eAHTlGchW30VnUU6m9E3Wv8WC7O5pMJA4nVKcLvZuW3WYefM7EWMHNwirZXlt88b0w6kHohwrQ+4
NpsRuEyRtydE2/FxoF754fFm2zpjkJZ5kWl48yovYv8AQbZJtwdut7SQDvVQ4No+dYiLxugqvX6o
mTsCeGa2Ll1GHJnV+ZnVc6dEQgodn6bewbem/FudyYgh/Q9jgckEKahxgeja/a41I5GlWRb7twa2
Nw4TgCJFjTKTPIq9dtvWCqKxTQJFRkoTZX4y/85FYwAEQ2BI1y6Rgw8BJgefU6Pv3uFTYH99PKv1
60uHFCmzP3gdNE4XIXPtScDb4bXfSr3rj3rh4a0UJ+lOZG5tDUO5jKoSlruzXuP9jLTUF7nXjyg4
hO0QnsxQl5u3YzAq/vtGKO2XsIoTxU3Nie5zV5TN99CnMXDufOxI3CC3c+HyQIxoMNh29Ckdhzo6
+R21YqdsRvnnUPF04hKOA5KbmzhauwZga/1cEVlMBxThqFzW6EX/xpMCQB5vEZo3gRYOkZtXCR4o
TS0h8TWZIgxc5Pas31nVeaQGQgzvMY8bPIcKUTI8l17OdpatIWvcHnk5csaoMs2Lb8ml7nZBYGQ8
qbhwtjoZ8BFbBKM6gJwf7CM5f9w51jBLhMrqZH2OcOFIn8babq40/pvyOOqRSA91rOiXxMzw1izN
IoguU2xo34xEh2PqoVPmHeOhS6ezmfRSfVSavC2eC7lIrCfC/fHi+0MWO5IO8EqTcjDRI/Ky/1QW
5LxroFXVT9JbOzhKchG/Vcum7NEgS6sR4fqoaY+NLGH44Hlhizpw6pe5U8u1/5GEKUX+yw/VysGq
pg+dLFNQg5brirpZKOn5d2r/+Dc/3pwb5wA00Nw0laGIgfi+3zVeSDtYDdAkiPQ+ecO7Pquk+UA+
JqrNwc75XrdwyIWBy5g81bhV2/OP+evQeVWVa35WhTcbXfEj/YTBwUJ9guchN0cDRHuWJuFBMYO9
gdf5C8gZKhBzLQ3K2PJiwQew1SrTwt1FjuN/oq6SvvRKH1kuSVZzHdKYt7gp8Ah5vLgbrzDsCkGR
BiEyWV86P1la4LVlrFPlDfL62WJRLnjcPPewjXEW0v+jrSmdUeqkEJ+35c7FvdEzpZxHeXmGNnB5
L+8dW0yKnjZteCsEPBkny7viPAaUgZwWVa9LXelw5bTaw3O7VKf0Gzij9n2r2SSTRodk3qBU2NMH
bX95vCobW45KxdxoglZDwXGxC8wUIl1YyaCmciM48nSSP0Yt+ns0xXZ299Z3hzzNpUsWwLOyGCqc
cl2dIrhSCPQbtyiaWjex01+wBXMngoZ2pGe815nfmh5XMHIAwBCoPS5S9CAa06S3PN5mu1BPXCDK
1as06SmSlHbnzt8aCukUkshZtof8+P48xQ3wMwIstrVCu1XQ+zl0ldKdhjgbz48/2kaEQz5MJ5nx
yMOXK+n1tgU4RecRi0YsevLE9p/6Nu8a2u5Rcw6zNJR3Ts/GkLQj534kqmD0FBbvpo+oZNYaln8L
4iI4RrT8P9F/8k92UFaU1gZp58BsbJa5yUvzQkAEXJW28kjrqWBI/i20VZ7odviI2XP+DVy24U5c
k47o8azameTmoBAuSWBm3NEyUE6Ag5vGLDlqhGXrVp1qPEtjRvKMAbw7+lbjDkVR7XBfNkIF0hRq
1QgDoLy+1MUwKpuwziCmG0QeYW9GSdJ0PQ6EuTO7rU84RyPEqOSkwODuN6iCapHRGDMHrJ5Sh4ZG
4GpRbh2koRrPeZhIx8e7dHNiNpSeGUk8EyTvx/NiL43MmURXxfiPmVaGAV4s9jbKxrEjzAeoTjeN
qtjy2ElhN2FEZknXpM7Ucz+2mZtPmeXWeB29/tjRIYSfY7ApSekXJ3wcRrtNbIbSVT9/20sQPlLN
/oovm3XMbaDGj9dv63v9NdxSZDICw2zQHyZ3D2y01wOhnEctaw4iSNQj6LS9cv3WSgJG43EUFP/R
vLr/Xg3GY6PpDfZ11KfeUZU2vwX+oLttJzU7WN2toQAlCxSjwXGQHd8PNRbQOJRKt6/1GM9zyYuL
XgysYht0x8er+KeRdd8VmY/yDECjv7vGl9cVZwvXR8j+mZpdjKGvW0AFUQ+le9TeDrJHXNfHlR0f
E1tEPyu9rXqnp/QMUKkdOZG6NlrTpcm02ciM5Nn4KIf21Hwy60Fvjnrkg+1Uaf+UhzSfZPEeeQr1
bGWx+BLpeD+6AmzOmyDJjI84I4ovTWQRuxsYe2rvKMqZ3olnPv9ZJFrauV5nNW89ciH/B9od6CDA
+yiwORsAlrnolAThwQTDLju95Fm2U+hA5B0bXIX1o546NLoCMMPfwrZqRicRvaxfrSqTe9cL5e5r
jE1Te0aGXfxDPY5HigwliQ5aEJAJSYqPBblZY7QnjWb0O6V0Tufo8cfYiDkpQ/CfOX+d5SXvv/tk
GFDoCySPAzU23iRo/x5GZZCPc4OI5IOkWQIk8gvlt3zn7G7sOIquMIfQBEKMYHlN1AoBlFwqXEae
yE89f+OQBDX1nlEML48nuVVvmWEEhLizUDmZ5v0sm0JqwJlp0lWaTOMykttCEZPikfiaHSglo+Tw
ePVuFRj6s55p31t0wV5dlED9Fnw67QkdWsqySZBqYdqKDEhi2hQ2Tjpp43qVOX3SmnjaearX9zyo
8Tk0oBlCqrtc2jTVMxz9aFX3NIYuRLfSJYnL9vfjVd0aBRVA3JjnzviqyiImMDwFrpy3obCUp3zs
caxH3nUP86Wsb10cxOBkAz7BFxFy/+LjDZiYtuCsQOtZ7QcFiMv3uBsmwxXZkHQuEGtK6EgDN89k
s83nJPAndDygxYaTYnyHvBr+F/WVDVhZDj6N9SBfZiHDz48X4w964/5So8xKywkVEYLbVX2Tck0C
9b0Pbt3k17ecWs3oyG2Q/u4ky7+QViAsoEINfBpRhCfvTZELn+L+WESSeRAdnpGd2RrPXWBM18c/
bX3Q5m6NoUNPmnscYvFIBu0UDsic+jd6Dd050dPqIrBgdjNDebVMJoBKWANAflXyZaT67z+VJVm0
wZImuKHzLR/kpI3PUVZ6x0SL9/Tv9Y3tBxwd4jzPCFjOZYM/IywAEUc86kP6/t5RQkVonTJjfPa0
tv+O+2RTuDgOgW8uhdc+A3/pOge0T/PdoKzRPOFBM54Hve50IGFUew7DZKs/8I5MxXNgQZZBg3Cc
hhPGrw2lPSkvY6fstPqTn6ThFwxT+8DRaPNeRnWIkkPke8pcesmHb7YAjHuQRdu+L2Ys9kGDE0/9
R1LK1E3TAWMAxReFgDwla98bejCUfxM8XLHYtuzfQ5/jqtuUhm/QkBij0lW7wfKoRufhxzKA07/z
CGzskBlSSYZNNZqW0PznfxUeJDpeMWqmwS21ws5Vhwl9R2DbHwYt34PuzJttcUzmJjx6hHQc8MRY
bMbWToTm2aR/UxZ9U1otOE+SaFwr1aqDirz+exs2xCGF2eeEWTMeHh+FdToBH5CCA+0+bD9oYN5P
VAFxYLUJheFKi+VDWtnNARpy6fq27b1V4YUAayyjndt4a8o4uKNaQ1rP7b84FH5vprGkJ6QTcmQd
K/ov18ZAz9VFx9t7yTxvBJTipd45KHLqCmVbARF+PO+19xU6EARdoD5m7Cp96vuJ58qoloFMHjUF
XvkZET6tOcy6o09KQ4bsoAPZdYcwaZMeV+gJ3Am1yuaWidJ/idRoeFGzQf44CK0JHC8ZqJHkucpk
0DjJfiio/O+phK8O9/x7oVVSAaEMvbKgUyYjGhqwnVcTTt4HuWrDb/hQyztM3z/Rzd1uZJi5SSA4
hDM0Sb1fFgIsKSkNGw9aSwrxKwj83ka+SEONbaywFb7w0FgT6NdQ8kk3vU66+PgbNBdVaazvaWhr
wQct86XuALNRfBWUPys8mWpbu8RZTE2TT9yYx15GZ+ZNF3PyXRGIKvigeEMsXGRFDEBIudqIsxSG
Uu1i0Bh/zwa9G0HjC6ydxibJEIOJYyC3wmzL8hRowsth7oO6d7BkmX7DTS2xCfY8da8Fv/UVUOWi
ZQovUl7h+iQRKcIvqZkjZRNcaUmPN80r8d5+vDtX1w9fYfbBowYleED+RG9/XT9drfYiazPvWtLi
+q8VWvC2UJJBd4yQNPx/GIx7Z1Yhkolalmg0pfMyCSVj75pEXYxD8wT6SU3SJ0yH9hKdVWzNvOjv
wcogvp6pBve7a/LM1tM8hJzHkKStN/L8mMaJdRzlqXuq6fCcpSwugQ0be03m1ZXDyHBf4MtzhtfY
iS5Ih1Syevta2rg5OcUYi0tIRxtUTlC6kkVOpxq0O7RUTEcEDPLr4y+6tXEwlgBRC6yWK2dx3fTK
BGa3re2ryLzg1hPTuHGM3uzjUbbWF7MHAHazCgyR1/361iKk7uRJgF/MyvQdLx8Ib8jF/40wy7xI
Uv8dLHbtQid7NX6S9SXgnZV7eMqQ0bofWcrxuYks+hmin7RzAe/5PGAIgxFbkb02TZpZrSipU6eG
3wPy+36oWu/kPpv3qweJ5ilT5exNVrbmqSqIWx6v58ZXY6vyOtJUoma6BCiPs5qpFvJQWX1Z/1Nq
MGLgdnQ7eJCNr0Ypg9IlTVNq/su1M3LsNwfd9G9aZ8W/fbXrz1mHGfmxqHr726SkGveayIJzGhd7
+LytGc6epmimI94DlfF+Mc1YsqwGwfBbkbfiLGut1h9kHXPaw+OVXKUsfLRZDgAtQwqmdBnux7Gb
Kc5QWCbKwQj5SL/tMqXd0Q6b4UIKv4et2FjRObaASzsXb1b3zKiNIYBoH5ClVpSw6Uz7VLSjcUxx
8/uslWp5Va20+trgtbmzOVfx1OznCYWd48c1t6oaDXFuW4FMxyoBhUZHZCZmJEn8CXNx7U0yVb/T
SvX2qrMbi0t5VpBk0AVfKwKNqYEjk5kkN1wcC++IDK9kOZmV+7Vj9pBejk2dp9GpCaNcu3iDUne3
FLYMDj9d4H9BbyeCKET68F9tVapwOj3MiiPR8fSSqHYrnKTO68bROrapA+jCPyvSYGhOZVfC4hoT
8vMAwiC5VZ3RFLc6qLzGyc3GUt1QTtWfVjpiuyjZ4bUr2kp1itwO32FD5n81Jq//6vly/zv0ZS8H
LYAtjhM0tvof1hTJv1nqh/7RqFs5eCfEWH9rYqG/oGU/vTPZsD44JdkAnpRM5afH+3XzO3LuIcSA
qV9J4ZZ2prR9opK3BRES4emkNIqD7FEvnBp8jkEVN7RCd4jKStu5xDeeKkq4DAwAD3jIsiwy1VJo
0xMCCmO2SXNOutjH8qn2dfGSx3X1lg3f/5CwlntGQaxVn8rBQwL88fTXJEX28Z89NUuXcTkt3qtQ
0ZK210Lw8FHcxB/mHCXA+glzAzw3uZacdjCnyZU8xf9Rp8qAzAe9lgPEmZpUrjS7jxMMrT3+xrps
xc9CmQWCCvgSVBQW1xWVUc+vG67KPKvr7shAdeF2ZYEJ6IBeu+LYqRKKs6J0RePWYykSqJWGjgAa
vfodzNLWdyJrotpDxwUT3cWTp7d4SxQ9qZOKbfJhVoQ/RsXovUsS7Gi81BCOLWXZIRww7o3R1//v
8Seap7qI1LljqKuAX0fBYpnAeKChqOGk/i3Tq9KxpFE8eQTVO+dgIxKdZTmQnSY+JOJd3NujhVge
nrSM4iPKh0NM7fwfZ2fW3DSyhuFfpCrty61kO3ESQkiAA9yogGG0b62lJf3684grLKusYuZqCqam
3a1evuVdZkY5yWbeuzq3hyIbBYvOsq6DF5pPrRN6gHnmTPeOXT+aH4xUk4cMEPXx9tptD7V0Wxcj
JF6ky9eojnqimDQCo1TI7pAkqnkAlDL7/dDvCehvblmEYBbkLk3lq+MsZB7TSe9o/pRLPTnqy6MS
GtZHQynb5zGpunOiljnlulk9daOGKa4R5p9vz3fzOJNnk0kAXbqWWGnCoYC4RyDTg+n7iiJ8Qgzc
QEFv1Rx5PgSi++JuBHmA/V3G9fZu0mQ1H6rIkF8pYCmer9ulke7cMluXLDvYAHzqIt68RiCpWTE7
3CLRA2/b8COuhxHXvzxSPzlh1z7moH/PUpdyD2XxW8p1dXQo75OJLEg/nsxV/UELtQEkqgJptmsg
2jeu1/2osPD7Xo2T+rXU++Z1mJy8fNXToUr9sFF71ccYOZ2e51yQlHpd57yOFij+eaqa3AckpXx3
DK6goJx77SMqWTR+k7KBz6AaUjEDhUPWH1yU+agqKLU4DSAN3tWmx8PayLqleYaExVuaOLn1YGCT
3OKGJACcxHPcfkPpucwfC9vI/wHiP5D55059NCtMPXH1m2kE514c8+/0Sl7TqWn+UVLIMkGFZSJe
glEYW4FWxKlxzMoqbLkZp+p762oVInDe1Di+kxrFC6mhUn2BqlA94qXVGm/RPGbHwmzn9rFpx/Rn
A2X/VxLF8p/b23PjOF58j+Wq+yPdraPJBYjI7pRW9l0fEuc4CacJSjOb7/96pEW/bPGboglwlSD1
E4mTJA56mEz8gawhkvelHJxDmYzWTv9w+dGrTfZb4YELBjQkqkWXkyrbxnUqpUseBqByj90cjoFd
ierw1xMC60YuhAiI6VzpHIBRzmz4vbDxmrD/nxlmyTN48uRUSrkngX7NalkAKhxTdL3ozpOwXM4I
IVs3bizUHGgrN9+hHczfJnqNn0Gj6W993cn3UtTFd60Zkvo+UWNJ9VYafX0EvxR+uz3vjauDd5eV
Ja33+Dmr1Y0tSENDQ3yCTZB4dpGX8fUscU+I4ztHQAr6F8/K7Z1PuhFnL7X1hTAFZYE+9OUCCA9K
fVNp8UMTleUR30Z8MM24f4560QUKVqmf/sMkF83yhUrEa7WapFpZPRIl0FXTJKHGJN0yfYu0EoK9
RC7iK0YJ4+ybVKH2CIrL/3i9dyHQEPjBUVhox5cT5S70lBp5e+SBAEL5RunOQTHH7uvt+V0jzthR
5CskLiadzysnzCn1tM7Rp/hBxGFk+HgpDR9Vmmj3WReaie/UUf6iULf+2ZTheG6HOo99uwWNcpSF
RO+tU1Pt1MxDs/OhNy4kdhUYCpaA52GdrUY6rpKiB43e6Vr2LBVH3kn6EE/ZnO3Jjm8sNXgGCiec
HlqU642cxwN92Bpitx4P6jdH6MapmzGMvr3SG8cFVguf0uSyoLu8+qCpmoDu9xY0ls6DMxrzIUHn
dFLTKQgz3Gl7p0oOt4fcWEOcL3hmKflRYl+Hc3IsJV60HpGjlecH047UO1vDu8DWi3jnVt84l9iQ
IaC4KH0uffvL7aoj16CosEofarRHH4fU7Z/nJEUxKifq706lUum9f3t2S4S4OiEkhfR4CafYuOsT
UmN+pkUaJ0Q1cvGuIfJ+ax13ekT4Q32IAUE+WnbrKoihp8oeeWBrZfmQQEWWowOV/XK6gz7bDvRh
yoi1UdyZTvJ1aJTqRW+aX7cnubU34eli47mgYK/4+eBe1HZYjmdl6+l7nFW+qzgz7KRRW4MQ9NPM
XjjBV1szrFxpzBQiHrQ2LR/HNmzjY2yYYs8xe+sI8BgsXiELz3e9SRRLK5MYAORD3w1vDWXoO2T+
nZPZ5YkAb63WQSKwod/ZJ1vfilwVVjkYi2vLOruMPWlb89L/NcMXUcsicLUxPdnVtAfS+521rPck
8heU8lCr42JdZTWYWxpttKiJ4nc+hmh1tE36XiDP8a8wreQtn+QofWfsIvNgUG90fHoY3UsdFe2b
as/x1zQdQhNd67D+3uKq8lONov6tzLt2QAvRqhtferWzF4xff346l4v4I3LlhElr7XCOkNlOxZQ/
1Ibb+lUfasfGDfeEarZGWfpmyPIs1svrpXG9nmDXiaiQyTI5pIh4Hqcmq4+3z8v1x2Ybw+6knIqx
M3X4y4OJdssYd12TP6izncNYVPM7IbT6nAmMKW8PtTUhavxUAIiBuIZW3xpCWqq3UiIkpmA7WOdt
fRSwG3ZktK7PDF1wKkAcF41i+7obWExdX0RdiixUF+vg7bpmBqODpsr7sEPE3tdrIEvHAXeOPdeK
3znY5WZeuuLw4ugT/W6MX66lTTIVO1FSPOhSh0iNa4XuBoPei/FQjwvTINVgNCHcVUZVe0c91rZ9
RR3V78hq95/KHHjBQaY97tO8pjbNpqEtfjZFp5m+0kRR40M1GaInr0pifMJw1PtFGXJ8b8H8swP8
I0E9eXHy2mjgkoC7ewI4KrKrCPp1Wo66e9e59tGJoAkcZBzp0x3NNdTcknweixcLjFweiLE1RSA0
sNaBK/C4oZBamElQ1ar5eTYqnOUHQPe6n1YTCaCZC/fRLS3++PZe2dqWwEHBJBGzXqvc4SCI9ZSh
8zyWXQrcZa6POqposHIyb+cy39owVMKoEy2KvPY6Qq7RN5WKgWLHuMhZZKzRDzMTWKI5g3gTTaMF
7tj+tW0ZjyD9WO5YqnBIyK6e/wF2gtFkhMmYbGj37YQ3qFp5mi9GXTngfNXsnL3rwh9ydiR0iHzD
VLwit4tWdGVpoYyruZWVH5IsNn+mwg61xTc5ywBg0m9wJq+UR+RanJ961Hh7fM3r+IP6O6hzXn9I
7lfRVZPGcEHDRTqnTsswGMIp+kgtOn9sJ1k82Z3anE1dADlCrXyvK7a1n0g3aXOw7NfmewLPmkmX
jF3muRcsVlG+F0rTt+Z8r+C7dc2BIKM+RA16wbxd3gKZ0pDiFOynUJ2xNXLL+r5CKW7n3r6OH9HE
JpjSCXVQcF9voHyCwJ/PNqIkShFUeVHcQTqNfbUZpwDYxU4s/puvsrra8DVYklampOprL7EozTMF
smf6EOm9blJYiuz7FJTkRzcu2/C43AaLl0WLRbs7UM3xRZMpT0OBAYtIkjwolb6p7m2pSDsI48R7
TNWo2IHo/HYgWv9ILn1CPxT7eDhXh2qMuPGUsecti/LZvZuBv4CEoSOgHaJOuskTjLpIPTZ93b+P
QlDGAbSToTomfZ1/XHBu/3r4Bc2PtppUZ/gT3Qg/U5jfwKilztHGjTg9qEPi4tWcq3V1zql/KQ8e
/olD4CLsWgehO2fjsQjtFn1OYpM9pYiNvYVOBIL2KAxRGF3fVTaVjGTq+Qxa6eUfzcL0fCM1670n
dAFjrheS9iqCU0A1MZdaLeRsJPWC1VPOnivG6SGp8kTz4ds7ne9mSikeacsiWtwnjaV9sOrKVAIj
o33ht9bi+qvjYFT4tTLJEH1/tXwL0YOUfttqpG1jr3aUdFuzP0h3cCtfrxBuOHk9Pk5BiuAu0l3j
5L4jH8HtabJrdQ56NUt+Zp3Z04qc7R9FPxuvFlhVw9cgQiS+2sZJesz00bUh4ytWe2hz3G+PWt/Y
iMcNtHepsjjj50oYBfxKOUX3VWVJBLMTTf3W1En4q6hD+1mzp4JwElbyx0Tmxg8IJq597kqv9h7D
csaKqqbwGZ6mbB6+ijkuFJ9LvBoOeaSk8gg22PKenIjqoF9JqYiDV03eJyIsJTvNphafpyxX/3HD
0pFwK0X3o2gGxIwrbK4iDGCGIceTRU20d7C6x8+agNV5csNkUWJJJ2Mv3d2ojpHFANFiFhTZr7Rk
Jzt259oV3lm06CRU1EoPqSmiIEIr7/0CnHj22rSiY9aV7wql6w8dPZTAcXp95zb7nVmvdxxopyWh
WsSJ1/cL1TijyOTknoukMMyjFw0xUnxp24jnGd1eTpYeJ9Fj5nmoNBYd0UFAlpol9206CstHEFV6
d8C0wulkGDL90hZOgz5B1CGZZlGad59om0z9L1UTSQetwKbsXbBdPqk9Oqb3LZrN8thGCD0FozKo
1WuNRnJ9qrpM/ihyJ0dagby8eue6s/fOnhfdMGDm4gXCePrFrRWL4C7HsIT/bGz55V0xTYHSOjiH
KLrRfk2gMGSnwlE7nPUmsPr+HJuFfEVNjAMzhZMoH4YJaohsk74IOHFQwnNv0t6rxty6vuOxz3aQ
IhuBD8nFAu3hmBMYLE/MHyXsAdh+Oo+Vd9bVxrtr4Fp4fkeOdZAaewCPnuYQE+nujLq16RgWXiR8
PhpM6/ZcWC3eZkJxz7GiT35qg96QWVEdkrqnm9VXOTjSNgy6lnBU1Wv56GhS3BnttKflshGP8DyT
jvBbFkrB6qF24qlAM7nnh+DCe5BNNj/jh9Id6UVZz12vAhp2CudkWXuF4I1gBAUF5BqgjS041lXO
5YAb8Ix62eyqV57CNlWDtPHMkzpEezYQG+VKHip6hlRC+NRXpYoRFTph5hJwZDZ2H0zqCcCbXezq
/NaA4XWw4QV/SBPEhn2nUelkJsbYJx97qczfDF3URuMbIcawSHuGavnXCDMsEoliFjNpMul1IRFR
K0lDOPbOriLyY5YUaJGOstgZZWufL50z7jcg7Vc4L/6iKCZEr85pmio0twDOfsTBUyyvR+89jH3m
oGVmoWCxt9U3ou7FBJJeOzhl9QpBZ7WudLomVs5RmLfj0RBRS3RbeAgUTfyV6YupA0AeWsP0A8+R
8Rd3UffKvqG5WmaT5vgiNjrvaGuhhVSpoWf6IXTq4X8TQDOaeU6qnNxR0L9PyUlfb6dg2uavX7JZ
wm2oxWvgAuVkqcHIU871zE0FjpSetpXmLSABrTCfJiMy3uOTHZ1APKuPYxjB6icvtgKsc81nmXp5
0CqD8t4zRuU0u736Fk2tvAeLonwxzHa8ixG/2PnWG2ExhAVeNHJnYKjr7L/3Zqf1YiDH3CO4OM1F
fCdrs/iV4i32MSkUbWeRNo4yOlDovS/Vk+tyY5w12G92jIfTbP4zx4yzCaqhFy8Rj/6eSePmYBTE
4Xgj93QlMt+FMXn8oucxjX16oAQVH5BSQNnBmq3T7Y+/EWiirsTVuCC0QNquajVVJr1KqZkXjeQx
0Ga9P1Tokx9uj7L1tRaMMzua6fDdLl8gZkg4FZfkCDnQk7qB7mNSIrqD45HjPrOrX7S1gLx2VMGx
E9qop+LaKeoUGOZY2P3BIrI6KoOObHGLfOLtqW0OhTbyAlyA97wGI5lh6Ix5tEwtmbonTLzVN5m5
2dnDemdnz28OBVCX8h3ZJvDBy1XUOuQZnT6DP1sPybte8UaE5Jz2W6HFe1znvaFWH2wEgxKPUcrx
0svohFsHpTVs1z9FYaId/34BeRZQ4F+wrGAbLme1CF9LZDnDc2qqYexDKhUBhpDyfnS4RG6PtfFC
LDJqmLSwfvTPlpvwj0hIEZ2eginxzgUctWNrzulzXAzpwbHmb00f/zJbTd7dHnJjJf8c0l3FALKc
rQwYBGqDMDfhS9r6+FYN5JIEp+0ehGBrfpQLwKz8RjuvQ65mgdioUxWea9cunxU3zB+zpjUfSxv9
G0tGkkdwdnbqalszxEkL2SFaTdfAef5w7to+dM9KhYWXjTUTqd6snyJL7rELN+4RqHnASD2aW9fS
jVPfJVrbEVJWcKoPc21GB2l0YYDNbxKQqts7e3NrPBy8KOGBH19swy73C0bqYT+UjXfO+iE9JZ2c
/5Gt9dXsOv0hsQdvJx/fWEmyMyo9C7Gbl3j5OX9sz0RLSiXHbwsMfpw/8ThUQZF05R3aItXOSdgc
CvDx7/eTB221LccK09UCtsEDl698MkpreqbqY7/0Llyj2ydgA+BluTzTNJJtjjj35OW0LDuPjNkO
eWPADJ7GqVCCeizNwwgu407RnIlEBMa8wMv3WRh197mQWRnoWq08RhEV79s/Z2vmtH0XCVT20lW7
xWgYv0IU4zw7LsrQeAXfE9Mpx4hK7Q74eeM4ohbBzlmePZ6/VXkFk75QOsOonLu8mp5q5CHvtURR
T2KO8qNorZdRqdId8MlyM68S7EW3b5HpAX5irDVt1bbI8e6c0EBqy+joTWX2gV6E2CnBbS7iH6Os
ZlaraFAObo/imJ0m5OM6jQrccBK/SQbAS7e/2FYmCT4fm3C+FjHYegP1YT6bOBsoZ2gezvfZqK0z
Uv3mYQhhCBCKesZLg9rTY4f6wmcNkSInSGYDKFkTpqfbv2VzeSlc0K0gzbjKpQ1B8p4ahGb1pGKN
aDv5gxd5/c6R2VxeB9YjYhJot6wzVkVNnSgt0DRpDWt8cHNANC4M2WfPK/5Ds441hRJAmLTo968O
pwRRmDYNIFp3jIFg6l55nw/F2+1V2zwI7nKHcpEC1l1dbJ2ResLF7OIB8aDIn5xJHC30fQ9KCp1z
QMMw6LP4++0xt9bw98UNfIfnaQ2BBpykjY4logdzilpqg1DdUQMZH7IQf/X/MBQlLXxGFnWsdTJS
cX3m2I0oZ+R4YB5OWRHkrVqcQyVqd/bf8jnWxxtQhwtTDXD1FbCbDpqo1IZcDdWr/A5rJPXsyD47
Sbw+DkUv068kYNanLhr/Q0kacCJ6rNQQ0Y5eB7pyRF5YelwsYVx7d5VZZAcn6aedBsTW+SLBolxC
OL30zi7fiiyKNWm5HHWAx/ZZE4p6znQ923kDtK0NSeKoEgRiTwbr73IYB8ODovPM8KwIa478EhtZ
ULTdMGm+3eRS3IfObPyiQUYjVczaWB9Ei13xXZHP1lK3GgdUAd228w5IPQOnXfZGjJDUXPyjlrNo
j5Q39b1W0NaOpoy2lHkWh+11FqXrczxCkFXO5aBOyK6L/KdX6sbRdkbtPxxYB+g+XTwXlNS6cqVN
qpBoBFLQqAr3sMCo/MRW+7u6K4dTlmG3VuCVtMM12/ooiDhpi5sCVXp3dRWBbPRiREZiHLnkEFQw
N3wzLocjokcfbHeCrgAl6z8cXSRu6bX8Fu5ZV6Y8HR6NniJ26miR+ZZVIglMoxQ/0UH+evuS2Di5
KIFS9FaXCP1qZxfprNXtIjqmlHoU0U4wxSNGzNqzBoYUiRorKt7szqznO6Cle4nPxrEiN+WCpxJJ
pWd9Qzkpwo0ZGqcP1gj41kfLBcxmWkx7Mmeb41ADoxK24EzWwDqzCu24adENHkSGi9tgSeeESE74
4+/Xkn3CI0zzD4HV1S0RF7U+zeZAETO3GsR2w/5IVzTx6feGD0JLu8CLoAkmOcbat0femiClReJZ
TKeXetDlxaHT7LLbkDKr6IvhlYZWA91E7D3KWxEP+TAStYhZOpzB1QTDMm2cqVkkOOPUhtaSNK17
gKwwFr5ST4slgyxr51ikXhH6UFPkSPU2ljRLZqN3sPwtjXonmN2a+UKkBcMAWvOqmF25Y2SlFez7
wlSn55bqA4yAcS8635w5Cd4i58YlwPwvF9jK5aTWkFXOsCO0+5HK9INbjtUhsqF4GBiZgwctomfQ
N6Pvxf1wVvHUPPTSbXaqLZu/ZOm9I1QGxPCKZictDOE4tO45x8mcxxWlvhxeuJU0h9KeUCYSUd1/
UxW1mXy0nlL7WGulJU4GUAPXzxRbpns/afnsF68/bxZRPVWSpU7LBrlcHCE6OXmhHp7LHrahr3t5
cUYfPPT+nQav0n56KJD2Pq+Ye+4g8SX3CrxItOrxV1COojT1F5ml7md9Lq1/TUryxWF0Bh4uYus9
S4ullLL+qaDmOCmIhgJGXf1Uj+ttiBzBdrFntwlALYX4vtUJ4mA177Ltd0miO4HlzaO4r+0oVj9p
SWu6f3teWTGOD12RhXHLUbpcsTJReT0yQXnO8KZAwqN/Mcuu3nm5tr4L24S7nQ4AkITl5f4jce+y
zGkTO6FgWyeqPFiKF7+OEVSyoJoqQSmkS+uPty+ijSHJD6hNoPiwGBYu6//HkFGO+FjWduHZyGxX
HIQC77Mthsk7Onnivbm4Pny6PeJV+LGApxzKOWDfcExZKzu1WognYRstV1//0qC2duwMhCTHPCvu
b4/0G/K42jyAl0n4LDQJF2zN5eSsrIEsMsFLk6OtvDNjLwcQ6mSzGiT1OP5gw82a32JSgzVdXRbT
OUu15IdE1LM8KGUtvhuhQUOrMxrvV2jrU+Wbiq29szJpvZQGrSe/1ZpUC2ZNHWtfKRS1PYlBKa2H
Sa+RU3VapJV/aa1aOYEeyRFxqLCOvPvaGsVrL5M+8fVpDPFDyvT6k5UAbfV5fOOC/h4ag8dhaAYQ
EGHf/UCHWxpHfVTMj4M2g2EQtVe+KKlinOmudCjZgb71XhehjccSrSrtYA6mXb1D14c+HiAn7Pfc
Pi3mQ6jlGAIOZjN/AIHcKIFbenCsRFEq4j7JyrrkTxotPii6MIlmyyi78/Apzz+gCYfTi15Nc34Q
rgcgUjVqpwuSXlf7oJTAZBq1A0VYVg6q+nGufuoxGX0D9YIxoBIrw7skb2oozbS00A8dAT1Vhee+
GQZKezj6Dc6zgUnQZ1drKxdHldEJD0nlNCadVd3AAHFOx/kAi3Fs/EIMtLy9rIpE0LEugz9HEyLb
0Chi9+DGtst9VIR5fzC6Ie0P2GSquV9qs4fz6FjlUKP0SFF9B/WGr1hoxhnKTzL9fHsLXsWiBNp0
Q6DU4Lp1rT0wiM5yEYW3zioqw8dO0ZMvuaCzrxZDuPg3j6cpMfYEuX5X3S73/YKbY9dDFCADWosP
LfCRybKEfYYLhmCMMBtTOzQmHRno54NQqXWI6FdOEt3OZBsun0SPxZQ/4mSbtTtLcH3eL3/MEhD8
ccOQzvNxQPCetayIDiXYimNlN/pxVN3w8NerTemYOI68Bu+BNULBsQsOltTNM2zOOMD3UX3orSou
/DSbvdPMQXnXGXJPj3RjgvQdEHzgkllyweWK/WOCWDZ3YDAG4zxwbd6Fttoc5izGtFNGX27Pb2Mk
QP20RPmHWa6LLElH1JCkg3buMfUDNGKlr50aq49Nb8U7Q129C/SGWEQg0QCv6ewtP+XPSUmkkQY9
8s61rrxS7xAPmmw/em3iEUYa0d6jsDUcDAI2w8JtufID0EqzIp1PvTOCavZxjjszIJjQAi8NjcAs
5j3s9dVKMj3USKg/kCUy7OrZI9aOLfCWtFNCp/gUDl2I8Y5SaV/qclbETpngKoZZBkP+BIo0rxEJ
zeVamj12LDmSPWcrS5LwvsRghqZ3qRfHRkf4IZinZoz8ofCaiFsyzt+3/VzuhN1bC0y8B2QKuXoe
3tVvmHVSRi1xnLOLn8G7aDKd/G7Ahqw56lZePtZcoTuRxTUGlGkTNFFhgouKxMJqjU1u7wLHF+8c
Z67d3jdam88HA3F1AOaAj5HPSmIXm+7EIhj3+tI4aN0Q/tOWUj93To+rfexm0ac6iSXGF3WbtX4m
825PDHW5fy4uS34m8Fuw1bDhkPJeHV/FnXl+FEBtDf5WH/VqzH85g/HXRZdlFBvNebrWBCTrANLT
sTEGoAh0rmzGb3Ux2ZjvTJg/RDKuP92+JrZmtPgHA7hDl/LqMFWGJ0O0mLxzN8TjkZi4f0zqRN+5
bLeOEK0sJNS4JxYa8OWuJrorClTs2NWpzIKsn4s7hHdrP/RgZd+e0NYBWmrLuJJQ8CAXuBzKlu3s
5pT1z61WqpHvWIPxpebd/tD3Rfg/eOJxHFAWFoSuQLMS30ZPe49hsHWAcHCiYEaLGUm/VSKi5dLM
uxQQ1oRxVASa0G4cXILbIUXhF3Wxs15Fe/Pe+JD0lzm1C8aRq3g15pSXtClDnQJmQt5elkVzD4U8
Pt9e3d8l19UJIMMiTuFy4kJc662bQnMV8NXuOcJ5t24P1dxKcSS+SN+obuLTlaJwSPmubVoEBEs7
ro+zJnPxQvFt0YlLrKoJ2r5QrG8ibs2XPsxAEtA4i6JA1eZueoYnYMfPoRNXX7rK6pTHuU+7LJg8
J/pnMM2CGFsp51M0x14bqBaSRWaoOBrl/DJL/bJFquVcyyr83JVO+o/bZ9mbOg6GewhVa3LvdbPP
rUCKZvimOhPmI6Mp5U/ZoR6wkwdubHoaSAg70uaA83a16eXgOpkEA+m4QtxpKoX5cjCUBfhZnm5/
lqvQERgNFBNeeUhQS9PjctOX+RQLW9HRASfWDnAJ8RAmitMDbqHznaUXpEzqFB5vD/q7ULnaCxYd
eDDxdI4Xqa7LUdH2zWpL67i0O6mcyMtL0gGa9m8V9daHhFAyCkrE3t+NQ2O9n9useKegdPm+s7P0
TCsbc9GOMuk3T3TzHgd24zhYrPqidrWwHNf7lIfLmtOaWoCu2NXPULHmD1M0Nv9l3ZcmFsrNC3B+
ddmkRut0SeN64BD0GR9CXauCMI9N8eTgdNmfU6WtfjZpprU7e2vjlvvNokT9B5U0gq7LpRd6LmoB
P/GMYx0a4B5dgXn0oDDbKWTwtFIfujFHNUaLxte8jPfoNlvDU+QguGSDm1f7bW6jKQOq4xFcWv25
7rwkUNK8uM9FXz/ko5Y/IcXTH1u6tKc6t/SdVvDW8Dg1gR6D57wwcS9nP2l2mmtNQgTouuIzXXDj
vWVUKkvvoOChteWh0fLWJ4GUweiou7Z5G/c7VHieM0hsG0bMzHcCZw/Wy1xs3X1nbMuX1M1T7dD1
s/4CbVYpyRBF8yudZczGy5yvjRWbj1h9SO1OMWZjvO9QuP8WhiZBSmkm0cs4osW4s022riBK+RBX
fvN41mK6k8hAig2ErmUimm+jnjrQ9tKJPFwa0V4FeePIQTfTVMSK0BS5enmdaBwVEZEG6NidBZbT
Wf/ao9p/vX3rbKw9+RNML8QrKdask40S2R5VUSoeoGy276lOa5/iqetOamgqatA1f+0LTPN4KQ3T
JUKl8yr6z4xO1L9xxABEwrtWa2GDOEUvirvb87qGrDAQ2hKGjqYt2pz6alPPOhjIMCVwKbUO7bdc
m2xU61BA/qa4nVK9eUhc/Wh1EyYWD0H3Xc8TU6EeayJK7JRJjT5anezJMWxsoIsfpV+etCRKHH2s
GgrSvZhO9ATCDzoCkMdGDeedwO26ErEsALBaXjIXM8p1pbkxSkfABXXPoxn2dzLGECfBtd13Kq++
L7htAhw4DZ8jkwRdPFKk6st8T59qc8IO/Xt1qYrwsF1OuE6bOVNq4HoNz+07FICgx4gqfMjn3N15
PLaGsukDAqyE/HYV5pf9LCarAKFemV30b9sNdJTasfvs2NXH23tr42SyccHCwo5ebuzlPv0jQdcs
KmkJpkrn1mpNKGRR9QqBzdmBkm2cTMYgJffQW70uD88uivaWIOqd43L+rMZdei+9SL4kLHUUZF5v
/7g9rY1nYPGmhchOz2aBA15Oq0sLpO/UEmhei3+d78gm+ZaPTjp+iQHCO76JCuv3WeT965j3PFGD
l1OTvP0btnbt0jpCSMEgLL7yAtLS1mmbUjpnGRvyG6Lt4Z0QtdX67mCUiGWRAsRIQxrlTENCiEfM
I+aHyVXkHg31qtlLorGUlniPF/nydeIzzaHumL1qncGokyqCqvM1S2bHVIsxq63z7sPUz0pgtWG1
8xxft60YmkBtaRMtCLd10cKp59yRUWOfXad25qMJ0fvUGEhZ+PoAC/KpCs1a+IbSJNBVjfBj3Dnh
x9Rz5uepzcK9I7wRDHuk5qTPXCKgs1a7PSTFivM8tM56IVo/Dvk+vsQR82AntnfSalEfUTudv9/e
CBtnDFlcNNQANNGodVcRGRf6aMRNYZ+L3v7WzE35iEllvFOZ2bgyFmQfm55K1LVTA2llrkJgss5d
IvqHQh2BkJRTP/2YtdD+a1XA5asC1KL7AunBW9/HYRrhy5xO1KPTojqXKKDBmG/mg9dKc6f7srV4
i7QC5DzuQb7a5UkWamGHuT1aZ6o42HYUdXeaVGsXgrM8oauExSNohR/Fs7iIOV0OM6qFIcMptc6z
OTbZ0VVBYvrYzaWvYbN08JtZS5/6pEqzAP51/NzXeN745ShzODNqAeHu9p7Z+pww5tFUWsqnV14H
nlO1bY709lmHqPo4UFiqfIkhc3ZQBxcS6+3RthYZNRR8N3BCui4tUqs0x9lt7bNCey/o6CUFA+pS
f/+qkeDT6QXqThyyPn3mqLlDWTEKiFFYkoYlg8xsphO2LHuiQ1vLB8aV92wxzAE1dPk5EQisrbpk
KBffUj/35Hj20tE7hJHQdr7U1tqxNblBgQQBlF5+yh8vaJwIZa6BNp9VRykeBsbDAmusd9Zu4zEB
h7YU/+gPLBLUq3PgUSpxPeTGzmpSeP9042SGQTh3nfRne5pEoOFZ9g8xkn30IJPnvh1XZXYwTMDb
O9HY9WPOL1lcnwBQ8qiva5BtRMfcTTTr7OCu827IMtBnsrOjwa9Lp3jSp07fyx+2hqSotCDDuQto
xV6usd1ODrLHNqcBC+N7DG1TjO/x4j1F1Vg8jEa/V8293j+UB+Bn81HRjSGNvxyQIvpQGG7inHGW
HA5pIaIT9STrWAqspm6fvc2hKEgYoFEpHq+7y8aILpbMLBtgB4T0qlBzNCVVXkkImjvciGWZLi85
ZkXPh2ganQLIp5ezIgKj0ZyH9tmohXNUw3E4Td3wXcNi4JgB8vWd2A2DAmvvB3VK992YFjjS1fjk
fwjGLQj8dRyipoYS4wvjnEfLE2AgIvGGsIH2CE6qvdMa2C6zISrUUMJSX7T0Yvk8l+UeVmFrwbnr
FnQsvamrNHHAQzm1zMg5q61WnHRcNwHZTfm9ptOvv/1tN+pgi+sUX3eBTROBrS6HuZKuk4yUXnHj
Q/ihpf3/M0/jiaTFVT7miyCPYhXemxCjfR7HEsGDHl2mpzlX5aNwjeauT4b0FZ7V+O/tn2Y6+vXX
YHs7HKelg0XefLkbzNRl6piBncMs8obvhF+1+UFauYasgmI4zcmcbciETkhz+gm71w4LvUmZgBch
3wRzIu6FU/v4vKjta5JhE2V/qGukeusnKzOt7IWIv02OwMZwkRgEHA9/cLLmX0yO3OrXVNpddGpQ
7E+eOrVMEef26O5+tBIyAr8HGOg+6NUQARea1Gr+GudeWwZ2i+C+r1jelGJCYUTpd0A/jTwMxtQb
d4pjFNp952qdEXjoKphBLGQf/uvAXixAHIzJOAR0sqP0XTtIEflpOFgjuH3b4jkyq/57bqNhfsKq
EXOfGDlXLYjg2E9B6fZFdyC+pSfROiKe3sepjphLrvyfs/PakRTJwvATIeHNLZCZlVm+XXXPDWoz
g4fABebp96OvOo0K9WpvVpqZioQIThzzG68r/K7NmtMwp2Pkp5hVToBTo6rz7cnQX9CDYILSds2S
nUCqamWARlNH7ikaxQVpNMkfrVVLO0j1ZEhCtRn4L9s0Sl4cvW6GU542WoRxTKPqO3gpGPp1sTd2
X/LBKHU7dGiOw0EYWy3eVybQu50wcPxD/yWd48zHXG0p3oBnuOJhylKtuh8za673bUFJ8GOsy0kN
usm0ZVBNuokkSTXkpg/sdGxf1UIoyBEty/xP21gQZLAALT72MzjcH5pR1k9xnRtqONROZY1HlG81
lDgGxAvNx2JuBjVoTGN6WE1zQVPI3vqBfoMVvWh2R7e7rETzZtmNzEO9tgCPachm2X4pFF31cyvS
p1AXlSpRWo70L7Wwk381Y/DIuPRpeigb5OUPtuD4IMgRld8ZcTiNT7c+T3ypJtrXOdKV7hkX3wlx
I63qjQfmPMaTJe1lDIzFzH4Nlh2LL0lcFPOBfvP40LuiLl8WroRkl8aWnvmYvMyd31v2dCrx6In2
41LLLw63vRfOujJ+gB9t3atqrnzxZv4XmMs8cwfD9A6GOYm+1ZR1lq+2EejPsZ8XJYPDXDlIwqdO
sgT4j9YYAaVRHJimMF5amhzyHoeCPvbVmWf0jXIw5kAYDajwhPjy2Rmr/nvfuYMeemXG5EIFrzPc
51FbGodcSY3hLpVD9S/EdDGGVV/lP0pvyBs/9yyY54JydL/0dvo9tfr+n9LRFMu31cLNOeij9znt
EhXMOV3pwY/lML0qQiEXzDKRdr6Hxmrpo22SansTxy9vrzCPCT2FMjycoogZayIdjRovLatjn9EJ
vssNBE74kWb6mLVz9KsfXa0JNU1MnwdkopPQY0byAhurrGRot5PhvE5ahFiKkUaDtWe6jo9la4qk
pzobNPXN6JqUqxLKc33fevhmKkFr95C2DGmvwL7EAmlViRWP2JoO9fXYJV6EPMtokfkNhqF8cExR
Ovf02/rPZc+c7zuSyihtzLAGk0etzTT7y5TN+R3JKnJkaZ10WLg1xTT291MO7/rZ0dO0fcws4dRB
nPYeApZYYe1ixZsfhadOPwBq0gNzTSeTmLo15qtI8l59WRwEXQiFMfrp3VyYP9FZlHmAkbk3ndD0
M+WBQWT3MNEIsP1CrQDU1FDmcj+Vjtq/pNkEkjKSTRN66Hdhp2VoEuRZm1VvY4ogzH40h2U8yJje
3MsguuJJqSOgAjISudwNdJRiDl05W7vETBEbqSsNQ7qZN9Ygjf2xa/J6/KIlMJx2MeHleRl6tBrK
WlH/sYXbPBtK1pu+0XWqdmzGusfunLbU7Fu5uzi+i9T3izOZqYkRLNTgB00sSfyKtXP/dWkVvg8j
dtvH1uZs7xPuA8Cibe4Gqo2Ba+DpskFDyigmO6wsPqQ3NEryeR+vSo339aKlCHbEqMC/JUrXawdT
y9qPyTBXzp69db0nLvt5COzEls8iquMJgyI5jo9idoCidXrp9KGRtkvux3wcrl+kc1f6ZqMmReDU
hWz2Ra7bqAqApl2vOG0odoaela8kJFq9t0q9zYI0lqC/ZK5bPwdz6jUfV4lilf41NZ9GHod3LoGg
OXNRf5hAvvzQlCH913Fa46UoXU3F57rKfqVdO/5Sc8fOQiHjzvFxyFjUcBxm8yOd8gxkKiZIuKdy
/t64kLsy9IZ6/uZpTfRR2lN3X0/V/B86MhNT42IePkvqbuJENfW9j5xr8zbqCyYnSqEs7b4oteqz
Y3Tim4i09CO9ZBRE07wQu2bstZS3It1/rJyesc/fTfOwqsv6P9tlLoCYWCLrozZUdQJpKVGfa1fJ
m2M1j+kTGibIauVYDUZ+Lz07CRBKTj4XdBQdihJOdZCpTimOPfDPLGTubc8PfW1bbwmQoAilzMFR
/aQV03+oZAGxzk2Udt3M6R9bqAuopLWWCscF+akHs6hE7mN3mtRvxty3YSQ74pmV4wXgp33fsWXA
A19L5i1MOSEc4bhRZenPRUSLuaOoSOO92ZvdPzKuNfE2TW75hdniqOBRW6NCVFkJkXYZcdQ8DrNI
jm6cYJWGaqH3zyhn8dO0BtPcEYpK9dssp8baR22ktXuSOdXc9Y2onnSnbL+h0FpyyY96Dye+1b/S
T+iXwDK6AVC8pH7xa52/dxD1nNohYvHAXvweEUb35GTLYGAa3MnWRwowTbl7vML08c+tXsclnixa
32UxBFGn4ukEleirTbGXoxk4Rp+QvGaY585N176QQurcL0UqMNTwMq8OZ0VZflaOVC2UQ60hDlsg
CtSODprop6nXXWjnbjJru0kpJvWgS6u965CctkJIoTJ5KHRn+dDKujEPOl6QOGapy/SlLcBTBkOv
O0OQuF6Oh0jeUHDnLdBcoEhWnh3IF8TT1AzLfGf1DtdvHkcLlLCEp/TA1X4o63TUcNoaowxZfqNU
kgCq6mL/qnqEmN7eT3uvW6FgTdb+GExGh7bsRdKLwkOpmUmuHUunNI85lL8x7NW8VX0DWL3jI5IT
33dGlz1kg6M1GwXYjdJjpRzDoaEZ7lzN/S2ghAU3moYeg7cmaXH6ggI7omV2tmVwdmMpwIv0eh2D
phm9rfPsnoBcFkpPLI46MoGYPCpwoqi7Q/ql2r3/Tq87IJRRJh83ctl0ly8r2NpQ4zoZG+tYQRDd
RRplbDyW8ev7q9zoAdC7RksIDUdYKJeT3bovB3WoR+sIhlhZfNUaxJeJmPTRiMZ2b0dq/PP9BW+9
wVUCd51kQ1S6rFaliUzsWHgAMskrd5rs9YexclYPpdzYaKncOJVwiQHpoM3NnOsSLjFJHKR1+AaE
nlprdoudursIh5zqro+U7oBBlltgyTVW3I1CS/qN5a9f7TqeWE8knQGDJtb5WSnzbtWGrQGEoniM
vkYa3esF2FrTw6gIatW80dOl/L1Re8LdpBuorUOny/5cSZq/SMiFSIYkyncx2VHkq4Jf4dtLayAI
2yK+F0DvkzKwS1dd/LzrugfEqFVwWVg2lLs5xo/9OHlekvO7M/e7jiB2C+87MTLfjFXZhK3KncpV
YdRI7jWq9x01jyUNQJ/UVlg4OcS31tT7NzOWyvQ2Vg3UTmFW1lep5iaBSklzgM2LsO+7OiJpU0s0
OvamUmK1urQ9cmqNjKKUYkCkCkKAXh+d+CvRci/MNdKT2WttmAgmM3iLdKP7HIE7mT90jeOuGjCl
cA9TUyQvrVBn859WMya8wgrdUu5IKLU4QOMQx09svvouDgvhKaWv4lwcHey4HSmOIq37gBlQnaNe
iKdT8ZSV2jDdAbXQEZpLq4kxS1MqdqCqfTSEZmogEOxmqqIdaCNPeSiV2LL3qTdpVUgSVA1fMmkj
mdlMDil3rOuZeJK2lton2AxN9tmxKPFhfzd5eo+hfSN2jjBRkU0U0FpImEH/+GxSwj8vExj7ILN7
YwjEkGGAFRs5oF+7A99Az2dWX6bSlcUjcG7r42J5CP4lHnbmO4zWtHKneXEtwsmWGaByhgPmnZD1
8n2aFu1LNJYtV3EpRPyAYENXQXhiouKbZV12cP7LtD2A42teBm+FbqUL7ADyJH1a/8XJaHe6o8yY
f9PsThDBUxaXKWAslF0vV5k+x5QjvYrByrqgEl73qhhuyc3APdbvlb7hHQR5PRufKmEXOKuVno2k
Y58PRfNURmnT/pctbfWGnKdN+WCZs3ufam78YJd2gjJlJvIhALkTnRpYienOqxTX2OMuVHcP5ah3
1t2soDEOR0Qrv3gVHrPQOHSL7wAQwJscB/skxKR7h27WsvuCQDuf+sJqIZSnqCkfxhK957C33eLr
kGIHjfObNBO/mHLj42AJ7xtlTvZx8hr9PmYQqQRDYpXFg3BByfptXSneXUGp91iYM6K4Y7442V2x
eGjjdTmDgn1fZCQOJWDkOtTwXhU+n6o6+n2ju095kvHhFFWVdH6H94cIbFnW301zUfhvmsL7acZl
MvLdIJeyI9lSmUfGMfSU3ki0BZmNJrNCjODlh0HF1eZBLSDLYnU0R29mWS5lAFAv/UqO6BSBXVjL
J4+2+H9yadRl18TF9ClfJjGg4zGp/S5SjPVvZlOa7/NW2h/ipV8ZG6rT0whCmPhJyKKpGXxaxi9K
gEV5nEdv+DhWw0pcqzxF3aHo2eTQeGbHOUTukNLuKbEu2NdgNf5VClvMMFwACvrSKI1ViNGaP9iz
0lRBQo9R9410GcqjJ6r2kHal5wW9lix1oM5erAak8CVK/ilAtWD00H/1KblwpF+8waj9RDGiXYqT
peerit3keyo6g+rOBf6wYH29N8ZkYLqBIfD9oMshCxg8wMnUe8FI26n78ZNMW3dVo9e7T1lbO3oI
rABtRc2i+mLyVAz+MhXN1xjPPP2AY/MURpkUpt8wxUmCHuE4JNkRGN+VaCcOQT6DbjpOeuykPm64
2Qs1t43H0pC0G1fEdU6BViE+mHSqgXJxS5xfSYU2qqqkxXeEWI6RYB51oS5jb6s/u/6Z8440ywDY
4tKj985k6nwZzakoSprMPIKMHTJ/tLru2auyCp+DfKz+ZapePc9dZR3yRNHwzLMzYa/m4jo0XyP7
9n7CcZ0FAJ5F6lhF2IDU9PKZEfEtM4ceyNFjTPbgRdSniq4PJ/p+zistvixYCm/wXcQODu+vfCsB
ADL3G3FyYzLXF02nO11nHLtWd1+nYdKoMeZybw5u9TRqkbIxM7v5pDrkb2BaUHgvUyszcUck2Brj
uKZ6fu31deg2RrovovqfyCvtr5RIJb3KVu7ff9DrnA7xLhK6FWgO1eZyiqZkElIiIgxHVIAw6sms
IZz03KWrpc4bS12nOCxF+wqZW3gbiAOeHy1aG3mWWbFxBO6whEXZxY89wew5RhtjnxuMPKXtbBGW
b3w2IEnXbJW+PpD99cX/MYyU9tzVw5Kpx95smqM3RD+tWY038v0bpwUaCq9vtSJBw/RiGidkUiMH
XajHSettDDeHsfyBQlb/2EeL1+w6N7U2GK03to3TsipxgKaFHnXxLlN76CwP2SaEjImgKqKZp8mq
0v2guFty3tczMt2ArwRhiTyYZu/FUhlKGRI3Ke2oePWyW1pb/wE8KjrAaTNPLRpOAfVduysM9HJ1
LF43ItKNdwvR3nZJjYFsY/VxvoFpkiP7y7jmiK3xsGslEN7cziLS0iULhtH8Pz4IcClrGs6SzHTX
N//HgSlxiY3LXl2OEm+gQCx5fWC4K4+WJYsNENi1KCzgAQ7nCr3hBRPWz9dqLSxFrMFWj2VU82Wr
itN97yQsUV/Dwe+nV0w8bZwZlfCzzFOygJJv6mGKttrT0Dc5VEdHlbXfTl7118UlP42qEqWXdcR+
+RrMpu/sgdzriPyP9aE1jPmHJqcsD0dXmD+FRuNko+ZaN/Li5iHSg4uyCPorUvj8ZTQFLD/bySFl
gLY4ShUh+3lB8Na1xHAyF9MNBmirfxn9AONToENtBJvMcPsiOkDeLsEV5tExn9Ni3+Kr8WBkk7Zf
7X424EhXgWhdavVCoZpFeeOSQ1kudSS9MYWe7ajJzgJ8u1MA1mw80NXXwirOygFHAIi4cKlBM81V
xECgUegd4nmSQAq+k6qWY9rRRqFYsp9///7wquHVgUQFJrM+9B8fi4f8XV3UDqrG9mQGKoOHO1HB
3NFlXmxEvKvjsT4ZTKV1r0iDLgM5ioKkYHGsHJU5BVtMQ0rxTbsVD7JbLAY5S6IZDMqS5cv7j3hz
XQ8dE6BHKxX14ojAco16qBuIm4HiObS0ME+uM8f3UeZqzG8NmoXdJqvtN17s7GPgabmSkfKApYRA
2sWqicCQXsOG/BQxQDZ3qahdM0gTj5RsdisE1OAFDqfBjamPM4NYMUBm+ek6DbY2mCdHSPNQsSuh
Xbc0K3rMFXN/AMlXB03bzsPOTYrxdV48BbeINp9GXwM8kkEXFNl3wzImtPCpLdI9rKLuayTwkaYF
abff1B6vyJfOk/JI4zrS7uCNuE4gER2JN+LB+oiXrwDWAB005gTkouu0/o+z5SiJSBshyK6VpGaE
PDn5QzMLb0/hrQu/TLr6mMCw/zFZIj28v+m3Plbgsi55EdkY1+z52oWF7XvFcOGI7Ei6GxqjP5Qp
fY33V7n1sa6cJ+D5NNW4b85XqUsU8dURsRqlyYo7S21VnKWgP0XCGvykNvKNZus1ZIpT9eeCF6eq
FUkxYBUYHTuntlHE7crAqJf4OZ6w9OH/eb45K0lItYp4SaTVKIihbfx/PLTDl6ytvViQN+cPLRJH
NDNOsoQM0TxPitfu0yXWA6UxYNF79Za2+VWmhCE0MD4wrpAp4Vxc3LEKqCGZGFZ0VCvJOFSaUO3w
EdwBotzCTF6HirOl9ItHqzMsQbwM1TLhOtWPpaS1782DG6C2bTx1jUemhM/WxlG9Ss94PmBg4OlA
FROEL/aUCWWLHjl7OmU67zOi0FWxjdi5aVRIv7C7+jWP0ev0oFeFzI6Wjf289X6J/oa2lovgGNdP
6Y/PNO8sd5mod0+GUSbPybRUD+7QCBhe2FFFGyf45mIonoGVJHW6ugQ6xnq6slTJiU5l8WREXQ9A
M5peirrPNu7rW0shCQAkaq2Cif/nzzWZcLkzZk6nyfZESDtVQKP29F2Xm8VGpLu1lMkExvotaIG3
z/lSalsJNe7xsk7nVLmfNaX41RmyD53Z2CKPX4ccVGksDfU+WDq4v63//I/dKiCTzlw7mKKp9IQ6
bgvLGON9Ho05yAN32b3/sf+u0M+DOOshCWqgiEiFdKkE1nbZnMajnZ4ofN1Psq0if1oi/MNoGe/k
MKDc0tnGfsjiOYzpLj8IMWD9kWvGhnDh9W1CDwGvQCompAmuOvp2AVZYSH5IBLz9xasthu82anIG
LbfAnFDwSBuayU0lrY1MWruClfGF/rn0xfYqVV5YcpjzU7OoKsIgQyd6awdkO39ckF1qfEEPXvoM
rrD8LrXWOA0wxsRpKCJ133Ex97y9BuTbxt5cgQ/5XUh4Qf+2CCFXWpXTgOy0BNp00qs5gQXd2Yde
WdJ9JicE2spC3Buyy8JeSpdNa5NDVo9bSf+to89dgJgKs55rPcnO1Dpd4Yyc8t5ygqhq1W/aMPSM
ODJjYx9uHX0GKBBPuAL1KxMIqcY0wpGBPOViefPKuFIDV48RJOqE87FC+28jgNy4bVFEBJwLwYfz
Rkft/FszElM2JI7JKcqGYq8nGpqU6Vwa/gABIayNiDF8S9yqQa48Ww0qqzLx2o3G0q2nJpMB3YpQ
mgbZ4vxHdLnjVl2Mvy19ZPcfte3tZznDqYYN1N2bZHBbNMqbC/J+IZTg6IEU/vmCjpZlUcGgHYc7
jpYFevfDrGTlvTMqyWsBm23jGN+6dCl0bPR+KbCuvJNqGr6GcLP0VA41UvjjOAWymphHVUM2I0Yn
o7DNTOPD+x/PzaeESM53zeCa83T+lElM5p/JOD21npy+TcCx/EpJsqfRojetx+mWruytW56BKKEL
l2KIAhcxRG9aQHCVm5ycxl78ArmOg1bKb7MNv8WLSoZyNEqCGX07n9HAr/cf9tZJprmlOYhEECqu
/GEsWQMd9uq1GlHL3l/nUdNeA3/PHdLby76U2nDSW93ZxzIfH+GuGB8quSTO8f0fsj7lxW1CX4D5
BpNhrpXL28turCkppiE+FQz4/cK1k49iVLZA4TdXocpkpI66jHtZ1NLARxUD7abTnDbGL9ALn5tq
Mt/ef5Tfednls9DNIur9brNfSkgao20BbUWTTq2UBbintxpcp0sKSkYVAi+qlZ6ruonzlS8X6uY0
TyBIKokflF+AdQX1m0RL688eh9HXKjEgnmFPdRXmSWP14VBJ7BqmOs+VrUvduLENBihugqhOUnCZ
GhXk2V5aapTitgmmSRmT5SGbks49oLxmqncZfVhIubbef41LVVoAaSb1Xoty8T3uh+jBRhqrDMkF
6mkjk7rxWaJKDJ0aYjCU1Mt0Y4RzV1SWgg2MEo/7qemNfYL73S+9qNXXqVr6jeh666iQuUD5WCf3
mDqchwGOiqPIlA9Dx0n+xAjTrPwB1+uX9w/Lb7zB5WHhjqQVgNYvt8lFuHEVyjJ0K+MT/KvC9Ufd
SL4n4Lk/d4vecBLQY9MCzETj7zognelRATV0Zw5VK4MFiED3ZMx17ux0BoZjgCHz9C1xAP4Ch9YB
XTtW4ba+q8j5a2uUzo9WZr160Ca++NB2s6b0o6UsP9ZuBKQbZNvs9ncjw3RvVw91hzkjxtGuv6jY
ce/HiQE9mBoXwYrZrOt7/Hi82B+lln+sZmhBj2qSDQLh1CFuD7ouxn+QJOry//oER3m/Q0DN2XWC
FGmnD3oTf9x4kzeOLvmvbpKR0oW7TLUdnX7uMvd4aqvAvNTGs5/Grqvu3l/lxp0EcYyASbSiOXYZ
p6SX1rrropQsUJe4hxPf3NtV2kGMzssn/II/e3WkfX1/zRuZFGURtQo8EhVdsYuj2EsBpLPm6M+Z
J4KpNMtjg2o7BK8l3QgAt74yzjoiJb+JeJehi0s/KxgNI9nT1D+F50r2NJ8/pubiPUexVw1//1VD
kaZnsF6AKLZclLhz5MaQD0tE/SNjxvK4ReR/3xSIC/qxYrRTgEGymn1+/33eeEguNWyBV34qvb2L
96khJN7MA6ohfapou2XUf4BQB64BFPJQQuLdiCQ3tg/xabQgYFwSWC91dRsn7bAURVF4aKHI+FO8
Rm/+bebgdWpkGzt4I25hv0Tnlnvyd254Hrdi0xCx2qyODXXTo3ezMpAIKhvV+o1XiEIBzlUg4ehM
XCXAJrbpwkYQvVWRPd43Ot2Jj/boJZiWee1S70Rbx3b4/r7deJG/PT2oNWnXAt86f7Q5k1an6Eij
N6PZhK5clH0uwMzkFLsbb/HGUtDZIdMzzsSE/lKFvejmDGiVhsVEI+u9Q/n6KIWBymhTbAYu/caW
rWkuxQuClyTXFx8BOpqIFi1GcXLK1EPCFLlRL7AX1ZI+o6mWITxl5M92cNJ/UvAYILmZ1+QYqxbm
vwxem0cirkAnrlXNaidyvWDf48Tdg8bRvqgDiTVwo5XI4dUDrp7K2HdMfHT1l+HGAO6zOhs/ugBy
042Df+u5SLJQiABvB2Pjol4wJ3hC8aTkJ5F6bWjzfYWRW4uNiHxrFZc5DxJxND8oAs9PhclNZE0I
8ZwscynuxOgCBjbmrV7YrVWggTPgJkEl/VjvhT+6K3OsxalryAJ2jOgfUpxUg67up41jt7XKxUkY
GpYBFlWcUgvxf2Oyk71uN+rGKrcO9xqO0PzE2Ro46/mzYKiH/C12kCfw3QoSOPSLUMyu96a69Btx
Yv3B59nNOmckymJgwWzscnPweZi6bsnykxbFaRtQTbS7CJDjBwlyNg5RFnX2la7eGU7+1yIBtN65
NpmWUFOhB3dx+jzyQludzPy0VGZ1smKARIYp5xPwvXmjeLn1lCA7GGAht0e372LbkqYpK6ru4oT0
QV8eki7rhn3rgHkGHobl/U/dkZoJZs+IEKSascx+PzDeXB9leFjZZJKwiM43NG3zUbN13nIvrOre
XMb4if6pCgzTSu7KZMqeMJ5V93jAbglwXR8lXrIHmJakiOHu5VXa6wh/4ezGyguydUzuVfeHhUdz
7Lu62Dq3118HFTKfH9xSlrzKg1BLLoauwHwcKRUMiaM5ecBLdzi8/zKvMzwwLEjSErdQLoeocv4y
GcmPzHkrLM5TPJyCMZmsMlRhnNe+jBpia5P00aNN42VraHSjpcrSSJkhHEPbjg09X7pV42rojLw8
1WY1fwY4MD0WRWaruzLWqp9Jb8nXvquccMoteHCGEiMiWRU1BHh3zLcKoFtbS9tulXNbu0v2RVyN
8UDL0iQq6G2KT01SOsfESvQQn/Dk09+/cQB4q6/TmgdedlyMZtb7wU7KE15yxVFCK3udlWnwPbQi
P7XInO4dfIs2hs43Oh9IC6DSsw4CVv3ci33uZEPvtozLUyVrsZ/tWAlrzZpeRjrN4eDovyB2eoe8
7YegKLoKhV1nS+H01oFmpzlp9E3WuuV8v1NljNJicfJTS4P8MDSuEaB85W2E+5tPCioB8ye0G64n
zorpxpoaWflp8tri1QBpDshSnzwIVZpY2c3zOD/UsFR2rp2WNZRCe/y86BEI9fc3+jprJGlDP4w3
DlX8KlpE+tibg5YXJ8jSoM2F4Yw/RA4X22/GKUbXNv9/PmamZwRlwFvrGOv8DbcDSPGBvOCE6beJ
4A2X6/3YMfQP8hGpGH/IV1Ziq8vW2njWW3v758rrP/8jYaD9rTVWlxUnt1aWJ3Ns7BNc8Haj831z
FapdWhTM6SDen68CzlnEJZL9IBU8qzqBzINYFKXxsIUevbl1gE6QQ1ZVLOEuvpZEHak2PK64yNSb
PRBi00p/6IOnByjiiI2q8EYIJhoQB+nBrqXhRegZenWKndyART6Cyv/EnCR/01Np68+57UQHKynq
o6oC/v/r47nKV6GjBXQLvOTFlvXmbDKlttJT0Q0IQsiF6iCIMlpgqZ5393o1yJf3V7zu/ToAn+j6
EvVJ/y+RQxgxSXw56DVD86C77o/NqDcPrtIr3a50AYYvqi6NfVOlRYI0GrfPvhzj3vz0/s+4sbmI
ldG3oCu6EgwuNld2pZ6zNHQJLMweMaGuQ6G3EmObOn5InGFLSvzG3IznRp5Yo0lqw6G7CHySgMho
RLLgKmdSJJEIZTqbD6279IfWsZsQZl0btLPeQZNFXXyo8vtcibVvpHVyY9tvnbb13gVdtYK3Lm/d
1MsG06Sxc6qTnI5mMUB62VudN39pWjcN5WB2YNq1eEu3Z33Ii9wY2BONPzSuAVpd9j7icRqjHJ7E
KY6jMjSXarWI2MMHsexUPsjeezEyp9q49m4EDJJUdJbW3gBF08UZBygEgkF6jMrUyNnZoneevKXe
cm+9kTusqkco+kFiWxVaz8NS4umlR6GUnjJLSQPsFNv9os1ROJfIsb1/dm8tBXZ0PUWrm9hlS78C
0FI7S5WdPAitdtD07SL9vPeiAt6GucU0vPWloJkFa40G/+pBd/5gjYIveJco2So6NkDcB93SAyC4
w/7nB9Sbrarz5nIAIlDuJVHh9j5fLs6QIklbPTvpXdkcGXMjaT0a3ZESEUW7yOo2ct9bL5Mm3NqO
pmK/QsTBwUZtQWE9iZTAKUETHe3cygtrpMR2f79vZNegQYnzdAcu3mShTbOSTlp2UkqSErFU+i6f
Ou2tN6ImfH+p6zOPPBZIZ04H8Q0JuvO32KEi4mViyk8RrN3jWnnu9B4D4/dXuZFmsQxiPyso4kbP
CNM8m4Ovs0zrFQEU+vywljM74cXuISkM96XxZHNwljTz4eyYsA3bv/ZNMNbfsCrWUdlrV5XolPXT
oM5klJY1cGCI4ncTGikPkNP1YBQY0PjE89pPlTjeTTMk4PdfwnVMY32LXIThOHXoZXtc7WMbcROX
fERHqsG37fY+d7t2FzPfA+QLR0iKZX7tnTzdv7/yzU3mw6SFBseS83i+yb3WDW3mlrz9Mul3S5bW
h64yjb8+tb8b40xLV6AJ/oznqyABXUGR6ni+RImC1YADDXXNCeOu/WveCFupqehH0eoE2XB5ajnG
WLL0gqWivr4bHaff9xaeSQ4eHDidTuoeFOW4t/rO2nJVvUavr2tTZ+tUZegLX1ZkXWP2mkIb49TI
CqGH2sx+ltIC/btOIuSB1mRqHYpESR+ZvInmzuuddMdFMIQoNqSfuiUBa9K1f9/S4WetbPbV5PAa
5xEbUlaKYZEXxnYzg9zKog+Qw6YuVNoW0PDfnyh8AIGP46Hg2JcnaooFtNmcYIhlA9COcY7dT43b
d1sq4re+GWbAJoBYrHCuruQUZe5+QW2Rqn+AKpDVIv/sSn2RxwHrv3vI4NT22InD5sMSJdqoIH4L
Kp+nIbxUPlWSEI4vQ4rzIw0DtBA9AjsnTBqa/IOOTkzPsC5e4lDToSa/lZOQVoIGczryFrJRR4AG
JJvh69pMDZm6SNYECorrNfoSIAPDyercDh7l0n3tJ13gfjMIedfNc2TvsfGY0jv4bkaE2pWZbLHL
r28whtZAbl3KIc7uZW/TctKoRAwwO7WqXp7KfJrC3rWKu34xts7HzYAPdpzPBN4eLbB1Y/8o8fQI
kZJOyuyUAKZ6rqVpFFAg62I3CxiaiNRMjy6KMLh9puW/bg8V1NLav7fF5IHXiR1XKJYslw+cYaQU
W9YIoCDu+6dpkUrglKWzEfduRVdyVANDZzKfq2ZJViRJ1aOhxhttIMw4rXIHfdjdahDc2j3WQP2b
zUNG9uKNQpOXtWbPTFdbzQ4TWMVB1+Ox7BWxs6HWe51a0YAAGWdCB7LW6ud88wjaI1aSI1nOIvpH
rde1Y2HSspykJsPFcOf/Jz0AK8nUjD4XXZyL7wxVO8SmjZTqcjHUH6Ziztj4OZU07wuomVrY0gxv
kO/EXNj3qrx2XtKhcp/VvMd09P3Idus1I326tjlJiK4qD3q2seJCyj0l2HqGrtlGpwQd4n1W/r3i
IzcJSsgQrtbv5ApQYoIiwb4ZWG8NVlCGqNZ32uMoZjeINMnc9/0Hu7Wp1JW0TtnQa5BIUiYkOkpO
SdVbVTABabqPM7AHXhqZPwFhbsF7b4YA8CGrWMfaJ73sVOiiRsPU4E3a0agXvohxhDN6FM7u5g5A
QjDWdA8iR8Sf5irJmp2I2vgun4Sx1Z+5saUAyNbmP6ohJvnX+XHueCujkVnUdeMyBaW24E8I3Cq7
k9XYbFwZN9ciuFIfMIplzHK+ll4MbHUcJSfgzfqd7WXtznNwwM01SCjvb+iNuMOol34TqzBCv3y/
8diaCcbfHJ96QR+p7MQ+QrVmY5Vbd+BvKqlLN4ar8H+knceSnErXrq+ICLyZUrZpo97y0oSQtD/h
beKv/n/QmaiAKKL3mWjWygIyVy7zmj+f+a9IriGdh6IESHczEK3uopE2/FLiQPkOsMl+QcG3QFyt
99X8sS26kstQY+L9A+WC2DmloVZ+wgpDbk96JRXXAkUmtARKLJ4UF52u1D4pet+JQ0zljdhRZOPa
CdnYOunoCzpvP9pAYCiGqb0R6F1mbnqBnJpeMHOVTC05GJWtuGkWJNcEAYGdiLZx2FiK0Mm1AwZ1
2TfJugiNpz5KMaQciaBS29iHGjrStwjjyLOm+6Oyc7y3Nh6cGkhDpMSElXm3/PWZwmZSpzEj+4at
Oz63QrcvlRQ0D4z0nJ1yYiMpUxj903wk2aSaWtxE5VhMHbQ+pkCzcJGUO/HDVCdmceHl689Q5iyP
uWZ1Llt4hjvfcGvTU8TM1guc6VURNQQx0I2MtSM0u04jYMxTY0TNzhNuvUzosHg88AXpCC1eZqF1
it/M0zSnyioTpS7b8NRein+bSEbu9BW2tsoMuQG+R5NthQRQpDiOVdGkXpyZ8Qn5z/JxkIL3JfTj
Y27Z/Q77dms5YBRz6j7LNy+v2j5qoNwDp/NQd9OPgtvmc4BMjCvpXXLJNGNvgLX1KmkZk4OhnMRg
fbFZjCixaiy5Um/KGgVFj94/siXzY65Jbx8Z2YR3xp9zrr7GwFCvIKsFSsuTMZ9+VMquOsVBtjdQ
3nwgqMEMTQBJQSW4PWjAq9tWt2lzNWNgHQZ6sy+4EuruJOn1p/sRft195YGg4sAEp+e+ahUmXQE6
qkwTz0ai7iwRF5mBhfY7oLPZBR2k5CGtfPnNXVAWRdCCfJk4ySe7fb4cBF9VBQmBpCJVNgKl4y4r
/73/ZFu7EFIKfUkyLcZe85P/Fa2GrBxrFcqsp4HixTS+RvwBBfhgRK1JQqbw/2+1xR7Uq1xwLbS0
7orIeCrT7EdcJclrw9E7lGJMTveX29ohgNnI1Wnz4Kq0WM5RR3gV+Bx7YwfPoAVycJBC2KdBwQm4
v9TmewSUDFQPAZNVCunYgPPigc2oS5JzjjQ1vaoiQG4ojuRTHSLsfX+9eXMvCuJ536NFCMp4TbvT
1MmxcpvGi5Mo6ZlUvvR8KYmu91fZeoHkTjgOzzr6q8ym1AVKTW2ReKbdOScDGu5ppFN5DVq1/g/f
igkDFSrjFpLExbeyaRmnPV5hXhCr0RmV1FA7Sphcn3pQkNnOYltfC208Xh6tBAL+oq4qgsmqEVRF
kDOUISkqYX+IrDr35Il53ez0sHNZbsWP2eQS+QrEFlaXJagTmCc519joZPmnOmsE/qBFdI5KIX+S
Mb4+qRFqPvc/3saiJIncMFTCfL1llsU+zOpk7pPzAoRXpOGYuUh+NhjPNcHBlDJzPLS1+PofViVG
OvNUZd0yR8ILjqmFuLbIO+sYUUFfUkZE57QOrUerVfLzNBXK2/cp4B6okkCq51794nuWnTN1ZVyz
KCY1L20+he9xfE+OGUJQO2CxjSNB3U83Cn4RtcWyeaxaISJ8fhB7CLIp9tk30+pdkICcfChMSpud
b7ixUYknM/YDViSXwaKKQdipSrXQpx5HhuR7FVb+pWsrcTGiXkIJu0r7nUtna9MwhKBEm7naK9gx
L3FC429gmCPF0iGKnO6g6mFw1UK1OyMnWaPXjsTa/T0zn+1FMJvLgXms+ychWnw+tbLbzvSLyKty
pXy1lOGFMhYVPMuqDlZYRZcxyAfE9cR/yInmNSkP0ORc96WUvEZe3eZj1lIgkDdRdPT1sx4WU2ea
/n/4ljNonbY/cXvVnhpVUoYilSNPMwsUI6sYmsGh1MqQZlgBpeoV4ZVsz8xi457gAuReN/mWsAEX
YdVvqmzOeKHDzbMWE/m6ZzvYRdhtrYJ6JAUWGR8xfPEBYxM17hbbcq/KjPKYjHO7sez2ZE03oGec
N0Z+uCTMJKzlw8RB2peGNQP5FJKIQ0fd99WpSum15hjGhwTVitwVeYVejQIT6BgEqFkepwigiYwc
0k6HYfvnzODUGdhLa3pxOBmMIG+IVq03amA9gq7IDnneZU/KlJtfSqUov2IP2Loxzq5XVLTDI7rv
zXMwFMFO+Nv+JXRWZcqWDcpY6AwpJ1ehoE4Toz6MaH4/GbEUsaXN1PGEHzQvtVLr57Ewxnd9GcrP
YT1GtmtMzdt5roA0ZIftwPx5FnK7zSidMDSnvKDXWyfhrxTNGaq2WLh55agX1JyrndixtfXIuoj8
hP01TjhIBRAUwySlVOLpvWFVybsQqMLO2d2I+hgoo8WhoeKwRnUivmGOwagFHuCz/iQ0+9co0OMk
VS537peNWAjjnyDBMZp52/Pz/pWQ47xiDxZu2HjyFuUPZP3j4SGzUY7HZAfPUREizE9nJ+xPrT2Y
0uXNkRi6BL1fWNmEquXAO5hsJA1pV3gSvVcGwMBt4koUZ6UewmtS6ealNjPkfAhkO99x6w3ThmSm
TyDmbl0EqjYIlHFMM1rdcjKeYkuyj6HlJxc6VcVO9rcGNM3gAeARUPEJicsdipILUVj0gZdMovFQ
YkVZe9YIRxFu+GhZWGHlhT5erLDXkJg1lbezBCnA50uAG4fAvMw+fRH3Qzd/4rFLTjBUpvPUTPBs
GoH2exXuvNiNG52Iyc+EekCbd1lGWtZUBKGCu3IeO6gxSUb3ZFtYqNRyPR4T5ransJeDj/f30QZj
cGZAWhBGyAFp3y+igCDzLoKUGwGvmHg4TYHFVNiczCw7TVVR5W4HWqzHKSopFHjDvfk+NpoQCr5h
+h1GwKXyRVGC6gTZsv8t92FaHdUkFXCtkM/FO8QPUnjWahXhJkJ77NJNQ/BPpAwNxknIbT76RYIQ
PbIcQXxualF8RTxaGS/UUujSMoRvfjAuqsIzw67686BNkc5Ht4fwOKZOZF9zwxyjY6YExWsOPbA9
tqJx0l+0xynu0HJAiK5p9eCK4VagfFHVZvyYMeTeQ0psBAOsu6CmMN7lZS4n+UmRKRAco9AzUr+6
ZIMfnLsW7xKUb+P/xSUDGSSpQ8g4kbxzpWzsGugIsy0c032VtOw2DIW+UtV5z5BLLcPCq5US9iYG
Q//Q9UAfowvqQyqSPez8xsEkf4dHjwQ1aOdlbl2lsja1DuzIrA3Kk4Pn0jGJmvxLpWopKj1peRmC
vDsIC/xZNxR7dsUbVwndAgeWADCmGTxx+8yF1cUJtFASNLRwH0RkRWc5neodJZCtVei0AOIjj2Hq
tAjwZTaMtjMm84itK7CmsMcOped82Gkvbi/DOGJuR8A4XaZkYuJ6CEEvGv2UZ242BtmPPCySneiy
UaCgbUTAJqD9yTBv31kw69Sw8yOvDB3jGU8SB1VdDWMqBBOORT/tzbM3H4tkFv0YSDtsktv1tL5v
fCcnic4bCRtlu0k/4Jq9N2vZXsVhDoo7Kftx8Y3MCAWsgKuefp9iRsdglI1DgCGH+va0wuCmB/gN
Sg866+IjWYhbKiCREC/q8RV2OzwDu0NhCWjLvQTIfSco824WZRZyZozfgJCSWiyr5LDAUC2rwMyl
eSa5dQkiO6x3hQa3YhYsG1jApGWgUhbPZDZtW1YgkDw90KQXjpN1jBF3e5rsBAlqa7CORJT8oCjD
nmnmRgrB3JqLDlSXASBxEbMmyYErlgAbVSYGmGMhp4d4ktp/YA1+vf8mt1eaUcFwMhhlLnZhH9ra
UGdZ5AVm2X0rDBQzBQzajwNA6Z2PtnXAYF3SByZXcZgZ3W742OmwPWwmHsoumEPUjteoWJya2DY3
YfPl/nNtLsY3ox88b/tlrgDh3pa0RA+9vg2aZ8eIQheTB/tcjol6GngXO7OyjXM2PxYOubNpLayp
24eLJl1Ne61AoiaLxzOJxPgwwSU93n+qja/FKuSz5G4wwZb7ImrSfhiVIfRaNZreDWiLH02mgU+t
6PdQnBub3wRjQ2bJCVsnWyZO2ijeMKNl0OLoXixjZHU0p7a+4tPjYPVCi/NSs0k/O9Vk7oT8recE
Ogppg5kSdeliq+RaoYSWkoYeJrh1ckSVX/ngx31cHuVQ3VNT3qo5wROATGHKSVNzeQakNPBzszJz
L0XD8KSMmn9M5CF1kYKXzp2l+tdIcT5SKOr4A+IBVNFmPdptsnMUN7YsxE1+xdzgYFS4OIrIw1Z+
jYq0l6pF8JCjhHMYwKrjD+WQpHXxXo6y8YVnEuEc4GaM0fKxVbmQ9Cqycq/XBrlGWiQKv8qDpIqj
pfgjmUtkvhNJOHtQQM+6v5E3jgsgP6AjYFUYry2vi8ruucx9PfNEBsSPD+wbrwHa+XsaShvJH+A0
8j6A/9Ysf357LNVsagwJlqaX9h2mjH0HNZb7+JQLQH5ViC6xqEV2/Q8PR8cRzA9Cp6vCN4hL9NCw
BvR0XxaPmV5nD3WPj+P9VbYejZoEFixtOPA+8+f9q7wGh6qXiTTmHpMh45foJvXqK1byzSkLBP67
ACmnY9sne5j1rS83j5RpjBiAj5cUVGAqwBf9MKcrnrSnpLYiRDfVfgcuthEAmPRAM2AihITDsj/m
0/iGepRiFquVhewC49G+1bEoOkzzAjqb91/lxkmgIc3JozetmGvJiIYMrZN8ToJvOu3VtnrxzLSl
+yocJcyPlgZ08tDGUquAvxyHwrjcX38LAMwPgAjF6JKCYVmj6L6SsGtspjjTADllavVEdsGJ1T+w
GIyxAa+Mcrp2hI3QxVsm+xcv2+zzFIrhZ9VgsEVvuQkUV4Jr7e+8m40vwY3NEZr9lzYgVwJ4OQKk
/LQALVU5sMezpaX6lcpH3nkNGwGQFIQJ+J+otCKESUD4TXpguN7VVXk0cMR8alpcCQIxlSdSwb0g
tPnaibQEIaAfM2vx9ghJRhrALgb50Tp+8yJi03gl96/sM0Lpo32OBlmaDkIaEvkokHw2PS016w+o
reLabrUSWvhTlmhXMPjIWd7fEluvnWpnbgdCS9OWtZVUhn2hDOyIIjayXxKWq4dUQuLD7w19R15v
a6lZ0V9ntDNnFovLVlLtdCDfQJ9Ai34bvu482XXbnTWaD5/e/lDMtqCh0IIkIi+i8QBjyI9UI/WS
McE3TsaGTpgIzGXqaO3UI39K3EWJwKR8BptShK9T6FjqjDGMqgwDGz/+3uf19E/T403r9omTPCi9
o19MOjCmq8cZ2jt2YZz6hvbNm4+PQ2BhxGbPsMwVViVWML2JCy3zKk3p9QPMwjY5gnWbQW2jWu/J
hK6/JYYmMhnEXO7NZL/bHV0kbWfLIehyaw6bRTKmn0fT/IHQq/bmS262Tpm1YZhxM3Ja7JqOWz33
8bXzVMwTXEP2p4eqSPfwN+tLjlXQYULV0iFZWQZG2uS91tkRgwn0dz+xT+QrSVzySwNvZ7lyaLan
TkZjfuerrSMRcDC82Qh84PpWPaOEOxtLqgFRwslMP6AErMJoLsSLOepVcOm0SFHP94/G+lplRYpZ
evLwAlZwZauoKdAMPfJ6DIKP9Aayo1Rayk6E3Xqd7ApYFjMOYpV2YVbWpYJxvSeqNLjW+LKdxqy1
X6IWnyhKgebDLOf59qPI2B6h3D+FH/8sMpUwolBRJqrZKM5VHNg5ergQhQcaheOHGmXb3z3T0gel
rdMzIoSBW8IZz3c+6dYLJsoBRJqnOSSFtyejtPWed8Iwh056dvFx7n0kedlrg6z7fgwN4UXSqcJh
ZRW2wXeMihMCCyolaWwvY6Q7V4nL+2OgouV3VptOluG/h+l7ALhRi4GUU7++fSeBMKTTqrKTiDu3
D4psX9Bkagh3wO+CB1yJlWOPWO5O72/rhHA0wWzSv8JPYHH8W15yi+cMXVUbt5sxG9rXpFbRQw+C
n3EK2OX+Q23FtdnBkB4WNh8rhFyOiosC7QIMtEJwk3DRcCMjxLIY2bGdjbJ1RvANVGaE3FyOLTZK
l6ka288C2h2m5bF1DCDmaJHCMLHMcFZZboLrlI/t5/tPuEHSpisCeXfmKHPtL2vedpTKXi4ouAOj
GjCrBWhzGAZffgqAvP42MlE3BzjzysUIktFxqRV1/1RNk/2uQqyO8U4e2L/u/6atMzN/3JmBS1a8
rEgzFBDteuxCT/SR9jMJ7PxV70Jr54VvfFuuafpdQCyBUC9rQcmWYGrUjAZsA5NDq0eGxcGk6dms
5T3J/D+30m1WwIdFAo8AyLiKWdLt4aAWRnLKIbDHSZTW+MVm1VOV9dnoTlolwGgkgREcAgtZr3PM
FfpRxvgv+FnjQgp7RBVfOrNs38lNk9X44FWddrEttjwtumYy3SksdMVFwlFjBjOAij3bjWOc8rgq
xUVq5fJUCltPaSdU0ddGc/rxoImOOYAyTKC3HCUqrMMEXldzB0US3U703/ics2QX/VKUqNTV/AzR
aXI9CQTFUDgfMaE2MeKL652ydOtrMpNEuILONgPm+Uf8VZYGWqo2SYMXJOSi5mhoKjMBdaoeja6X
z/e350YMApwLJmT+lOuqSQ2TcqxmzIveywqa8lP/rm/U8NmaJvVHLg/dzkbdXG+edbJPN4S8OitH
Mt/ijpZSRBKjyPyKDmd67ehevkPB1965N7c+F7oc1IXUUmuWhFQ6uEVFITp1tdwyn1OGEwz1PYPW
re/F86BFTKdt3eSugkkRBcxLbxjT+FFpzfJYSKpygBpW7hT1c+RcHL5ZMpwEYJYO54a63RoFeoy4
kABwCGtj/JWgNXlomd9fhxbj6VKy4ydL88PXJq774/2dsvGQqCZST81Tedr56u3KSqMwXNQQJ3No
AxlndD2TlyiL629pLDXf76+1sUsAKdFHgPHFK12qDJm1NiKtPNMJ5DHCjH4qsLHWmRnniZBqt851
daeA29goKvcwr5WOCUOYxdMlmjblWMJn3hRKxcHscu0ye86c7j/X1juETkB7Yu48rxyKTMmAkzhF
mVcLnQ53EEZehJ7GAVDanlTH1lLkUMC4yS/olS82CrpXLf6YceahwzX96OQxwKUMieCvERy9f+8/
1sZ1jyAMoBuDaSkX/mKtjuCsx4ZMoa32WMYO/Vgf/EyoHyJfjXJ3UJUCtdQi3YnF28vSRMOgF4vr
ZZhsZ3ZyidOdV9tD3rotYaV0uzA1TuGgS8ahRrXMG+Xe6a/3n3fr3c5q+vQmaVivcDEjp+T/0Yj6
oTWPEVbAH3NNw2p2kNX3b19qbrrSV5/ZiMtMSkoMdUgyi6ugyQ0UZxCYd61Sx26614A73F9sK7hw
34DCBXuzVp3oG0UbMxM/Drk3zC8iHRT0bTVhYcdYGw/xVGpXBfbQc5zH+h4peOud0mKGnsVL1a2l
1acOcnbUG7IKw4b2gpH9dJKrqDpHkR3snPWt6PL3UnMs+Ot6TdseO+FBYWpsZ/E5j21x7rk9fk9a
hOdQFfpvH7WCgNYAUM3Nv5lccbugJokK82xcCFql/x3pnf+UimgPrMU9w3+zuBvmi47tQmuIXtwi
hiGEEjFmADTll6Ghf8RJ1p4KF7a8BC+3VeVzOkXCcn1fTZoDYjpGewhR8KdchliC9UqeZwdLaaXx
Yla2WR7GwJD/weVG+2KJLLBcmDVxjZ9ANhhHWU+F+TpOSf07gaIUu7ZdOx+DxMjzq2MiN3HR7EoJ
TiLMC+FKCHR7qaJIzdHJEl8+hPnQ/zbl3MaBpbDlr4qZO+oxACX5T9f1/vukMydx6jM1L4+mOiDg
7sRB9yQNjmjOlRNrX+1cGrqjnrRBhf+wNmXHlDGNcxRG1bVuIVeS5Em4gr8MqlaaD2XfgnXvJSD3
Bwea6y9DUFi+9+m0ETN8M1EualkL6I/jRJ+2Q3LuMEZFkh6weLcGdzQaRvITsMXBpFTLxQuEoxSL
ltROS7KLYviZITiIwjW9JZApeTB8HoIh+USUsqZ3wrGYS7lg/VPjX8QmB6QghBJ+E3EV9Q9ZqTuX
rIMz8iCpvQhOZPPYyWqJjK+8L6eJeZKzQMdFQg9UjbgW4QtdaHH0MoEXSI94PYn/ET0GE2N47IpP
gSTV4KL6OO8+xSNFznHCljZ/nYpKfCjjynxGXi/I3Mnsh/p1NMuwdNPanL7aRuL86s1pPDsDHlZu
GyH0c5UUs7YuuVxlKBz2XffSJrmaPPei73oX/mlgH6kre9L7zEiC45R1cEcTp9enq4w3XuAGMrfe
CZl+Kz0qY6vXh7I3cTYs6U2JayJ3SoaBd1npx7pxosd87EXrwgZ1vqJB1tuHZsiNT5Vj4CVuAdax
n1Wp7z2jVHpsxTm6ykHmosG5PCzGCtkHO9Mj7E1EpriNA3MKok/ZN0dsqvPqQUlCbFFLLovKtbug
+bfSkflz/RQTZ+zqmDgfRDVm8mPZTMbnVvJDAGBGnB/SNkdU0UyYUbsjKLfgtaOYFG5mm5X0OR9q
1TwE0Ks9qRTTBy1G5P41l8t0csnZ4o5N6Yzdw4AF+aduFEbj6mWjfSkrdVLOCK2axe9W6lR8SzHT
2GsgbdyV1IX0/5jkkXcsK+MyGQIYfxAxjDbTXgHi+h+dyrF/ZdTmHyqh/FsP5bhznaxC+kzAQAKK
C5JkZ6WULhK7tyoYBNjpjNFBzFi7MpLi0ygZP+9fXKuWER1+1JopSdHGZK1FAjLQ1peN3so8U6jp
N3twsn8CrTHBHDlx87VEn/PSJqLg5I3DZ/C6cXm6/wNWj8rIiTqK9iPpKqPERYQf4kFMaV+hG105
xT9DOIw4NPo9ZVudnP/LUmhnAO3mSlmiJOIuzwNHhgjo9/A1szyYoCeUxlmV/D2bqvlXLy8UsjlG
hyjYrDkKEU7oAotp5r1VX/07u3X9UlomZW9/oFkblxty1gxadhWDCG03wPxUT1rHsa2nIXYOth0b
P2b52GlnU25dkhS8GJ8CuZvBxbd3sd6U2ujkFFAJTP0nJ9L6S8eAeLiY2kDaWjnR8KB3uXIqZGXY
O4Vb20SnicucjWnQquOXV4DvaBFxCgXWkVmj17Krsu5DLjXN29VwAdGAC0CXF+jaCk6Tm5HchBN9
VFWB85+ohCi7GS4CM5Kdd/oHeXqzUWboIlclbxTf2lVdo5qSWSDJykA7TuP+ODdMH8faET8nPbf/
Z4Y695Wc2YnqYlSfPydmHdrPo15q0rEJJTs9+0MafZP9XGZk21PY3t9hq28+/zzs1mAiMBtd7TAs
O0cdu9LMC/06P+Sqxj0ipl47pqXzowss7WTbQ3rw/XyPQLVKNVmZSgF0+QwhRabzdrcVShT2QdVm
lCH+cJK0PDulZdldjMSantTIGPf6K6sdNi9IxTfTd6kalpEQ6eHKr0IWzCX05YtRHjhW5XsoKelO
k+pPoFl+dFi0FCYMImkJzm/9rzQa15sRhK7FJFKd/M5V+wDE9qD2RnDUtabmXvQru3DJWGZWZZVX
SNqOcf1dTeLiHxkTp4+qEenjcRphxF+7FrFsN48MEV41p7I+ZUKYPUYQZfIduED6LVV9sEvjwOOd
OrVQplNfadOvfJAQ+yw7H3ADgqtKinVeXauf2fNt48ZiGrp/6pBO3ckSkEqZssGwd0l7TJpqoPS+
VUFgDC7lgBUdcBiNHZersGvcoMD95YWwlXyokYHyXWW0+y/3N+YqwPK14A3Ss0YBD36kevsK8zw0
hzBH1j7iWU/m5DefjEhK3oqrm1ehC8Y4EwbOKhDIVoz7lZxmnpw2KnEukp7rrNpTtVxDwFiG+RTx
iyJkPR2K4jg1UzCl3mT50SVN/f5EviMfhyhu+f6KfwhTVX8XRk2Ey5wxfQ9rS3vXM7c+3n+rq1xn
/iGMAcn8IBHCgrp9q2bvy3SymPtHiT6eMCMi2EuC2bSsDcfEltiTBMed47AVY1iOo6DjP7qi1nHS
nGkGntADCfL/BUbWPcRSYFsu9aV19vVC/w4/LH72EeXeIxRvHXr0fGZkN/gDMuDbB2ZrlRyyMvfM
duwfazntwJv5WKN1TrczGdtcCpFjWqqstuKAx1JJuTdDlxCjtmlwSgFMFcQChmSydxKdjc9oywxY
UWWlKbdCllBFBNqIXo83Cqe4jHpSemVimSeFUcOhrMLiUbb8fGfRjeejoYQ6DLhJJkjLZKTWKpPM
fMo8pLab7xqOlJeobpvWjdTJ2kPWKRvXA/0ypIJoh2+YXtI4o4Lo2DQ1ZaNbd4byYNZ15hYiRZww
GmUXuH58qpPW/t0zKjyWEZi7xJTFNYZEc5HyyXigC9bMapWT61fynprRRmbNuJduEEJNMljDxQU2
Kwcpw8B9EhkW8CkEHjOCJSJ1Z6wdio+YAYmvE/jh85CgEYXaRjpe75/mzXc0j0k5svPEaREjKxu4
S02p7U1qYj7KrfGKQQXKnH0GUwqHk51cZms55jo0gxlbrqUNS7PKJyZOmVfaivTJLgTCA0aG8mjZ
pafJGpthZ8E1yoY2JPQWzCbBKK2HlqIrcyfNGjCrvlm+gCMKTllThuguGUn8DW+i/pxWTWkdtNwZ
P/pN3D3AdSp2cqStjU/LHUk+qqi1P6g6SGmd6YBsMlNEjxnsJ3R7u8ptpCzaic+brxjnLOo0cjHA
Y7fhKkvlqbKTPvPs1GxOVhA5F/RS0qtTBtZjM9XWt/s7aOvR6O3rAONApPCMt+up4VD2vdnChw1C
8Z2VjOmA8rL+yei6Wt/5nFsPx/bh0DFxQm91cWBazKYDLKwStJZw106UZLoolVpdCoRJDq01hP/h
4aiyccSkpcmunR/+rywsVfLE8iecEkpOymXy8/edMwynCEvUz29/jX+vND/5XyuBKlGCiXTIaxgy
H4GFJfS96LvhH7vXMN36YtQTWCPNhEhjeeZVgQuMo1ASjqIs3AIc33MqGlylYL99+g9PNWNG6YbC
b1smCyO8V8x4QUfFct54kcVhPxY28a3Hhk3aKXXnnbZImWfItsbU4I/e2eIVJrTKZLpEsdeGQXvo
bW18DEt72klFtt7eLKxJam5sFH69MCO9AQ6LTvWkfYqnMDkNjTGdy0nstXi2HogCh3KDymqeDd7u
iS516CdVDOpEkKJKRDvZA7yzh2DbyK3YCCSvXANMu5dDEAy4zXiocBuDsIkuqixCV7dH8WB0ZngK
bdqzUdWJCwnhXqjaepVk6FA4wAGu+eSZmYIq4FJDliuO4GvI45UuVHJIh6Q439+Im6+SGw6UCAPb
FXVBmAMmU6GZeqTXsJ3HBk3NztoDN27eNmRTML6oiZkPLq5T9LXDQVhzyeE77SkW8USjVA4/jNoU
n0ku09hFH6k5aclEp65vBYbFVrHDTVmjhrnzZlYK9AUuvlXG6rfoeVL8pHiJN2pwilXfHOilx/q5
i5EiAFRiZ7CCJYj2bpE7dXspigxF4yTBsZVqO8tcoATtAzn3XtNra7MRc/hl9EzWYO26C+LcVxkC
5MClH3uzYohhWtJrFhU/e3+QfziItX3vGDns3BxbG4DQQPFAnbam96q+bUqaU6beIHfms9X00Rek
Svakqbayam55wDvw1TDyWHx/zCjUPCmzzLMiK/iVtUPw1ZGa0VUGSO5AiAbXGZI9d/etY8QjzZo8
MyB0GWQbHQsdu0HOycgM+TlTxqx0fcdqdBdIlvrz/kHa+oCzAhzOIDb97iU+yayFPckZi/FjoNRq
UV9e0IvwyY/rUL+gCRS+DJXcH+lOi51Sew7giwA/Y5WpLyG50/FRbuNhWKYBopzEQwZK+vtKkf5N
htT5jRVXSA3cdvXOKHNjz9yst/iadeirnTOPwJtU6VI3V5vxpzOp8fH+K91cBi40PBJSmlUOTviH
3hhqCfz9QnqWKvjKDHF3Mpmt0IQAA0JDlJeKDlj59uXxNWXmltiYdaHadVeEhmglYdduHs0oNZWj
ZJqR4hp5a6puWDd17uKyE6XHDL+xN4+jEaxCvhWAL+UnB2VxU8tWUhP8yBmrIvuuGQkuwnZrHkCd
Fm+/rbE2wQKBmIwryHJ0IPt6rcUNQpNtmxWfm8Kma5UXsAPT0fwPmcH8ERG0nAcVKwBvx3Bfa1Ma
cTY6Ex9KKzHehXHpH62hs673t8xWO2huChJqaEpw8hepATYguWQKVNUMobdwT0a1/Z0lZfGzlqvy
aYgV/6ykooLEj4faCQpl96Bqeau4eNlpO/t3I/6wo3DrBXmGCoXj3O6sUdSlLSkkyaoZBl/aelQO
Rl/UXpoG4+n+c99fCqDU7VIFNsfd5ACTCkc/OhRtWx0RrcpeJI3C+f5SG6Ec3gBKhvRhnBl/c7uU
0DADFnNCHiYKmCULfsIQxtGDMzTJpUIZ/TqGe9iJdSQAuQRckP1KAccNfrvmoEZVE+c1rfTBx4HN
D4yP1I3ynibwOo6yDJuRBtCcly9LNi0MLGNy6CV2nT2eoiDSnkUv5Udfys2nSIg9IYGt9VSkDaEE
s2npyN4+lppUhTYptH2isFRcUSr+s9qHyYuqdSb4JYxz7n+6rdcI4xOgBkPZuQd8u15uDk4jKniq
wu+sD62kJC+NrFQ7q6z3IiZRGE8wktTIaJZlVKRTy5uIIng9qf8vNHP9c9KGw7MmJztCces7l5Uo
QGf2NtXNsg5IdOZZYwh8DkpJ+WtycE06WI1sXGx/YCiAbumDYTB7jWwMI3eOwda7ZM2Z+kHFgzHE
7bsExwHbWANUV2Cr9CCGQXmKhnIPSbq1Q/5aRV18Md0Pw2xUc3ak0civgTom5zIcx7OptN8kgM+X
+xtkazn8FWfzAjLCFQIybknMYckjdTyWzSHvJSt2MbAIHiOzFRfB3+zol219QeaiZLwKcLPVBNsU
muL3sBK9WqkG1wwtIDZoKCD1N/gfJLDbNCW7+BvG7s5eHPtj+XebNdFzAhfF/pmL/lV9B56/paDK
vD4eG7AhFhmU2+AGrhw65iMfyypRiKIySBTNb71kaKUnUPsYWWEG+YV8zvyBxGpSu/aQxRlCVX63
s7/XzAJIuQxTObGklLMFwe0ms9XE6Bk2QPADC/I+SIrk3Ned/xENo+4Jz+jpCsQLE+sUS5Eqs2UX
zWbtEHTCfk4LK9w52H/29PKNAejhF1EUE40XP8eQQUNFTQfbFkJ/7rZm5teHONF0r896u3bb0Mij
I+aH2XiW+qIsjvaAAqgbKVpqH4A16Zlr+7VpHwDz4jwdKE0YvcZxLaxD08X4kVnZBPYqCm06/ENT
q/LOI8yncvkE3MnkIIQEYKPzAfirmxRWdlhEjpl5DrXfSaeJdG5RGIITatfPqo+6j5MiFDeWfY4G
a72nZbtxvlA/mfX5Z4DsqiLBhNfBL13NPburpXe93DVnxUiNS12MzoGe0J7c40Zyy2HWUF+kMKGT
voyQHC4pDwIMXqrYkR9GfPoOlaF90QenqA7GOE3YJJUFCATI2t1LVRnZZ3hQw1vfOghdTtks0oMC
xupeLXITn3immQ84yX6taj17hf5uzmNX41qXdfZOm2pQYPKUzngs4+F+UFslLMynZoowlNxZI345
XOHBTKxCBvPBkeCCFODG3jE76p4ZPQznTMXilObpHvn6T/S42WkIZs8AWi4oCyqisajJBtuZ7FiO
nQdHR3bwSVNNSCqiT/TkUTcG5zNy0zYiT2kbuWZtV69dW8qmi2t9HB4TZL3e0cuTpavvjEwOJz8J
PuRs3hfZRBd10sX0SPag7tUfq/3Jj0aUALFlOruIbi1qIRrVw5AWkv3QVeGXGIO5i24FyVlA9T80
Qq92staN5ciLTQingN/XnB5MAYU/G6Y+oNY4vPctIQ7/x9l5LTmOJOn6Vdr6HrPQ4tjOXAAgk0yd
pboqb2BZCloH5NOfD9lzdosgLXFqZs3Gtq2mK4gQHh7uv6BDjP/3FEpf7br58LsbATIq4ASKaotw
53oj2FYo9zr+r8dSKzQaWmnQ3Wq9+lnKAv0xR7TyABJUbFypZ9kQjhz4zuL5SuVWp2Z5GnEQN697
3kbOEbDRdLT12vb0CXXBYUDc8O3vO0tJGIoyHSw7mokAjVbBre/KMQzakS1nouPn26jLhQcdDMj3
t8c5XzaoCtCEFjIIE7pWhOsNThO1KutYD5ntJ3omHa0OeE8wx/FeVLWysU3Ogjb6VCwbgkr0lCmn
rnalUAe7ztXWPhpd2Dw5aSkONYCKQ2hU5bUyOr0rWWV5b49onU9avlU+P48fyHTw2EGLjrr2Gbil
1jNHnoViHXNNDh6Qdsi+0LbsGNUojGeEDbmUHasO/bdn+XzjMCxyXFwWJEhnyXrXCFTj4VgcI0ua
r1LwxR7yos4eLfFkY+NcWFAImiRhFI9ofaw3TpiHqA5qvcSxlz8C0FaPQyxbe+y4C7+vxuzT2192
YbjF/AO5HuDinPxVGoFaYV4uuujHxGyG3IXu1X4Z7DS+H8scIf5h+m08FOgImHMsIm39paN7egan
FgIdlQDnaA+F/V6qK9lN0Hz8DOyc7o7S/Hz7+y5smEVwcnn6E9bYN6fDdfj98VZVnGOwvOgGuLb3
U9opD5pk1W7jKN1xlrVu//agZ5n08o0IFdDpWdja61QRGgrwlLlxjiLXnfAqxOmscp18gX3MoIzS
IyKO0rORFcpLmTdiy6n4PPYwPPCMRdVtCUOrNUWLtRtMk1De8NH7ydbSQ8BHblStLo3C3448K/c4
h3HZWb+kb3aiaV0gbOdYN7X+V42G6HUZh79ddzTYLDR8DEAtcPvX5dQ8bMfQkSDPWnFBGV5q1V1X
pVvZ9IXzfTLKasbsRtdD6vyIqk1Ou6udCtxwoMkuVYeta/3CtIETZk9yJ7A664Adlmx7PURR1xJz
7SvdpB61zg42AtbFUVgaoN4q9e8192uMKmeQyOjpz+bzURlTsPLh/Nu+hSwO3SqLPg7ECi6E0y2g
hIqS1w1ij1pSfJpFkF3ljRJ7tWUOG1krxV/+rtMcjjx9wWSgfUdcXEMG1Lwe1DHGMrkdbOvBKuvw
c49+xYMyy1HidlqKxFBcxProDmWOyBq4EDX7VPQGlPqg70yQkFEErlcf4gOCHjgu6BQlHyIpS36m
aggHhCMN3HdhkqV3sYl6mB8lnfxNLiOzc6FqqO8sYQESLSjr4SyZ9PpdZOfZ5OY69Wc3JaXFxFnC
38MCdRt7joh7dZ8polY/kJTnsmugwdPvkB+3SDSzXE78ssYl0MP4lV7XZJXmozmnhcybR7KynTTo
3GxOp9jfdTuVK9gLIfdN2oz6oz11vI3acHZmNxrqebonyTVujLZBMbIfbfmlHJ3kZxRp1hMU3zDw
Bwm9edfE+eSH3mTFuyxDcu6qIPo/oJEUlP5gWuAv5U5KNa/H9eWvRCrK57bvcscbDCO3/ayvggEH
TCv6kNowa3wB/W6nBfbQHYJuNO9whC/6J3O2tfeV4Yw8xNtA+5wIiBjU67UFuBOl0m7otDF0TcQY
pX2qxPVtPg5t7A2plD7HqFbFhwLtr9G1WqVx9phjR4VnO1INiDRG8QESzIjmWKca9QMmZ0rtB6NQ
K0/P8lo/zi3KTog6JX+ViMPX2DBG8FykeO5q12iFbbpmGvWSD63M6ryk5D+uLRnVA8rFUurXAYxh
3yR3k1kpU6IMIbiF76cGIBQNo0m7sXJrbO4kNZ/apzbU5B9FOSual9ZIL7h9Xc/1oxqk6VVillhs
hBSuJBfAS/OtYrF7b5jTIPHqtoA4ottj+TRb42C5RuLUzUFS1foncgRZdGwYkvVQYdS4RmwnzqOZ
VKr80Pcm9RleJ+0tARcdBeBwFZAsK7NecEiJUphSfZ68CyCXlhuCFeencGn1L0xEwvK5LEZgA4zS
UVI+crsbX/owEJ+4Wnr/7fvzbBTIhyCvMFgifz6H61TRLNEJxzINe6D0PkFF6tmKDWcjlb04CgGM
dI4+Dwj/0+iV96kUWJKZXvfEX+AyTXcNpCc7/Oa3ECOpL9BwBw1E63OV75hxrchw8uLrSYTDjaK1
wc4wi2bjXX3pArO5jXkqkp+ekXsmLq8RcxfEYboh9iFFzbTvu8RvgmHLaejSUJQNqNcsSm90yU+n
DWdD5EfjDEn4WcJEiQcb2JI4veLx2G5Q3S8MRWYKB5wC14X2hqy25WAktXQMEqF5Sd3k+6o2w1tN
9M4W4GhZ7dX9AlkJywCuZAxP1/eLMEzM5ECCY4yhdztzktOdURrZi5SH2e2AGWKzkeifbT9SJkrW
rBUj0phaZaYZfGG17IvgOFvt6OfYVPg1gWmrbHlxmKU1tMj4nyt4CSDWGZ6xpGkkoH5Wd47nNFi4
2yiEuOag6t+MvkkP5pRrfm6G5U1fT185nJkfzmZxGCq180RT9hvH4kJeTvEamTqeHCAR1tkjjSV8
bObQPrZmhX9B6ETA+2t5Jyy7fNYn07gijd0C2FzYTwwKMHzxzj2nxwaE8DkDjX3sKDX7AQIi+34O
wQZ0krURKM+3E5XspRtCLX1RMF+W5ZfseJpttAWNSj0qYZh1bhSOQfypkeFPD0XUxi/lEGwJQ5x/
HduJ1jwNA3quFPhOhwwLCLlj2yvHeBxsv0E8cxeogN6Tot4K0KDa18eFQXhR8X/LR56BSCo0nSe7
prGU6L1d77CNNveqHAamJyKUG9xprKyfaYEj+z7NRGK7sp5b9l4rgyrxkPS3Pqr09EKfCmAc+OMQ
QiwFMDRyz5ZW6aaa2tZ+1OFljh1tqT7EcOxHzJVL0jw0gvV0L7WD8eg0uA5fZcUknjNw2z+UJM0/
Gc4UqlcOJXrnKIdYCtxqhCzdy+lIc6E6o/rdFI3R7rHRGD5bKAROhwppIGsXUA78UuAAFENeztp5
L7Qs28/K0NMSbErDOi7U8WqvOMlk+2aPIsiN1LWkKiGKO7pv6FnseLI0dKhVYAUT7KJyBC+skCI+
5zCHS6wy8jpxVRgEhh/bklDdRnea920L65lUwwbTgMKfpXhl0FFhQBtes5AA75vIlUZRBq7kmJPq
6lmYKl/GvDRLkPBtBlsl1ZKvRtzEgUcWkH4LaYnp+yJ2nM9SZUNkccIiu2kVJ2iuGjKd0st0s432
HaT7r2muBNm+M0bxTkmrLsH8IC5Ht4CZlrml1mm3wzwP841WOVF456SS3XsBoK7PxhCbJLORhQZ1
7qTzTSRPQ+bbaLoIr5cbDMz1Lii/C0xp8fQr0Qn0lThIJcjaWnVrO1nae6jMTLqbjKH2Y87y/DkV
QrvBYKUcdmoWjq1rWUlYH5K0lQ84b8rC7ZwcIMhQSN9VE/1DW2mM52lwpEPaq9nXrmnrz02BRQME
iHcI6JRdEOuHLNCc91OqTcmuDcsu3i3REPqymSeFG81J/4NFr+8SrZuVR5T+TXNnq32XPWGBhZNp
DwWy8WtVmj708QjlKM/6/kpKpljb6UEuEGeoYucBrSephoQ+xDRSzFnscltNomPRaUHpkfJUz1kG
M9rV48YQ+9aZ5fRgmYH+oxwrp/Z5OkpA2yIyHz/rZmisY2oE+1oOq8JThd7FftF2IVtAlsZmcgdl
bN8FcPkXA/BSq2/lkNeDK4rWsPxBDrTUxXMQ5vk4S+Jg9tnsHOhPoN444gL7UEuRzmkwh3dzGTh3
banL76eIBuehCkUWu3lvZh9pxGUTq6mHza4Wth1etZbWPsNtgd1VwWnsX0J1HhQ/d2qF50c6GfVV
FMMOyOO2Sd1Z1GXkRYpdDb5d9flhjJWq8QnC6juhRMZ870hj+6UpTeerhSmBdIMlvCxuoijkjSGF
cXkzRGZk70KRDGB+Ri1TXBgR4qFJtQxCI1xy6WqSkNWCZBw4H3FeG4f3aEoxlWrCDud8EuQfSlII
8R5F0Lh9mtWiDb0u44F7zaqo4Opn8VeAXJlxpRdz9aEqm3r2384Gz649MtsFUkS/DgzOWTZo58h1
QzOj61/H3gjnEUXWTt9lcQNBf27NXV/+NolmGZJoAtx40epaM8yskgYhQAaw9vkw7EWMV0bVNpFP
kaI5WrMV+72eTBvv9bOsYxkUiOGi2kl3b50kFlX5qkwNM3Bsg0+dmupPPO62hMjObrzXURaPXvAa
1PhWN16vaDH+xiG8ibHOPTqiigcPv37X6eWW6teS1Z6kh69DUWVdhL+QeVrd5zx3KIajpXzNtdLH
7tBVOJ40KfhFlBYCV2AOBMCpzPapFoef/4NN89q3ojlOCWQ1dhlTy2s7cFQ4aFleWwmLIrs+7jJL
oKwwxqnkcRHIz2+PemFyATDSpqRnQtFljd7K8wjRjWGRwqhi+zbDKdutLSl5RgV1q6p/aSgaJSwg
nkQs5qr8Bv9XFOMyufOsp14/IbetaHnhd/hS/G7VklowUqiIIJBznvedNDto9THD6UItlIeYzPem
QX1hI+k+S/5IjsD0LIfOQe/z/M0HMLlY1NsQXYOtFcpJv7MNGjJxXeiuw1N+4y1xPoFUmeVF/4B2
OiXZ1VtikCPs5gU0/TBhRwhJ1m5QX529ELrzxgRe+LblrczkkdqeSypbfSBBi8XkLg/r/FCnRbpr
MiGu6lKuPBRKNpu32tnJ49sIXLygeWyCWT5Na4FYGKaIh/RaF3E2+TUCjxJ21Vr2lEvJ3PxQlZTc
KNLUgd5sGk2PxYj1Ux9NiuJOU4L+jcHmOnTWYtX89hE5j3KEcBhbnM1FHXkdFAI9yvtIx09YyuwW
NysleGqDrnv3n4wCTJ4Fpvu2FvVxtIZySGpT+ezUypcQ274nY+m/vz3K+RbiYCzgrUUvjP7TKsgY
ArYbtwdKD20UYJ0YhC7C3tEH0Y3NBvb/0lCYJBJIqeuj3bUaKkgxLUjhT1wHQk3upjEznoJ8HkZX
pOMQbxyN8zVavFKp8dBmBoW6RplAhdWccEDuVDVT2Ru0KN5rSrPFT7nwSdw/i/QZNxHiw6uiyGSm
c0kpP8FWV3pO2yL3RylXjwiRDhu74Xwk7EkXWCQ9WOQW1pX9vquNriqQjdONcr4N6ul7Zk24tsfa
b7tlLzsOmu9yf9PDWrfo9WSYW3RKU/TaYRL3BRVaCG2Sq0bVFjbmrKu8DMXHUIwDlnwGShEAu2Q0
obldS0Qaw66xvjjQTvcZUpt/laVpfuST+2MVhzBwJbBoG6/1czbK8gNALVKro6uNj+9pkOl7yyjL
ihtoElY9XuVFbDquVstOtbOqoAhcjWad9dRgufjDFpWS+sKh5YC/Z4BOQZbaCNuIyLTcUJGM3yZ3
8+NosADaIQCcO2GgeOVorUGhUg8T5bqaTf2Kqrx0VeLyuRHRLuWnlEdUOrMosbGhT+cBeaeJtI6F
wH4Xgm+uZPdmYabuMIADcaOAVkDZzlu4jEvLD2oU+MnSND2jGAssA9BcRzsfs3Rjh9YCkXyozSuN
9/iVoDX3EeHr2UuH6EqJtrybzi80UjpsRiiRgTU+C+KWNmD8V5Hn1JJRfsQ4TXJD9CzdINfS1MVC
R96oal6aYyDNELzAoFD/W2bjl9IQ5oVyIAlIDqNhBJ/6KJQ8bHMCNxVDftdVybzUPaqNhPw8bPCV
/zMoCd3poDD0CZFJTIqFXvmVgUj4zVAvdPJ6Ux79QsQF9wBGcgm8EIlXewggcN3Z0Huv+1GlGEJt
90EO0q1LZPlb1gn5YqixKHYuYprLsv4yi1rUQZYO+CC6ZOo73G7zfdsbhYeAlq645ZibV0k0fJaU
dqtvcGG3IlYE2IZbEpzs2YOqBk5ZT1N4Xadq/zVE/mpmvEahua8C2nURDnPqp6qwrG/aVMjNDTqm
yRY6+MIkq9BTqI0vDrRnChdKr9Xwp4sQI3BzArwZhXtdKrfIjxdGgY+yoIsIQMpZXinmciTTpdaf
IFNw4wxjZHhWUtlbu/PiOJQREQ9yFsOA1ZYBljEKE4E7KNOxgqduFj5k0AI3zsCFLQPqEWciavzm
0pM53TKKnZrqkEvSUe3ywqNR6+DtrczUjGr13q4S1YsQln8MgY/9fsbD69B8pd2Ax1hf2qoRyX2M
wvF1HAbo1RlSsEOe3fa7cI42osuFqaQky2FHgQR71zX2JNT6QSV445uLesFjM1jKCwy5ZGOUCzGM
KgY/kaFeGdqnUznHddxJXRBelzamkjulDtUfRmo6SP6MWWPvYa1U47EMeetsvK0uBLK/KVn0ucBJ
rQFoWdE3pa0C1RAD1TInShs/nubKHwspOv52SkwebBNcEJcFRLQKMYPSxhlgNrTkqxjPU94PBUDF
MN5jcqT+B5/FhbA01cB+ndXT0z5F7zywQiQNww57lSwyDxNEVNrKcTFsWTVdmkSaLjynACLDfF82
0S/Bc2gMp5HiNr5Oay53C5Emf6gDw7djaavRc2k/Lo9SAHsWGeu6RmOrirAzdeYtXAThHeXF6UrS
hp9vr9Q5thobeNDMZCwga2gerT6odBpjMMnarnkdVbtES5snZKPwX28GbTcmovbp9WJFmkjmLogH
A3nO6bfRMPyGRR0BUTc0eIjOp5MaxVaXyAGZ+SDn9THTauVKG5BUr8N22tgtlyaV070I8ilcAGc7
U4odOSlQVE2zSBzsMZmuxtSON6ilF2cVMjIQMnpZSLisvoiCIh1QaATXcqWoflSq1r6c89m14MJ7
ndxl/oCqmFeiROM2U5c/1YH+2wymZVahhIC4R7vtDA8ZT1OfhXIVw6cty31MAQTUZTm4IF+yjVm9
dCp4xxM7IcWDvl6d9wgr7KprG0zdxxDPsG6y3GYcm+ep3UQ4XBwKqje4Od5WZ9lLbWmRbkA0v4Z5
n+xUpNF8bYwhQ8fab2NXkVgBacnhoHgAQWVVP1kUxjQnU3KI9l3zHuCM9Ql1EhQTHDMyNx6nywyt
krIFTsFw9NAR01jdsBKn29ILdF2kTPR7WZY7d1542GqTSFdyUdlf3z73F6aR8RjuFYh2duxlqUtC
VUY4p6vmPEKBWBW3Gs+xRzBbwe/ujoWyQDEPWXqQlbR0T4936RSjYiA2cDSCUuyUoVDBjauO65Tm
b9e1QdZQhqFJzd5g4y8lsV/C89LNj4Os1Y5KYQTcOUOXATruzGmXdnTmN9Kis2CyjMals8D+l4Ry
9WFhwtMzkWwVq1VyWPQyzbsZYNfvZgyMsiQmCG5aCpWsJaP45ZsSiup1VofyMVLl+K4xohZBrdy8
hRM4+6RdiE3T1Xl5e39c+jSQsLQ/yBZIVlaDgtgKkISX5SO4wvwG0gTQW6fbsl45S4b4NALUorzm
UD1YL5ediFTVZ0s5UuyyH9Si0W7zWrSP5Ar6h7p25MCdIvJS9+2PuzQsdHGgxOwQTtuK1SLCXMRz
3MlHRavkJylO5H2fGfG+N3NZ95SUiomL+m1fb4x7fi3wsQsMfmGWLsnKcip/WUo2kqr3lMOOZA9W
6mJ7quQ0Q+z5L8Q/xeDW5BeB38qgH6t4nA9CEXnupwWWyLu3p+Ds/C+/BF0n1OKhM2n6an0lIRkz
EFT9SAqY7gMkNY+qDORBqdutysiFoQBpwplipEVgeDVUYQkRoymtH/W6ug9iW9ynipBR35W2TAvP
Ny1UA5oUNF14ZrK1TqdXaQUmaYDvjgg7mEviYgSzZ5S5snEiL41DFRadKj6LYLOKMuoYZXE+2/PR
GJPydhKi8Kdelf23l+js0UXWR9NxUUemdAX35vRrKL0WgCt1+Yjat0WPesScdz9OSaLubRx9es8Q
XfKVXn85XfW4oW4dTu0MqcIPQAmfRQNDhvzI6geMaqJ3oTkpR6ErvXDbAnqMN6ZFU7qmIrIKPdBp
QHTWlNR30Pcc01XhPX2TjND57JiV9k2mKv05WF6KbhNI+X2HWSiM5oh2uItLgvKcaoPav6hK175z
mgz5cbmj3HTUSp6xmlMkL2lkG18qNY5qPwtNqfWs1uqeGyMBUIGFrkRHexwlv5rM/rfpJHw93Dcu
rIX+xq45nX4jQb8upYBw1MIuQhNyHH1ZouLUZMbkIQPTHd5e7vUxAUi50PvYu9iw4nq1/PkvsaHN
NbWwTYA3XR81H0lzZk+XssqT8qjaep6tx0J1ltBOsZ22BSqf6rLBfxkrBitiT1ozEocSMo02UNr7
DKl+9X5OETEB5zaKG72cwNyCIYi+cOXC3zN6R38AF2XfjrOl5W4iLVBfofWm6iVIQpSfEz2YrPs6
k3OvAQj5guCsE39vjMy5lQfRyqNr15FporgyGLWfo9mY+oaKGeVDG41YUg5N1ZUeyJlc9sLMDMJD
QU7xZZ4c3K2qMs7EfsxkW3hqVTejL7VQMj1pQuIKFEqWtoCFmzo8dKM8/mVIoLc9Kzf5QJEDvQCU
PlTF4zAM7R64Tj/dgz3BEgRSZ+Qc9AE968dapQ/oxmGfWh60Zb060oeMw6uyE615yDBgw2AANR77
49uLvxylX9M/FoR7AVgogQvbUGuVSZBVZhLnojvGdmUfFUnuImq4QZfd9Mlo94cmr9TPThmN4fS7
dxJDI2XEXUh6wSthzRMxA24KSTL7owbUKfXsqIoXYHwZPqPEZ/VeFKuTdG0KRc+PipCUT5xW0DN5
Nltbpn4XZoHEjaMG/Q9YgrV6RvAKHEQiiv7YIu3gg69P3ERJzG+OnvSeWeUA1UGmbATzM7EVJgB1
Q5A7dGWppK1VAHl6pyos7+44tAHTYGam86CAUKp9GVn63Ev0MaGCT20d+aUxpElRh7UwfSmp2mgX
K2Gyhag9P57IaHC/gN4lKeK/T49nVIA7GtJgOuqI2TyEnZSAGkdye67brXrG+ipD6YnZXjYAenfn
JfWMQEFnc5iPHbSIgy7ASlQmEihvb+9Lo8B3AdUCswa9u9XrJk+dOZDUHr/irMv9COeTK6XJ9I10
/Cy9Wj6G8MQ4gN953q9OkWFlMQw8QnaMUoOXw0G5BovZ7qy6U3w1zaMPo0ZmF9c3UCLMe6UottyN
znfwAoKm4LvULB082E9XrsSlFfzZJB8BOwaHuG3jQ20J4AtWYB1TrZm80gSZ9fbsnvXglu9evEV5
YfDa5xV5OqrWt0B+cR45AgJQIlcNLEBjWLzUYBSLUT72VVrrt4j4kNyqCPq4vS7XNwgDRMIFIxRf
R1YoWajCDdJWHfy1NHwa2fhtdBroV3PXnF1rWegkeHWJ+ZgpmXpTJhSbXDZ//dWiMTW5fdrn41VU
YVwA8k+fbLc2nLk4yn2jR548BtjBShqMr1c1A/yasdNRD40g2/CAgEYgsaXKhPkveKd4QTSYf2la
iyBeg6yz4ndq3T6ardmNnpxG5Zc4b9rKG2Ez4zil5/nLwOl/GPMIc55gSWfcRtQwiuRQHn72QRzD
fxEW8oWGCFFqznotetTzMP8id6JKdm+v4zrhW5ZxIZLCCsS8DYno02XUzSqIkbaZj42hBPeyUVi3
eRKOiafPqfO90PLuZ90FXbNH08H88PbYF6IgACk6a9SrUO06y51BMakt52c+wpGIy501qcZPzCh7
zdXx0BpdA97SQ510uMEjTNVDGSOJ+CsTqIYAiBONsXEvLWd1tW8QLQMl7SwJEW+108kwjFBKm1rI
RwL2IO3qcMIFpkaDYYfRlgVuLErbwFMm3cr9SQc65g6ypL28PSsXAjF6giTgBC+4t+urASe0Igym
ZjiCaEyOQStPO1lKg/ckgtVGiLwQORAtIB9bNP4WrNrp9+ptEJDszyOs2sl5qEWaY41cV94QVvJ1
QeT38zTJ/p7k//o2/p/wR/n493y2//pv/vlbWU1NzElb/eO/HvofjeiaH3/cvVTtHwSE7y8iLov/
Xv6S//mXTv+Kf93F35qyLX+K9f/q5F9ipH//Ev9FvJz8w64QsZieuh/N9O5H22XidQB+8/K//P/9
wz9+vP4tH6bqxz///FYCDFv+NjCtxZ///qPj93/+ucTg//r1r//3n92/5Pxr7ksRZi/ff7TR+t/5
8dKKf/7pqP+AP7vQTUiQ6Aot4jbDj+VPbPsfi88b9Rhutdcz++cfRdmIiCHNf1DFpoe7AJwg+Sos
dkuKuPyR/A+KUGB4aCAA/weS9P9+2slq/e/q/VF0+WMZF6L955+nRUNqWUtDjmixdMf4Ia/CO7+k
8XmoTmYkOfFhTkp93/I2vAqhLXoIUWRXoZbq+1+m5t/j/zre6R7l5Y4l4vLqhcVGTZsS2+keLTQl
xS62wG42sEdPV9rgA8Dh/DjNPWgkm36/inXBRiA4PYN/D7rYvNOspmmtv15+v3wkiglD15d6eBC1
Id22GVhYpTA1CJLZlj3Qacx5HYrwC/YQeMGCqVilKTTI6Ifh4XegIp/cOrMuwZtwdDfAMmjfcH26
sbDaq9f/LyIj+/j29K6GB5hEORHSMeLpAMpY0dPpNVJ9HjLDbg6p6DoaWbm2F+UsPapRK01uXTbI
zYpIv09irs9Cs9uNELTSkqJGC5pjSYOZiaXlqq+6FunQG0FnKjWU1GWR01H92LVS/Axul6xtimfU
MZABvanU2g+hAFxxVRrCC0eoBF4vWuU9WPHxyla64fNAUXKrIL/a76+/D2gELUWaDItI6OkExaVB
VMnk+oCGDJKgedGTM4zmwc76cSfCQnp8e0FWl+LrhADjJXexOLCQrVYbXmqELXrRtQdpZljs0joV
7sSkmfZODkr9XVTWybukSf1UjoKFriAAo3TWdDuWabqFlHutuf7vlUjLkXLEIgoJgAJ6J/pVp5+P
HXbZ0DpOD73a6rNbNSFcvt5S2+uajHR0tSZKbvHrKj/HXfXdJKZctWSFuzabdIjegR290+ZAftZL
tYldbWzCxiu0WP8Uiq6CNBthQhBWFjyEUSjwEwabA1cSX27zAiphHtlD5qlhpu6DvgzuLCXfQk6/
9sXWn7j4R7DKyzlcn8BKQJiAi54fjGqwFXcuajwEhKjGj1jspbB5qvETBOsEonenOPdyVqX7OsvD
26bT26s0MMSxzIP2a68Y0uMsxux9ZnTy8+hMS1M4yd4nqVJ9sUsjOFptl3zXlEx45SzUlw7BNiDh
hRhkr1Z77ZPetnJD0Wtu7wZM+chAnOz92/vr9Fn094Ly4Id2BmoMSMAq3ki4NWKpEmWHuZt11+yA
cLeTsYURX58ato0ic1jwbaHKzqVxum2wJbS6kdzrgC5r+FmK2DmBaI99Mxs/eC1tKdKt4vWyS3l9
QRIkkC1mXass1hrbOgIqlR20vAzv0jLGQ0sbPUfDcvLt6VtdR3+PRJiktLj0rtVVypSPahFqbZsd
0GEL7zLaTB9Rs83ez1LdXndanL3PlSh+9/ag6yC9fB5ZOnk64OpF3+V0NlGOd7ACKvKD0EX4FVaN
be+sFOc6NzFKRXMtmoafJmesvqQi4xA1hrS1oJdmmOcteYkB8pKb4vQnSMgNJL2cVgcIf7DxDeo0
Xgv3f/JUI99q3l3YPawkIu4wP1VqwavBei2JhEjD5rAIK7zX44FIGw8WEMqJohv49W9vz+9Kcuz1
UMBeRwR66asxwatDUQK5iWHclgcZPQBqoABMxS6y0IJydVH2uTdL6fyoWGHhR1IShH5Q2vHtpDYF
oucRbP9jCbngrgji9mtnNt1XxNF6nYpWoO2h3Em3gS6qL2//6IsrAn0UMDubH2DI6YrQjQMgFdnV
ATVDAyULMpPAyoobJ9TrD28PdWnTI260pI68+TFDOB2qsOO6RUeqIh1qgjtFbZW7rh2Ha0mt7Wtd
S4ubiILs4e1BL3wfoC8djxNaEvQilh/1Sw42D/T/1EIqDqNW6HtLK4I7bEZNvD0DaaMcd+F80XLE
kYnBADXr6+WPpjqbp6o8BGKIin1uJsltrs32rtfr9qkTyoTUMX6yntGVxu1g5+Fvdav/3n+Mvnh+
oXwHSfT0Wzt5pgxiieKQ62Hn5ljY3ipT5Tx0celsgKeXb1nddqgcLfAbcBrLrX46FAk6cnrRnB90
7qzrsdDa69acuZsREdQ+hTzIE98u5/YaAY+tJb0wz5Sbl9ovg7NzV/sIlGk2g/ypDnEt91eaHsTv
onrSag81jOAumSdiV4xwDITkhkelm4VkW2/vqktbGa1+Y+ltGQsB5/Tz59YOkCg2KtTKZfMQwp05
DiKQdyUcwzykXOVmaraV013YykTMvyG2yMxZqySKfrAmU0atDmGiO/cBprGKa6k1DP/YDJL921+4
TOJqgQFN0qIgfVzAVavgWfFCwqzHLg81udo9xaePNOq2vujCIACaFpVGiD7061ZZcQ7NxQDDQUSA
Ko/SbSU5iSuFm6XiCzMHnoFmIDuWr1rPHKTuXqqkoTqMZq1/Silutm5VySOsVQ2507dn7sLRoEVF
5g3Kh2f0+inSlEPaj2inHhDFVK/yyIlV38Fl5mo27fwmkmrpMejKHukbydwo+lyaT2o9+ArysXSR
Vze8lJACYJrcHAAIS37T61+lhFvv7e+7sPc1xBQW7hMt5LM73JHk2hplCx6YZLANZ5IGvI/a6xDr
in2b1rB5YifcSl4uXOacdXAofBlX1foBNevRGE1ZkB9A0eufinSSHu15rD/YWpkcEuR4N1bxtd69
OgAIPy+FaW6PBTx8esRDCp00iszygOZZbh7GqQ9qN4ml6CeHwfq4CE5KUNKd4eNc2cGjU8DXdBHf
6Xs3RL/kZ6Ur2fshUXkFNMWEaVslNNufhuirgQd1uk8NMWgeaUHkCrt2tJ0W1f2hrNX2A4lL9dfb
i3bhBCzal2huLvQrSrSnXwP/shV6IZcHtZKk3q0yU/OtOpD+EonS/xbw+fUaWgLjAuBjrXh7no6F
vVNlT2pKcmtKoS9o0eznRmqvFvvijSh14bOQ3OAGourLkOtraJJrUUzqhInYUvFoZYtieWBLPrrd
yeHtGVwqX6uIuBjiUWZYAFPo0q2mMI9DaaCqz+EaQ17UwsRDGLRktfSD5OdCqLPh6w0ErQeRwW9z
u8k2v8tRmr1vpaHAPIh99jjZ/XwrrCr/SMFU6XcsSexBfi+/vv1r1eUyON2+OGksmfYitQJMabUI
NQ7lxoRM1iEfivCmGrTqJaNTe1u1IyisIY7Dr50cNR+EUaMcmioB1vKNOj+F2BY8JLMeQt2XxVNT
itTD4D5+h8Bg70emaK/NuLefBrsYr+R46JAbMvObwYw79+1P+L/MndmO3TjWpZ9IBY2UdKvpzDEP
jrgRIhy2JIoiKVKkhqfvdTKruzKNzsquAhr4gYJRmU47ztFAbu691rd+mYldn6MruPWqqkX3AIeT
X2oMT27O1aXA95E/9ohREanERFPX8Ci6ONhj+blxgBYr+qmdc7fxPldGt8PffAhctD9dSTQtUM8h
3BQzQCg3cet/WVQTLlZ40DyxjyeVsJxiTN/ezjxUXq6QKA55sbmNsTqBeDC/xLSPoyxSnVtES9v9
9HvxsihBxxztuOnRLE6Hl4FOBUAlyz5ZFc0jtyWncGK3lqvC2ToJwlu0c+boc267rG7tCc2bQmn7
MLbNB1/bZwIiHeh3y6EZIG9OAbIYHWhoSM15HvQnl7N8gwrATU3RpXKPYVoZtvxWeurcEApywvrs
LkNu03d/cQuH6T3v6f0629Mcp9tBbKzY2vlNybGw6Xa7oolBC1jCDgmN46x3DVop6wF6hZcENChw
GHIJZYX2u7xJ1WHq3DygfjlNYwXm7sHq4YepndId1C7U9MCjtoxi+xZMOk86VMNoXiBfBf2bPp+o
A5GC22Wsd/awg52WaNi7s25K4OoynWJ4416xUDqM3o0n0A/Y0qfQrSE0uwsaJ+txXNrgMkV4nL7p
Jg8qjM05r1H7EKq0yzjjbxyjiMVQrL/1ZxCP9+sa5uh3f0NLo5C+W8XRuZ/qrw4Y261vnsbVHtrQ
v5HxVnnjLVjeJ5uoN4SGZ5jNoTXFMHibeyBBUkw9utxzkrJu6tJs60k5S19s0OLNUwSCvNx148Ms
T9qNvlnyFW4h4pPj6DbhXaXWr1A4OgNwQEMv4B+JdH8k5ufmB0eD/DYsqMjMbnYM06otiQ4xjUrC
9alLAdVbg+RFAsuYpWjxbjNA6oDP43B5TXD3HpiZ9hiPjcBMNE/+SCo8xRkIIFng8jZzR4hNEeic
A3GA67raW2bIc4PHmcX02SidT4MEGq8/DNtWaeJ9nxpWRY5NCm+pb2Kga4CweJa9/vJb0KVoPObM
acJdDFFMQGi5DPrNQVAP4gldCMbd92gQNwFsDkVdO7tQ3mh1AgkIJ2JAqgC1d6hzQNsnb4PovOlg
t3Fss5ycmolcgiUFpGZecoJw31ExPwtQ+Nr0GaETeU3Dx2Rxosxh/JJiBlQgm3TKh4BmMaJmgkC9
hb34jlnExcr2xKUuJnalI/rDCXiOSyRClTfDXC7egGnt0iJDb3x05+HeS/X3zRt3G2qufKp/KLxc
UnmlN+Hd/t55V6J4X0hLX6j7jad93uM16eiyWzv7kmq+d5CJDmZJk3WQyg9j+1Mn+lALLwsc8dVa
cvZrVQwKF2HpCsyPS8faMGdtcoK24dwau29IfRA9EF6YHSgoa9qKBdMF/pXnlMfFIpDHch14Wh7h
y2IFSUf8Hf6OMoafYR84dsVsMMAEyPkg3KSAJwpExeQAk94eip2HDRcQeQsnhnXEJF2aQac3F9Za
+Ras7TTsmGiDIdcL2o6omqUZK4BmL6yN3nxOMuTHlQA0ZiuXD13YjytAj0kxgiM0NEGpiYRCVAuW
1QlqD8wpsjTt4X0k5JEBjJKPq7gZlPy07sxeEj2WONGDfpN+xNyeweh7GDWIifpC4snJB+A893Rq
JD5evAOtKANy6szXbcibCUuQY5pb3uPcn/Xh1+B4T+lmbqIWH1g2+y3amxFMScN7UYAamaFezjrZ
3rv9lweDA0g13zSQQtos91BHVnKIv1EsqzWSmepVfBcbCgDRbHXhxZvK/aCNXqOrDHj1w1ruEnGS
SrFbtkS8SscpzvtBjxBYD1Fdukzrp8aqscWC0/i3tMEBOl91PG652tC+3Y3zJD6jllEHKFrSFVOc
znj1oTk0G42PddrHz5hYI6bB4OttoUhLZ1z2te/pckHU9pQD1MAeAepzvhJZB6hSKLM/Yr09ADH6
0/WEX+gV6YLAfGTd2qcml6Tx0VU124e7KOcQUTeEJV/EN8x3tlKsVj5Fm/pKa7whgUzdPXrLesiu
PtdnvKKMwCXdkoOfansZE2czO+ZtyaHGMnvbtCPbA50kGahNtfM0irX7tvqjH2XC7ci+jRbnZ+Rr
WSbphMXQ7bt1OkcdS5+6MahvOdMMpQukRKWfKBgQ5SQjAM51tJXORsOCGgmZQx3b6SIYDlpoRNf2
Ix2DHrJoG7WQS8zvWizR57rhh2dTNKxvagm7g6ajY0o0pPqdqYOWZYkiUclnTR/QQGET+vP2DWX0
8N0DywsaJhKc2cDkS9pYk62RmcA9TcFL6P1e4h7N7ccQ1o86xgs/sGHGy4U4qAqaF0GgNvSWWz0P
MXBXLFWAqW5gvIZXi3fBOhDvWtfV0A52feFvIP0nwhV3zsg1Em24eu1IvxauqpG+NtXi4ATcrfgQ
Jpc1HYAW4WJK3kjoKFBQr2uPQ7CfzvZbLGHzIgP4kDSIvqiyUVVPS7AfSIDeTJQ8hov4gMJ5gFJR
Oo+T7dVTRONgrzf0I40vliATarA3gwEiAkCToC21R7CdgZ7yie6Vvkc23IjcSAAkMNXxD81I6LPn
eE65oal5hi+qBLTiaastLUw3T0eM7hTPiQNYGKf+Bi3uNpciTUjZaSSkI6FkGXGRSNq1lTJ0rWpv
BGQ3oUmTNS0mm1kzWWPKyYUOBrsdQzMtWd2pzpNUsxznmR10fsnnMnY9ul6wDREOMWq/1MiY4K2H
oIkEovSNNWezjW4Rx2AvApeLMALQLW3RQAZ+2DYPJqB1dJMTRCdODr6wyTwbJe92pqjbeWIKLo3R
OZ5x7zCgCHQgMA2cl2RtL9NWb69qWeVuAfDqRze2/CfisppnBw6mz228r53Yx5EPRfTOS01T1TKk
t8sGMmDMu9bFgjEBIobml8gjMuKfY8A9I9BedwkiDW/gU3U/JUC5ew6+4HFGjfygAYZDOQRRumUz
P6xy2Y6hBZgADjmciGbpoXacrP+DGKhTUa9ehfrLVEXcf9VugIGpw0fMpSGd3VJ0ot311Mfh3GZr
I3G5AEkwqEnG+BlpJuYVuBcc9jmJbBmtEQeeU7p2Dxjv+j0BTFnn24KDbT+7IytjCZRYBjlbA+Xh
GtyuUA0OWTSEyz2v0+3VdL63B6rFLxak/8i7LuCA75pxcT49MNZ2zPXbknZ2eJEtdsPF7XmO/JLN
L0K7Iao6qFWfu/Mc6Nzyftpd9YdljSJ7H+Jce4zSWj85URspaLNA7sFD7Mu7iAegGa2t9UzWD3VY
Ne7UYzfXW8yzaB5tV+FonJ6XIR0q12yoohsZPEUyRamE+9wfcPP8sRJG2l3TD8MXQd/q0cI5/qn5
z2XuMW3eQvYDY6qgRODmqZ/PExbIAoKy6F4HWHxBPopzIG8B5GNu/Dh6Q3qaJpNkcUM40L+zxWLe
BmP9QaxOb6HYQuiPsONxkiHQUxASmm9kHpaLN0wkj2x7ilTD9sNC3Zx7QV8FChv1msZz7oHVvsNr
a6rY8U0J3BK+a+SbYmHWqbyBhIdxna47CI6T74DII+gWdnfy2GmT9t8YglKqPvanPXiowIgZI4ds
nNYfkSPNxVlYeFjZKt8Ac8f8vDX03peR2ukklo/Mj+ZyiJ32awVd7UXOlJXjyHeT77N7E4cvYJKh
+nTmudjma33Y+suK1UtA1Z2bnuKb1ui0voUsDC8miZrjECCOcWt6QKsXf20P0Rq4cyYxzqM58rim
kwxV98QH7vWZ0k5/vlYLt+NKlDiaCVKpEn8gKvxmsbgJLWvut5B2eaAMKQdHYGeD2J3iI0Xdkz/H
blU3wfKkEMmyq9vkN6LTUMS+vAF3DuaeWDYYevJuSh63WMCUj/lW7WSMyOSpjZfhXky1HHPpO223
mycPjQpQ9H60roJ1nwXaLfg6dvfEA2aaDe3oZbJFeGm9pvIQRShRcPXZOUQOzYrJ8yfCY9LDMlgI
vVkY2R2p51QVrVXsbNdNf7X12Lb5JoF9Lxg8KxiHz+jUFU3c+eWCOigH2Jb/BNfLu5GkjZ5tyiM/
mzzbnC3rAoZSyGdYTIU1hTZEkhLZQebeNtLfb4kQB39otmwRnX9aEUSdNVDx3MgVVsmUmu2kBnxN
Rwt0yhZJgM8kHsSJYfCh0RLKExTm+Qo6OHZbZNGBPc5wdhmj4QHWMb8Mo1ZCmiPH7YQF60cLF0WJ
6Or4pDk4kIJa/mGXBg983BRSOPYwTWmahclozw1qTpw5Awb1WdyUGAmuOSDbtJBh8EntrF5dFeFs
shnvW6cTZz/V8YsnvS1P+tHPMFAAXrKFAhgYVeScrYjBAOUlpXuyIbGosfNU1Dxy9t28poXn8eBc
o0TwZ1DnsSBAz9lg9ctshH3fwRA/X7HsP0JRMexoo1o462jf4Lctr8bYBrd93wYPAYhIN45c0bqY
0wkzoTh9ULLWjwrSjCnv/QV638GFmsZdE8hjG/HaBsopplnVLwsd9T2QFFTlHdCpFaAQ417H/Ype
CTVF3BG1j9XcAAj9DbsfVnHuN95TiFx6dIBWHFwxC0QTwWt4d2k0OXi4yEdXbx9J66ss0FNS+bp3
9x4XgH6CGgISqXLVAwqcn8QZxLvdOM4hrXo19aLeYpV+oq1g8zXGGuhh/Z37qMORxnuv3UjcgdyB
A0IzbA9go704c11X1He6+9Zs4E1K2qw7kMUAOPf5lnuGzIVREKQYHz1WlU7DxSVAeoRkGst6HNQp
SZuognI4rZp6zgdN1SHEIe+CfhSQkLHfZ3WwetUwbs2rQpbZYR3QAgiGJ4a4wsLqSR5xrlzzJaz5
OYU89foOTODAh5+m66+13ULK1McvKDZLPsjureNwf+CEGxaeIvWeJpsoxg18Sodqp1rUjLYCASqH
d4su/YFfC011WalRGVfTS+paHFSCyBwhGpVr5np1knteR/vMI3B2V3FdF13okGe6IoMtk85I2yz2
ZIjXzUtz3TdpyY1DLrDbtbm3gXZowbXYbV0gsQEM8YUmy3C70Eh+l5yTXcyXRyPqqPLo5lat6YZX
Mzd2Ny/ACPpifhoBxcW8X0YvrOv6i2qaudT93F8aJ00Lt9t3IV+PzJXuAfRd90aZyYLQLMwe6Ifk
6kzprmQ2fdxwyPs+d4FbTYTqvBkRs5KaZHkOQ8Sq4frLPJYhcil8bUreBu8dDqsFgJ5bCesgnnAP
eNoUzWk10C2nUYdd0WNoQUxOx2/SeZJlryJT+vMY3iYiiA9ey76D1DC9TPUY7rGi22OtJkyQqNeX
oYmaz3mNaEZG3kISE/Qv6NWYD+UQcZ+CXfsNgv4sHCO+M0MSnKa51gVEgyqDCtweHevxdN9xtJVF
uMhylYHGvWNbnw2t5T8RkdoVwSo1FpRdazBx7Ny966v2Bu7qMQ8bbLqug46X05rxqFZU062tbRV7
At5Bx2F5Kx2FEnzysnROdgGuKVpEXgK1HsTdo57AKemjMoKym/aJj+JzWQtnZaoa5p7mgU7lw9Kz
Zi8R5l3MQ69KCaFUnsZYewjOMAVlg7iQflnKHp4jJ0+7nlfeNI6VA61Z5SiAgrMQhT2olrS3l5WN
3V1MLDmhXa+qlQQbnlNyVPGa8CINZnHrdZF3y1EB7h1UdYekNyZfp6CuNADqDwxnpgw/YC6AilUZ
FFzg8yVLsmcOYtcWsASwqIwu0ge3MxPdp7u65IaNob0fNnpjOQp862xfIWJmYXzqL0nH08yfff+n
aAF4NSNfEZkQscpHt/Rb0K3OiQmx+WBOm6jLXGKea+vzM5iza4EUxJvJ2neMh2UWaveV9729dYxg
hWmBevLhE8m128x75mmgWfypv5dWYN/GPDRzJ+8jZDJAX68OzdGzfoeD+VjvXJj58LYvfdmGdfoy
ez4tGe2+98CenkeN0dWVihDnMXjMWWindRdt7fBlUVtVEwRuB8+X9G5G+kTh+1hzYxfFSoZ2wTTl
SGkN30Pbu9k8MKesPX94duAlOiWIcq36mqx5syJpIpxqk/nwUt1CPfiZNHItDPA5baba+LMfpchx
bvL2aRuGTybCkZcPRBYeeudotww0yDrCwAKgdHuPDe6WJ+FPQBRz8yzS9Oz1Bk3peBa7WS/TDUs2
/jxweETjTtSFlYgCnyGLQkMHqHxcLfJEbL1b4R1Byl5LdiK16mMyzVS6arkRbFxyxInAfmdSeU+a
IfrusvHFD2d+thy4q25dVL4lS3dMByRB0ljHRU86f64Wos1Z1UKD3TzNuRlwfsxntqB1KQE/PQX1
2udN0/7cXAzbzeA0pceIm28r0nXdGiM29MLkUk1B61fuALs5HeheeNyWMsFIw3eCNGuMRpeNmn7v
R+H2c0FFegYyxCvBKrw4XTA9BogNqaA2gEISdL4CDl3xFdSNyIPR0agO8Oal8HkOWYxZ+R2FUgzi
TqyOrzF47DuY8I6mb8cbpECgbcyW97RXP9qOItpLYaAwR2qt3C11d+kMfsJiBQkzJon9gcGHB/dI
I+wzRcLuK0uo+orGn1TFOGtGwt37NaYFaL0Neexvw1sjxq7wA2KOys4hEC+Lvdt8ZF1mM+FT6dep
3tfUS9DunBqycwcvzJfrWV62jUArj9QPzYzFq242tu8mTh+xuy4wK/K6oE3f5LXsF5HBGy4qJia8
Sb2zrT3axxoFo+jlO8yyC3prE5IhEGlQTqZrcVm99RjE6acCFfKo5rTe9WzE2ACiz9uVL4gmbal7
jkBrPM+CARIfuiKtVDf2Lk7oqp2rFicML0MZ7WAfRd7cgnBC1duSjAJ6C9huQpZ7jXIbfKARqGnt
r+i3MagxdAGSbaZwBHlCy5hXILmjb973dy3spaVoUIK3yFzJkQaIqU6/jZUrtv4A+aiLjSORL9sg
1iVDMbs0OQ54SMgBmBzRv5PqYSrxjLeiWd16pem6B/SsMBzu0WKCoTcHd62XKKMXUgQghOYNRjIV
fsx8Uye63nm0MzdLzVwEy28AQQ9x7kGUC45xf4lN92H5ZrIw7KY9Zk9d5aUwkWxkzLzaRXtiTM1p
DtJ6DyL+nYJ5FV0ahfKz9eWza0ORj+7iI7HSdE6JxIHlFXPyLh8inKSFS8afMzQPHwLb4z117Iqe
O21ygRboziNNcIFVwf/GYfHHsoBKO0DmjE9/yKbxdnEdvqdSDuWccj8z8BAcPLdnh9jxTo2IXrlO
+CEeNPJjR/MsPPTFWRjYfTpoXURjuJVDmkxvlhiS7NZ6nkoZhlh/NQfxb47r6BFtUwDQAzPuAsnM
ZYE++Qhn0Vq1fti+o9ffgEqoWnSWtZWYctQwyKUaU7ak624cOyY7nLQQ5IOK72jwlJ5QGYi9kHG6
18jfytVEwuMwbC5q2Cl4RksBLeZE+CfVEn2J7BLfpWmD2f2c4ikUyDrIDVraFdF4ZXGc8quGLdP9
VnfkbllBWd9adHSiRplrLRad9GJDFG19YD56TPNENqVLmGQLruGjCzYwIoHWhnx18F90GeoXdcd9
BGXHCkMmIA/R4TWNvmCzxvAuqeMTvJoSUyvPAcoWJsADd8DsBLoJ/Z0x0vW3LW7FgcZwJyYI9XuB
+ZZU/dbbFJVEa7C02g1HZIge31UNsTntJPJukYVQdvE0CPgQ5jATPKavbhKoR0+F4w04nKi5GTig
CADGSiaydHMUyYDAxqykobz7aMSKv1sROzTFmjTLhUAQUSBKdfk+tdTBy9MCXbJeB1K12OZbJD6p
e1H3/onVXD5Rr+lRTfAVZ0FMEkrYqu2pJ7NL84ZOpi9gr8P8ZOs972vumDpT8AQ+3QEG87wlC72z
a4uOvLvJjpyHiaMISEZBzzqZIPwCMiVpi3jp/News+NPbXqFVErP8pNPE2zMC40TJ3O4X9/xuUNm
w4gT99kFHW68qBhkh9ybI7IfRzf+WjuYKTasiz+bVTTJCXUY2XsB7OXZ4nhA5prUs24e9YqfJOER
OkXaGZ+cpg1fUjZM34G/kegW1g3CMMQEucyMperdaBdQhMHi4xrqdOfGQPrbh3HwwtJ+/BmGofuO
mxxnGKmmqpx9J8xMS6UsIFZpkjwlE+JFdOBAEQqdeVJpHOnQv+/9fQ0m8qNkSt+srQujuxm6lWeN
L5BbpgfIFmZ30qiXQjTJgZy8OkTSZnnmWwLt/CgGWDaQ7YHPFdQ2yrVEgm6FAnN80+sSpVnXW/wq
J6x4M+yZaDrG6W0ApeElMq1CeyRt6/26xMuzqH3m7uZhTY9UbduY+cT046XhsRtkkH12+pFicrxv
ardpdvEAxUxnkYDwaKnsvQrpamE1IIysLawI2CNmlU1/YAlQW/mEAWxQuJiGXeG0PMjWOkXQR+Pj
rUd+RqAKrTFtxYbQQj+POOUA+O16OMWzZo8jyC07aYYlKqfY4ILoFXEkuQflaYPyX3phhaeUehW0
E6gsBg0VT4/Rlclkg+4GAjA29oiWRvMNbXicoFNHhpXxZvddwOB5RP+cVinwRy/uQi1SuaJwwTxU
TLsaeSXf9WymG29d1iOJqOlOcJOmN2jI4q/vNTSb21W8grgtPKc40deXBWjcIYdVC5rs1Mg3wlGZ
pJQ2lxg2jaoeLd0nNYGih8dr8+k5DQVch2qdWT9Bg1YRNJ5y2uKAVPZoWtpcQoYgMGNcxWOMBDGa
d7pfh2LqDO56A+z2l6sT/F8V1N3ZoDX+go5A1+WqkwqLBdJmPkQajU/IZJi+U1v7MVp0gfPh+FDo
RyIYn9DVdHC4WwVB1kkfxBnMLvOzcgP1OqZoWPQeT15wZiA3cdAsG0b96QWuUNQHI9MIpY64g4Gi
xnoFBQ3q8dq/CugYEHkVbSmEwzryYa91UFdOWEhv8B5MQ76gOdvn1DDI2QNvbXThyxrDAwOXcLMz
8ex+k6zvkpxNEIOjg4UnS1kavgDrgANaPQa4ESONMJQAPho3s6fyZDs4NYJV6foBYjvsu2gGD7cd
jA7FaJP2krKU3aUTR4yKV6OvirQWvPQb7jcaoMO6lBCzre0RWuHoJRgHPAQYhSLzaCJfJGjpuZWN
jzbkOl+zciYI4CcnjIeM4WSOsfraIaKBU6TIZUxcJYtUbqEpQGdLn9rWwSMfp3gCHTniJnCDyVGl
QwPhraVRsGUc0I6XxqbesEePan52ko7uQW3BC4uBwWPTQcfBZjy42BbqSxsT9rgiO++pT5NWH7tI
x1847MxDIeyEd6Ob4EZBQbA58Cs4ApXZBGU1uH5pQysR1r7IN/QRv7F181FnCenrgw8WyAO2opEU
iUIA3oFcrfoKQdBQouD9GPIZI473luHR7jG9uoEOZdqtAANXQjKsuv3afMN0CpcTKISV3846WVF0
ICKkdDExotVvGiYDLfJP6TbCL0VtsdyD4IJHGJZfvN+TxEHnJrk6fhC+11dXXWOEQzYHy8vrZ6z3
+CH4S9N1fgU2HG3hOfXV4xSsyOejCCGr6HVl5tgAqnRblrMb1U2eciEfeMcXTI68aSlR1GMH6gl+
Gx1nd+dTvl6ImyhcA1hA7nRci+i9Z4p1OEK2BE1U9NWvHSrcpGVg007wFochNQwkyQEVJ+y2nRa7
GxGjcnAdKQ6pcNzjtLW4F9jkJMlxg9HkjpUOAAXBr1c6Adb22e3qWxYRrJHdFmCdA7sMi4g7OsEL
jpTujlEIe2BSbh8Unu/bcekRkgunYjm1kd07jYdh2YKaOh/Ehou0+t0wnWIr9FrEnKPTyp2kdo5A
3iIHUwg8cL4FjAsZDtTufB8z14L3I4ptF13SXYtxDRQ4ZksyIBqxkiDMBypfGLLgdJnM+LRID+8i
VyS9tdLaAteB7EFfcfI+GNRYzEogTibSETjrfoSJfQKFqe/J6CnE073rNdLaUJeJ6INhQ0GV7G0j
gmzmC4Vj3p4xCsWWNRH4TXgIITiKB7pPFxrsDV0iKJQiPCoWE9pcJph8QNiF/cJt1/k5dCeCulFh
k4qSAFL3YGWPKLQc4H6TBg/vRBEJVbUy8dt8jhk2TFSH/gnHeHO7juAOzbKFKKLVGo4uunh36FHd
GmSwZAl3vYxAMZE7zgI3jFycozGzPqI1gW8TtUGtc7TGnf3CRpSAQ2yxxlss//cGhyOLFvWi3RNN
ce9uttqDgcaZ0WMrl8XrnAuUB0A0OqnEpJ2OW/S7+P8/8l7/pY/6T97r3Q9xNSvr39zUf2XJfhID
/vfrf/I/0I/tXV30f23IvghYnX8odDj+aMj+7Q/97sh2iP8PKNARAAKRNqgE8ZXBOv9myb7+FmyD
V7H9NR8PAROQGf7Tk+2RfyTQnYY483uwMl2dhfp3SzZ+h8QEdi78Sxg9YTn6TzzZvyhcI4QFQtJ9
rS6xJ0Y+NrQ/C3dtMgM/4fdLYUign6mV21vbLzsTMpfnQzh7x9mZg/thJOLHsi3krnO25cgD6hzx
vpk30qDG77venHwWoufe+eyBeCn7J9/q/8Pz9/9ICPgf+KxdLbT/5lFbP/jwof74nF3/wO+PGSyT
//BAnIZGGb5JSKPxwPz+lAEJAPUykIVwwyHjB4ao//OQ+ck/rkkDCLuHhylM/BCC4n8+Zek/CPzd
YO1dMSiQwCJO4z9w/v/Zo+DAgnF1/+Mz/vnh2ja+qAD71l4RJs41itxzCOH736mGryrsf+me//XX
/2Il4VQ2aBr1co8hg0B26HJeg7Dfr/PsiRylOUKUlgTyBIA4+N/4vv4sDP/fPxIR1X/+Rq2PhD6p
Y3nVJ49zznAA/ba0PYpORsSI/WWMtuhu6hywqf5ws+9+/zp/pBn8368hNNF//ok+hjuCjJvYQyxZ
h/mMXfCE4on/LZbnz5rnf32l61f9g1sO3XeY5Nkq9qE21hx8ianhblZJ88oan8wnHLnCzwjRjBqQ
qfOw0uROOtbBuV877t9YzP6s7f/XZ/jFeOGw0METasY9CRcoMmcg99ySzsw8w8HH/iMDwb9+yC/y
+NZOEfrusdgHgKc/8jnxflI2JmFOGgc9xv/udl1v4x+u5gLRBnC7sDeNHQeBYQ6MQHW9kr/DJf/V
4/CLQP6qFwF6TuBK4eW6EQuZ7yNUbH9DhP6r+4AF4Y+fHi3ByU7KEXt0TcJnHBI3jLN5EocILd88
f/ffXaNflgUXIbA+SWqx96wVpeNNoiLo5P/Ns/RXV+iXVYGigeB1CC/Y42AKGYNVqE2HYYxU+e8/
vfcXF+lXx5WHGUO4OkLuodFb5tumi0DQohOBRiwi0IzlozQSREBX2IceNobu4EH2II/xpOV4Rv5o
2JVzPaGJO3UpcbIFR4gVHUTueX/3Ef/inf7Vqr92YhZwz8h9vSF6NDfCBfutD5twgO6QUvetm/rt
hyctNFCoMtsjWDKpKDCfwYFVjzy2/93N+JUKGoUoxZP+KlRwZkj5IGGNHxxu0s9/fy/+4l7/Gvpk
2CZ7OtNx34iGP0Bgghn1qqCR/e8W3+T6CPzhbW46iZYkPCh7FjEoWmvvf3F2bctxq9r2i1QlCSHQ
a1+stuM4VyfxelElWSugu5CQhPj6PXrVObti4nbX5jF5wDRiTiaTcenaRwZliS9+03eShV6hPwLi
Fwg7YVM9BnKsfq6baq/ku0uL46SKGdc54MxqBSj6NiUATE24JleSMb8w5k6yaOzIsu5MI4dRK6SP
s0iorzEgnvrK4l+KMydN4IC1hSxwKGyjBqZgZSu8fUO7woItKETw6/VvkOJT/llEwGPl+SeOwzDZ
GgZar1iVecDr+PQPEI8RfzNh6zYPZoKl7JWz4ULx4MpmztmmWaHD7pQwIN/24JHW+hOLjGHo/xca
+m/4vQEA+7GCy+TrP+/CJnCV2gHsVBEZiuGUNSlshpk2Cm4omZD/mwDtf09V5pQPkGVdgTBe+5Oo
h04ASBWTPjiCkw4KSdvglorbeaq3K6aVl37O+Sv+FpALcCVxYZQ6zdPAu2MxTElxtLPsHv2Wywl4
mFmHaPXHqFhrOLgeoJnZ/42rENKK3/hOxKO5NgB3W4LHnuE5CCho9DrSprnysaPzpn1hMzMn5NEg
iNsxrPpTBu4SXClgyfFTiqg0ZyE4GT8FASicNxImpmi6trLu3ja0WLcA7f3wmjP6ealemoOTFgA6
gzFThE8UDEsGPWUS/72GFu+prebBB79ldFJDGgQsVeOGMhzUa7GvLN6/14KxKznhXM2/9BOcnNA1
AGVAMlidOAgT0z4BZiA7CsBaip2ArC9ITlOphl1R8Ag0jXqrn1iRkp+v/7YLCcnlHoIOVG8qQXkR
nhEhgDOCvweqidTBuxKE9uATk7rvP77+xy7E0x8KRkEsCtY1uEJNYJiVNZSyd8Bx2GvGf5fGd7JD
ChftUhmtTuDHBgfSyrN/HjjPr8/+QkJNnWzQZoOct/PxLNOkA0wymxdQmcTS3c1qSNc9nl/Zr8VQ
qEC+/gcv/RwnPWwUfZBkXBC+IbquM1OP4wxN/NcHv/ThndwA98VqUupcV65LP9/IQphPaE63Mrfo
ubwJ+oodXv9LF/b3H4rwaA/C9h338pVClgymezz8FNNWQsKiC8tvQNHwRx20BbsBIKxo91ByABLi
9b99aQmd9AAAYdwDuT2cQKVJgKqfebUPF9JOV8a/kH5SJzVkgwakKMQVZtgEesiocNl65GB54uV+
Mgl97/cznBQhGjIA7BsNJwIn7302paDhYtNd+REXFukPDxLwAofsHJYGstqfQBSJPgVgr9x6zd01
fyxgswuIIO6ogxjXO2gSfAqAq7zxG9yJeAkClQpijcHPkksjZPtuwJ6OPEd3In5RfdwuYsSyT4S8
YXhK3UN+37NidgVUJVSJMpgNI7yB4PoOrt4275YonTzX3QlwIBamBlDh4VS1W/+up8F2VFl8tRK7
tGnI89ootUE0ABeG2W/rLwLpOPDCxmuqv5cGd8J26+omY32Hm9DY9nhOSsXegkKT+20aJ2graCyg
b5L1J1OVd90Cm6loSB/9xnYiVSeTLgyeZ0+SJfMRIoR2r1NQzL1GT84p9reCdDZLAyrm3J8CQwWg
h8B4LsPY/PAb3Wn+aVAeGtgX9ieY3kHBAToou7Jv1cFvdCdUWbaUIxlQuoPpST4AVflGoKq6IlB1
YcO4JltdKhZAZ7DsAjxMCcW3s1x/F4WwMPCbvXMWBwttpgjvxqeIj4CJzyAZonz3S8B/6E2RgTM5
xf1Jj+p9MsJqLp48V90JU9mB9pqlECbKUruAQKCx++8B2R2vqbtfWnknVDlVQNmosYcwKzDdh6EI
QDigwN989Vt4J1ip2Wg0AuJ7AqViQyLup4/zFv5v/pb/vU+6UkpQBoV+boNNCXTr1LyFAHuRHNIp
Gq4VCBeWx5Xd34CAskSeZXHqSG173SjoqCdzRNOj1/q49qN0ZMJG55TQko6cekhS3MOeZfVLlcQJ
Wgl7btkUeA+Ax2QCPZ++wmO/UJ5zd85XTYd6rChaFNicFTBP9B7WZM0VsaBLK+9E7DAYFq6gip1i
PLXnttLNT5DmanklIZyT4gu3NtfsEpaTMmtWg5WJixiBO4473A6+dWChUJ19sGA8nmql6ZUwOM/6
pT/nxHE7QV1/KQacK+VQsf1mwF7ddYYDdQNE9DW140tr5gSzBVxyqQTWzASG78NBJOCFJczv9PrX
U+m300tP0LJrYWl/QkAzkHphK5Lp4ppi06W5Oycv6OsAIXVIogNPx9zM/XjHwFfyKwVdadM46OlM
IiSKLSmj+xQSG+8LrP41d5MLk3eFPWMGlSyyZQ3EDyA3IaLQHg3rpmuTvzS8E8bAj6QTqaETEm1r
yw/4p/oWJKmej4uClChYpmaZ70wPc4yHqhXjhy6aPga0OoOjQWXvIgGL5j4pbX2An0Cc7uyZOLWf
YK+Fbs6UVf/UdpEfdDwW1Vt0ydFomnlXgCna1RzkpLmGVMIEtksJygxNyxNeH0z9CIJi8wjFAgU+
8ET4cOCJxSsGTbMTBMpocANMUBm+hb360uVGNCMIqUZvYApWSU1/Qh2BkNuJ6fTXMpiJfzB2A3k0
SUdw0jf4nHyRMq7n8ErE/ysd/0IMuuq90F0J7DqFzQlakD0ARgSIthtgb3oo5ljWqFx0yUb3IYDW
w308Q1Aor3gxigOEykFdiFeAhM/AoqQbrxQOF67WsZNAIbUFf5627XC3svqz7uLyAY2q78UKOfTO
Evh+VVNN+A6cVwjpjQOo8l6njisvDFcoKFGXoj+lVRvmkCM9xiBoXTl0zrN/aZ3Pu/i3PEG7dW3W
uuxPdtIK4HVI+R9QsLfpDhSO23m062e/X+Ek1WkMORgJdXdqONhQUQTRHpsBxei5SE42NRNgEDYZ
IIcM8s8h6FgC16SM+N3vXGnLJqopBHiS5iSTxUBKCv5+2Z7N/Jp+74Wc4Rp4Ql2/XBIBiiIcPusc
Jrp6r6W+dnxeGt25a2zFsq7wUalPFcTLnwoRAiYYjezO68P+i0P6bQcVSVDqdYJAIIQjxE21bGNO
uyy9lk5f3p+ucOMMSYxUwenrVAvWgQ48qfjvRW4kuDL+hbP+36fg32YfgA/UkNhOp8TU4Cw0A6DA
u6SseYa31bb54rdGTpRFFDZaCVTMTnXf0jcg4W6fODxuroyeXlgjJ7RkkxigwWAjDakACH8s0WgL
ALFJDA+AinX7fqjG+UoWvLSXnDjroPE3w3sHXsB8ru9Blv67zGx9BYNzaXDn/mGjuZpkb4ocbF2T
A3czQh0eHqivf4RLn9opWmo64S2ui8cTyPKQhshaLugRVIIz3aAtwNh6/c84pg3/veeETuNADwNr
MgDsTxPITsttLeYtzsMmrp9A1pLDGwpFf3AklwGaYk2c1d0BtkEzvTOURt3DDOCwvTKVF9cTCEC3
LE+7dsbbTH+CeqEyBwZW9lec4EFy5fC4NP75/38LHvAygWfMIMfNTfN1gUNg3qdgg76+ji8OnkEb
8vngAao0yEpN8iSUSj5HqgcPOvMMSNeprOhLgpuKwuAdN6cN3mPHKNabz7pj6udA/X1dJnxONhJx
qi2Cc0+Qy58agKhbn3XH+M535XqmMW64Wc7HMAQVJFSgWSf9wW/hna8ageYD8+Mky0GMS76tJspy
Ay2wr6+PfiFZheT52pgWJJME3lV51UMDXxiQW3d9BdL2Ye17tdwQ6EZfE3G+tIWcZJWpdIGvRchz
1ZXpwYBqdhIZWW5e/yUMM36hdHIxkBFsyiMo8ImTAUW5/IctYGzfRf3QrXkAqpg+or+3dncshFfl
63/x0to5GWxqRV2pDCTtMlDRvptoQndkKFUCRF0E+gDESxZxfP1vvbh2yB1OFlsMl9ADhOn7WlRA
+8tsHZt9S8IpupKOL/0BJ74hvlGA5AbNi7EDYXGXMF3Xh9ao1nr+gfN3+y0KgVeJxwGqQ/mSFuU3
uBhvH8IxzDzX5/yNfhtd0bivzNYGAFX1uJ0tW3SoeHztvf/S4jhRYhdTrnGyQWwy3OZ3dFuzm6nN
rjkrXxrdiYu6VXUK3S9o8UYwoBlRi7+F4c01jNql0Z1TPBNNS8OijXPQQqnBhQXyEceEqMQHyoid
6UQBUQBDI223p9WuEHIcWLH+QMVjYdgLGJdX7uAQLH7+fXkDY4nsrMJVbFV5YlDhBgOmLPx+gwvj
6yDKAt0cVsPcAbR5SELpe4iyxJ+FsNMvrwB2AXoD6MRkQVKCo3A53GmWwsRi1OK73+jO9i/i9ewB
kFYnMEeX+aZrDKTgUKJDf9LvDzhnXDvOVA0GfyCc2PwFEjz9x8VGtPMc/rx5fwvfqoSeQhsUJu/A
/32AUBl0fjpg6v4354X/KwKxfZwA7uNim1M5VbDEg5kadA07+wbSElBXfX15zsvwx+GD8Z0QXowd
0rQpyvP27ECcS8LmEEAmB8aufXrNieDSH3EimY2CQdanwDeIeom38GSGJE3cKAqNNYGWzOH133Ih
YbhAPSBHpzAGw/ZEZpCe+lXF+3iKvF4g/7S0rlPoKfbwrD91fAPZixYtpOwqlX7zmrwLw4sXsLbW
DsObMf6uJBoaQiU+L22YunOCNWLVkDOH1Mk6yeE9PNOqEwTmrkXYha/rulyvxiZ2GtEghLIrg1BX
t8GdtgMz+XNWRcqre4Xf4MRxJRKrhgEaYmkodQP5Ty4EOIdwDfTbPcyJ5MCsTFaUS6gIz9NRzUB5
Lib2qeQxeyeMByY5dEBTeYrEpnMoOI4Qe9y8Gt0Y3QnioV5WgIBIeZqXFCBkeE/SN52s0CT225tu
/IY0bkYoZoJ8EXze2gwOQiO/Jqp/IWqZcwwbAIJNtIryFPdRAGk5XHfwfEg+vz71lwGPPHPBciJg
kYCkoDwxq7LmKAYu+z2rcYNd1JDxfSnn5Ad01NryM8i3wfetjUJ15nKiR316fQ4XfqELodM1TGaW
FAW+rWf1na66fuhExR79RneCOyLQ8K3x+n9WfonhAqimQ7KB0uQ3unM+pyCXGooOx2msRPaGrJTm
2VZfBTxfWhonqvsmICFr8MmDpMreUBDJD3opep/nRHz781/97XA2haIC6lfiFGXFLwoZ+x16JvLo
tzJuSONVI9ESV381o5UeFrj6G4iCXFn38wK8cC6nTki386ZLHoYFFCLOWlkppLAepAoSUAz6eSJX
/sql5XcCe0ySGFiUCTsTKloir86iPBC3aSa/6i51Yhusw7QiwgY5gyIqnpeifTKu1cHrA7gQOJBl
0DeC+GFu5QSiXZtA4W4r/KLKRcCpBam04hgcxEFoQvRD/abfEuq3d1z/uRGc9CWqgiyXpSrvibHh
rQogkuy3ME7Mtnh1s/3As3zWbQrrii2Fxjd8BPxGP+/Y34KqbFMKlwHIQxPd/+J90+/BXvbsNFIn
YuNqARUlmLDsXSbv+3aFTlLflfnrU78QVNQJWaLGqJsLi37XwECoSqBOoiFkAT2CATL+q+cCOaGL
Rza7gnqAG31K4tOyQHC1h8SLXy1HnZCdK5BIs6rPclZVULXWmYCeTtxdeYS5tEJOwEYcYt+6KJB2
RpV1UBCttNkDRLnEO9lFq1f3HybYzqVY2DheJChBUKDuGPQRZA5pP8+k5rpawRwWx7kqz0dWDR1V
vUJxvICk2+t76LwTX0jMiXPcll21QN4UbwsQp1m/jZB0O1lJ9Hu/0Z3QZRZ8jLIiRb7C4WAHJvHX
adOR59SdyO0HCuMAi8FNIGMIfRZfkir44TdxJ3DP3nUoEM7qoxauMIQIeR/0QEj4HVSJE7nZ1mvo
sMdFnoTdz3BTt82A13y/qTvxqiFCk5KyzKC3WNX30whf0F1YRsAm+43vRKwiAtLcagtyVRv6pSiT
7HtT19cu8Jf2oxOxXZKsmZFpllvA9e8bdMpOco49z1gXCtfybd2MwTEIkd3xtq2TANqqMOh+fWXO
u/qFWHJxcHEH0c8IOkM5MS05bECGIClDyelmqNv10Mg6vX39D11YJBcSF9eyA+RiPB8rINsW0DVe
bVne+A3uxGxpsNwQ3gzyZohNrmv2sZ2v3kovLZETs/HAq6ACcBubJ9RPXG+QMo6XjWhoooOjcU+V
geKc3w9xYriCvO2yzmWRNyoSe5jaLgcG/IvnN3BCOM2WLQEJAr+EjbHZoYLofqqIF361PnGiGO4R
cbYxwHe6ioS3EFIrf6IpIfyucC4MbuuQ3xJoceUJTT9WY9jvi8V4toiJE8IM5sh11uIpC4qV6ljO
UXmAy/vmtz1dFByBRHlTJTLIoT1MDtWUQZWx0cTndZVnLggOUqKKLECWof9J1LsCyr+7se+FX3v7
rGbye63Zwk1p4AqPRzYSxQJ5qK6BSpeNOjC34JVR+W1NF5IlQLiXrMDeiZa42BMp1lsD2+grO/M8
2ReynIu7gkp0n1nQdvNSl7bFJbGN9RsN+dwJ8sMS0qDd1AQw6GjrurqybhfyXexEss4CqrtyDXIZ
Lxrqpct6AtZr/fh6nrj0g5xIJrokNgG1Ow/gTv6rtxv9PExp9CFEMRfulwiGSGHTmCuN0X8hOi+t
nxPZihdIsBZnfx+qFMpxkkB2GiChrng/hKp9H6UtmlFjNtHoXkIjHQrxq42zG2jC268N/Fpg/9Xa
Bk58dRcuHwUsgPShSSXcGIGjSFe/Y95FGo7ThhafSIK81SL5a9Q1EJIh0/2X1xf90id1kkQWQcs1
6g2qlBD6uxtM6k7QfvKiy/LMBY4lQ4OCPIGceauXX1lS/bOqevBbmIg/D2LCIekH1QhcduEveQrX
UdzGMBzxHN1JEaoN+SQAw83hjvcubYIPRdl59pxd0NgE3aN1Y5CTa9bop2jSR1qoX16f08WLrTCH
aQmvUZEUMzCSS7PdGjV4PrpHTvyDHloamAjjohtNP8u4+lyl45Wa7cI+/MNctx7xFgiKPTQI+/IO
nmorBMdJ6He7/RfG+1tzoV8YT4uwwzlb9slXwoLsPRowae636E4lXuhNrz2jWd4JPe7ayIw7OVov
XiNiyIlQs+mR4jU8y4d0/Ad+dH/BztJvWVwoGBJeM3UDACgRLllfu6hLT7GYPY8/FyHFJRyCwGA6
26Tx8rGUxfRVlQXzqxBciFRVTHjMiiHy3vBUv0W/rofneUOOXp/UhUhlTHSAHhc8D8eOfrJ67N9B
AGTw2zAuQCoGaXyF+DMu+7qfJbQTZfNWD2Hn+SwUOnHawnqrbhdkAZGmWz6awTykTdJfWZt/YcUv
nJwuRqpc8CK6iga4K6PbnwxYhOatnXvylwy2aYAN0fY+DocjcBDt92LJlpu0sWV3jGWxBdDOhaRA
DpbPzxK6QOMxTWCJAOcDeBUDp9+1e3iEzfpg7Ug/l9PEkyuzvpBgoF74rOarIPc+D6aFGDyh6Ov2
QQY32XQynV8p78KtjAnmti4ZjjpY+N3gLZrChBT+Nn770UkCDVECKukLzwXctOF8LB6KWfr1nv6Q
Yqyh+GzpFhU5O7tn9gMgTi21g9dFAViA5wtfLxGEpmGzmOsN3oYiKmBOWlIvWTKOR8rnoy+aVdB+
pzAGMWZ4SAfJP0lit48+y46nnuej46G5Y8UwY+7RFu9KAZtD6Kv6gTC4i39lXJCyNUi/Z8v572Ep
9E08yOKT39ydJDAn/RqkHOU0tKm+FLGCTaDemoPf4E6tPsCGE7YeqASqMIRD35x+WovEDxmH29/z
VZ/SABZ4Gyq7ALSAGwbFnbfGzvTRb+rOaU0WGcdhhcoug2Zj3oJdtBuG4hrujmKOf+ZG7qK/jF0C
OLHMwEAWi/5KoGn3PbZz8EaNgfIiTHBs+ufrE5S9Tac147mBxPPtQOHd2lPqJQGB0d14bYut6zvK
83JO/0qi5om1XiRPjOwE65pEdIDBFgpfm7I3otHNLaxeQq/rNsRtny8LB7FApTWKvKFdgxtrYnE2
Gw+JF4cHsz9/8t+KyBVC55oFLco8MN4OcM25B13iGtz0AqCAczdc4T4KYdQatXU4NkdYdRkELDVw
Ae0im655Q4Jk3o+BrGcInjdNd6QxZSskRuF25nXp4S4qDJIruBOPcAlbgyw84tGmg4l66feAwl1M
WDCnY1QElufovozfV73ZU2iXzesCwbkT1q2JTMk4tm0SNLdpNpCDgjvZ3itnuBCwbQniNqnRy4cx
+QRie/wZLgqV3+CuOlsASxKIwKM/mrRwUp8ZiMQmHQofIUSEnBPOtk9tNBYTanwlDB5X2/go0/KL
17q4CDDwH0CTjzXLl7Wd6v3WltBfLvp2Gv12pAsCE+uyQeJ+5jkMdqBBO8n2o2xr/dlv+k5EDwFo
pDaGkw/lozwB4iLzeSOj1w0FWqXP8wU6cUbU0J/PV9mXNzAWbo5wOrsm2nQe5YWDxoV+wRoejrkp
visdxzpPpwEkHtAhrzQXL43uHsEdtH+hxIt1Z/y9yeD62KWhl6QLtqQbqgDLwJNXsVwVU/UV8G7y
YZ2HwasQh2nH82UfCaQJhipNge+25Qc4LhVPGYEniteWcXFfcTiH6xBKnI5wAe8homGWp7QtUTf7
je+EazgRXK4SkuZ8NbM4lriDij2ERcVHv/GdI5gUMmIJ3F5yOIvTpyaJxs9w8BYf/EZ3jmAttEp0
XOKaglPpU8wa/l5C2d0vXFMnXHuWZCXMfOGOHPdqV63TtBMLXKb85u6EawpPFRoZyfIeOtTHrN2C
+3Yoxvd+ozsFMyy+SV3JhOVnRP1BiYAcbFBHfnvehXUtHdLvdD6fBkoObQplp5iGm+eWdMIVThSm
qeAhDkAI7BZhkRtLGNFPsLD0WxonYBcx1zYczodrNXzZBvWUteTH60NfqMZdLFddnN1Oalvkeiz7
r1AZtlWe1WET5dkoPataF9M12a5Zgwq9orVGPaaHVuySCjqXr/+EC5nYxXShMzcCKJmyXISkxlUr
68IJFq9VsfiVH9SJWRYUcB7rcZtQsGDbLbLNp8z3KucKmyWGdOu8MZ7rhFf1AdrbKYFMNYexi9/y
OFELwzXe6JGj7GML9PaHEE732dx6Lr4TtTUBPIQLZJwBKqb7mdff4jW4Jgt/6cvGzw+qiczwxjGo
trc1gnXPAMQeJFS9GkbcxXOpWkMVAOZlubZBC1esID0IO14lEZ+PoxeqD+rELKRb06aFIXxewqlP
nCZ4AOu7KU7Nu4APdXHHI/guQN1ffRHbAiv4apsqGF8FbfgtG/DaFM1E60cockbfxArV8lOR8OG2
An7upyng+QVAOxz+Xt8iF5KAi9Jo1yqwsPbDsbE2yyOF/Q7sZEsFB+bImuDb63/kwsd0oWeqncnS
WsPzrgdF8ICnjE3uxVgUxG+ju/AzmMXhRruiVjXdMj3GG+2+J3rxQ3tzF37GYQrUChEjjJR8UNRM
YNDY735L4ySYaduCdJg6nscztTeUlezrBIEev3tf4hQFPMJpHQLLkktQ+CDK2G01gxXmAJSJ3/Sd
DIMuSNwMEE3JLXQwnmiS0m+8I8uj3+hOhmkqiItDSw7XfmPLH0vV1rdTwf0ASvzss/J7y6KAXgoA
8BK9rqIWGo6agATvYAxAuV+CTJzaYIvZaLIep1PQgrZfkjGGvDMs1f0Wx8kyQrGsLmbgOfta72u8
Tw9QwvAa2kWgZRA8mFnY0bxQQwuHZHUH74bUb8u4ADQiOyOWIqA5KMorHhwi9XmiVl3ZMuc23wu5
lzjx1EwWTndyZTkMk+ntCuuZf2I9TuGe0P6mA08DPqif5BwV0MhpPXvVxAkz8OKh6W0VzXmwWjho
J9zsVrOufk9W3NVQ2+oktSOpKHrhNaoPHm70aW6iNjz6fW8nzqDcDmQGx6KF6K/sCYHbLgkGv9dr
7qLEVKISE5+hViTs051c+59jZK6JTV04WlyQWAODvm3qMXiSQMV9Z+baJLtWseSL39I4UWbnEUYZ
BqyBivHhHQQD7Y4O8fqX1+guTozjGTVZ0KzNpx6GzxL2QZGc5I3f4Ofy5LeWbGtxG1wrBjP4bYty
6Cs2uYa2mOfozl053cpmGHmS5tDCHmBcT/4u6uyaXteFr+qCw0pNVE90lORz26hj2whg3cjy3m9d
nGgdTJ9sGmI4Od3mh4KEw24a5DVEkmPh9v/kYdh3PV/1TqHilrBxz5chafoTHj31nU5hyLGL7aA+
Qs9J6x2VyTDsyrgOih1Py3E+nF9AYDnfDbXaweG8H3aMGfsWRg1dsLNDULxrYVW47uqFV9KvjxU7
Yd+gY9AGyqJBmQK2VlUQhMV90I8gCd+85wtBgf8H9kumuVrHGxx7X+pk8py4c7CCl5otlqKzutoi
zjOp5rzt6LW26r+//4UzxFUMS8NObYlFTbYQ2Acd+Va34gkibpPYcwiHqh0M3aP3ZVgrAUY1FfJu
KTvcbqez2dhOUzGHxzSa4TkfAE9tDgtT66c41qE+1quiK0wnhVmPo93MDzgAskMQw8V8Rtm3i7qg
/c66Nhy9UInMlQKBYTna8yxM8zWTUu3bCGKFu46MyT+vB9P5XP1zrZj7gA2r907C7DPNLcQTg52M
JWf7xNrs75T1yecNbxpemZi5j9nJXEGTUY40X+quuknhqv5XpiP4M7/+Q15OOcx9zYaYIkO1E6O3
GKTzLYXMPvp0nkR25r5md3yY4NIa4wRfsVH3tY76Bz6HuH36zJ67WMIRxrAZkKEoqnoGh2Bj5K6P
qWff1UUTlj02UFYlNO/H+WeEoN6hJeXHS+KuBl197ukKm9I8FYXYtVZ8yiL+029Zzrv2tyOwYZqE
2YgOy8Lp9KaDsD5CMuR+FbiLJ0SvOI7YOKbQU5P6XawD+svARebJb+7OQULLqWKWMnzSJYl/rDXm
fRAAil2jyFxKcy6qEDTUuUX/IcWDM2vuSb0uT3UTj/Wxk4XMdhHgtJ8BAecPrWm25A2aGJ3+2tIO
wqsG3PdPjY27hyrlw3hA72J9345Chge71bASl2LjwR5vjhMeasN5fYDlJLX7pVj66kDOmvUHPUI2
6Mr2v/BAzDJnsYAuLlO4XlGkuYoBjJwK+0v2cZLsgNXZ2K2wooG1NsTCvuBlyN4DBtODp1ZGrR8m
Fjfr51sN7C5RJgWo2nEYwK0e21gjF3ruNOfAM6KwAInFLK/JGNhd1LRztI9k6ef/gfdhp8ztyZIB
0YuXlUknSd5DIuZY8ZH51YoulDKrFwGPj5DmlkPCr4X88B1MLCvPl3kXS7lBBhBF17nLEVbi5zqM
aHHi/SP0U6ngLpqSiXnUy2ooSqSE7XCCo1vTSuW5OE6OGoAtL7dUp3khUfTCm1J0T3Ioar8nbhdO
ubEZj8+Txtq3Qt0SSfWepbrzKi+4C6YcYLsTGj0heTcbHhXxZHbXK0/yJHexlHAoa1AK8QQ3Rw14
B/REd3B4EYfXE+y53v+zdOEu6JFP8C3RHbZNMoVjsjeyg2JyDOazuKvpnP56/a+8XFfwP6CPm7Zq
WvGeO8dq+WQWKQkUoiN57b34QsMjdCIXKpHUNjWOiXFk38feNFAODftw21swB/dbIek/LOz7HzVF
BxO0cZRnPj+MZeR5wmt4RVBLbjQfqulHVWTfx9ZPhBEwPCeZzkHUcD6sNAcKtngH0eYO5Ogp9Io4
MDaezxzG2y1qVpQzdo7kPU9EdJolrb2aKdDlfD66nFqzdF1Ecj5ny8Mqq/FTxovqy+ur/vKmBUDi
+egkSautEyUBqGRotr2UZW8O4I3oJwUhb+PVAGQuzA1iVLPMeoHfgMJyV6jyU2IH6rdxXKAbDMmp
rcRC8qLqi6Ooyu0UDYnfWQPqwvMFKprCRHPUJXmRVtFNu4Q9CJWhX7IGZOr56AMUqvugaZJcL1Or
dsYG42mJas/nZOYC3VJ0i3UgMP6QBePbjYZAg8Np7kqZ9HIuYi6EDWpCUyRFleTBuKQAJCX/TGcP
0td35qXBnZjFzKEsM+KgWUtbvYnqstyRsU+vPNmd20p/JmvmItiW3pioW9CSDqe+tfuxr6d0Dx2j
DdpgMR+Smymex29yifWP13/OhUYOc2FtRQEXNBtxAsh+hC5AuU102m1ggPw6t6bezj1v6/N9RTfz
TWSKdKigg4kG4YEUIZl2Fj2m6DjRLl52tuvr/uPMVfumLqqw2aFaZOsd2HR4Dn99uhfygouTk5W0
Z7dDkq9dpM0uBezmMQQk4ceghJdaOIyKnYbi1DCbteGKrAB38oOKpmQfdJ25chxf2D8uXC6ukqC3
1JLcrvFyGsncfqCgZ/rlfBcr16yAoGkZxjm0TtQBOvP6rlNj6VUGMVcobR2IGFWfYPSlsTvSxOVb
EngC7ZmLlSMzkEMp60gOLRVyS+os/sBtdo1vc06ML0SWi5VbKryXjNDWzrsha9G76erha2fHpt6B
GjP3hyRMJy9vK+wgJ0dMUE6Z5pZEubI9tj6swNsffCGb5xZyDvZU6KIyBYtzLqErdkwkhRPdoJvp
mgz5pT3qnO112yPvn3fRmmXVCaYCxUECWuE3fRc+186hYmIiId4LOd/LJGUHfAw/JC1zFdGCcuzQ
z4Rd/CqZPm5FSA9Nq/xe4FnqPAc0kxFTikf4nOJ43+MJDJKcbeL1jM1cR9EmaNhkYVmbk77unirY
9e1YQfrH11PnhY/qIuc2Luuk7cMoT8dqeUTXvnpbm/aaM9TL9Tlz9dCWjqMf0k9RLgYFvLpRU/fI
RFL8BXUMFez0FBTzLphE+DmUallyAWVTL4wtcw1FSxLTrVrWCHDJFa8dUADd49FY3/otmxPLK03a
ZK10lCe6r3LV0BvQ3jzrLNcvdNOC88YMUV6P8/o5KSt6s8RUH/2m7oTx2LM4Yy2m3ghW/h320daC
3Q2RBq/hXWCdpUln4ACC0wAt/y+6mmbQU+P4u9/oziksZ74MqEDCHG7IzU2LngEeDWsvAXnOXEQd
wfEeIXeE+VQCjLmDje8EX0lLPTOoC6hrNg5Fq2gO87WJigMzcoXKSuYH6WAuoo7RUUxAL0U5YADl
j0GmFO82vo0m5iqlwcaK9ktfRJDWM+puhWdSPkVV6NWpYa5SGqMVbqHdig8bDOxxHEnz09blIq/s
ygvnPHXilQWNGMoWaa5sIVq5C4OsMbslALJpN1ZT9YQObWr8AswF2MlkCgQUo3CSbWS7hR7G9iDU
cg0zdd7pL1QsLr7OllUE/6ggzFGfm/WexBV7l9pkg6w+oYvYFzPr1DEECSU+qH9rVa/Ic2Fs9dLW
y9B1YV7CKu8hJFbc61mOfhWqi2GzjC08FJBeh5aaeNdPcB5otm3121wuhm0uWwG1sBLC7mwej4rK
HzDes1e21oUT1HUVpeo/hF1Zc5wwt/xFqkICsbyyzGZ7vMaO/UIlcQJISIBACPHrv563W7fure8l
VUlV7BmQztKnT/cEzecd96KO1vXP7Hf1xpf+v3k1/H8//dby/I8hzqTTcGaqYUejoiCHYeBQZLH+
bzQq2Ifdwv7/cZ7+t60owWBdQb2VHVv4cRqwAdbB8xy6T6K3OVhWbqq2Bn4s58BHUK/lm1y3G8eE
9KXfWby/Wugxg1oLwbHvtN/DJe8iD/CBOyBbhTdarVU96bjO4UTbgeXH97i737PBdjk49Qkvs2Wq
g2JOsOlUAK2zWRFPaWJhHDd1okgXyXzRbCJwx1mIYSnEMA/+yMM1tKesYRmvrOM2zTkM8ixkiK0e
Dj5UIKt4vwfmgpXU1dyZfh5tIQWmOU+mgRH3iXdABKrW7vA+kyzmcd4Rwdid3Vuo2bbNureYWE7S
PnUwFvkIUOUtX6OFMTV+MF/bgllHtkKJPZB/wjXat2JWa7fmCvqC3UvWzUGXB57G0VGi/XW5A9nl
E2xW6DjFy9SHeR3IxV8Sv+OAwq4O6ymvtaZQIpPL3k0nnpCgvgtHsrNCYYizP3D4qYnSB7uvf2k9
3lgTCPEbyzcJIwC4Jkkjf0ETXv7Fi0vrKguZob8pq5f6GqZ9jJzGxSbziSyE5ioIIvTn9Tz1F7sA
CSw2CDkHJ8jvh9OZQjJ0wEcMTFrQZFEaZU5Mf8GMMfIFgcthUoiG0BfGSZQ9KVhPnWEIafjJQxS9
gX1guNXvO4uC9cEwJjCUBRrY8UtIZlsX3dAEUQm7If3djU7oqiGjyKAx1tHlOkvQf4vAZ6usFtQS
j42T8P6iyx76077v6ZpLV9dLBbUysx+WZmI/qWzj6dK4CFJrbJ7UdRvr9h2fsAOfq4Fs6OcYbf69
a5dfHEXpL0mgf1ROo8eNGj0zb3qw/kUtffTu/LyIivkIZBUbCjXkYy8IpJwpVOLyXsWstElMnqEZ
Hp/6Bd0EQI5sMsW0MP/CwCVhp7pbgJjMPHb81Ldas5IaDlQIimTdnHet7zBH9kM8nmJq2geYQff6
LYJcc1ZlU7t8gCuputL7WCw/RTjW3SF0ifaHKaUpexG1WtlhG0UtDhJzTBzaOXD6JWUNp+cQzlYb
3BN7M5dbislCMXGydWWE3WmSq3mbRQXhf+NPg1m2/hzGHEcSZ7fpoEO90DorUsR3jNKJ9GPetwlQ
yknMcJralkxMRReNNAIRpHesJOj8r+1u5/TF6UlcJmwly29vVpYchkQF4i5qYTiCcrCdMfgy8T8B
IPE3m2L+SMdQbVWy4+2eUqvsQxP5GO9z38RUGR+N6/O6R8x+co5HU0gDCi+sEY3199oz8mkTuUMQ
Asry8SMcnTuVD5C0GnLlxiHAp4eyxbVd4JhZcod7fshSq91Db5YsKPEy67Sic5t814Pu7adnQKpL
MN3S5EAzM94nmQUWCWYE+YUFCBoXbbP1QLW6bsxKNtJMVgFp13u4PWH0SxT0/+/UYGT2ePPzVSY3
Y3gzz2wmbE/4yMyvHI+wLaM06EkxN2CZ3nm7+75Y422DzBQl4W9rcMWxozPdoslA47a6qTlOB9fi
yT/Xe+eiUwhL3Pkujsb3VpJKdav/FTQT3ouGMKgr0wbOASKP+XBT3RxcwtIqsiSC/aLeYnWBAHMj
8cpSbARZyGts96mlFNOfmq37wwQ/7N/pltrlrgOtfP0Qlmn7IFQntnNPKHfzLTskHc2jQRvAwGkL
Qmmw170qtmRZVREvdfyRcoCWFQmU+Q5q6UpLgHzg/d+oMUul+zort25Zjgkb4du+QJ8+3oevG4Ug
FzacitbIf20AhmAOmwWw/lP+s4bG3iHcsPOpsY9VduuKFjIdsyJQtiu8XE2Obow/A6YgpXagNW9Z
bH/7hWvonbgPA/sylie4zFdH06mAApUuG0xli751KAdTwiscmbbBo4hatNkqae5ES1ZXWBOTR7iU
gh49pzseqxuw9Z3PQdRCOQgUghwUdnsy1BUNDHGRAkxTJcaGJXzbfiCDtZfNDKwIoKrY5E2TPeyb
Xpoclhe05JjWrlCZI6/Otr9YROtfcBNiz3Efw2F9JWM+BEg3rWOI6EHbFZGa/cs0L/MnTJvs3ShY
8LMf2/kzTMa6MF23F0GUDC/GKHzBnmSnkG4/9Za8WLiO5ioxqojiNi6hBMNyHEp26cGNAg1/SyAi
LMQPiDckj3QdvojqANl6BQcH4dzLprAAEGdkLtsaWizTWGM4tWQnuQIK5T0oB2FYPw+ifw57uRVp
Ey1HMizvU7d/cROwasMW4FFDXzIncpkvsSA44aPq/pKl5rnUzbOIo19miR9hRHWXZfFyMJt+3Pct
W/J9Dbo/EMNhe8WtzH6ILGqAEkFHZl/XiqspPfUzjJbFiHlNOE19sbtd/cXNjmmxS/NnGHZopAWp
uqA4MVXfmvvAp0hWsKn4jGAY+1Xb8Ryy7bFXZitoH0TX2PXHKdqfZZiEZySK4D6J2/2wcmbywKbu
xW5+/TRS+lyQJS1wx+xDHeI5tag+ct3J+jDE6GSC1iYFio32o1bev2iMuS8JwfHtoBFdTvXQ50ED
xe91Nf64jOxrb2I8NNfmPOvnfAjVwQ9QAgohrngMx9BfKclCrDbVc5ODjrcUDaPsC5JK9ndrw9/Q
zAoLkFXmYzAmH+A6itNMCYRWYEx/auGemodJtJ9iP44yTyKoRuOi4fEs7LPtMhiOwHIBh27uHpNa
+CSHgEvzKRsktCWel7wdtckqnJEqbQZTtqpl1yVoxa9omqeHPSasXFVwiJJmukYMxeSy9BeOQq2g
sRyrIBYBbLkUSiS2Rh8zhtwno9st7yd1RmfM72vnrl1L3mTLohMuT0UbnlTeLV2uarrnGw9YIaf2
Ypb6rW7kWoSwaS8k3ea8h0chphSiuzi43BV4HD8jbX+FkLApRtAO+9zRbaowM1h+YZdTlUNKuia3
rptPiUSkJT4NrhAbSx5D2kZIFLv72MF0L9d2mOGNE2b50jVmLHZvnSg8Y/PfDryLrgzsPHSF65O2
hNGEzhdIASK2aP7VRFvaHDdMzHowc5owOnJLlqkwlPQnZtK18G295SHlPN9QFhRsX7/QSy4ROEY0
jfMBy+g9qC8sNXBt2e64mCNdKmn1XmRrIgpmEBLpRpuLhR/TdsW6cJeDlBiXAUxCS3vjb0KSjGFZ
MLx0NW2PbqhN0eruC5pLMofmSQMZw4SWW2LDtwnaZUXnYTGEX8KS/TSGNbOQ1Y+iQ2bkdMeVva4+
+9Ht/XVS6mLhdnSKs24R79g1ze5RD0bDs4Y+BpJc6pafsGB2vgi2UFnclhHE0NU9j430oqT1hOTA
wzGDJG8qaKUAqXX36z5nB70Y+tALzdsc3kRxWoRui4Y8IjpDp5GFqC8UYk3eLZA5NngU9zUctX42
ZqPFhMr/hWepyEMXkHu9p1XbJXcogKYHEqq5zaN1dlUbpD9tM1+GfoGpRY8iTaL2e4TmfFRNxB/H
WalHSD18LiF4y9mosnxe92TKYXqfFmsg0bzoLiqAKs04GnxGlRQEl6xJJnraI0WSfNqC4YLuhClQ
abn/10Fs5rjVSk+lNL6pYJMz5YRpHx5WGXYoXm+S6GnayEMXRWNhZXSdMELLSdP2ecImeTDJlLwz
DAVhZwXP0QmiWnlfR/hf6HTz3ms8OzUuwbnturmskUFtEXC5nwzDOYUoZcixgaf03z7sDCs62gwv
9S6AkHD0YPm4Zior6w1CAmfDE/m0y81Wmd3qstfQsZt8N3wOkbL3o0stzKJkAzeHfSw1XeeD6QWK
IGwRHChAux+ajfMJUUNX2TzqSiJfV6TduhdJM/pMUVOgVPREFyRJsnO3DeoHvMZBVIN3LlxP+7E7
22gxT+jR1oeIUuTFdE/1AhNUHRaRXPGI1y6NXlezTH/dAs3WSQ7sxGTYB3mtx+TcoRC/h4BsWHTb
FLzMysljKCkWZCwOPgUXEzLl4zTl88ZpTqHFaPJOj8N3QNHSZvv6xreMl8KIEZiO7i/gbgpsrerm
va8h7YntvqENKptQEuexkOLP3LjhFWNIdW/ciuo4mecLS/SAI9a0S56llJyzPWxLJzZyCetFnDUd
kgoIbSqfjJusqKTGyAERO9nAA4J8Wu2jpi2hTVu/Oy6GNMe1XD4z38IQNkrp8ABqSvfD1Uvwk4cN
nl1rev0ehjNFI00MQfEfU0xJWf8Ra23KNbtV17Pq4z1P9BKfg2aO76a1Gb94g0E/+hzUTegq06rO
oM81K2jQE6jr3Y9e8+VUz1bnTAu1PGwhFFJzyEuRYkmXVRbtQnZkJ6Fq9DsxTTADqNE/hVuG/sXN
62XzOr0CDaC/bpY4OYwvJxzmRjrYCpnmsm504LnRsXlH0knHIo5nUCyhk9kkuYY88FG5ZThu2Aw9
I8Slr6JN5AftmYOZA3moZ5DwcxPtcKPfKCJgPbqklHOGiBlNmz4gFbuxEJ29EvAmSxTh2V9s3U5D
hVM5i6s0IfambvtMhZsAGICkniDlsuyKc/IbK50OVvLZ0+gtzq0XW8Vjmw258CMiXJvs4g1mgne7
goFnswwfNgSIkG9rEGjohYkxrGgk2TNNwnH9XHuutwP8jyOss0kKe6BhL5zrgqetV4jEMZs6W0oX
cOwpuYV9jZnxPx1pVpn7YcgIAlsNr0XXNehMatK8tbzzgEFCAh7+OjbkkIZxtufzzudry+bWli6N
0A0CD+FBnjQQJs5XAECHyBP4woOCNr7X0z6XiahhCsNBObjzrEcZw0L+PaAQKca+1lWLyHKVK5N4
P3MIl7WaNskpjWp/qbFg+L5iulS1YbTecdO+g4GU3o0tACOJmJBjfUzuEJcDkAOtm6kcINR9jhIn
8Yg61pzUIJsj8oh4WHe1lDHzupyjJjqIQMXY1QqiJq8dsdWijL5OGDIVKJLlu4nZeDD4ewH4RZQO
dry3ZGiAMgRMfQEmXb9AODTHeFJNGc5OVR4BswjHpTkDY0N754GjAnoBIXj0Nw05bp4FlCDKpI3l
a1ePk8xBnW/Hog3G9xVOCnm4rvuQQ7o1PsCmbz9MEhF5pfNYWhqHlYJW73m1luULIsojT22bgzmM
Ez73TuRQQwxlSRFky5nV9FxHhv8Dd5SfUChlZzmiccQPfI4kPhJ07E2JCpBX1Hbv6FvZwUibPMdJ
+pjosfkgu/5pI4H5Sy9LruIZ4lF9/Qa3MXGGTlS/5P0Gk9RcQL4YZV/UFVjDQLMTBTS9a5dQFCKB
89nAHKKgg3YpkDv9APUXlbNErMViQXbcZOexRW7l75XToZjhDXBH2MIOkkT1IRbY+JiWevxsZoGC
eoN7S0caXu60tRXEHednrWb+NCIH/4DNIGS/ptCdJgagYnf1KTFtdxWmVdhRh3DT1q9ve0SDPALT
DDE86i8djO0/xqmrNIrPWzUm872b44pqdOwLZgmI/rJE28TRbHXP/ZiYAtbJbbW19DuOm/i4aByR
jk0nsbEsZyFKMLr3awV51X87xGd/pWgqLnEE97RIyj4feaArTBPMIzXJUUi+FSZRn34i6417PR04
ZWHRD7zLifWu6kW4lvWCrxWI0B+BzNOzzPyTR8l1NHOLoBsOd0kU/fHK2ePQpY9B4vANmvHJdvya
RGgUHV8BG8Xks8l4cIwyAVQVEoHXdYoVgBFA3Lk0zbEmDEs4qcU+DnZY35wOrzS8FVBc0ALqzaoC
S+lnTDqUlKn8Ctd0KeiS/O7EsJYMZuLXKJAOt2SeczHv9mcPKbEq8djA6iQrnB944bCBdPRay6IZ
oGrbbimURMO9f0B9gneK5AAj+j1QFWAAVF0DRy8BSUC8nIVA4D9oDrXf0kIZ7J2NUK2+4aI0H5Rh
H4IE0yVwaVfCP1DnqB88OCvi00wNkKZN8mrW0eO4SpSlQr/RbfzIhmRAxTCJYm1YD05gow+r6U2l
Zf3VBxKk4jiqVihNXhsGq0ay0mcD25nnOopt1a4rKrhWilz3sGkLTXogzZaVMKRPT93U07yl4lPU
Iz8ksdvCgmc1+YjxEgBVr+0bxIPPFq87zwgowDjy8YFGNeLBOKhiZt10gDr5S4qx9ywale/t6jVy
eJ9eLDzTnoJMZkWvA4QkvmIDamuH6TzDP/5uyiZetbxBezQYCK25GWPDmrK54HKy94JIO+Yx1H9+
otr5Qs0qL3Mo/HUMLSli4v0dtp3aJzpNM/LfsuPLASkeTE4cD68AWeWDbcIP49L+cQmbZLthxXr7
OYEPUDima3xwGV6h+ebyFUyYHEyP9WsTHfZfEjHhUS1Y5XEOYPWshAsvqs6Ql1eQlQkgrzZ54g08
Bo4b9CawRb1YIYCC1+tz2O7zcNiEnNl30+2mIAO2Zi+aO8sKUQPby2uGWiePO5oNV+U6195HZGY5
uj9V4s0aXEHkXPl1cyFpz0uYwGQYQuWavq5BJn77Wq/JR5Tdyovc9Ty9Dpr6sxdJs6JMQQL8WlS/
sgtw9DUpsJJ0u8AgfR4I3FR3LC/bJEItOwRjGdEV7egNjnuPB5uYEvkrAgOPE37f0sCI1zpJev0S
QihyO2xNM9ZPsBAej5YI9MjhLNFqWrVO4UO3c3OpU5CucRH4UxDYwOYZRkXt84ZVRA2kzqmHKYqM
PXpGF1POkxmaS9Dty/iqA4s820tvzXEOo0DkcmNb/TnXETUVIFDMV/pl+gGiC0NHc6uy8k1QOK1N
qASG52BmHBuO2Mt7hMgTJDpzzHTcIUkAtn7PC3zf77aOzHvZePge5y3Z7fqPyh1JGHckdoe068yP
Ocuak6374UWGwz7cpcksHhtkJVyMmLfTeSGme7NDg+Y/ynz0lioVvxrmhv3YrLfqoukSSPviNgIT
neLJwRcX0vIROroti55UvNBHcZOeP5i4HgC/L9vgodcHnv05aSMhH5C7J3liI1SMz4p19ITzheyl
VzCRRKfWxx54wZ+BLuIea4kjJlo9xeICHNrTFBatXsL4AP1Sm9tYMwGHh16IUg281qcQ0QIgKbji
J/xa/urQyYRnC13X8EjieHhifIaUzGBrj0X3m3IxIlQ9fUMJdnkTWA97MZtiW9mMeEOY8RvzvXAb
kBJtNyNPsF1PTkrSBBjREPFXEzVa/HN6gP4JSkf46NRhls15jUffF3XiQhjXbphBTEI1DpXaWP/s
7KDbBwkP4KjMTDfhmrTE6DtNpLhk0yTve+hABhVcVEabwwWsjp+SeF6LPljG8DqSyCylb3U2FiNp
v0MMPWQR0lqMFVzZ25eMxyG2pSfpT2hkGc0tZwB8rMmgod8jueWY1ch/DWWYirTZ6Erg2rsraye3
f9ab5BVLkMwfBIZxF07bnvxTFPhx1WazwZJ0J7pjgkXsi0SXO92ITOl7oDFrvPfd4l0xhhtd/gy+
i1mTp0I4cyV2H8g53uMgfJZ8523lNNTyDkqN7IJYnayXsYEGXZ5RZ3ThoVXJiy0Okye8DC4xawkm
FCJ9ik1ciGikplSCv8B3xkgEupYCYaB7BHiNLcPJxtOqC4laDMSkydWduFuiOg6+A2DK8WHwtklv
upsQWf3DMfSQdxieTOEzIUCAynZhff+k+x0jwg255xjrePG379Ee+K4TyPxFAWKnMDLURQw383dQ
Sv0HdOLVQ7q69GDVvv4AIQEA9ozkfecTPg8F1vg6lxNda1j9RCv7rVEyvoyYlb2Nq1XZue/GFe09
DZLgxXAzPxDPR1XizrZ/8Q72n06kPDnxmBAoPepNF4zI6NFuwj/3G+bsrUJ3mRMl0EowFYbdmcga
WBOw/VahQgVgUyoqkveMzvYRxX/4hLFQLfO2E1ZAC3TNpo9w3Lq0MNmu6yIGhHsrNpp1/kvptpJD
SDvYnGYLy55bYfdjgs4Axtst9pVU7+Q1zjgGCHSfDoHjPkTU3FJA+y2lYxEI3pPzQhPaYWw7zUwC
Yhkl+dDxyvDuBsihwpvXpvU9psnKPnlDE6D2u42DPx0fuq8MgO/9Uq8JKTKIX0R3o2Yb2P3ArUWx
AULCSFGk7B193Gwq3wv+tpB4Pnt0wP6YxCJ7DweHthbaSePZN7tSfwVkOSH7rM1t2IupwCnYgh09
lt8lCuGUN2/dFJq8piRoqz2+ySCPKybz+erq+RXyWvuvDH/W+d5wG+Yh9rq/vWwDfVwWnNpqRZn6
MgKFQK8mO5N7IrHn7fk20UuDGIYQ4FNAYiPitKggdd0HRS/8FOYgDQ7dSa/cvzrXZL+VkCjfNXPL
K+rQ9pXWPR5EbTeNhUQMYv8osEa6XCIdzJjHB2lWQQUQ3R2PMHLpm3o41w47/XnU++EJHf1+Z/ie
3Lk+hFYd7E8kZ2U/hfVeDGNP/2IXijcH5sZWwrHB9zD2A5H8u1V6+cOGkU238bq25x1o6t9J16Ku
qAIkfZgpOlggzQq5d5hlgFQbbfSl1xOAa5qMZiwxTx9kobMY4UKFBKlpx8S+BlLdZWvekDr7ADDX
NHeNRPwAHDWQ5gQ+3QTeZ+coGvup6f/ZWEy/5bAjBWAauH2vE0aWBQ9G98w679J7JE9MM+iiMA0M
Oxqijl3cmRDFH4wbWnsxhoqoaImCxc68eMyOqIjFjxETOoYTDebjERssdK+GoJ+/OZDPP0QlobrL
oP9cl35ugRuTTiOGA2Bt2mMQQpi4yHoMtQvcWRqVjcY4DGXk3v1QfaR+LXodg8uuapke6j4dvjGp
X5N8t1lfhDJl37f2IytAwVdrMQ61ewyWpZbFzLEZWmCQjlgf1Mt7rMC/OEx9atWxtgRpOeL1CE3k
PQYITDDsRrWVYJe0bAKnZGUgBBdWmwYAVqE6V58bxsw5okuEqfasxkPKpUOkFZu+IgiTu8ARTHTT
dfsN3DgbChrZHcBkUI+vsB3FiZnmgOCRujUOjobO2Kd2nCQNwLh+Tt86SA/wM4JsyHMakwVsbNqJ
H4mzwbshxPZ/kglMDiwk7PsM2ELWuty3GcvfVo3pwz43qyvpVC9X3mbr7x3YwV74Tnt6GIxDh6i3
fsGA2HHon+8w8ymwQ0bJ/WaDDe0vcKTDoq2/cwb/9RHYFWB7rK2J9KRFP+h7iY/vERUFbkSbjCOm
Gf0IssekcTLQl28bLCccgXvlijpTo8+GTNFfkRI0YdMcbSonW0b5QaeZ/rY1BxwQQOMmKqNdrW8Y
HrvwELRyXQ83bZ2mJHtiwZAJ9fgOKeNmP9ZYWf3TrIG2uYwzw6p1QfFWQKhS98897WbMJWQH5I8I
gBI41lIDk+knkHvxKh5mSbv7MVKguQcyrn0+U6yZned9nBeMRybU7fvqwqlKW92/434Ewduaejbg
OaUmLTe036zgjA0glKDN+Ej1TrPT4gKISHUpKpq8xlqeedn8Hi2oRqUb/9FR+eyAX2F+IrjBGbsV
PWZWk5oi0DKSxiUVVOkHlUMloEvA4OEiOlBMoG0B/GL4M4eObdWMk7DmwHLhjhE4TLKqqFnioWxJ
jMe6JHuPoj3Z/Z+GNiF/6Cc0bWg/x2W/QVPxZq8JYPe7TGMKVmwhk0vVNxh4HANfj48Ou9k/0rq9
aYEsS/Qp0Z7OhxmskLWc+pEPpUUXEnxAqW6Zn+ngXXLXTi7CWjJA2ogfyNJ49N56itQPjMc1/mWM
U/VNknYIrpgCpO7gCfZQB1Sk2J/KgQsgMYVxqNOPTqKMAOMEwqiX3iO7lDBpi9Dop+B7FHGDRHNV
GIQTzEM6shQcNMDmwQuCwBn2ZHqNeh19DmyzXyCCulMmhzbB19sHcAkYU+vZURX1hfcquQ3mfMr+
tEKtITL8gopuR7WHJ3QMO0nNni/BnqpK75KlJfLkbR7RT0/wxZzeOt1i5E1CNl0N6fCh46FrW2DC
q32fSAO9wmkz7z5mYVfCzsTs57RR48+tSaKhaIKt3Qu8cIRSGLHHG0p0xVwBKROQyoLVNij3XBRF
zwlNgvGx4zpdTx4RPKvI0g20QAYYH1It0jSPsdr5DSzG1UWCkhwAgDDTfPMKiuaS2W1c7q0W3aPY
E05yZxiaX4dwWyJE6f0OeR/nmaNZXHIRAzAGnS97cWCny8KOSdAVXY9Nh3zYdsBXQ4ha9ZJpEQCY
9quaLmy2aAfReiLspvu49TkwJMgVDiOOtqIkwn5iP/cP0ep7f2ygl6p/LgKzvDOmh0gqCfhIPgcS
S3WVpvUa3Jw21r7co57S64pnAXnumoksD9JpWX9YC80BnXcZtKqQNkTcPsFKpAEXr1mWNyhN0ecx
DeWTTFv3C48KZTHH2oA9p9a3EpXCGP8CiTAETSHmi8de9DzGFWahGWzEfFj/7U3sg8JtbcsLgAbJ
F80aj/Go1BuunST7/Ryt073nAuOT2K5dNTDJvgzr/WuQKKHfqcHY7jRnNX4kMMbEnFwAC/F/qRU9
Fo1rvLZqDqyO75pA0+0x7QLzz3Lj/6RyWGswnG59OkEsaA52YGwD3S6QfbkkISvrQDW6IhCb+ZfS
CHPveI5GkiPRBp+gDu74jErEsC+3tW0KmChGJy9q+HPFiTymIf+nNwcnmTUmwQg7ZoKkF87QI8lD
yDyEpQTXY3yqlzkVDwzXO676jDUf8KQZprfU1kDQNUwZeSmDKLxDBTYFL6DKoMrNa8/bf64eh2uT
sCwqd9Mgz+m9/wjWKByK1m+KVNq0/jUBd2DFl2jQnTTNIFQVwQrzP+SdR3Pl2Jmm/0pH7VGNA4+J
lhYw1/LSM8nkBkGX8ObAA79+npuqGWWyS53TFbOZmJAWSpG8BubgO6+NA01fTdtvrHRlRZB6UlPX
Z1atN1UWkKfgOZV4An7UBJK26mjf90r+VYW0nL2hk7kAvpoGImL6TM5hm6iQOhN34zFVVXcOs97R
T1Yii8e20Rjq1Q6aXlPtaEXwt8AKTauuqb7JluUuyrpF32dKl0SwOzKKdghdVqY2W2jQ0DGc5Bv+
ihoc2eVy9o12NfVDXp+/Bdv84racFetGujmYo6lzftQoC+pMS2HYu9HZNxmiMVKfeslhAF0NKVTv
Jp7hut2Ccs16vsuVIT8xcvXTZiSp2+FDuuJNj8z0vmnrCPxiVlqAPbVTNjx30mpTuEaBYKHBQBTC
UzuPyRi30PS2LRnFyPmUEKJm8aw06vClaM6QErLvstpVyVollKE0QJNZ56TtxhVj226SQbHTQIdL
iNGt6AUPvt5q7/EfoC1Nsq49H3e2+feFk8i7ZaDM/iYydW5rx6I8y8sMXHdegpykCixXph/MbT3d
a7rk8PdmwrjuWAlbbRBDbQlZI0D1EyfPQIQ7xXhmcjWgsaLUJPbOKcSXiLErBT4UvQ7C2mjFZu3t
+bKicD3zu1HrXib0kI/RoIsSfEPvA4OiScOXo6QhotaivA/ytGJGWeZ6gPxiC8lKNAn9wVZ6QOM4
b4bTuSI727JXijvqvuGbNzBza31IqnaYAzgeA/KxaAx1J5gds8BclHMK/FrIb8mQ2LejxWYUKYJD
CnpZrbysorcc/FUrEtc3o8zYK7QDyKObL5bvxnimwl7WoHAThusy6JxY+1DyYr5bu6RDz9SKeg0G
1KcfhTGWtS8tk9ZD3UwA0IZ1jiiodZWhQwS7dkApokivEoTE50NvFW+5knfPUWNzI6mjifiKSJQj
IreqCDvHmr+lXduNTF4NgSzdEtWnPCp0zVcGqYjApUxp3OiaXcswHpWaQY2hxdoAcM3dJh3domKT
v9rNdlJnOUOv6q2LXb+u7MvI6aL0Ikl7ViWtKs0Z2tBoYjjqvMwpLZ3W25oYpPRycKpGg0gytHmj
5pnb84Q+j9qlOcSG3xPwUX8pUY/Ov7DL/itN+afwgmgwBd/IPZshmpkJG836q+FU3cdfcwp88los
yjrPswpL0Yu1PMcxjRflXOu/cF59T+j5M8H6J58jjnkKNZdU3VoRA+teiblLt72LFMCj2iyRQakb
zKVsgZdXNtPNm5CF0QZpSSnpJmGLVYY83yt7P5uK9dfMZt/F9T+o9GER09pGdcsigiw6TYolENmv
ejr+hXflcyApw7+WOyaIiayM8ikrJ/k6A5mvntHLhjwcIYGb/tKp+xxPGifSzitXX7dimuPjohTc
d0ar3f21V/9kkxSqPhHx165bbcGEaeqjulfVOv1rPozP4adulaqxRnP1dskaNVR7UW0oABN/zdTz
OeW0aN1adQo+ey3ckshHy7A1Wniy5BcW/39xT35OOVXOFYutPS1bCPtXtRi9QVY3f+2wf7rd2Wfo
NX2o65Zb8WvmuiFN0vVfvGA+3euNHAaksWcCMLcKejk1EfI16r+WxPE533RGVWE2arZuaf/LjnUs
241cjb9WUWN/bsHO16ZIGTCWreza9N1q2uKq1evkj3KEf3+b/0f8UV//Y0nq/v4f/PutbpY2Rbfz
6Z9/v69L/vsf57/537/z81/8fftRX76UH93nX/rpb3jdP943eOlffvoH/DYI+c3w0S63H91Q9N9f
n094/s3/0x/+28f3V7lfmo+//fbGCNCfX43Fq/rtjx/t3//22/ni/PcfX/6Pn50//99+85Khf/lP
v//x0vV/+83VfheaYRmuahAfIsxzHcX0cf6J4/xum46qWZClqkEQD0anCvtB8rffNOd3XdOo79BU
VbjMT/xRVw/ff2T9bmFs4T+WA+6n8nr/63P9dGL+eaL+rRrK6zqt+o7v8aeNz46uf84/jKMqgmkx
tTNCPh1qEygm1V0I71SR5Y460fagSdV+R6AKOIdw3smBzKjQ9FK9FP1DCtz3RVHNx8QA6GR71vQ8
gfq5yzc2baQIKUw7uenxQhXYw+3xLG5SxI0DZtcEiVq4X2fKbp4n7BG3juKyuHiGIVzVFzrl7Ajt
G+dunYDxkI0Ak12UbWYeunGOb+PGFg1DCbYNDwDcwuGk9o4XI0W0A1TyzcEctfiLdLRoAflHncRg
mEQG2lTuJmE0y63Vmkt6je4wZerRZQFH3NpuE5LhkFV+Z6GfD4aiy1sUjU51n8MD3OBAWK+Nqp4O
OtpkiKuiRXIuC09freqUoPN4Hq14OZiG4V5ok5buABYmv2gmBbVpR92ASK36NRq6akOxx+hLGoq2
uUjqE01O85E9RBKCSRAFAw4Q22ZyknYJmC563HCIzNdha8pZ2yGP8gaCAgIayL+0hhV70oELyNEj
7hbTxNtcWKn1tUiVepfHsXEx2zM2Dcmo3tvmnZQTDQNRPPjGoK6Ujy6t3zouImnDPFWWPr9FZ4Kh
0Jbl0siRq9lFv0DDKsZ949jo0k3JXgDBwrjVLcUNSmeUj32hmgeJeAHt4tTb+zMC3XoNI+gePGdm
pRjFFTGo2oMKK7Ox1wEar87Xm1V32RJaYKChoTDv4fTKutuGSR8J0Uh2qezcukMIkbAkKjklQ1hc
uH5UeZRZvyuVOPYVmi7YXzl9UI+5cUxA9x9t8KVgNNRHxMTjcRG5cZpw+zxG41AF6komPtG6pCG0
jUQhiGjGHxNqrwwOAEN1QhxDaT1mdWp57pQYO9sChuCidG0DTas9Jh7b5gk8CpEr8LHJOERskhNN
SLn4MszotfHeJxXbvyleGNmmOgWLd85dKwabnQZtzQmJuXLUkZAU4NlDi/x2acsuSOWkajsqH1BS
xxnMDhxMdAuXXjWb1RQRnzeC4AWrkPrVsMyQy4hj4Sv6QrPxBJoZEBRhURPGwFKcYkL1v4AE2YgC
inJsdkMci4uiNdX71LUUnpGVM4VWDzvkAfQZ4rZF8WiPHh4Crd8oMhO9r7DVUvhLGR+sPLeQTSdm
fZiAfTdV7Jy1ZMJQbrQYuYCmkVuo6t9vu0mqJ2iC/jF2s+aUap2j8CXrQfqmoOuDNKd+qxOlU+5Q
/1WhmIzspAxTgtJkqo7FqBpuUEM3wMJwisjRpZFhQ9aiA0CwJD0kRKI8qEKvTsBwbY+uTr01zFpj
UZK08ySVwVZMr9xpb5mjudejRnyzFze6oXm1bIOl6bV7PJo9RkX0JCJIxOLYYYR1DKgpitorsv8E
lhW0fSa0c6Pl1HAO8xvzN716DpCV1/VKcZ1kmBoHfPOjl6UTdpe56+wBYZVZX60aDfK1hTcM9O2s
nkti7AnTUO8bq7RMb8gmYmGbrLBVWKBsnliHY/HcO2fjp3Sn6oAreD2ouoMKpE9n7tQMCeM1F9dy
oUlbIoOo1yYLcgt4wUOg4QaSpwtMPWbyXTemyVGH6r3uIcpOkSWRDBVVrQsvGkbtYhlzVaBczbOw
ahxn2rpdae8jhQpTryOF9NKMhH2hQhaVflEKa98hcgjK2KxDdG9sLjVCXW7YOMPauyhh9kIZgSCy
ykmPDqGmF6WjtI+SarCF+xHJgpdGy23daQ90X6R3llvOXxvHkuTCTDHmS1PRdmM0T//Ymf3/PJKw
l/gvRpJ2qD7Sn0YYfv8fIwmO1t9108UJwW14nkgYPP4xkghh/K4ylFiW5bqa+HEkMX9XDZ7v2I9c
YdtMNGxC/xhJ+BuVXF2XnF6o//OY898ZST7tctmE6yqXp67rBlpmHWPFz/5vws/VxBBTuV/T2fL0
+EFp8yVkYCHmyl2+TIaDND67yMd9o9IQYoPI4pBtLhc3+0VM/8/bzz8+CaOWhicAdOBzocfQJTn6
wLTcN/m0Z92N8LwZ6VfTbX7ZdHrekfxza/+Pt+IYarqh2QbjIKfkJ9N7l+lqUg7lvlcjVi8Kwmft
gpQxfae3idg0ERJNjEjFpSLi1l/TemHXUWSbVWPQEEP3q8ren7MWvn8ewr1dziszJjPqp9QR21Xq
BRIMcWo9uWFsuk+QoGnYNsY+sdCTo1BOgl61Hn64SP+YT3+cR89f89Nh+Oltz6k6P6AKipXrYpFL
sZ9Ax9CpQf6LvNN94Ti/2Br+ybn98Z3sT5kwg1iSIm9FsU+S6RX+hnTCkS3oar8X6S+/1ffUz39+
L65iHnqOan0/mJzez4m4Ueu2agctsVeKCGOGndvBZERFgNfBa1rzC8PWtnTFtzba42EN4/zQJIYW
UhT2pEGbb0vgXBMG3GlEOCCCQC4GiLkt+nRBYF3hbYWu8Qw8100s8RUtdYDzp74VpiauB3pQPNDV
V/buVxIBgldn4ini5HMGa1ZwsUuS8SEH2990VveQKU7qQ8TMIfnrYyBMZ/LcNPrKAjHe4A30TBdB
V4ZuJZg155IxRgsnPaq/tD1mdm8Yq69ap1wuQ1YfFj25V1HwbcxsfFRG3BpLaoe44+8Eii7MIHFy
Qsh4cmdji91o8CJ2ozxdJjxd+QG0dUOAjLMD1kCQPiN+b2NuRGT8D1aRnJ985RTWeOPuqOU8oi7L
rxBmhK3eOxs2CJ03JNIzWogcjAabLu0/GELfpZgXBkv6MfDacn+t/qAkX53VxlQ5bOpJ5VmP/KzV
59BJmwcEAU+iIjjRMoQXq9u6e7O0CbW2kkY7Rt56P9RNg3Cga3Zz5+66swPHSJ/Gpb9CQvyRk2SP
ftKqtw7TGpWwCyQF9e/s7RhshmHXVKnDQ11/iMW85UJ5VaJE8TqJF2Ionp0av0ssmXl6uV27lZF7
QPBYMgV6rYXNBsz0Se0jdTt23C/EeKNO6rBDG45x10JzYsiUl12MLNMBowzHvMcs0UVo+1a0NQa/
UFtfbMF14S5DGapp6XzpB7Tz2pI9a7WKtoMZDboXVZDbsOYQeRFw0LFgjHCiLozVYXZMCwu980XR
zsiq5T7m2fRgrmJmj8amcSnNIsj0zq9GGhZcxoDGnnerjsbCYreTkWEo1Tms5D6z5duchYvreEOO
VkuoWKaY5WyKHPsk0QMl6Q/E2AgPCfwRFjFGU0cOObZUpOA3c4JKeOjsq7Jzbhx2Bgh4FCjWXuOu
KcO1T29X6JtlTqdAnYsd4pMvFmlcCJ4PrM4YKqHJ5BDOGRR/e+zEneZW+3h+jxPtotBmH8Zzi1S+
GchTU4ger15VYw3Msd07UXvSSEtfimf8fejre29UlV0s7mIW9HoyQlzAHjpa5HGqN9tPszivAHWo
yehAGpy/FEOIgNeZNVSyzePM8uqokLLcfnF9Dd+Dh0k1rQMJz1sdXkI5OSaWFehrI78ciuqiwa9k
JZfxsI2d25h4Cr1dQ3UN1J696vzM4Dn0fLt8uBjkVd6MaENmElaeTWd5MZKXZnhXls4f8EYoGZrn
915Rw0Jcx+JhJXejnIMZiaWqXVO7yP+cfVchzAEjV/yeVewik2/zaqN33TT9O5RzgNlmLZVjr40b
pznM5W1FYXTkinAavREHLnS4j7TBsPrLqjVDXbGDuc2wSWuI2tuNpluh4j4lw3MxBxgG2JEgJ84d
P33k8LrdfDsb54Q1EPfpsiHfPSqMEPLWS9Dv1MRPJMV+Xe4U/DWaejRQ0EU5PkZpHFLVpRigOWQ6
DSsxl/BYbmoko0OdYKJ+M8s1XHSby2hLEEmAzXLjlMmVNo4+c21oTW7Qt0N4PpYlyfbpZG1IlfA1
qK+ypFPMQMrHberKCoXdRi+1W1Pid4nvGrtG4uYEVnNmT7Rg1pONlOOmWUa/K2Kvip5K5FPDGq4u
eYYEQ6BFPCwoZEWq4Zi0fFizo6O9pO1xSHHbpoo3uOpFn4idVPGLRegXK+OkJcXXFiAAjWhoqhdL
2W5NdfUUq8UJn/oKO4kKzx4pYl2r7EiR8KVyjaCOQrfbM5MwqTkhL1qorcPGmCRS/RdqtCwMJawp
pwqbh2VcZdqzgJsrS8GrnLQ6v83S5NKlzby6iit6AOI3s3Y2rtUGxIqQYYN7DZ+BqaYBakDfji6J
Ut1qpWriuzb1804/AhThY0uzcLcMuJywzHQDvS12xG7tJ4IpN7VIn6v2bHxFwYsyUO82TdEhhI6d
JzWOLb/sxYK/YdkgJmLPj9x+YNFYFyE2c3lmleJvEtveFCfrgTiPu9mI3WN05hfrIi+JzgGeGCky
cb7p2njdClTd1lYxYidIlfZYqwo9x3Rg0k0SjErxEa0sQFmLOdKcjpDa7/XYih0S0RtE2xeEel0I
wmbCXo23//WohMr7p2HpPFSgTTZc3bKxfrric35kKjoT162r7HqpBBPVQYSk7NDfVXfn5KowT9Zj
PvRZAHsKLc2EYhqYvlX16FqT3AojLY/LLKfa64kbICdlIORoPxbdRnQogFJUOG72srAvRgyCB/k9
WqVhBQ6rDy6fL+Vo6/dSsR7hS5PQ5b4VzXtTOCiGM+YCFGDZ/dyjvaHRaL6MSBdAKamdjGzvLkr6
DZmTfW0Na/nC0bHl17W5apUxTPvar5E1eCWGRaJjUNXj675AyiTS+DHW3daP2dMn7qWCAn8U6sVk
2K2XCRk2q/u4VjmpHjGPU/AfRKdf4Ef9ehz2lt1HrzW29AV92p0Qc38k2VleOyVv0y/Cuk5km50W
yGlfHR3WENqbyC9ol9dkyerHdKk3hL2c+q6/1HQ7v+ktRyGspnyazAjb/4TtB7IHXARNVr265zqF
2Ytxb6rTiMporV81B4MTEVPXkd08THpihObSEoWSAXbgSE4pVQUoZYXXlivNRVOFTQyn/JS0oYnj
CGmHGx3ttpKe6VD+4jVuvvplLXnujoW6IYn2OYMux85I8CQooWL6yjTxKNG6QzWoy03di8daw840
tOqhRURyUtqV69WJL21UHKBI7rtNUBR4Vok7SBJFiuHCwtnJWFJWab11p8U5MHgZ5+wGHNetEgMF
sCKzhLA2uVLb1/WIfVFvr7pibAJZYVRFAZu5zSXr4MW8mg/LKg6VapA5kebhUpbPuo3GMemfyEMy
/G5dkI8v6JD1nts61zRJ268cAsHQeiJCoSDrBqgHVqJ9jjQTeMadBWdgRsvAmVyVm8KdhrceZc1d
pbuPRklPEeYDBm3jKXbxu2FIvKaR52I2CaSqivEFRzPRLl2THed6bn17jK5WxExGyRiCUdnTcnKo
BwyNuIrHs2OcSUSDdlV6ak06+3EuWiYMfXxyskJWz0g3rAVlRy3Ji15y9wDbLGwsbxrhTo5CFMJo
oKIKExIumaFc6XY3RIMQi8AO7y3vMGd6ml1OH4WGfGWokru1EQqXgtRI6+GKUc2XTD1k+VbI5I0W
ttQN7Sy+H/qhealU0p7m5goZo9cTtQHylce7jPgrTxLVxbcajL3ZPVcT64O/DPqC0a6vL1sxzI/2
LA49MUbXuVjw8kqxBs1KvM2AskgpjrkM66qOEVUt+wZ53KGKLobF2c0FWwXFOAnFfDLQACFfSk1k
4gbYqDZOMnCMZ63P2hMbJKamYQkV8OewMHq/kCejrSr//EBbXbLwmAq61Qk0biNu7H0Hmh3Vh85t
TmeKoOZ5WWAqcJEice+75jeRbch5Qs40Gq/6sFXw0PoI80fxWpNMIWaCjcrRQ2CuzXVYzcIzJaFT
E2JR8Yi9MiVNZKybuxoZUl4keze9luuC3kc/dqu81tryBPw1NY9yPFrL4udMEYb24kzXKrL9whk3
LpHfuHZfclDEEi25ObwNU4UvP++3q1TuJTdsNXQXsYPsXcPrGmuv6VodEFSnHkEb8fnJiJncaqxd
J4UnE93P5r7EAeCuuzpVZdjlxkZ1S8+B5XXTHAcPe6TiaZg+yu6o93RLpG3hx7L3FFauUR2OMdEE
eWWF0prAJQl+a2lVPc9UjNEBtJPXKHuJF5Wojow+srI89mmxM4wvpbCDKDU2Bga/MwSoyLPet8hC
62xEXtdtsdzbLBFDdoUU+Ajs72FQLZL0VXc+hvkiq7KFPBOj2DZj2mAuzy7b+USt9p0ySzskR6fw
iQq4xoodrM3qnOaOByosNiBr+YFTVT9rXCcPRP2yrcTRaBP/+3Pz/zYSeErfWlL1vvWf2cmfCM3/
hyjMs0LjX+OF/kv5Wr+nLz8ihue/+AMxVO3fQagtk3wZVkjrXBDxB2Koar/DHgIL6vpZcnimN/8g
McESLcfiZwZRIzpBfwCQfyCGQv3dUF2VXjSTscWybfu/gxh+71j8J7qCzRtfAhlrrq7j9qG16BN4
pnF9olUd+13eZvE+sq0q85Ku8+1yNY+yGafrajLjvU3Cwq7HT3W0iZC4IfHOuZujjI38MBXXyAY1
hmWze1NkoeykzSBKXlM8eWlBXoB0W/NmZKYL4hlHNt7lzdAaxS8kPhrH5EcA7PxVoKZU3XU0nuLu
5zzeYaSvPZVJt5PumL7rbYepXtT1Xp9IxSDACO12uuQYLBbzqPOtn7DxWWjxLfvG1Nd0Oy+quAR0
oW6u1HcGMfW7RuuarzAUIkxp58O3nKa772suGs3269Sp05szm+m2RkW6B9Ofb9ShTn8hE/qM6n7/
YoBNnCYuIV0zz8PsD8je0NaStiaksa2dlXjD5/JFpTosbEi72C3zgt1GU9stTtKU7RylqNlogYLF
wjpY1pRuhyweml/oZv7zwTYNuG9gG900zpTUz5+pUEmMxRPfQe/xDq3rZkEcNd1pcidts1rYipEO
Jr+Y2//kTU3Tclxaz7j6xWcosNeGobeVBu6SE/017Rul8NKVidQXxP5f50s17HAsE0Xzw/38J9Dq
n70vFkDLBGQWDm7hn78sSflmXK28r4QG9LAVwt8p9UM2t1wdat09Ex74C4wVDR2swA/XM+C9Kdhd
uGiDaXB04Bd+flerKQw8NMW0s6v5UMMntySkxeqBMMj+nc2J/ma3kfg6kbWBAYV2ayo9mvu2NZIL
FLxsN8oe34kOMzhsp6GzHhQHr1GdYkj11ix1222D+pv9HbX2zgPeqszHQT7fpQ62eh7Hb52VzBCh
sMEM0mRCrFa7g8GNMF6RQfdIZw9erlHu5xa1epol1X1kOGuokxDxXCx2vc2t2H7B2kG2IYNNXhpx
5+kdAoPerjrAxXI0LzSos3u1lwkrRuOYQGK203nKik2mU5AJJ+V6/rce12Rd1c6SBtTgDGBh5ryt
Wc9gyszihbvOIBnOJWSubcd+T43souyKZZyeFS3vzMBRjZbdcWnLWzJTqxdBkiHFsW00GySqgVl6
dTWnV+4ImoZwtb9yqZK4Vxpdx1peEVLhTiC8GezFglPMi8pZC7H62AcE48VRJdJy8Uu4kNlPCSN4
r22pblCSt7suIcknbLSzcCBqH3O1fTKkhS46BoOrvChtyhvpLMS8gS3dF/C8x7rVa7xDOqHTTsed
qyetxRykJTfjkEwdG5fFJrWEo9AJQnoIncWFSofKR0fD/MlAtL3FaqL7KzsXzy47/PJG1V91aRX1
XknOCjN4nfW5v5p1RCSHMA9xkkXv7FqMe/oJzaNb4tDr5nkhu6RVEIxY+UVmG/EU9jHo6JCI/L6O
z15Ot7NGX4scF6N/pT+LPtXYVgK42KkWumZsh2urXGPc6nc93txTOsdbDPfmdWXCelaomA+aQSwO
lbEHlAqvS25doA1+h15PNm5cXOm0g2zXzM7DUelwGBMze0ukTbmJzf6tq1eDb207waBNd2h8Zbxp
AGttHgEtdHle3YMExHf0b5FuoHeSIDRnPFVDQ8Bskyaa7669E3Cak41dGljIyVQbImA+g0CqPFpu
jEwzgOmH+Rohd0dAy9DfY6K2ndDmZGDJL2ssB3HDPbga7hmedpdoHw9WD/S6Ohi4Gg3EK89iHFDS
2Jn0IN3Zq6q/zhnwA2Q4GGGnTFetoQPlUyMS2A2b4SFulq3eZrW1dRWRXVdokjca3rcra2qJgkuq
92hUEgTWSRTmrBBXBKAqNCXgnR3zdQTLgttrG/UMNy7Lh90tePqG/Dl1Yb2N6rqP+r3R1aoPqfYo
VXnVSeWLRjpHMLvjEERs5+/JpZSHrJL9HdFBIFlJ9SbZlO3UkgfSri1sRuZmcZOPsYjl1TDYpDmZ
eqKdAKsA3Gj8bHb6YKfEaaHDdjLHq7r0sFRR6w1Nvima6jojzGgvHEXHEFiu851FN25IKA93TzfS
Crys5kbTsuJJjm66+Bb3ZocEBHO8h7mrcr22dPDdaHGvBKM+6UXQIqAnNIlnU8iqV/vlUiU78nnm
2ySq2JAODjY0oroQSgwFglU2YlnquCm5T+6hHeANL4RurI8EQFl+Z6Sv49yq16PplNZu7HTc8kNv
HvopOcLELrkvpIOkJY1VgpIK93IUWX/TpQVSGSeKr6oBJoVOx8NcmQ+VFs/XeGAvNMwIm85QlqtJ
lfPBsKvXfnwylMjxB2Ec84Vsac8x6vRbnCv3HRbrLbMBhbuZuYY4x/B08LANYtlcNROYzipr8x5D
dRQaA5mPWrVeOnbNGXCKZKONotwKnlpvxD6VV5ZO/pbjYtcdoyiv8FMPxSJ9oZpVds+Fa28ihr+d
05oxe3gh+8vcWWPyA+JW2TYIIw+pbuixbzCFlZ6gxzkPYKl6T3Wt7BbF9PygNlF9oSJS2p0z9/xC
dJ7mJPaRdc3yVNBXNqOVaMEqIAzyFloMZ0UScirrR9K9rZsIJUWon7HklSrP3kPl1t4arYpIjb7B
fTJy0w9R6NBjf5jqpbsQo4EPei2Ny7WOlm2nUa7Yr4/lMty7/QgTvFQHCrt5Cq3l0EBh0LIdQMPt
9RhWJjNJBMq6VPWtauo5HUqLPqaevvIsUQJLLqSugTsgp6uWk0JGZ6i32nXDxjrqsi/pkNyUvYJI
2WnL5JIq73hbCs3ckS3uD+RT3GadKv1I6YvNInluEa/QPVadTVDPoHCWZuRnNuTG2JFrHYm3IidH
KtXT7tah9viWgfUBjNwMFMJBtyR7mzfa6uYbYZMZMvatg/tawsi0Y7Ovtca9yEgh2aKLGz3biUCx
EwvrOl/O1vX0MOfal7is9hN+o2z56mZk2YLDbhpdfksnxwysNYorTxgA1mSqYkL7NkTpTY7bbZBQ
VoZdGJ4TOYS768rwWiLf8vsCMRJ1FefEP5ajZXidmghbngsqOXQHw+0J1yucV60ekTuNctrrSmod
EkuaR5bb6dgMYgjlsJPmt6i0rOvakuN9ydM0yOhBIn0zjgABwITWCuO51CbAoE6/wZVnPSH7qQMl
s9ifJKZKoG6fXRbEwhHn53ijwv+VzyN++YXopGWJlW3liGqXJsTTJwpZbI7yVJOFREor0U1jdpQG
z/CRXTglXhUsq+3cpMUgNzHhEfgFNTLF3FoANNjJ9IwNRgsbYuKCVbcf0ry97+s+0Jr2xdZGJpJ1
fW+m9o4YyfjGiZFz2pp5krLuQlxdflQLcD6nlqeybcnXBWD3pSh4gXwFsyLSZreSjOauxLMYI9QO
jh4Epg0qwZI0tRe1iPpNpBIeG7kOfNhkfdFF/pWD69d2Zn0pVH0AzTWPLfI65q9C8225ZCytU38y
ovQlZrrysWSbfpyqt7llPmjlrIaRKLory1RIxlfnx94idYmUnatOTIU/tVa7Ta3m2xiTcdjQBoos
96BEzVFVMwBmzHgWQ1bh8BTV9h16tw59Y+akT6TY3bQGbe5gF1Bk9mR4JMmVG31yv/YAMEJJHI4B
nUgrFt20WV4Xq94klj1vbJWZc+ofnXE5GZpzwPlsbEH3SO4sYmunkQQTpIRk2X2fX7i5TpSgVbvP
WefedW4nn2bap5ra/toqzWPWVcQjtp17g/dyCwtMU6opvhCe3RAPZ/rtmBoPtToT0DH262Z1k4lb
KKnOTm/A2w7xW60t494d7ORYRJYV1k48E3wHyNcASRGNfL+Scb1CZnBh27ZXnBmSqXHfh4SGu0lt
wxogCxeSelTQDWP9oVABj+ZedUjtz1BWBHnRwLOD/seHFqRsZy35Vc12/Dgus3FjknsTtX22JRj+
zmWi93B2GbfN/2TvTLYiR7Ju/Sr3BZRLMjUmTb3FAcchgOgmWkRkpPq+19P/n8j8q0AJ+A2N7uBO
aq3KrDIXksxkds7e3+bhHxpEyHtRjwcr6W4D94eM6NYyA3ZRFrlwzH2JBNQFYmxzDDDtlFdsDIY7
pcxbSr0oU0DrJpSV5BqRJgBphQK4Xh+Emu74sB7jvpp4/vplYweYTfOfBpXWB89lQ9SFSXgbIVRb
51V26/cZHXg2xVUaPBXcmI1nMAuLwblvOHBs07YMLsgXCL4j1mb+luUmL3FkrdNSc/fF8Ffv+Ffg
/2rODJ7p72MFE/W6srH1tlZ7MxLus85zIrjbfJd2+a80vdW68UjJJNjRJy4vmxAiSebXIUSq3rrO
rOs+i6x9p7ABE0rr8GJqDcRGEPp9761UI4eFpig+aAUUt2vT17xd5sTdkwE3l6uq9TVvtnLjW/Qp
lUE7WP2wrdivrNIude7ZUXRUG61No0H4SJ2SnlCXR9m3VFTJPkeDvRIDgPvVCFb6EAoL7DDt7UgO
SOR1XOdFr32m+rDucVuLrk62ZqVSDtUvZR/EX7UyuQqczroIJlZ0xR4mhTb4Z+k0B4m2IH3UbKCR
7g+zGTZGMaprvrzGRtVgfHk9FIkEjUGplwgaBuMAEklNlH2IA5MVLb/VB2rAjpVfluOV1VaPwMf3
ncV5UGkfkXxeoTe5bE2Lb6T0H5QQgUieTIpqEu9QuOxd1fDJOR+7Vaj7EwyioNILFUfZgT9AAIOi
Gx0UlIZ1GJawwdIiObXP1nK/vanCT27HsodopPV7AgKoezsXUPh/ZioYoxbkk6vfd07xGWMKsLpL
Ms1CWpC49upPIoSU2D8RRMbcFSgMRO+NW1u7r+Ke3dpwlWtQZCaXhkZHxmXPaXrqZ9ZOYGTaZQSB
A1fORe0kBw6zGLsfkY0DQLU8tr72rRs8tlGZM5ONg9WUYLtYeZLyoDjtXgsfmGSE5iRfoP5lh2DQ
nzzDv7EMUp1FvLXz71avahe2/i0PITS3JXwf4xam74Xg7fyzAhT1pU1S68b13IOByXtdjxGY1jC/
x6F/z/JHqxivqXGQrmdDl3TMmK+4PXDYqJt6RSBAIla2iFgYHGpWI52Xxo/yv4KE7ns4uEfpVBx8
SnVnStk/xlWCTzzLNqoMUW90DvJZG72HIgoAqcLn/I0z8xpinbxTWNqohcNkXg8FagAsz/l1N3j+
nzbICPooYGh9t/au4fpt3JGUgITUUVIKLOQcPiXpjQS+uo0Fe18Y8PU6SyaVjlTvVNXoTqmh2iew
Ysh1aY2anaKt3Sm5VR/Tbh9K3d3UzWM1VtaFmwgOK6USUcyO5TfkwWROtIMNy7fT2q9xrCsXmqs4
90n/tZCGg6vb7x4ghSEVajRqUACs7nK9zdkX+/VODa0IPTaUyijsVXstI0M/IPNUr7pUGdZh4550
v2OTqGlCfoIjaR6SrLqmoWTAyVTKDQQImI+qAsLb9OtDh1T/WOAM2unS/x7CRLhPnC48ENEy3iX2
JDXyTVM8me5gZ7xG4PI4enXD1iwV8TOgAGFaNTWzOiD9iUa06+NvxSrSwYQVedodErJw7lW1sS6F
MtBltKKBTwZd80p23sWAZRktQHVM+sFDcqWVt3K0BqBDiIVwzrBi2Gp44wWGc0VcQ3ShWf2hcwvt
2jAlYnY55neBMgHgUOQHEBwsWG4y6NunWtVMxO0GpxsrNDkgF2l0KDh/76Kq+I68DIoS5skrVx+8
a930rG1g5s2vwa6cnyJv8ebSK2bPRw8b6I2WGtcFXGrch2B8VqUy0ALytPCxN0RgrYU2sBUQmWZ/
hUGQ8gWNzOg21GEQcXTJv4hsVB+GZCKpwvaMb3ShJLeEeCRPTpoi0MFXuxp1xbgNQKWDOmKzZyYS
jUSU6ooOhzkBdweNvaIjpNznadRdycoh+7tEPXfhQlBQd1lhutEGSB0bj2zgzNQk4tC4rk3wY/BD
lrXc8D62N6Euvkid+PCEc/4KdoLxS1XxxaJ6i9sbyu1kEzVKmx7YdWjtVAPt+O7FE/xQBckTU1gi
1qhDJlE3q1wHOL1WuR3fRaIIB2KEhh1o5JiQ5N09nt+vJrQdjUSKta+nAGuABzTrUYvocmZ5/wV4
infUSRffKY148H1Q4Bl91i+uXl/G1CW33P7PHtDabUIvWrqGgzS/ba4SFbp/nHN6Z79uHpqhcOND
0tbFTpJTuDfjtrqwxHhn9RUARwdMxBhWnxvhODfsaIe7UnNCerBK9Knl/LdrJU9lgtzvC8eXx9gb
rqK0NGgrdulhOo5j+h6NEy/psPWtQOknYKB36/iRcwN5j2QbOawRbZo/eIrZupXRd07g/jOMHWFp
r8noRimFvgcWEd7gz0eIJ1gf8cv4hdh4dP2KdoiOfl1XF3rQpLdlGyufFOwuX/gOFPddKlxApAFF
6qHSPW/fdgLDt6WGCfoMJfT/RLBb2XibcdDnjhOdOLtHaw45xq++U7t7o9SJozE06DSOQreTFv7a
CAr7QlFIeFAV2/3Uda681qIIFo9pmhyUXUx+rLLkLFDt2+GIOibjqEFS6NmvpbAQzQ1fm7jYQ3Ye
DqEBWXE0yG3k3BCx5Qm75HvgstNvU0+7VEY/+hy1Xv34XNEHJ1I/FmOnHDrfKb/Unp/TMq4mvk7W
3Ji92vgb4nWyDTUB80oxVGWnDkP7zYW/e2UYw7jjvHSs7ST/1oy1doMHPwnWcWu663hMzC8EIKE8
6hTl1u2hwKpem38j2sY+cqDGLqGVTn2tYZkuoY0jF1vlST3+LI2IejzIfwhBY29fdfiQbwviLlZO
E6TbQsup/dSudiwCL73ysehRbyJEA1dEfGx9Up3USjcmwV7a/Uyi0N1pCJIQq3b5t2jw7DuXRKKL
SMvF9dinkPjJdGpvHOIL/dVYJpRmR+ECVa7HrH506ijZx5gowOuHaocGAzEDqjrf+aUoHCHYfMXs
PH20743R/RyAloF+HVLYCY385HsDbRPFym8xtRhYqZUfPX1iYrcy3SS2Z9BvikErd56e4W4RI7xq
UIMSBCbt/FDLu3RThGp2i8ArOubgE/i4i+gHeVe066vEvssrTRy6yhI/tEL18Dhp5nYwxLjrzVS7
MVM+woPT59+UhP+qhih8IXE1N0Ntw/lK8vqxbgL3usrM0wRdftTjpL5OVKD44LxUokEaM7bvYl8E
EJKbdG/Ca/NXFPKyAwQoCCJumuyCHHsWkIucQjBH/ccGbB7Ug4JsnlXQGN6x041kXaJOuE8qPrd7
UNAjXkGkW+w74nFvBjqZahUYjTbs5M8ajJ6zamSdf8sHd1Jd1mFtrhQJFE1tU3nnkqiqUeZP828Y
u+wtPA37CT29IBaII8Pe9VOUq2bSWjt4PuZNiuP00eipkG+8Ck6Ggt720PhEcCmC5BPf0IYLy6I6
wned7byOxGZleaH6t8n6/3e9zxh3DfqM73e978vg/1w/pdHrtjf/l7/b3rb2hy2lrmkSXYpB35ue
2d9tb+n8YQpiLgxpWKqjv7DuOn/A1LFpslFUUS0VO8x/ut7mH47A6OtIC5qgIZHb/U7Xe2aVMLDc
clWTVweXDErxWdM7TwkV4DvYb7WyNe8cC49nbUHxX1XwEnYv7sobvcOZWeLv36KBj+PDoDE9NwsH
fQxNjfr8VqKRQTOjpEd6W8mFC2H/NgqF9rdGA+nE27bkt/42OpW2Rhsd/8k8eVP2TIVU5rDPMrhV
bWdQ4E2ihEMhiMuP/7SZ0eX5T5PSopSJjtIxxKwHbAQSKg5y/q0BvulWU6ryB73F5kF2QkOME7vu
sQztDFFcWFZy+/s/jilcavy0oCk+e4a9EjgVe+Z+G5kpMF5J0Bb8JDVFWxtkR9XUqltVhPYhjN3w
58c/PTVeX2gmnv9uHE0qPXlNqPzhrxuzAhSXYkrwcq4SJkc2otGFnjfBmQ679rr/K6ef4ZiB1sO0
eHcop7/+GRkPMdCkukdGjp8jY8d4TawugP6kEPfl9Ep5U9rIyoqH6NaqOBMizh3QIrcU4X77L9YE
jW/DMdBV2NrM8ePWRh32CSaDQkHFQc1aWXd+lp2hWTwPM7uxONiY/Bp/OfKX2c94gl4a3MN+K+xu
HHd8PLXrsYiJWgrplXxHTczZFmd76pP6Z9EUtXTbe6DJUWtnbv6s4/987w2ug1WHBiHEgNf3HvEH
GpKaK3EajqE2VcnPRt0ZV0rTez+DjnyuFG7Xp9+/y5OEReAl4a2eG8dsqvhKPsbDFv4VD9fxfmmD
c1b7/O+XV+MBwtzFI/jvH3EwA0MZN9ttl3MsiibRLuvRgheGrqvF6j85cVjoX9+/sjFyDtLTC6NT
xmsSj+aja8W/FXL/PEMQxEgchg4zkajF178iLIDVrQa+rI+obVbs5talSJwzK/gb7wK1IxY5WyI8
gSnx+ldKyb7Y0Fx635VNAovmteiLmyB7HCxd3Zh9rewtadRn3sBp1Nlc0AUfOs3QWWbUuZpJj9jc
BmXFHeymKAlsx2uvZc3Bt6mfWcfnAqPpbedNMDSbScezmkfIx5RnEUzDkKJ4jFIUOI7+ZNuZEW7s
sVR1Ai6MIt33WhtRqIjblLqqHMJfWpVXJxIPSGFJweT2BzsjV3X/8aR44z4g1UejP3E+LG0+KcZw
0ANP6PW2pOp9ybE73XHGcS4RGfhnHvQb6w8P0uCL5hgqKiF19qTrVm2rjMixrW2pazBle74vD4HS
Xmqqd03kANl6odwmuX8VKW7xu2usxU+j+MOZQBMV0d/r16xtXG2gEU7XWppkXAo3obFA2fzj2/mv
7YgFQo8PCr+hG6Y96RRfaslaGvOyDvJ6OyoktmQgHFZ4HFSyZLxur9vK9uOfQ6U2f4/ZgVObtKWw
kL8wU1//IGb9cVTUEKfWIHVEyz29tLXKnqJdVX5N5qBv++LPXMkoGCBqixEexxKZnYqgFYNWp/r6
yqt4G3eCrb53KWCxgeIrrOYaTz2yGvq72U+XTpa2aexhAEBNgdheJVFFmkfo14axrU0XeY7bTycX
ks3QoEu4BAECHV8WeyMkPmhTmzlENt1L9Dsf61e4lnaifpaQ0LMVzSz/K21yjdZ6wMd40yQ2CWB1
bLN942TSaFuqZPjyyxJUL8pkkwQhYrsCfQNxPPRvQY5kw9WYZpbNidhydTx6hEKvgDb4P0XJArqV
VuT+yMNW+VyNfnBZqElIBqfT3CNzCO8j2+09KmU9oplOkU5ynxJRXuGpaoQ+8VtpyuaISULaiS1L
RW4XGS16T6PWWVfAYNeN2cUnuwwigjGzKMeHNrUJ7cYqnmIX+sUatlaqrgHEhPeZX7j+2jVl+ATd
ErxU6QbDr8pLQmj08Kl/wY4nVbNh8VUvFMre/sGFWHgdTjDiFbE0mbkF9zpupnY3FdPIjqjrRA0m
mBvRjB6BJZiPsmuqkOimVhChHEJLvELR45vMKw1107RmSTvGaUW7pltIDmPc8AHZSDPX6KWxAkSH
ViGv6yBcJf0OvHCE+AF6MVpPQZM/kBNp/oFSQSS3GQXAXam7Kp19WxN4UHr5pa4RWa9Kk7DKLbzj
0P4Ek57INVkL5c5WIoJWMzikhHL08GSJ/GQzMkkVaFBFWq3CmEaa1e7qkpCtFQ1A5ym3SADel0Af
KarHdkkSCvVU5ZKIMkNy+UNTr9Nac49G2g7uFf5PglyKMVYuQU+DYCYi1gh3jlG72ZXewurdCJaf
BvWOa9wCo9HLS2r1Zr7SuZsPQ4xJ4tJGXjLQZY7K+iqTRnNKEOlMFQIcP4Qy0u2k0D2ItU18nLpN
vV6cghbMYB8XFWQYBAp/sRcYvrDo+ek+MAmF9YYUNAdRrbLAqdHo1s6P3IJIrcQOE8xhWfCztmVI
Ozkd6icaLyZhqdMmmySKpPyLABXpbKo4p4Vh9YzR5wVuOD/0KTlKnxIjba3Cuu/1yYRU2HY4bETG
o92WBnTK27Ef6e3iE8g0TPJ6Q3SkmecKrT6zootaq1VFJqFdKSa2ESNJ1oIGBWmhBik5h8zGX49b
s7A67DdxodzUQ5w3P6UHQ/Ox6h1HWZHxmz/mVmb1Xwn/qe76FlsXjT99WjN8PeD9zd3R3Skwa2Pi
WX2aIC5kHd5fy1QPetOYY7AStD+u0TW4X/RKt1IcxSH2rYaA+dPzAvpbxYf/Oz39iR7nfV3++lUf
n/K58n76vf+wxP7f4IJNp+73ywvYntLXpQX+5/8o6nXjD0kfF8qXKiRaIz45/5QW9D9Mzg6QOQxO
vn8XHf5R1Jv8K7gd2vQtEprxjMb4X0W9/YdmQuZgw00x4jeIYMarT53CsJLShD7/xEHsTCCOOd6t
mnbdTk8jeZF1gJpf/P1vFBLeG322L9Ck6bKoKN6t61D56gw8wmVYxmf2Pu+NPttCR8iRErfV7BOk
xWgtmxBKrWvkF8uufdqNvFCue7AoLRMo1yl3KQ3WSnAsmlKe2b6+d+mz3RrIjyqXam+ezMp5pLD0
yOb2nPL7vbGnf/7iwu2wtILCEMYpQQ/QE7jWReeOmO8Nrb8eGnI/mIVQN06Kqj6YLgtnREz25uMb
PtvK/vddFK9H7zLLCWWrGKcBV/cXOixET6h1+p3UCrkjO4vM8izTd0laCRLLsJsiEwzPnOPf+8um
gsaLm1ZGHkU0Uxon3EHBGv/xxdiK36q9/Pfvmu1byQvLK7fngZh9d/Icp1tlKk3qj+/aOxeuzfao
KiT93DI7/VSrabQJRmSbVO0WDj6bv1IRgw2tQJzMwfqZFyMNDf3XsuueTd5aK7EHuanAcsmTHM3u
mHdCLFsZnumHL54meHSaIK4vTjVuNbzjZHQIO/zHUvZuufK9Wz6bvKrVxB5FJXHCL3Khdd6dX9oL
b/j0ky8uPB8yAmxzO6H7Qsu+d0EQEHLgnDmXvnfhs+lLNrWl1jrgsqGLHaBGZlbdNuzlvYVXL15f
vakXhLS0pX8bDrXPcYModb3KHz9+YWYn/v9Mo+ea44t7oxALZ0oaWcjvwwcRFQ4EhgQIPLR1NDJK
2u46uvy/2MqyfQ1pWzswyLdDmPT3UNWQyCi5MBf+pbMpLenxxj2J5idXC/cE5dkXeEGSw8d/6TuP
aW4VatqBJDzpF6c6du/dluMHutaFH011NqU9QUhGWOf2ySwcIhOK/Ady86tlFz6b0zBWoZvnNkEW
1IYfDYLCgz5yzzz/9+7K7HvcjIFmKgkW5zSwkLkYo+tsQtJEnGWPdF5AIYyV+jFRaycZNcElAEZ/
bbW+/rDs1kx/1YuXlxOmlRMmnp1IcgYT4hjd0ez14evHo08rz38Lb/+ZGupsYutd3462A/2G6CpY
lJ4Of7JJzUsTUffm45947/bP5rbuFq0/pZni4TC3LsfmlaMvfbSzjy85XS5ATsM6NcRc7pGVTlFQ
qbJeduWzuUrDWxS6xvGxkOIIKuW68KIzxLi3bwoaktdPNZ36OyPnq5MICwJIFBSMX0o3Lxat19Ty
Xw9PYmNclIUmT+QWHmwFrsa5TtTbL4xwZjPVNUjjAqUrTwGpCVs3ctAztDEkiqDRzszX51bav19K
TjSvr95SiHHEyWqfEkl/K3a06rLw6nsU4PVaJ1LL2vSKl34Osm7djsVfY+jp+6I3x8cBnx3Cmlzb
117OsTdsU+tSQ2/HBxH1kO/30Z1XVT9UUyWNJM8+4aA72CAy11pu1IeySIRz2Qfi85L3h4Pb67/D
iPJID1CVkZnEEckMY2sXZKgmFo0+r9CrkugOgkvTUy1GFMcRGv1UxdezbPTZsgN+ts0LMVI6acKf
oGvBJ4q7ZUPP1pwWv5LvKYVzkkr3Rbcof4zpn8uGnq01cZom6TBmzqlRBUwMkpGQXyw7k9J9ef04
sVQZftgzuGfKK+uKoKgzX79pVr71vs/eE7exhV0z6EnKWL0xwRNtPVVDdQLAY1t3WfFEk8dc24pm
/F1oeXcj+s4stmfLj17jGifIRJ4M8InXCOGiSzyBGCImx82iRzGv7NuG1poY5pxTxrSCPRMfZRsv
OnOJeQsMtp4Z+eQNnGhqAA3KiuJr45btojMAlJ3ZcxYuW3Sdb6IdFZeFyL6TBXTmSb9336d//uJj
ToYQCnAvsU/YHYIbvESAxBGPX7l20575aGnv/cZs5kZ+TljKqNunNkI9HA3EEOYWSBufJsBDnZrZ
nbRLmDtJ49pbX8tJ5MDnv+1IgL4Y8freJkNNQkgmrW2fh+nPZa/DbNKbFN4T0oPMEwgzEHsGLBor
/7Js7NmsjwLLggcWssNwogtbRUybh2SBLht8NutTHSKAKyu2GFEpdkZG8KHfOme2X9MzeWPmy9k8
HNFyDp0K6rwm0Bawp+p8ga7kLlto5WwXoKMjVoQbiFMzMS5RE2JTysC6LboxcrYTSMmJka3mWicv
iusD5M/H2CmaZZ8fOZuDsBuMqIRUcdLd9pOVkHQclOay14Xy56tJiAQr7OKQ2gREwitAU5s0LC4+
vifPmIK3Huhs8rU0zR1COKxTaHQxDrTO+2HgK7gn2bZEao/On7ROp/5kxC7C5iyQ99kofyL+TB6I
I6hRnveEchVDYS18SrN5Z0dN3+uwNE9CFTn+Bl3g7GuNJak+UJ7lbOqp3uBgBo8TwOfWno/uDygY
51jH702O2czTsDLSs7Zi4IAy3HVViWZfBQ/w8aN6b/T5R9cBmarYMj4FirSOtl3CcDKqZR+oOTtD
I1Xe8jjpn1Dg3qPv2/tesll03XNpAPJc2ndYDAgFDEAFrmh9/5bA5H/PgmLC77z8OEUQGrzR0uKT
o8Y/MHPsKi1aNp2t2XQm/zepajmMJ0VRf6QlwUxljXtj2R2ZzWfiykO1HER8gu5JmzQU1b6zwVAt
G316f158sitiS2Jdt92T2+culr2sWMeDNiy89tn0lI2F/iEIxpOWSwcuGh4TL7TPdSKmJ/fGajSx
ll5eu+pbKqhYfEeuof4a06SGCJSlnwoiRkEUdPoaW8a4qPYk5nKaLseN3ktpn4gH966yKUOs1+Nq
4eiz2erYmRLHZhKdUkiHK8WtH4j9OLNoT0/yjbtkzj7CjYduJK0oUDRhLg8EU/q7hsiOZUuBOfsI
+20TRWPnRifFjat9AtoWF5B65ra884DneqkRhboV5ji4pGmGRPEABD6aTYcuIqs7lc51PvlVrRwU
8qLZMCcgqebYNbqLL1exOBSuGqHVG3/IRb1eNv5sLjuYcnJUoeGpbhRCSQCMY15fElDGxwo59avp
oGh21Bnkp5wGMDQrs/aHdVub/ZnX6J0uFNK518MTQgCUP1MouiCP2CJ/DtZ4X6J9UqnuLvGr+hKc
B2Yg4kdWWekYv+pMY9e37MbNpnrpYnVzyd8+JdjZ7AZxrlPeLBt69h2OCkApal9HJ4jgm8bHHeRW
y7Zi5mxaJwrsmk6rxpOBbmHVkK7UNAghFl33XBTuj0pvaEkVnjDduCszRQ/UiTMT7501w5jNasGj
EyDs3RsE/H8qMac3zHQLjxyTI+Dlsk38UpvzLetPsmsrTJ/ejdUn9rIZZsw+xSz4KX7cMKT37Sfl
iua++a0ezHMy+TdvDArQ2bX7OU7cWqu1Y+uRhuVFgAbGKYFiwSNl9NnFe6Ob0IKACkza+V+91/3K
iS9e8row9mzpaTFEW2Mo1GNApPBeKslUbMRftezKZ2uPV3mE4mm5ih8OBmwsrhUj/LFs6Nm645sS
3FIaq8coHo+o8D63Sbfk48U9Ea/fRLLACwqr7niMemhQBJJ7Bias3n34+MqnW/uvLy/Dz1aWpDZc
2+hU9dh0tZ9sJEb5ZlW4uvLd84v0zFSdMvDe/JXZIhNnThuno6ce9STA62foefwpVhNY62MG/nzE
D85sg59MYoaGu9xF1kyLTkUt6g0/zdz3tx//ue/MDTF7UIiYIR4byXhEkjPsbcX6VjR2u/948Hfu
5TwCFSaYrwN8Ho55WPTFuiobYLpaqtkOInQ77Xcf/8w7f8M8/jTvccVUqjMe0yHt9wP0FZK2McAv
G322eqS5W+dVxfuWDN1fEMwD+CP+l4/HntaIN162efhp2jrOIHttBBGQejcgzuJvfgPCc1AT87Ip
s3BRi9dCqP960hC/jlxJyPFYWebwTQY0lLFcaGeOUs9d67f+junJvDiQwFcuAjsMxiPEyMnQUIS/
MOVaP/Eb+QdLdtjtNbUAt9KO2sYydWdtANAtVi1m5YUvwexF9kTpV23MYjYaf0qWYtTUQbJsodRn
Sw6JJnWWR8xWrYc8nhRwwCEMnblwMc35t27ebMWBuiBz2erjcahU7wLOZLkCZWoSiEACjguwZ2/m
lnvZ9Um6do1Ro/tEwGOkZekN3iuCBys325SmwIgLzBxF8xBDYPdba1wbPpk8Ya7q0ErTctFx35Ji
djs6wrxFFUf9sdchgFdTsO6IInzZzX6mcb58l4LcwvueMHrqwXNDDLzDgNItm83PD+HF6KpSJnCa
4v6IojVeg64nud1b+Lmey5di4SkO4O/u2EVA5dN4CgAKomVXrs8+GdTknYig8/GoUAIhr+ACse6i
nTpPdHbcdIax9gMnG4+tMXzH50UkoG3efrzGTWvAG6+3mG1LU9wknael49Gr3acWMNnvuQD/qQ1x
0bOFuc6crrTJEjomKUY89MQ9VPpGIVRm2YVPi/aLVyVWRzTVwh8BXSX2ld3l+doom9+zgf336mcr
cuO2aQ6vDFCSUYvVYMl0OwhCkpZd+/QwXlx7VNMjKogZP6rCdGFiFOoKA8CyHdiz0+TF4AqIW4LH
rOFY0CF8CCttwPVYKcsuXZs91gyvDGkH9nBM/SzexgPhOmjxh2W79bmYTgljg6ZS0R5LQ/shtDLc
ZIGWLRx89kzh0ZZGVvT9MU/acF11sbs3yso786GYJswbE2mOIWZHo4vUr/ujZkVy17sxjE0nUOV1
jIz1CR9sedlLz9mMTk0AyaL36Fm+9uJRu7be5a0RNMfeZ7EpyuaqVYczxYl3FobnvfGLsSPDRNlb
ec2xqYrm4GJh35lRZWyXXfnsqwq/IrbcoKiPotSsVRFIudcmpN6y0WeLMZVF4M+tVR2j1LiI6/ve
yZdUvC2sJ69nbqU74Kwyqv5V5P6pBn8FLQyvRRc9V8sZCRVEvEQV4UcjZhIYExTk/lo29mzWKohe
aq68OqrGlYwAKgF+DM5c9zTGGy++OluIh5TYbNFoFVTekhC+fKi3hohhiWLiuUxbVzxJDzzNsj9k
NofjFseO7/OH6KNN0EbitHc9YJglGiue7mxdjnH99mOtl0c3b8ZD6RLrUbdJ8mnZtc/2wFAayYTH
/HOMALN2rno0y0VNNS5cvH4t8VJoFcam4tgG3WeyhcEXKws/Vs/Bky8WgjpqnRY0Fe9lVWVHiHyQ
tll2lk1VdTZVM1PRXYU836OTtevWxGPk9MEi/c0UOPv6tqSh35R9zqWzloVXcuxyAvXyRRJnRp9t
nfQqgjtZd+VRISWBVPGmXeFyvlvyskD0eH3pUo+zEUR2fswjErJVAEyOhECzbPDZlJUc9S2w0cWx
D6VyUYVOsh9iYgGXjT6bozr5sYBDguKYpuLeqch56/unj4d+pzJjObMZ2ucePKmwKI66ADjg9vKi
6KAMJtna1bNbBTxQ6chvltf5l3HthVcGmMwVGGP3zFfx7a+85cznsN9T8un64mhrEIFWqh8TKlrY
4meKVPA67YBeEPStd08kbIQLX4XZ5B6cERKVDUU5JTXtOsvKfJumRvnw8S19+ztP9PLrF63hvkWo
J/OjSkwheXP1lzxedgaw5qAKIshpa8d1fqzSz4gkCVeqSO1bdN1zQZrMTFE4qZEdC6luSq2+dZNz
dZ93bslciDYA9FciLeKWdPb9TuM/ll3ybE6XubSHEEzXUc2MtYa9eGUoxqIWgAUD4PVzzPVKARDQ
50eWOQB1uppudc1wl60Y5G+/PrGQgPC8OT820kUd5iWr0leShYPPJjXe27iJFS07diRKqRDrh3TZ
x8uyZ/N1dP2a/YmeHUtfTa+tomyv4SQ+Lnues4mZiKLy7cBMjlWgHUZQc7DEz5Sg33sFZ7NSxFkS
unJMj6Flf0+MyFsVXfBp2WXPPrmRNTkZqyE7AmJ6aBUStYhQWjYr5/K0zB2FGlR9fFSM5xy9PPSu
804Jli2Fc32a0zfoeQRMPrsHjxDE4bDuyfhZ9h7O9Wk+DCZcYk56BNT0RPIyoYp1db/ops/laSIU
fuDbesy7UmnbUVeqTaQFi4o41lyflqHugSg83fVSpY0rPpe+vv/4uqcJ/u/dPR2X1xOfDIMg1EzI
g+RDWl8zG0O5OdInqFykdh//xJvvuvwXZsz2SI8aMJIiffL3uQO5k0ycZUPPrh5KEMAV2whOqhym
kGkdoghBt8rC4WerixzbOB4SzOwwagHX1jC7e9LOl137bHWh+BH53qj2pzwyP9dWHK3TKVR82eCz
9SWHLIqE1+tPY2VPKdwdoGz8zJtlo89WGB/oaEfelHaKZWj82cuoBHPW2p8XjT7vWzmKORhFpY6n
2C9/QUU8OcM54cKbb7sU816VMFKNcO62PvlDFdy6ZQd91gzix1J21cOyq59tApzYamxDFvUJkkl4
pxSetfaTxPiybPTZLqDsM5EMFBFOLGbk2iS5faTUYp/5Kk2j/Gsx4PbMdgG+11YK4TXVSfqp8QSZ
DMg1JO49WNBmXzQeAQgf/xnTzXjrh2bzlqw0063LrDwV0JZXUQ5JWCZZ/pncHe9TbRQ5OVSgN89s
6qdR3/q12TQm9S/3iqGyb+CG7Dg5r4mpWTYT5r0pPbSs0Ye0cVKbIQBJYvfrwmzFmdv03oXPZnEY
kQkMxMS+ibLiOtPuobgvqXPxpGcz2MoMzMaFYcMrbsjP6vr9CKV42WXP+xlBajvt6Kdctk4QxBBJ
ElgHt1y2KM87GgQVxSZ5ZMqNYvrrjIxGKsrLnua8p0HWb690qlBuQgmfflRuO3VcsvegaTebuKTN
eX2G5eHGSnrwxBp433DhDZnNWsUWsmvKkaEbKOlky6zapNl+PFHfeQOfczNfFIcgyhKI56vEPRBC
t/Z9qaxqAqMXviiziUlkRmCVkancBBnZtGGkaBB3+zNt8fcuXbze2ZgNqDdZNcoN+CMSOLNi7xpE
WS27L7OZ2ZLC5WWDodxkSveokLyFrumMI+i9655NTeGFbktIj3JDIs5WNcxDmKTfFl31vENqNZVm
pTZXXaXkJtWfK9A+y0ae1cparXHM1h6UGzDw1+1Y7nL64cuGnr4hL17B1jbLYUQBdCNq464lH8iW
JEYtG3s2KzW1iZq24rJ7j2IZJNw4t/5aNvRsVnqw+obMqRXce7a3Tszmm1lpy1bv/+Hs2nrkxLnt
L0IyF2PzClV9STp0J+lkMvOCJskMYDA3Yxv49Wf1Jx1p2ulKSX5O5HIb74v3XnsttxdFs3mXZsDa
ECXnYALdnpJIf/Hbt2uTqI300M8OSnBqfNIAwOW1gfSY3+KOTQJ7Uncp2XABZ6hzUHIHvRDPG+hY
ZFotSxcJUPNvZkdHF2p3tzoxx43fxh2j7GQ8z7q1uCjjdgdJqBOGWvw2/kvLqYOcbpCQqlzRhF4w
qo6xfj+crttyQgSLFM2w68YMJfIHaH1eyRQvOCniGKXtbK0XKC+Wuxgpyn6qQLHBq1PGIrfjJA3I
zQLFsjKZ9y/hkhxgaIBandeX/IWboU4gKyLF/HhEOshDHX8Jg/Qas8GLcb+RaboNpmyth6YOj+UR
QMKvLYjkb3Z2fIK89TVCyUvn7linWlbo2G8SPzC1W95GdIZMD/Irv7NxzBOkgshMkhSkG00DsuEB
MklAeXsu7hgobW14mJZNj4LruBjqpc/33voFTbfNBIkFMGDEB3ZOdX+GGAS/Tzi5Brl6CQe/flaI
Eb8OQT2JYntIsKiEYtN/0QwCcuMx6TuoDkG8fgT775XL+fb9Cd2WE7TZ0M7C8+eRxZ1BRoRRjjM4
+bLnNAXGw/NHHNutTH/sxOzTo1K8e0oOxt7zVnwf2oNeyUjf7KKAKtgJq3ICAOtIKWbtk0TlewTN
q9NRJ6IU0xF+mpc+OM3gSr3ZBnK1Tf22ZfxCTwxFKANpouAlJsbPVVa1xRAsP3zsAiOGr79/y8Rs
OTSIHiF1Gt3pOe1uVmgmeUXz0O05MYEe6XFUeHVAWxEKT8f9LHa/OTugSl9vfUJxCU/t+oXKq2k+
TElFPh2hOHywSPjQjk1HaV0FVXYYFDvEc2Lsn1ZTr64B1nZCbg1yKRlHQoHzo3uaRQ31ZIjMeX1Q
t7lkB4ihDHJRj5QAuzZ1EzSxDh+QAQvd7tK6RDaZhVSPpNY/KhI9hX3vubRjuVqjjmEiiFIqPdYP
CaD4J1BA6CtlkgvOx+0wjcpktAm4eQTT64u2FmRozy0xkJ01KybH/E7+5cf/k82PE/qqy8skCwRH
pzwdkveh0p/81nbMNAyDaI32eX8kIYMUJ/tTp/qn39JO3A0QUSjECHm5qSDNlQ4fUgXWc7/FHRul
89ykoWkbjNnuAspo3Sdw/HleGcdCV/DXGGMri/Fz/dQd1V9g9p08v6VjodusWS22ICsXoI/yMFIf
IaTpV4sBLenri7K2h271JLOyaXFRIOu+QNq0j/227jaakCwItS5Qgz9S/kD4/lAJr4Y7C90u0/BC
Tw/FtfGRQQExT3aofaLSeSV2v1zlNzIRt800mypI5zlbHhua/Qkl0Rp8yfXs9cgBo+rrIwdROlK0
9BhAsTA/taiVAl9zxTQvZFBum2nE1+xCgQhKbPrPNIR1AYXxP9F+S+9G5lkvhWT66z+AZhtNqz3A
rzB0PsSa3jCoWvmFaZfYYAhTC1K6Sjymg1nvsrAtAB0brmRMl76rY6YCUnMgTpgwg8fS+LYNOAUL
M/WbZ4YaxetzkSpuBMQ6xGPUMNCfYtgVNOeoE3q5L5faQI4jb4ZxbTGhmz0HNYQUOfGbIf9F9mCC
ehHkGkj7uB3t7UGrH0cweyFMGAR0nFORU78chrePwPV+bKn4FzIzXrMIWNvJgKMOYn0LM+2jqjT7
kLXr8CemsYIrkfrCbUkdQ81kKwOS4FRSEXwi0v5cBz8EJnb+8pv/CdBMtV0Qt2P7orMcINKRNQev
fuJ3z1PHQlU8gUYwJs1jz8kfnCZfda+80NLYefR65zpdGein5/qx28EvBZ3Du2Suaj/H65IZEAXW
a6NeKHEBHCj4huEYSGt/9bMgxz7R3o/EQLFz0kIjj0P6LRcbNFq9VnfZDHpMlyjDTVVm2rTFApkf
CMXsfvUU6By/PnUmg3EPpELdTWR/RVy/m0P55Ldxx0CDWh39KEbUgdr0do6XZ9aHnnmoS1tgTLqb
SbW8DAQlZ7Gt9WlcBuF55I6BJkkru3AfGcpj2R+owZ0mk37xOxTHPietoEoR1azspIUkR70Hedv5
nrhjnsAMZMm4BVU5DoG6y7IQgry9Xxs2pI59QlwH7A2QBi8TtvG/NrGn/24pqsx+YYg6IXScCAQn
G5GU+zTzG0gvhWfdZf/6nbproY0SgV23uERP9gvbp/fHZPwydJeUIDrA+pnaNCohtjXlYxEJKGd4
7drlJNCKiAAsELaEBOxwNiH0eXUjb/wWd6zzOLqKQPHDlonl0FZ9CUSxVzUPFcfXPmXGhGVi6tCW
dCfZ43LEZL7p65X50X6E7mD/Dr2NEdwYa9keHeDLKE0W/ar8nHniGChoFEl/zPFaAgM25HF8/JPt
XnMeDJpYzsFADQvkQ9FaBmN03pqa5FAx83SJ7mj/LExsSByupZXr3aGDT7q6lv5fSFjcsX4KGMy0
oZZcTjxuoKMV1zkgSs9+F9GxzSbmybZk/VrWw3CTyuxb1gR+zcfQxSK1yqwbCENVmQqIwAKZeAMe
Zy8gPXi+ndCZhbE+upqpco2TL53unpiRfk4ldoyzs8syybFSJRVJVuch1+H9vlLql4C6k/Oi1Rj3
HPnL8s1PSVBsTW3mGTxdFNIB+hdrWqrKOW62gvKeQR/IC6f5wq3+2oJCbjqBguJYblEGQSDd0CJa
AHf2uoqxY58JVceLyN9YVpnJd92fwoT4Zc4u0kjwZl1o2I7ASkSnSf8d4XXrt2kncOpMSrquWFml
W30j62061cyLGADn7RgnVGiSGaKZQ7lllXyQnY1EoSEBK89em3exRjrTjTZHNJRRukOAT0SJ2m/B
93z4AXdCdyB27msDTdtjLYejf0cPHZ+azHqejjsPu5NgtX0UTiU5Kgr9qO5jUGc/f38yL7nmG6Wi
0MlBAyv2BU9nrA1Jx3fVGsc/XlKwMY/t6BlIXSzWwRXZ4zkeylU1741W5cCJF2oYCrCvDRW9HGVo
Soeyj4VqwVtSQdUGtP3j598fz4WQ5AKyoq2O+4DOsjQTmrVFvGzDvyFh8Se/5Z3TDw8M3vDKjiXt
zfg1mKo0N4GM/BIkF5YVy1llTVjLMpPquaPzT53Mf/ht3HFh0Jll0z4JDWX3vwZFfiQJ84tJLnHF
oWgV9B1WXm1Y0AM6xTvx87suawX6iDpZbKtLQ5Y5HxJSiHrxfFi4pBUiZbWNhmotK02HHygYHV/w
SvJLXlxIFq8xxB8RXPOWg5+8jvfP6UG9QBqhyxSQrrxuwV00lNM+Z2ep+u0OTYtrTIMXDMgFIU2Y
0O3axC5luKRTm1fGjsdjOyp6TYni0g84NxHTuRgCXI6l5HUAvb8Jx3TegyT+6XXR3QH4PQaM2tZ2
Ko+0fuzNNJw2KfzwcIDCv/Zeo252qAMeqhSYk4y24LGthBeuEZq4r5fmkkotDoncy4jnzCy3lC5+
bsWFIlHMpKK72MGNi4AVeDg+yzT47nXcLhapEauZB0yNliYJgC054vtNzZ7tHBeOdOj6aIK4nstu
jrePvIqOYhfTNbKQl5DzRiR18UiMHivo+IOpXAeSjSdMMvO/xrbZmlyuTBd00X0hZNp7phwuROlQ
2wzuBDmXwRYmBZgmdnHmAMYup99/igtyGpAUfn2FFgGxx6RSSzl1TLO/j3Am5gNfq+Ebetdcf5Hp
bHgH4tyaDbcQwILiA6QHyPTVkheei4SNsSxaKN1P71DlFkOO4hwETNepE8guwvgo1kyA25R3Jniu
Zgyelnohz5taMntvq53J920AVctbMzQ79EohyJlD9ZSNfuGAOJ5DR2zcpy2ayoZNt8B0f1u2a6/7
C5yeEHh9fXa84gazWNNcDrM+0ndbNhL+JwUVlCj4uC4vQkK7+jKOe2fvJz3M/c1SKchI2VHFXjkv
4Y5zUXUH6ifgssuuWm5QtPwOHlmvGE1cgZJ6bLhRkK8rj06deDbehI298ma8kI+6PAOCD7YCY9Bc
snbR2XnleiOn9WjFjOdMwK/RVVyIGi4SjIxjOEHyeC75kZyycGCnLoW+1+8t5+3FiQsEm4NIat5F
c7mTSX+CQvN8BmOc8vuuLvoLDMqQIwN5UKlFMz8PUsY3baA7r8SOuIwD4IE7eughqTLeqzEn2HUK
7urC72Ccip3lGMJbNe7NjCZsHlf8Xc8CvzvpytocJtiPaN1x6H2F8RpwN+agkfYTMSMutoukVINZ
cptR4aEqj2p6z4LxypG/feWJi+zS1SpNZaq5rI6eFgRlqXvWMshSya26ciMdgfH/52gnLsAr6vsE
ItQEwUJm8u9uUP8aWQ13cPFg/T3q7U9oLlbvgwAsdRtmaXPVSX2nM6Juwlk3H2VsIDDcT+h8gixC
3TdVxN81oNRe8hD/dOUgLtgNd5zmkE1xCErSuayb7t+l703RVtt263f3HHeYslV2JGZdaeL24xHP
zYkawMv9FneyLcmyQFgGm2Rb/09T7/fT7Cf1QVwQWhwbeTR7v5QJzSAi3r0HE/tPr127GDQWQFCV
qnEuwWk2P+DiZXdayfXKnbv0NdnrEJge4YjaIjy5EvYDYU8VDbwe/cSFoHVb+qI2ns1lNofPTDfp
Y8DE/tnvUF6s9D+dbQx7bsDx1qigxRveKzsfCtDrP/st/nJW/1m80g0olDsU0bJh7ArecJDhcRjR
71d/OdlfM1Di0hw04J1ZgrpeSqJRyA0kNR/EToZ3itL+nUzi8SsyK31lauCC13KRV2D07ZaRLngY
9UFVjFp2+R6MwPECKuwXLlz41cx4yMDcM5VJGLzDu/R2WQ6v5xFx4VdxI4cpI0iOWmbo1w41h49b
Oq1+vsbFXyV0bEDdhc8Msc6gGFtUvs3oV8skLv6qX7p2swGstjXBeNNbaJ6ymn///RW6YLQuAgtl
0qRtKjniuc5+JrUV+TbJ1i9zcYFXdqyhDd/h/ZUuwXaCGkCbz4b6vYfwxHhtW5jqCeao02NJgvb9
gcl2jH3iue53Lk70OEC9pK1CQ2A8mm8TkmnVGz9v5sKuwGQNgtjN9GU6B+s7NWYF2uuL3z13UVf1
VG0W83tjyePkBJ3fP7qh9+pgEldQ5mhGdI04lk4BFzu1ff0DXFV+HTXioq5mu86V7iY8Xgj0Cbe0
/ksdkWd+7sKuYohhB7aF6xpX1d1FSfDEq9F69UmQGL6+hmqxVSbBu1MazcbzDvzVqW255+d04kct
wmmi3UsdMFi/s6Z+P8zsysPrguW7mCtJhelBeTSVWQPaEKvrOI/4xN552Y+LumoDC/WqDQ2YsEOM
aOvgfgBDs9/ajm3uc2djUVswLYPYLUkoBuzj6kpIvXQqTmKXjJwrniJOEDP86Bt13+7QyfDat4u4
Ug3oTUWG0qKI9xxCHMVSe+ajLtyqac2RBhRuXCv2lUb5oapvfpt2sroOCEjwABpckzTK8rmA1kLm
eR7O67CabD1MbduXnGPNaa36wiZXXocXshXqWCVfoy6qhxR3pM6QqTCoEvy7aDHndj3ss9/ROMaZ
bQyCQAvrAURb+3PAxeNG7ewXO12RGNTRM5tlSV8OqJgFSXWvK/uH376dwLk0x7BHBLGN8e5dvCc3
FZt//n7pS8fumOay1hh2hMZ8OeG1eb8mw1wIlHXuE3Z4bt4xUDESvc22QsJiVXQG8DD5IKbJj6aF
uKircV+IRJ14LBeubxK5NECO9K2fx3VxV+EehKij1VM51PS2S09D4zd3S1wxFb0E0E/p2qYEDIjk
/aA+r13r521d1JUeUmowMTOVwbzrnM/sUYWBX3hzEVftakQSLvCIqOF8AzHRh3ZZ/LIVF2+luohB
PKOfSt7rr3rnn+jSfv/9Jb8QI1y4VWx4vI7L+NIiWsGDnU2odNMrJ8LfftK5aKt46mwnJzmVc0im
Io2b+BMLibjl6ZqdOK0sFKpJUMz1fK2N8T9MxBuvyF9QWOaQrWJ8LPt53b/tymK2t5GVOOuMte9l
G+LXTbjkU7Aefb7IrPuUHQTp68imP8TCt0/psOoC1QT92IWVvO1A0PZMJNRR6pZ9isXSF2M3HYXK
MpDkY54977pJnxY18dt2WsTtYi2/EXv116hkcEv2jdR+IcbF9RhS0XBfd1nSNP3YZ9mPsAq9hhyB
q3+d93Gq6yQgA2QnyCpzzCDpfBkWz1zBRZhlU1svbYo7tio8JsnBjlwsflw5xEWYmQzwaQJZ5zKt
a2gJqrbYaeclicBQYXt9Lr0Y6qhi3VDue3hmeyTyKmN+eHviIszG0bAsare+DCWk6gLKn7K4/cfL
rF2AGROhxfwklWUdzt9Smt3t0eRFkIhDcVpPfF5kxzmMhon6Rx3I75HlfomCiwDbMe+ZVRpHAsK+
9aZj5w2lB7+3TeyE8xYKXZVRrAbTVDTeR2TsH0KTqSvGecHXuSCwlAXG9qC8LEUU9re73fu7A2CB
6WBN0bEkOAXJQHNrqB9xH3FRYcE4gIMb/Y5yMZFpzlpjUI7KEL7I6wa5uCfdMDmRaRjgEqLbmGFG
JphGP1gocZFP+87StZJ4Cpq2/RIkVp3m5vAitQaRuJOKg3F6iCCNKsqELHFuBGnylvpN90Dc4rVH
OA60GkjUdOWMknNedVEPfV720e/MnSQ8TeJl7SWqEmMwf2u3BJoj6+BZlXCFuKB6CuWSBrXhRpgK
z/qHI5muKZm8+MM3wq6Le1IAa0RRUw8Ax1V7ciJKtwWmCeZiXtLoPpFavR/rwTMdcqFQLev0nmBO
BrD89nMj75OU+CXkLg6qQ7sb8M1VlrsdujweUpuT/Rp5/sv9e+OQXBwUdMmHXbIIiLY9u2my7EQF
vyVZ/yd4lK94of8hH9/6jRf39J8a/dDSNl6PBH/Aysl2tmn7c6BD+xT0GLwMTBM+H7ZO39chX5O8
M6R7iMHyoHOp4/kpAV3vmE+hbfcirJrth1Fhfw03fHFrTiwFdUKoCVBmZRseCspcE6JpX1fTQzuA
c6SQsRzJzZJE7d2Ed8ptw5b4IWFB9G3Y2/gdm7v9LrB982FkLD0B+DX7FepDx11kUd1KMweyPNhO
Tz0kftpOeZZeXYTqSo40EQnisI6z7IbaqC9Ahu7Zkv4Fn2bWNFhHNYJHzTSYY7LDqQJtm+fBOHF+
XqI01sOEskOIKe/1qHW+Kc93hwtNS1DmWoGsx9OXWJanUI8Hv2rsF7tcaNpQNRp6R0SW8WGLsSf/
VlFwXDGxCw8mF5sWZgJFAYmqQK8YrsqQiBysbVdeTBdKDi46jZhpCdJxQO+lFk1xNNFWDHvM32+9
9IS/uCC1fgD1XjKmXSlXzk/LKt+Zvb12ZS7t37FxcHG1KdoBEpN73N5zMIcW3RzGMOaZ+T1VXKRa
28ZIwUchyzml6ktv26c4WIevXgHYhaV1oGySBETFJbqRIaBv2Vdoil1zzhdujgtJs+iEb8NgsfOX
yQk2PvQ8ePLbt2OqzZaYhVcy+IAqeJoLIqqccfX994u/GdyhEeKkPNEBTQgVDl3Zr9uQFPXUkZs0
jMXXcQZJiGbp/rDpuD///tfePCWIhkSvI1glFWsiSBKV1a5lMZPlWfXM55iwtvME2MdGcIGpvlLv
zVgg8EEmlK5engGrO49oIAaGdBcWlpWQ+LOF2Mkf0Evur9z7N78C6Lacc+klakDDAtPaj/Fc9ct7
roa7MebnFrNyUdr4paAuhG2floySChbQ1dW3rM4esmH1QwwTF7cmqyyyR8xf1jb/JKS5qzP6/Ptb
82ZuBZUch0rFGLSsKZCIKOzNKO038TTcE0CAbodOZ3/UCe8+//6HXhb8JcHCD7kJFrijGdmyvsxq
ype8T8cZLc99uF0PYu+Hfd6Azd/GBYq6pAMGSJlrgyj/C41v/LTbDs3oMDQI9xJV9Ml82OxOPrE1
AYGRqYebdQ10DvhHVrRDCx5YWgdFNIj2OR1Y+yCPwKtFiANwXTyBd7EpPuIQRt/avvurm7xoIrG0
k4ltgwZXZoc2QcLkTScxyzssyd+//24X3IqLsMv2aB4hF9yXR7B/FPEa55Md/dQt0cl47bPm8Nja
pm3hV9j4vqqpOPE2XW/8du74dpSsR4O+HVJILUnR6fVvtH+9ajk4csercLDkLXLhomybCIjJFFRY
cTtdyWYunbnjbnUomm6s6w4N3/2HDZe1OGznu3PH2wK9HQXhCn8o1ujGrMH3tTVe7N6IeI43oU0D
iWcIq5YZ4QkYvMZvqqY+LQis7TgQY0Y79fPelfVG4htIUNACbK7trddl4a51QnI5ZgI+YldL8BmK
Be/G0BxXfN+F7+lC16Yt3HeZIMBBzKm5GzPe36PEf61b/WbuiINxjKjPxmbGE0CUDUnaM03BsBym
tD7v3ehVK8ZPOKYUM1YfhumujGdwXG79J8yX+PkXF/450UErvpkWvY7peVu677se7/y+qWNGvZA2
mu3SlWpjzdmoUReY4qn98i0XDm+HdgxSVFlLu+k0b5PsXU8wC+G1dRdntw9JBnURPH+jZHyPjKnB
XadeBETItxxLIqjmRpPFKw9a1qiUEZETjdjvt3PHkEi9j2beUEgBCIE+8KjPcjIG12BwF9IVF2M3
h92MFxHtwOQc5oGhf6yVOpFFfhGZsJ5/gZO2703So+ifdOWBqdilBWV+1/7pdziOqWKgJlrnKYMd
ieELeIuHwvTk2ujOBS/jAu0oBRY+q1ek0bOYcuCSt7yqVq+ydpq5wK+wT4JNaSCpZZhA0zz+skeJ
36m4sC+TjFGkONxjephvar6Rlvk5FxfzZUMUnCWICEuxzfe9Fc9db6/NlV5IaF3I17JxtZpoEeCe
l4t8P0+MfanjoTmNwwBiUiIacEGlsaI5G5ro+6Z1deVFc+FDuzRcPA62SIlNgik9AZRYgej5SPW/
XlfURYTNSQxasizGFU0jdot6R3K7jkb72ZaLCJNz1kOjZuvKIIjuzFINucl8MxuXhytdgQlJNEHa
1Jn4uYvG5BQpY65kCBfCbOrkTWm9UErTBo+wecvu0mavnzKgrf9VPZxS4XX4LjiMJ2ojejT4C5Ze
5YPuUeEbNr+zd+Fhg6LJkizIhyfa/CMrXloQL3pu3PH6xqJR3S6qQ78X7c1tuhVd6kUOnkLI8PUj
wYz8SJdWy3Kpg+kcpdFNyBLPKO5CxKw5pqiVyBEWHix5ENVP83D45R/0F29vemtrmJKlC1htQIYg
/p41oA5+l8VJysZkb5dE4OkeYVKzUKnOxlxErPa9L9Hrc6fpHiqZTLJs0+QzaW2PR3vmxeCMj+rk
ZgxRtp1b1MbqKeyKJAqGnNbztabyBVuljq2KnutZv2R+EXgz7ptjPe6CTkYF7aLA73XpgsTiNaJi
79e+JEkz5yukhkh4TQrjwvZdjFgdAeSLTmCHGv/SD7mi3XKeu2342DaTuYLNfbHMN4oiLlqsIVUP
GP6CUj85pjM/OlvoIdRI1nCBLGPfdD17aZJAuNexYLpboUUMsHtWE/a4N1ze8zbxfJy4+LEFrLR9
L/EUN/10O4q/02U7e1mYCx8zRxc0qaUCJExUn00S0ttgrr74Le6Yb7xYCjUVPNuqlY1FGtX8tIWb
z7Q+TtyxXYwS2Flu8A1VFMmCsHU4BbH+5rdzx3YHufcZrw5Rbkn6Q067BWtX5qVrhp07pkvmde1k
uqKwgkHyuz6p1ndJP/gVVlxA1QJ4dDII25eTqmxu1ux7Eyu/7+niqQB04jZiRJSar9n9Bo0D6II3
m5+7cQFVol8YWyhgxhHdPs2RFWcoV3m1QyFs7dgnW8ixcIJnCciX6ndNusgn1WTKc+svXu4/rfUd
ilWTImicWTX+5NH2fuTX5BFeNviGE3ORfdqOKRGxwDWfo2NFqzVDJ/wIoczG0Ma5G8YwvZJz/y9L
euunHHNtj+0gQQqE1d73fZ62dZV3jPA7o1Z9TxeQnK/19k88ZUoWSR8kuSRM5ZjWVncS8kAPC4vS
G0hJRbfVIngRUtI8xalOTrsm+mMGkiTQUlThHWj805txJeKm0ngXFVSBivwU7Yc911UV39hs6s9D
ZiqSt/Oa3DFtMf68gkX7nBz7lyYY5M0itjG5Cbdx2gq0z6s515sFK2DdT9Fz10aSF9saSHMCwjP4
EFUHOP0gqHAm5GV2qgXZ361cxQScfHMwnvOG9vdtOoUDtJPmtPqW6FB+hu4OGhwh6p9feaT2J0zD
RveMI9EhhE1PoHwdroSqC+8dF9zWHOm4yw6hFuQNZRQdp2EZrqRoL3fwra/quDILnpc0CBe0P0yr
blIM7UFqrmdnGpj63stbugC3KFbL1rW4oxE/MPExkz/Gab2GH7pwNL+A2VgiGL4U8m7GsuLY4vHc
WTn5DKmlmQtlkzMILWY8NUsJNtz8C0kg4+51KC6OzfADnCk7Coqq2+M7Oe6QEsPt9HuNuEC2Zp/4
CA1UVHCMGgoOAsiz5Wo8++3d8Wf1YsQUTxNgctE4FLGmjwoT5p4H47wZaMCYQJEVqV9Q36XZ0BSo
t3hm9C6SLYS0uJnliGn4Xd3EwjwAwOMFssZdcTIOYoBZpwAQl3u9Q9gzIPWXzNTJ8+/PPHxxs28Y
qgtdA7qaojWJ7nab1Ox9jLz4H7Sh49MGLF5+7BX52km1F+tExtsYzvBmsCRuijnc03sx2K3F/8T/
8rpg3O1b0T4QGI2ULeDvo3hIqui7Wrpr+u8XgpqLpUvDKjYJpodLGQT1UER8j8CNio7TaV5fWqfR
DAE0v+vmQut4LG2K54UoeVM9jLR54hsJPdd2ysxZ3NvoRRShtPXRIdmSeJ6OA/WzQpd7cUCdh+AB
JjBHo7YcA3sJMEWbX6/JhbY106ZpzVgLIp+YgC6+RuSTiV8+5ELb2sbatWfwTmM2hkU1METRzV57
a12yFBfbxqAXlfXLjBJ5sqvPrdjo7Q4o0RlIZMXzBcW8hx3aTB/kJiFBIPv+aeCLyjGLXC3FRHv9
uC02vhL8LsTX/23yP7mfTSSvD/3yNsv4X6oBPWk9DQFKpJu6EqMuWIuLhzNo8gRZQ1sQTsi9IJjB
BYihHjCSw6npimacvMBxaeaC4+otrLaDZij4pseDwZ+Wt3185a+4EMcdcNzvfeSFNVwMHJvGdIG0
JWw5tShlWYHMrdN+xSYX/UY1msSZBjYcgkHpOZvpfmZd8OX3O3+bOCvNXI42caR2AyRTlKEKbYH8
EzwZjTGgIYJODhDjvbpbsrkX+cGSPZ/rZPkQdGAu/f3PXzq4l6v1n0saQfpA6qmFK6HR36LubuG4
rjwbLi3t5ApDvPM1TfHI7xP9ke0QN4R4n5dEMk7t5Uf/s+9+npGrzvgmg9pArrauX7bxajH9fyHg
jYjrEqU11ux7FSDNGXfSQ5RxrtLPasM0WC74MRy5Hej4o2edqorKopx8amNRTUV3kPUunI7klq5V
8LU2Hexk6atTVMXRux0wJuD+V55DKG/+vlQR8ap4cJdPidDQMhB6tCXY8G74Ovbgx6iffC4Id8Ee
7IBw0LQfNViEYpZnyc7z4PAqpnBXJi8GjuFo4rTBMeui38cviQ48l3ZKKRPAr2vfhk0JEqTjtK6z
eEDFyYs6IOUu1oMrOwesx/uxyYb4ad3o+r3vWOfpb5x00kZTtAR6F2Vq9DMXA1h4tz7xSt8yF6sn
65g2yHyBOWiLdsNUI6XRtdLzJYt3Dp3tWWIFXs+lttF+3qLIgASyvuIo316cu2g9Hi5TNyeY6qVS
/tzR86swzuiVrnEXoIesc9McZIVlEkxhnvL6cSXko58BvRSh/+OptE0A9BqR0u5C3lcIUmhU+Bqn
471plC2H2Pq2rNhUF9kaFmy21uumcBf9xiB7sNU6a0tTq79VJEwe17E5e52Ki2gCPJgqfE6Aj2n6
uebyaczmT35LOwfedUM0pMmGpfthKrJ45CcVcz+/4sKZOGb5Ua5Ogw+ZkFOxydtpU6vfgbuY6Xii
kQBjaPDBYNK8CIOqzZNp2v3uuAuVahjpNuRI2Hm/hg8UVvQstFm9gj13UVLgeo0rarYGhc7u3Eyn
THlxKMHXOt6wO2JEy2ZpyoTPt/No7/bEfve7KU4FLJFzXJvINuCw39kpSdcdE+Z888prMdz62vBH
OR+ShNh4d+CNkYR46yxt4kUVlnIXJZUcCwqaPT6nbix5sIkgBY/Syist5C5MSiyYvhdGBB8W2Va3
EILdTxrQYa9jd6nIasbZCtWa6kNXT0/BoN+bOfW85S5IqjkwrQg+H9hQNyC29ZhSCabF75K7RGSb
PqIUw8VNGaTRHQ3H+m7asubO71ScjJZPNSJ9+3+cXcmy2za7fCJWESAGYkvpjCI9xHYSZ4PyjWNw
AOeZT39b/8qGLasK27PAgUDgG/vr7oo3cj/sQxkW8Yk3+z0+zBve0wVIqaiGqtyK1cf17a6+TPqb
366d1wmV3SIfCMKJyGzPQsxZX9yb972RGcXu5EW3yJoIEiA8rEb2noMlO6moMue+reLLuohvpmqa
rNf58iaY5+U0L71fXzV2xzImeLocKJf8zdaKA5yIx/JgtqY8ex2aC8rfRUO2fRTmDcehjfleJdVs
/KyOi1ULCL5yz2IwoYRFd4qC43WLQuO5cce1isbY1QTMvImH4tyx+cT8dMoFprx+tJZqXiUKQQRL
a1EmZXN8jvLeq/UZu3C1sAd3ZlBh7WoQqSr6b20Dyge/b+k823kVeQVucPOG9qZImnArn1dEZV6p
ACBzP55KudbBVrEBq0/rkkBR/qHR8+65deftVpWwhs6NeVOXY5jkZSBO8wSZUr+DcZwrRKehabnh
YI6h/hOiYp/UlHsxH+KyOK7VtKoG/M8ixANS/Znp5lPOpPUzxD8B0UgzrHW44LbQCC3G4HUFbszr
TFwYWosAiXZhDLe6ofmgw4Mmazz7tX5i7rxObppeQDfDvJHBzk/dGiGIzAd+5+1fyzY/10RiF4oG
RY4K/B0qyMqA6AQtwyHpY7udD9AXeZ68UzECiYFaK0KDbIJMF6DHBhzxq2eO5yLS4qBVYrLWvGkX
3pyOqPgwkv7//L6r80zpTNC/tlRlOQKZvVyeY6L8HqmrDllFpitbtN8zCco/zE+p+XmSK/OrHLlQ
tLqIl7XKd5UFW2dP9UDkude7X8buItHkVLAejU502ePxQRfbZZDNnVO5eoVfXEYXgVbTCkRl3Rpk
QBU0j2xs15dSR9PLIib+NypV5aPXh3Xb7yCCr7VZBgUCAXMOtn0HG4snuDN2oW57scr4QJqXQVts
fi0hS/eM8TK/BNvFuMVGxXXQIcjWex0+TD1I9JYmiO6c///a4L/6AI67ng9pCjvjqaLAW54xttm+
VnspTmu1fNnWAeYnpFsG7s4iWfX8TrLhrW1Cfd7VVZtdmT/yVYinba+XE9qywHO0x4c24vbU9zx8
mm3+l52t+cCL/plMw9uxBI1MyIHy5HLJU0LqEsiu+E+vr+yi6NZtN+ijHDrL8YPo1kPaWfQf/dZ2
4gNBKY1jEsTZXtD+nOv8HYA09/ivr4v86is4ducobVNs845MitVpvIEjq8H1vPONby3uhAdt00Ot
JIxUpjuZTiy+ooP9LIPLuDY1QR7UolSZHaJ1TOwWBt2pY2PtN0MUu0g6pdZyyClRGShep9M6q3/Q
7vcz9i6QLiLzQGa5xBkzoRHnaSnW4kSaQN6J4K/e7hcf1QXTkYGhWbjCJleVGU4a5CzPK5/LBzKZ
w884uIg6mm+0GCahskGEme0b4Gzj2jNJcBF1Oy+OfbGY+ABhjKgTDNCDnmVTnWF+xQmXp6xUHfgu
9KayYxI9iOds89gETXynbXvj2ru4Okn1bBm4/DIzb38MQfj3zrjnxp3nuh4LbOTR4UXR/Vw3D2GX
e/opJ9g+DlB2Rl2LB8XYI0fDAoMO5F6D9kZbPXZhXAAzNNVSlviiy1yet2KOH0d6jKdab90rbfPq
DB9pv6BVFNLEDkK/rLILHnqp7FNp4S8XaAnfubq/FvYQsQv70oLIWXSRzmQXjq9dXDWvakWxLSmO
0DzUsWU9chkz/Dmsg65PgJFHS8JXoKHOlIjiFf264lxFsp8TDBvvr7U5psdrC7ZIwryonkgFDvjf
2/4bL9lFsyBJJnM+9HHWTFHzoOkUpUeziY8QSpIff/8vbtxWF8RSM7DuizWKs8Kwfw3tvvS98NKz
ELGrk6fLGiyXQw3XlbfsFLYDT5ZN+MX6LoZl3A7gCcYqzkxLP3EMZZ7msPvsdyhOcIKR9QnUmrHM
AO4QD7k9njD+M569FneBgRtYsSIzxyoLWXBR4/xEuP3Db2kngUPIFkgmEW32B/3UDBNUaZbBbz4d
tWC4m+/6UHmNl3DYUWXRzP6ouvWlxmP12/f1/n+39CIiOrB2gsnU8Ttd0y+Lon7W2FX0FCUdo5Fg
6ZHur6WOvwWl9FzascbblHPwSOHpRLypTlxOYCsELZbfkdAfjyQv+rFdbBxnSqzVWc/ASW99dccG
3nj0LiCQRbreWpTRsy0GOius6gMEO9LvEroQLQXtxygEijQjh56fNMjtMPLKPvz+WK6X7RexjQvQ
YgvdNrSgY+SbYnla6zJMmNTH2a4HLExJ1J289vpifvV/nG8LFkqM1bI5RjQ/o5SwQmovB0s+6c5C
hNVzqBagV3MoT/z+Z934IC4QawtUf+xVJ7O+C/9RTflWEOJXAXSRVzH4e2geDDJr0HBMuJjfHrx6
57dtp4wGsgNgSyE5kw18+9CN5gtkc/1CHReQJWQ+CVNS+KWx1Z9nkRefIHTrpWspYheRJShTx1Zh
4/GulzNI5/7qufTDbsYuIOsoF9ppjcWr/oiTVDGAyX5/3vGvb6VLQ7ZGLKc5dHOzvozYJSpZ+VqU
5fIUQfIzsVFfPFZkDh6b0HR33tuv34F0iXcqPeVbvPYyKxqOOmZfJEVtvsktyiQ6N2dql4+//2k3
XoBLgmYLFSMPnWW2dxV/0wUjOdlA+qHUIML5ozWNrlzTuVhkdkgJ3HN/ZVHdAj8/4IK9jqqfAeEq
BSps1p7NbMeHcbnH33nrXBw/ULb5MAjZiQxAitRu1VMz6K9+R+7E/LzIlwqEuyKL4kKdj1K9a6/q
0X6LO6ahmsf+YLPgqCzAWiNDzD8Af2PuNGRutPakC+bhIN2gU9XiumAKrk2anI9/5YpHb9Q2fm5J
vz+01TE94LHMSb8t0wXBlhejmJAu2GeOw3EDpRjPMKpkzlMTVY+MWublm6XLRzUvLTX7IXlGdh3B
6Yfs7RG20b2U4tcOVLqgHEvzARK1UmRqyEExsovyDI5qZCx6CLf3B1pFfvGidHH+GJI9KI9DngnC
xj+4GLfTxm13x0H/+l1IF7JYGBLWZclExnMVPwzgTdxCv2QYfOg/WguAC8i+HBPPlmZ4NV301cz3
ZjFubdt5czYsMBmM8ecsHPf5gdM9ehn52p19Hp1U7qPDlZ8B7L8e+TafWlazM4cysNfiLmZxCSLR
VzXDqaxrlaCyF7xEtTw8V7+6vO9SADM03bAQ3BZJWkj7Vht5QgH6X7+tO3lRsRQYki8VjFEA3eSW
Zuj6+c3uSBfQNavDmiqHoRtFFSbdMT8Ode5nRaWL6Br6CUPr7cEzMwbhWVuNGQAoSPtdFxfRxfut
3Qux4czX4ptcxHrqDCZl/M7ciaBbjRETK2rcRduU4ymcgBIVmnG/6RvpwrosirMwjhbnvux/hKjf
JRNjfvEhVBN/vI17swwtqRqeFWGgX6ah+3p0y+Rn4V1clzk4Ok+Ay2dq2scXvcTtI+g/7k1l3rAw
Lq5L0qqYKCbXkUuTf0JG0q0fP//+k17T8Z+TIvkTqGucMMcaHzRjVUXfN1vYvHSDHp7NVpV+Zt2F
diFEWHvIQzP05boAjGMygfy88MqywNj941dlmHoivA5YFhHQ/hjePvIyukc1fuvcr4f2nQGLhiOu
w7XH4sU6JaB+fBXN4ZVnSXn9n9+tHVDUXQKeX+96CNWCFfV2aP36lUgQAP+4OvBXmoAVm2d5DNKi
2p6ASPXcuONJZ85xZUTLM0ju/DeU5eeK8g+/v4y3ztt5ojo3JBosdh1V8dtjK58Wck+L/tbSjhud
Dp03XV7QLLItP29r3yV9G/jhCKQL3rI6X2XJOppBr+0zKYLzGLJvXmfiYrfo1nDeFxDomRXUOUCj
2iStYcfZb3XHiy4LPYAAblk2keYvxS1uOUBuXvmCdOFb3YwB2AXpbYZ2wJZUpTFJETPPl+8CuHg8
dWAMWVgGBuwugfzu/x1b/bffsTiP8+ilGUa1sqyt5Tc6hN/inn/yW9p5mUPRxqpYBMm6AYqkCTgq
7Z8NixevGqP8CT8QDu1iwp5mo2l5wtrwUqnJ73m6ZGUDjcWAuIjCg4Zn0VThyea5H2ZOumRl7bQW
oTZNlHFtvzK0XKz1fEHO0zcguiQMoupZeLB3II+9KKI8I0UXF0aXtdSmX0k2MRBSyMWirmti7dUP
kS40rOlVoXY2kKyy9sR2sDqWflQG0sWFtQAcVBHpsTTj/ymT/1GDIcPrhrugsIai0QdwPs0EBAFA
iBH8181+lU/p0pPFw7AU0brTjJRT+FC38eOict/FnVcf1MqUfWWiLG+aT9FRg+mynP7yOxTn2XcR
uHaWCXOU7bjZZBvEuw5l6JPf4o5L3tsNnA6xpZlsRfN/URXmHwzJ//Nb3HHKR2/lXrYzzYZg356j
tXrfTptf10K6cDCtISFnFkKyvQ/2x2jsg3O8+s2fSBcQxqI96kvQuGdT13xcZA+Zn8lLc00IN8AC
vHePtG7brGfBR3DZYN5UBV51cuEqFwQyouUmDpuxbYnPgRwMMsTGb6JIuAj6sBYzMcQ0Wdws+0nW
/esBTYY7Lv/X6QSkUX6MO/mUi60J2i4Dkmt8PzG6nqWO+4vVKNr9/j7e+BdurHUVXkBLsWgzesz9
6Rin8iT6Nn8otvDwyliEG3N1ZjnWeCqbjIk2A2f6M+ScvIwjLs6PB5S34TGt6M5lG62LDNzA+qHc
Ij9CE+FGXGU1bdA6H7usxixy1WkFNcD1T79zv36P7xKWuIgAIQ7aOsvD+ngxK4/Trtv0GbTv9/Kt
6yH8nIwKl8h1BQYwXLiuMxJ04YdgXW2RRNU6XooyRrkhKMXDnlPx9Psf9OuUQLgIv7HsxqHHPEm2
N/tbUfwftNW9Cl/C5ckDKAsakltXZ8PB/1RB+z6q7hFI3Ni0C/4PB0MRmsZtNsrRPkxDevTUj9BB
uPFdYMGxDS6sNhvaViZ1ubwSKB3eeba3Nu64kakIl16tUZ1NbQ4AWLBUiem9JHNx7R2zg1mdmDRA
gmacfNtjJBtLIQK/jbshXjUs3UjXosuqXQ/JpGj1Ms7LPWlb8esr74Z4E5XRWAS9zSZ4wPiVUZ6X
JyRNKxhWJDf/Wd75QeSEG/INiFOXvWssZmDDJzktH7rFj7tRuCHfOsa0itq1yaq6+sK7/e8uAAL4
98/0hr13Q752RX2kayOLufrc9icroKNbjQbd0RJDcV4RlHAHAerZVpoQYbNtXJdTbA9QXOp7wOgb
V99VLSd8RxV8pzYjEVMnIub6oYsHced8bhhNdxiAFQFX9TTCn6u+v6yrhjyobEFpRxTms0+Eyu5p
ry25Y9tufQ7nHfOxDdejX5rMTKQF58lKESWjh0msl+SsEG5MyAwnFi1quMigSmIK6hrKjR8sSbgx
YTvqEcTjWHxtGUtrMj/1orwHE71xNm7y3ayj2iZonWYVwJwPKu+/Qu+5eK0otXc+9o2r5CL4ayXB
UDWSOrN0PY0a5CNsqz/+/qHdWvtqor5z8JNa9yKoR5stwvyXB92nMejvBFQ37qgrDj6Doesw+1pn
PV+nPwSyrL96NHsNNK/5kLRF34A2OPYrJQiX7HWpFz1Yigi34gV5EltfnJVmuZ+pcHHqS9wcYjsm
mIpy/K+g4zPBkLifr3Eh6ovYyu7YO5uVNG/OWx69FdXUPHh9XxejvjUWTTPQRmZW0visRCcfKoAt
77Tvb9weF6E+F+Ajomq2Gd/KNxFylkQN0xe/nV+v1Xc3c84ZyQ8LBbR2Ey/tKPLEQNjB73u60PSi
OULZ6q7KVgZ9xHB9raf5vd++r3bi+33vc4nQhJRZ0+eYaOjbLSGjn5yTcDHpAVVsruRaZmD0qk9g
5ghOhhx+KWgU/bhzeQD8PB+kyIZG/1khTzzsdGfpG7bgp/GpSRfdiO5kBn2CsEswkaxfWDdMr2vY
kncmCAjI+G11p79161o67koBjNFAALDI2nhWz6CNNacYc3l33usNg++C4PPRWMGro8hmqDv+s+7T
8Ggo2V8n0M7eMZ03foALbee63E2xTUXWFBrVeSgkn2wPyRGvG+oClydtYwy2GqzO95el3fKHrRfj
k9/izrPdx3XrxloYlHSXtx2fn/V4+HF9CRe5TMQ2aWYjk5XNok7WiCgJQKHuZxNcce4KjfNmkbvJ
VjX/XeVgEJb5B79DuX7n72yCnC1Eb4CaymzFP+lxeFNHjVfXQrh0ppqZbooLi6XX+Hm27V/UBv/6
7Zr+uGtwykMkyfQmK+YR8Fx2IIUTfkV04UKXu2jrO90GQSrteF7r8WUh3V9++3YSQxqsIWpoWFoT
+okeokvKAIyIXou7cxZQFToWURYmC1Cye9jKq8DQAMlrv9Ud9EwQLHNbUBWkPGzeFWzL9Bz7RQLu
nIVp0BwyGw3SuOjk22lv5Vszaz+n53KF0nk19dTlJpvbaHkb52x96CHSdmcQ7oY5dJHoeyBXsrfc
ZF1NruCTAmOiIbkTZ9xwTS4SPS/wfuoIWy/mIsgTFbD+LccYdwO2Dzo9zWFtz0QF9zLb65f8RbnL
JQOtxn2JybwGadUHBT9tQVucWyOmb7GdxCOKbc3j3vXB6WA89zPJLiidBGCtLGQRpPsxt9+COJjO
SCi0V/MRePYfrQSBCJmBKBZ+EOm+jLl5JzHj4PcanIec65bXmByGLxHfwK7RngvK6R0neOM7uLh0
KDwhFGkCkzUxcNi16LrHg0zVq7UlNF4iBVV7oHpeNTBgfk79J6w6FKWaaRqDtNlwi+MSjL1V59fT
Fy5WPWdqwe1FbY1s3QMm9N51g7kTu914fS5YXaspKuulVOm87J/qtXxzlLvnkTixcr6sRdCoxmRM
7xKaqjuk7Ljf5XGh4uG6Y7Kkgc9l4f4aSfGtVoOfVoRwkeKUQspeAHyezs34YnddJ5SQe5pqt87b
cbszwyg0N6tOq6p+sSP7vKN97fWgXM7HMZfRtJgoSBkvvpJu7Z4omfyAgiJ0XivYJOt+ODaVTmH9
LSdcg2c50l6Okbs4cWZxt6ke4AI6oLJiu/wjw9lPDZa7QPBIdX0xrI1K93L/DJ6p90u3eoVn3J27
YNNU6C3kOi0OTAke0fJlH7i5Y3r/V+772ZlwF2Nue86EgSNJgbVtsp3ICWK28fzGlNDTeC2QRDz1
QMwk4NfWT9Lw4B1MXPOyg5kW1LDDvP5N1GTeUQIOswR4ZnaatknFSbdU01cGKaGPso2qf0txMJNA
RlC8n8tGmqSBOI1BPh7N34pVh39HIVueSNBXNuHQG32wJranKQ7nL3ncHY9oMAATsNb12zwnUJre
ymkFLzMC4aQL1DQnOa5M1gp2gDMfch/CxA3g1DZcE5bnNqnXQV5m8M1/3uIgx3RevPBHqIFXqakD
+xRglvZFrGuHLa1KeXlN7gLsO5aDFiaKwAhfjUVylGMWo+Lp8w65C6nf+SgwzqV0ysHh1K6iTWYK
I/L7xX/dXeAuor6D0mI1XzfeAfLybUCy9wJW4v8KWZs3hrbT8+//za/NFHfB9ePWDbxnQqekD590
bD+sCOnv/IRbazsxRSEs0K/LEKca4kFJYPcHzno/zijuguuhkiWOQh86FXOUFpp/wniSV6DKXWi9
XlCfsWqMU0tinUTBh4AQfudMfl12wOj+j3FW3EqIqwWzSnUFBMwU7eapHmdyasbDj9+cu/rPol7G
ue4hgjCJsUkE27MS9Nd39n/jm7r4+vVQC6kCEacoyryQoySndiGln3tw8fV00R1kWY84nfiyn6/M
d6e+anuv1Im7+HrTFlOQg64h7Uf9tWjJvyB6/uP3r+jX2Qf/iS71mIBPDyed5gurz4Why4OMQK9f
xmDuUk1wvBzgzrjzz259AvrjFbIoy2wgS9Dp1pUURbjmHa+lVymYu0j7koZsyAtYnX1S46lX24NZ
pR+9DYaNftz4wtkYN3zExnVoH7uwe2NG7Tdsw12gfRxBIFtU+LpLEzMgkeLygYs6Pv/+A984cxdr
z+tN1HJCVDSOQp8C0peJOmjn96hcmP3YSbC+Sq5S1qHtBwqgJTlY+clv605vyJSkuLLfq1Q0M1iY
wq8F036G0iVQnXOInO81TgXDzM9x/9zK3itb4S7EvjMgjwwOolLwvGV1j5gAAo9eVQ7u4r9kMDQz
W6+7FvYz5uKqk4wDP8Ja7gLA4oocTV8eKm1BO5V3wZYwUJp43hPHoeLamUhDTz3dWvWmqefhnIdl
4XnFnddZ7NG4BZOR6VY0Tw00Lk9lnHs+fRf5NcZlbqvCiLTYiktU65d48wz7XcTXlheiFTwXaQTl
3qQh6xMd1D9eb8eFfHUkJyA2KUVajX9OrHlbtYufEXfhXjXG6ENZFiK1BV67ouIlZM07v107+XgN
y0TivQM36hSkwfJPVB0f/Fa+msfvKuCbJnUTkutZByJMSVAGz9uAcpvf6tGPq9sa1IXDXosUtTx+
FnzdTlVM7gS6N0RAuAuRmmu7gekF0DfMKuO575BdOm2lMC9gcUL4ztVXFcg82eONX0Jeiy94y/Xz
PsL25LqPisRU4fogoomjzRhQmRg4tLdbR3OCHrXV0DzsiZ9hdYEhEbQHxaosTzeSXC+1n34ld/kh
hZlbXlqsGwqxJr1uw6Qp76SxN1ykOwWg6YgEj0YS77C66KKPEiqln3gBd1Fia9conkMALUW5418R
1p9nvEavW+eCxBooFQhCFU/3JlzPRTisjxE/7hUob5yKCxKr8rIdiTE87Rf2gVddmQD041UH4i4q
bFMEXF2CcmjfqRPiy3/V5iflwl1UWDCDQZ8HjKcKyXNSHQuqNVXs6SRdXJhSBpHZWGDji/hviTHS
wSI/qm/uwsEOW4FuYAHIr2BdkEjet0kAptg7Jup/1fZf1GpcQJil0dDaBbflCkJKlisPjRRgLUsI
/NupMXH0zmg6fAw1+JJPelJDkYDWTj01+7SeyNTvntfWcdd67JcwUJpeeSLfBEeXzjry4sXnLtCq
KFBeGPaZpWMepXXXpkQbz6Xd9LfYZ9F0cZSGC7BuAfjeo6m8B6e78dbYNTv7zjvBphXh3EQ07Yr5
HAn7RI7FLzN1Zb+njncjwJE0RSP1oeD5Jd/4naVvVAR+wjKzAg0FhZMWbdeAJXn/Fo28Px8VtX6J
r4tp7mnR2IkFNEUg/XKQ8dX7tbnosLZcy7DGrEA61TgTEb7vrPK8KvTHr0kQCKht2UkaxXpOZFBc
yGH+9rL5LhAs5EXXdYTsMG99eVb5LBMLUXq/uqALBQuijgZM5GHabfTrPvToixR3Nn7jsrhAMDpD
NE7Ox5EWudovXX295NNSJotinlGYiwbjdjvyuaNH2oq+TpTWn7tS3cujb1Q1XabSYRiawsT9ge5Z
t3xsmCnf27XPP/OtMM+sLwfPrMCFhh0oPjLF9w3NAPVh2wNgRSe/QMflK9W0Bh5y5WsaL3Z/Dkzb
nuQs/eZAuIsNCxWaGKTF6iqS5yke+0dbhMzvZrrYsAlaJBWGKnEqc70mwaTe9ijn3fGNt+6m82AP
O1fDgSQyLWBsoPXb2GdoLZunJa/oHVt5w8JHbgIcofsaN/mWmhZYFmmr09DSe9n1rf07HjUIA0u7
PVxTuUuQ7pOuTrWNireLZt2jl91xEWE6r3qUxcY1hRhG/zwGmGIvUck++63uOFdwYraYkMfpRIAj
JJbSz5Gc/WJNV+W6t20Jpj+7YWilPNtAyWQAa9udm3Pjs7qIsJLO/QDWri0Nebs8RiDAegrrtfNz
JC4irA4VibsqXlIRN+ehGN6uzXjHHN/a+PXv30UcSx8p3dXzkjbB/i62eXyiZh79LruLCUO5bpxY
Fw6pnYLz3PwLWiivpjp3Ba4p42KxxzamTBGQ/Tbtw7pUfg1k7kLClp5NG92DIWVBa07MxO+DMvdj
uuYuBW8vocJbhu2Y5upTFdYz0p7K87xdTFiglhADDFh7Zu3nwox/BIPnmbjUu7aC1qHNyxG4jqBI
ZhBYRJP1ezwuIiyvI5S/uBmRYQIdkdPwFIg+9nMYLiJs35r6KhKPjefLcepa/SqmiPrFpS4gbKva
YQa4Y0jBMZhVofyyq/KDlyl04WBHz5p9w7hdqtUGlddoelcoT//vYr/mfoYbjeshnevwP72Ij6Fd
vSDP3MV4oXI8VOuEpfVo3+j9CTrXfumii++auc47BZb4NCezOduuICdQttxrVt+wg//jBfzODlpw
qvcdmJTTEV2wLGqIeLyW8P0MoQvyQpGutdwEXbqr7SNtSJZ31Ueve+KiuVgIRRDbmi4VuzgebR1+
DQ7pN8zCXTTXcXR9VWIKMJ3M9n8UwJR5uhts3ThxF84ltVJQOSzadJNrJobutK+bX9Hb5f4seV6B
dmNr0hkMpxcl1PISkpr7FaddQFcHvMfMgFlKEdoWJ0wfntkGnk6/zxn96I8j6AMSikJ92hyBeehY
Oz/IuCeeW3cCXL1aELRstE/3Xb1wnkaLuBOiXCsUv6gquYiuZmG0RA+jSZWugumhX1oge8Zwbv+V
4LV+T5Y8fparPfykpbgL8pKVAqMvmXBOTIQPWs7qVI3DF5+PwFyQF+X1UUZC2lQOwb99I+sk7nXt
5TOYC/KCdJ8lR6Dq1AztJwJ+8kIRr2COuSAvYcKjL6a2TgM5R8/zyM9WH8or8mcuxovvhaJ6mup0
5MAkTwGGhOMQFUO/I7+mNN/ZX9jHuGvnsk55HXbndhkwfQl2Ds/Vrzbou9WXrctrIccmPYz8Urd7
CkmNe43B/0WzP1995uKcgD+KFYZQmxSnMz8L3eVN0jcDBEpZXb8xWhSPvCfHu2GVczaV4/5Qk5a8
8CYoYfvkBDrAwtbnqzFUycqsHk/5IvqLhhoueeADUF+0r3ectoowbcIQDrSlWTIQTvvB/ZmLoQpn
8LX1BV5vtMuvCyNP/bx71RoQjv949DmV5U5A3piOvU7aDty6fGZ+ZXjmQqhqKFn3pEQdyVINAr7+
ra485QmYi6EqoniJYMv2y9LWzxY02N/ytc2/el13F0SljmpdIPZxXIJi+VqP6rxS5YfFYC56ama6
j4u9Oi55GJkaQ39MnzCd5Mc4y1wSiHar4i0utLgAhPAGOMo1KdvyT79juRbdvnunYbsBgL3Xx2Uc
dX/aMHX5NEpWvvdb3bUxqw5ipaf9IueNXjSDuBMYPWYvwAdzwVkoIsdxV3N+2ebmeCFRWZwshIe8
4gLm4rNKpdG0NpW8BHz5KFHUSXKlAz/z6FKfSnCTdTk3AlQnEU9WRJJJafjqld4xF5E11ehI9mLe
L8CT94/rmFePq/ajbWYuImvgQWlHSaLLyuVn0xSQ3uvutcqu3uEXht0FZJXhDFPOq+jSDsPjrj41
uvXzpS4YC20A6M02Mb1ECm9f5kN0QlnZK1FiLhZriUYEGOALvQTlfNEzKPZD6TkUwFzK07IRukG6
Ti+YnN3Po5LsXEZ+JTrmorEgkKPavB/p5ejJcNpaVBigoegno8BcRFbcYI6bLHq7tCy3f9c0Xsfn
/Ajz0KvSwFx4RoB5MHBs2Ogic8y2xUVSh5UfEJm50IRctgFygQPHLrohIWtbJbn1q6kjXv7R6oL/
0Yq96bZLuC5b0uajPA9wUH7GxQWrbdCz32ow8l2gdwy9bGNfbXwPtXrrhTr5jFmHtjxsAGPeFhBV
6cbnPlw+eXkLl6pMLTuLRBzRSx/lDHpuGAJYFIoOfqs7Zx6vUdXuetou5bTTU0WnFx2Mfihk5mLV
muIQx2wkvYiT3aMuEWbwvYhOhb6eI8kPrejFbOwZfFlgy63vtV9ufE0Xq6b2XsZVL8TFzurjOulH
jPTdI267tbYTWSx1JyvTrPJC8ugdJoo/8F36OX6XC7aLGjuUjYKabGCsOQ0lheI8OnfMjx+Iucxk
guyEDJLhBUUt6AT5X+Vs//K6hi50KLSNEYWGI0I5Jkc7rRUgsxX3pPFuHLoLHSpFDMgaCCIvnCIJ
MmgbvSu2bX722/u1FPFdsFh2NIr+n7MzaZIUR6LwL5KZkFjEFWLLINfaqy5YrSCBxCqx/Pp5Oadp
prLDjEsfqquICKHF5f75e6ZBJNeQfkiiVpxmtc9zCtWEfz67qPkqyGBZZmeXeeN0WdZ9Dur+Fh3q
1iBc4sWxbMDInIhvUcIUE92XyPS39FA8zoBgPYx5uwDwaHKuPoiIk51jzv85Lt0a86EKzZzVY8RP
AiHvsdJzvW8lbaFBb5Aa8kLdko2l5yeos0/wr0cv1775srmJQlJRQQsars86nBRQD9ZfDIoD+3JG
W+Go0Y/GeiobnlFaPtrJXRcX7fzmW5wp7mnDlpBMWeBofI3LxV1gyOHvStn7W+Eo7WQb2jmfMrXq
4DpWZf0R7si3XNrf2AO2SJMX+y1ySYrjwBCHMKdHX7FdrR7+Fmkapkj6ctBLptqwSwjyOmkJV/h9
ebot1YRbS9gNC7543HfsLhaLPuZQiti3kLZEE++CWBU+Bp0GlbzzpO2zXK+3JAlfb7R/ublsoabI
TSWvcYPDJlCMJ49G/Fcdh/o9X2x/4we87oR/+4hN6EXHHnZaTeC9eqiLp0LI/lCHfXictSA4Q/g+
uNXfgk5xB6+Cboq8LGrKr37UPec53xfhbSmnmjgydMb3gMJV9IkLbpJiDMN9ia8t6OSYj2udfH36
FL3QmOjE9vTHrq1sSzj1MmghcDXNGUSLq4+6LqenKeL5rZuS+Pu73TJO0WJpBBZ6ymDYvrxvvaGw
CXTd22NdMXJYue6fZV+g/0GXpf707z/p7wUEf1vvLGccVRDusllTe8F5Ibi6SkJOFJDbZwh6L8+j
1yET+u8f9samtGWrlpE3S9X72FAD9w49AN+jWO47w7ZsVReWU9DCBD0zk0htM/wo2nXnObAlqxRM
ATofvdtIG9Rl6lqH2oFw+/a7LVkVRDWd56VzGatCe8cK4o64a3b77jtb4S3P91sLDRmXjT1EJ14L
UXD43rmQt1AVryOkCcDbZHXQ8ER4+E8x35iXb02VzUUtYHk7k87DF/cmcphfSZY+0vu0nvwtTqUo
3ODgrmgzXUAHZyIusXSa9+U7t/pa/TzNXQ319AwXWHWREckTu8D8+d/X0BsHwJanmocaTS5tPWUO
mmofRga1uaRWqON6Ywktu1HtlDryt3AVGcmSoxNyyuTKvo7BmOQOee1//xVvvN4tWjWAlquMCV3m
5BAkUEWpwNF2X/Y9/PVD/+eG0jZBDep3cjgCCpPMfvww23lflm/LVjmsJQ1vI5vF0Vwfjd83SFFG
v/Z98c3hrm0DkMDZKesLfzgP7SygoeEF+3aaLV/lgzaBpn03ZV0BKya6Op1QEfQ7n75ZsE0O3wQU
4ly2ys4m1QDtdx03tyTUg78fjVvEyg42bmoo5GdI4Ponih35vvAbcVnCvNp3gmxRK7DR5eSKYsgm
wh/RDPBn8kJ/33TfolbGKxRM9zDdWavGY2DpkqB1ZmeZdctajToe8zHPx4z4S/PIWuMu1RhENyLO
N5bqFraK45LikFqnbOnbJplZ/F7JfeZP/paIej2ww3xULpt8eqf0N1fs63Lxt0CU8CsGlWE2Zc20
NOkyrixZuW12vs/NnRailVx7E8aE09od6TLKgx/wfSL1/haK8irHSBdj46VsUZmxJcTwe29neWUL
RU2We9HgKjwd6uMnuQ592olh33V8i0XFVVzNhEqXdcL7CJHJx2il++bhForCFLemUhjzhmlzVCZ/
NhT+Ibt23i0V5RsJZSvKx0yiiT4taG/Sztx49ht71xaL0oGtQG3ENuvGeE5129fneRyqg5zUzpzc
lo0KfL+UxSjHTHFBTwOyrmdZBzvD9q3clSkMnWGBPWYCXMs9Ietnz5nmBlL81uhszrzVcVxpIzpn
yIhW1QUyf/VLRTt1NxQsvPUhb+xhW0wqso1pQ98bM6bGi/H8z0tU7ov2tkSUXbRfvxp8ZI3X82Ts
SZ9UdLnx8L/fCPmWiJIQb6YBK7E/ygD99b2Lj9Nso9MMmvk9/GdNytqCpl2Odt89C4FvMSl0ZDGo
UTuX9W3PUhvS+kiLdZ9UAN+SUmwKFg9SIX2m5HA/B+KZK3Mjnfb3ecS3nJT065bREWnj0DD/jkxw
FbKWtYcOQkI3IoS3PuL1z/8nrqQCsEEdoWAnSjb/bmisjpPFqkt6E98Ko/5+H+dbaSgBOayGjbjH
xp2yP60q6dEOvDkouXh3RTjwS7DQelegzLflTWLxjuu1qLJlbX4Z1aljSHHR2jeTNjnrmEKDVfSt
yzQXn4t2kklfoKd138M3u0YJipXQORhQJQx+o2/8iqahP/sevTnbG+UjjTe+HmHgeZqEG1f/6IbW
22eKwrfwVBXK0mvjaMpYzeqnIi+Hh8A1u7pt+JaeMqqVgc2HIRNzMq1G/urrnP7cNTBbeCqCF4fT
Nu6Rnmo+ayZf+kbsM0jmW3iKwyoAZMDSZFYuQzIUwV1XsRsZwTc20a3yVDm+Npt2QZPBSXdMeZkx
amTi2spLqmB6klG+noJ6X8WTb6WochMitQzxuAyUnEy5VwZJKGq5KwjiW9opprGGhvRiM8uL5hsS
IvTiPChi73vDmyXLl9g1nsFbGCLWP+VLlZ89N5c3NoS/Zy74FneaqW8diT2bjf7Cm6SZBE8jOMgU
ACtwkumIkX27wxZ98oNBQG2QDhnc90TSwFkqYflibuTU3jgGtuxTGGriqmbtMxou+XsJI8+sbo13
GgUkQG58RvzX+y7fMlCkIcauopiyeK69FG6nRbowQx4mZtWhisvi1CDznIjJY5B3xK1138htCak5
KuhYhYN3Dea8Pa6L6Y9k3sdH8C0h1cN5tptX511JUfIkXwPwzDs7SSDo+s/Deap9lBYDPLwua5NA
3q8JxL4TYctHhT0PYSWKR8chdE/EaHQyAu/atea2eJRZVueaiLksXieEEhxCzVlXRfONYt0bk3WL
AS1ShkXkA2uuXWnzpBua8r4wEc/0LPiNKPXv0TXfSldVhLV01siPz6H8g1pRKkeoW/z78Py3z+j/
C158ywOVuvfQ7T30GZDXMsbAg2JeXmsHpfarI7oE20teVP3dtCidjkWrT9Tp/MgbrX//+1d46+dt
MltRVWs74S1lgYZKqhDfw7z7vuvRW2KoYvM8mmVwGfFmeDm9U9E+1WYQU/9cDqpbYZroj4hidPUM
oQ/u9tGC6Mf455OnAMikiVGwCALygtznd7/YZ0bH/0/bypQ5eqp6rAUq/4QRepEHUf3YN9Sb4N24
vBmw2LoMPiffh/mFkXHnEt6CQnU9GTuK0rvqWCOgm49cxzdux2/MvS31nXt8rs1SYOvRwBqidkr9
yXzeNyLsny+yioe19HM8u7AS/OFg0AAR7mNK+BZuRMOH4l4jq8wa85XrIJOc7gPW+Jae4paSNo9i
ei3t8j72ycfIVjdixTdilC06JZtwMmYk9Frwzl7IisjBb1vxqC0NDlA0Wj/sGvutAhPKZqZZo5xe
oZqZ5FX+CHXrj/sevTkIB6TeFdwovWsem99qkAcLa9kbu/Eb03ELUSkyL0E4CXpFD8xvGkVflj6/
paLw1rNf//x/btckb8PCFBiSwrSPnWbBAZ644XHfoGwiWyxPzEOGL97p9lmKDjaa8bBPPohv+ake
nsCqywN6jaf+qeD2Ypd9KtR8q7sGebhYiwqPFrNMBQ++FyG91UH11oBvzrWm913rDz6+NkdpOG5+
ElyT9k2ULTpV8VYUUnB6DUX1wdTtJ9GYGxHNG197y03JiUEBqsfX5qt352R87odg3/1nC0318NOK
ZPc6IuX3pl+uwoQ3UkdvfenNoqTaMFd7GA/WVEcxprOWp10ze8tL8VyRDpHv605SfaLVmiztvh4y
voWl2ALF0F5iOHpVPJm6SiSv991jt6RUsdgygAGYzgbq2kToeT2s5XDLZOWt0d6cbCv6JyZbKQYX
xuJDSRbop63LzsvllowqSzZx2kt2jW3+Vbn4q6jmfSfyloyyoptm7l5XTZc/mkmmoaH7pvYWi9JN
GQ9uwjTJLe5zYyGhGJZHh11zcMtF1XFRLQWajrNetvIC9X5+sIrfugu/8Ta3WFQN5J0S7WHBx/ar
q/vj3Np9okl8SyQJsUrVVGsF2pCLhGv/RzvN+2K3LZKkJAtzUmgPSCpJRmfP66R3Pvp1qP7nrDRq
zqVwRGUMfki+Subh6743uTknI9boOJ/xYDR1YINtUm3FvrhkiyIF0JmEK7xdry5wPFFhP6NTEuoj
+774Jms7E1blgRerzFn14Kn6Zxd2+yAqzjcH5eivVSRzZTIsIABUFCgtTyAPNu57m1saCT4Xbqro
UGeuKtdLWHB9CN3elM4WR5qLaoiDoWoypdpvPW9/9tG0T9Sfb2GkmuS61rNZr7AiCZOFOZow6e+L
2bb80do1jqlIr1fN24Ov84+cl7fSCm/sKVv+qBOa9kC7TUZ49TVf0fY+6GDnNZZtVicdhGiaxrKr
Hee5ToNeRZDbV26ftzTfMki5k9isvL7OchJ8I9DbUFTtjPC3Ck9zTWjvFZFBJTmH5mM7zCcu41vt
tAH2p78kc7YI0jTQAUJmcZMtbdt8nyqfvusbK98XLubnXRvBVuhJQCPUFys32Tot32qlH5iku9gv
voWQetbR3EObcRY3Wj74bUTvqqCzN6b7f4f4L4OzBZCiMVDzPNUmg7K3PkSz7k688ZdTUS9eygLf
pUXX0Dzx5Dh+XEOxnifM4e8TmcYvKAsUXxjO9/wAX/P8XLky/D73SHGEXl+aMzQqxxQOOl5+ZDTo
D4UcwtM6BOawa9S3gBMvLTQBMe5XFJ8OMOyrkn6u2L7LxJZvWrhcAn+Cdqqwa6J0e67GW/2A/z19
/jborzP1f05StfowrPCaJpMEW3AqQUMfoMxoo4sCJtOmI9xhgpSqDupvcP26AHklbUpIPqcuLvzj
UPnICgajIgdWC08laOkYPvDao1leOHkuC0cPFWRNzhE6yb/YTkSPaFJHI7mM4/6QewtejPca1Rju
e58mm5engAX9Q89QXtZymO+gVthkedfdql+8sfdtoat8kJXqBgxnqH/1U5xRu89Ahm9h8ggeKda0
Q4OwxKcvnRvnhI1xtK+2uUW65OjcGBf43jCPeQynL9VOkJlvNa5i+JbgfoDupDwsDmh+/CpIsA8e
51uYq6lgJpkHpMq6uX8flzl8tfIbO8YbL3JLclURYTWaCMusVVOVjKJXZ7j37GuW51uUS7M5Mm3d
1tlKOv4wR80MAZWdrit8S3MBUwrivIxlFqroEWZyQE3qfTHsluXK6cx1DTGuDFzkj5z0H1fP3zcF
tyhX62D/SqSUGYb+OSLIaEZ63meJC8+0f25FWsnGh4+RzArcSZJFozzWFmpfAmLLcIFE9yKiJ3L1
FflWjcj4oE9m5wZNN/ftYtRkKdaRXPkiP7Oiyfx6H9nGt+SWrEu/Khpc5cd+UA+zkXed5uHzrlNr
y24NZKnDUrgSyO/wSI12iRrafaVUtmW3bD4HEENoi8ywcj7Y1sAyoVh3XXfYFtPipvAL+Jeh2unJ
/IgeyCXV2uzKFbAtpWU4HOkIsrGZrsl8bFguEnSDvd8z5mzLaa1jK9YZq+iKrNV4F4h1Peie7Ssx
w3zhn2toacRU29IT13H1uweNwsyF6ngfvgYzt38+XZcLlKZhM3bt/dmljQp4YktHdmXy2FbQyjS9
V00QiLwOXlylg7ce5q7cx/WxrdTUUkSDF4WLuJKmEYnyo29BO443aIW/H0RsKzY19NDzgQuwuErC
y8ec8G8kHLuds3Fz+xajV3eCQjYgLNX7vOHTsQ7WW91Xr/Pi/8M/tuWlRFn3kJ7OwyuaKv1T5PPy
CoKqOzQtd/te6xab6lqPVHNJw+s4W+/gdWz5EM99/Onfl9N/L5V/+wWbcixf147Tso6ufTSw6Jvv
RdH7qY5pUq7Su46wEUlDDtE41+XVs2962DMN3vJ+KX33MsJo9tcIQ4j65AdQ98zrmp8CNUzvIpbT
Jx/B6gmmX/Sjp+Pq7MI1Ti0Uou/QEgB77BXetP/+I96YP1teJyid57uuCq4B1+0jxMr4w9CEkHLZ
9/jwn8sW+txAZ/IwuPpT/qUjzXsPIeq+R2/2G49gyrzGMldSe8t1Fd2cFmF8K1J/a3Zu9hsjYgjV
dXNwhTqHRttnF64pC3vvnSed2RUYsK3C1cgCOGvNNkCyoli+CiuWY1SXt9Jyr7Pwb7NzExk0FN6G
Br5SV4ma+LuqK+Y7hc2zSDsbDzylbQ+xodBnt/QpX1/p3z5vs1mg+Glds3bBdYpFfEBP63IuOakO
kDSRJ4Mw5eeN9/76wL980BbQot5ajWpCfYjV1nPvG1+oPm174x1E3eu0gQp5svCgeV/ogPoHOEYy
tLh5jcUbHHq4FcSv3C3rA/8urJT/WQZz8aGqlvgF6NfQJH7nONajpiA31gnlPzjQvwa1L4LW5ZMa
SXGGAtf0oYagyp01fTkktDBhhrTBx1X5xbEpm+qs0VDT14ngzjvHi1nOHSfmY80bct/U4TglMLlT
SVPL4XPBYMl5Y3DeGJsNe2LgMVzLLl+vxhooKXpmPkaS30iWvvGGtxAZ712P3EUVXhVW9RlCBOoU
aL856qpv3w1yUTcqVP+9Dv/tDW92jXIZVGfiFkcD9InpXaunDoYf4CWSCRZERzBO5jOkCrqfaI4I
jhUrf3us8hNPL3UiUQg5D+UibmAJb2yQ/0fz+J1XFeCGr0Oz/hqgSpPkGkO763VtgR7SNdD+83t2
9W34bdZJPYw39vU33tWW5+GkqFRYI3inxMyJM7JPKZ2CJFp9kfY0XvdNuK0UEIzSQ+nlHcOrqnhK
8vFsop28Nvs/+m8oOkgPR94Vayn600YiP/VQq/7x74P/uib+Nss2W7y1C+S5rOdfgzqOP0V0nK9c
hfreV1FzHIqiOU2tWK6RL6ZdCVK2JQJ76pbQVZ1/VUi/Xn1M1QM8FfNdVyq2ZQG9slvKddT+tYv9
/iqN8ZJeevH7fx+tN9bBFgZcmpDTJeD8atbZmKRvEJEUk2Af//3xaHN548iNNgcIEt5tLZEyvjY0
LAs/LRX0Yfu0oZz4LIkhdELfrZMLh18SeezYJGpVM5QGmJoIxISkYEHeJ2uF86BNYG1nVPhcoLjo
6rQfPOtK+KKHAmW7tRkWr0pJxGv/0/jfJZiMM8qofwrbxcWcoIxg10cVVkHxE2IGFVJTcwHjCC9p
V63MI5NTfeyXmJ0LqKiT40AbHBazs/Ki0egrjiWHwvGYd/0ZZfx7Vi0KVoQGhs6uNQFNfV0GB8g3
QhjOK3EAxyNa4C4dEcF9DW3BF0/S3D/QVZZTYvOqPEEw+U8hyforf5XYqe2oko7G4+c8mvPHpqjD
rzqe7VNXGnoqI6iiT2uu1Z9lWPomqeewzp96yGd80UJQci7RpV0/RXbA9EgGRH8ak1wqklTc655i
WfWHQVOVQJ0F73ipnDj0NtC46/LuXnqyhBNz1yZVWL9vq9W/j/EbIBhdjnNaD15+CEml0kpZ/RL1
M+wZWd9Fpxav85lCYsY9xnU+N2kemOAJGvH5E8kjeamt9khioQWeVisUgS9rNbP2PXBseLSXOv5C
FCTdRFSE7MA1++gXkv7MffYnXKrm2irZfwpiUTQJ2pGoTMGPVQcQ3MFBt8Nw6P3RnpQoBiAgkuRI
JkcQFOzd0H5qh5rBA6Qu4XLalzGzl6lcGX2KyQwIv3RTN11Un8/8Y9e0XXQkjcG/t0swv+ahfVOl
Lgr1pZOhd4cX0OBbGgW4/q6dCgjDtBOyP2MiYc2nPuWFmKA8NlTxUh6xbTZqTImphbn3BP5pwmXj
0rUv6LPUBfXTGh1Vp7xoNLx07eRbchiHqSnuxqqW5ZOZbX+SmO/39QIHRMvbARZ3URsdzCB5EuBS
Yg6m1n37ElWipqdg6CJ6MjHj4UkFc9znh1avyAkkSKI37ZOJiBUPQZd35SfTdSF9aoS3jmGSI3Kk
qSlN1VX4Jl1NzkgestWk0qCUdA19Y+sTW4apP6GBtuDf3ejk+kxyA18YCWy//cLcUk1wBms4m7qE
oWLhkqp1ztwzRmt+P6MwJX/KtfDkvScH/FWNMQle4GJDSbLgZQSnUgYmPPGhj8VlMnkvUkNzAGZJ
S+Gik7phicVDbqK4+BqBje1PIN2hyyMa/IPDqhsCUYJp9sf8BR4QkPMC7B1Op7JrffkbIl8Danm4
nLniqeWYiGdhnQuvTdMquLy1WiLf0BYWVe4RBrPuuRK2OKqe5CjqdkXnomSIpyn8XHPO26/dAuvI
F+HrABELFVievvVaflmNH81/FCuJQ7flJDsIus+kuOMaUgwHr1SqvBvDsh1/87hX/EFQVY1fqz6e
xYXzQJKPhfZbBJDNEM0CRIbifiqiqc0/4V8Z+9x2wUqjZOJEmEcZ0cGeIbkY2qOvB2o+1JE/24fI
w7yGLLAm0bFj4dJ+hr6WDXDTrEvMY9hkxOe2snH3sPJiLC+xUrr7QlfB9MPit0Phpa7vqC0SmHTx
8C6CBIH51efqtZ+kQVfJWXnQJrnUs16KrAVy6V3CMkbkDo57rte7OdZuKtIqCBp5GOnsv+6u1iPu
s1nDZjy1tmv5PcNutATHRja5ulYSLVWfnR+GUAAKTRyyxJgp94sErXTAdmrsFfpuxm9SLz16j5pj
HudDcIeG5aD+avJliK4lbCZPsi+D+lxP+PsQIV+b/Ag1UNG95AwWVXWivIo1F4Qxy6QPgXG0vqDh
UM7mtMYCkupLjRfzSEIf1UA4zFodnnEQoW/Ai6Uc76bGTuZ3BJfP8MIatEYmEsIVRTL0Yd8f2qGq
vV9r74g9aw/idSrp+8gtSVgG5FAMniQ6pbrp7PeGRTN9NrWpDKzL0ShdQGfKo12BNFWINNJQx4qu
yeo1OKDiQMv8Bzp5J/Iu6jzPXg2Ueeazr+tI3HuV58RP1TDP+zhC0sicVMjH/Av3+ok96Mjvxne+
wiT94xhx0V2J8m1Hk5Ywz//hUzb2F776hGaDcbNJAhD/3e/IObeUCXcw2PwcMTl4p0YCm36oRhrO
91PHcTlKaleI6rsdbR4/Cq8eyq8zFoIrEz+ahvyjWGROTiqfWHhi0TIX9xINBCTt+OIF5UEzn0N6
j0zkXPW2C7IJVWz5HbkjVnfoXnKeGg65ZDHyLBSHCf0JJzwqD/ggXVWH18UxLGnuoxQ0JcywnkZH
FnpBdS8ZbL9lukKRw/1adTdU35UJ1Ph9XCWJcD1b1PJRNKIqP/AGlMhvW0u+NIdekNAGp1By5JOO
49h64h4Kcrp/YYrQobxo6OGJKUUv6dhdbNnNvLi0cS6X3xq4Oo4HCQe5/IjGz1jLRNRhG8xJuGoZ
hBBGRtexn4ysJe6eiU7miYlzP8Jpm+dD2ydhP/aBdwQXEIrhUHITNP45sm60XwcJIZ3gPMERAXKc
iw9S7puyQTcuaWgdiuV6ydEIlojFFC5MQuMR4dAGJOdzXotmqM45+gIK7yDDWBBzRXre8hfmIB44
pXyOw+670sa2bcIrr5TXpnwVlUp96dV6TWoxRRV6l1y7hgfhRhOVaYyaJD0rQ+ClBLU6roI7iEwu
1SUixnN/AtqG0XlikrTnEqkncQjWsJ/SIdIKAdMshzKQJ6+J8qJGUcaF5hgqty7nOpwq9pXkpRmO
sxX+H7VGxvsdacerSzvDsGVkPkvrUZpnRuaAJmHlKf8MF+VCZHHB6Awjt0DMyyVYPX4VUL1ecF5P
ujrlPXH0o+FVsR7DmOSBOhdsrsj9MhDn/RSa0Qs023x1FvCpVUcocA+BS2MHl74HWVKPPTTzAq2g
FFk6Bpqom/LnQhcGXePauQ4NEHy5I7Y3x2KykKttLRQOHTQEzjHCqP4byrgA1/CT+SDu+iqeujgp
zRxHR8EFyKdkhS2CuZsQWWLXkEraJIYC5osAg2W6BFHV5JvzUo2MvfPWcC7IiUe0m686bKR6Id4A
CTsfBmMI17B0PWh0RNzE5Y+C8K6/CBldPeE3dyWDwBR22Lj5OrUx1Mm6Ya3kQUULE3eBN/QC/28w
ZEgIsnDyR7Xk6L9YXUnKKyLrkH8Ze5xcT4D8NHuXtyut7twoMAFD8AkobIwqGPUZXuQdvomo/NVe
8P7m6mUNA/idDlr+QtEJh6HK10sBe8U/UTSUdkgmZ1z7zKHLbe+jtlzUE0dbUvC0zEjuvl84MNwL
OEUty8TVZQB56povywmWDEPzO/Y8EpzqYqTiq28jO70PLEDv93mh+/ynwndFvFNF0Vp+y8cIlukA
htcyfFp1rBq0Ttb1SPHLaGiSktYSzRWDv2D99oObvRQZW7kkDfWj4k4gv31ScwPiCfpNrTyzykUD
9oq5Uk95aAuCiLKmcLkE1iBjDWTk6ISAEXEQUng8plTqnry3TSfb6YjCRB60l7pW9TmOBI7qMcpF
XKZ9bAhHcLYG0a8cEmy8S0PXTvQxdFMg79i8Bk3CoHN9XrWv3kdKFzBZriLc406Nanwpkolaqh98
0Zu2TColdPfI8qpuvMSGMP/F+Ux6NuDFkUKtD1AsLW2TqnZZEvw5AVxVB6V9GXBAYPsDSJv3c1IM
0hz40s/tryBfyEu4+ri9a8jsZQZh+rhiR2P9inydT4oPmLXQP40gazndDQJBdIJWsoU+emMnUIzN
4yAu7kOYAfoIGVwj7BEPri8VhAzmD2XUxtP80MVe2z1PTb5Eh9rWNX1BoCApWimrZSxORNMwemdj
RCsn04dWvPRxW07nwUb5vS9GtA3HQXFGyFVUaD2hVazPQLC597QiDNTHlmFeNccePcZDd+eCJmg7
RNSv+b3Sc+RBWtW5P8OkxujHBKmFT1PIxG9cTrGZneJFQ2jYsXy2hxZSo78WWDSlEqXE0zhAayZP
e5EXvkmx+XC3HNWEBp7u7FtkMrq7AobO3REX/LgSB99yPX0o27KYxgMqsmNXHIi/Cg4nANsz+xzE
w8SeYWZLvspuEsBlCtwMRMoXIyvxCTdj6InYqoWHIByo4E0bpYr0IYFqFFKrfnAofTNCvGuMx4dy
5vT7wMOubNNZEcXyA3Mt8aJEK3QCfOk8n0wHwmdjK1iOT7l76OZJwbBlzBHJWpS7aM2Ow1zk7Tch
WzEdK6yI4J3Aj7DXuIumoE5R8hkPqmsXm/iDaOpEk/DVus5AFZfhutv+h6Mr245cRYJfpHOQBEJ6
1VKL7bLdttu9vOj4drtBKwIhIfj6Cc/bndPTi6uAzIyIjBj3D4UNjfjs869EnoofkYne8chOmcHs
Gg2+CRKxKK4sTHJQVuoFxornbJBM3vxh0vTikEK6IbgcliqytGIC3bIGMBPsFek+g3mYYIuZFHAB
3FBJW5KW3AwK5REYwV02fqWWUjgzNrnbWD2nIk1qM5DjV+fy6MyThD7Nm4+iOjrwv4G9p58aW9XL
yfa6v+GsZPc0HwqQUNZHld2X9Dqlfn/rj0y9bpwNRwk/swLjGoBMW8Zgi3xJYBekireM0gM0xLx8
pv2aOkDrkJxoc4TyEEX2Ld8xYqElgQ1djLHw3OGlhRQtUKzwueF5TQ1e+KMN6V2nJnOP27XGlUKU
DoDuIlwHWGtUmQ0W3bfbL4xYNCiHQdC3z6cKKmpz7pdd1DEL62VNWXvmonV3fYcHKo93VS2TYrc4
BmATy6VHwwZhXE5bA/f7QBq+mriEJ99Q5UnqKmQeqvO+0+XXuq94tOAsVvctjxt4UWVoEWZeprn7
YWwxYCyjaJwsRu4wrqSRPd6MLeGhGmzmylwhytSnADwQRv6eyt3iyEH4joeibSLgJwk+g6g92YEY
TEzKXn10/EE4Z4auUWBgmzj+PZ0ajio+1hafv0jitZoGq++Rbp9gCqDbP62z+Psy4vmgXbT/GtXq
Kk1N9oz4tv57n/btFWGL7V2f6xnviV7LNNJZNfWxaHyXwr0lzibRQDWOtkkWOrpg03irve7R0iEQ
w/7efJ+XSwv5dA+dyBu2xsA2Zak45QgtvgwLmkAI745AKxZNLUz7MDZ7aI/O0Hhl9wnyI5aS4Wk4
C7VnyNdNUyubo6X5BPsqdvxHtUEDjOGWPutBdRj/+bF8QjxJLiuN/AvF4udZCb4PWHkI+NBEx2rR
a9KMqV7+zLvL77csW1/FsSQ4+UkHMiUDkixxGE6aCfhu9wu9sF5MDcyycdDNNF/GzvhQ+cK60xTp
QZZEt/JTjFP31Bep+KnckJXJHk1Tk8pYvY9ze/jTMPVrdtcRNZy6yWZbHdNxfmVCLN8WOrKPNl66
f8hzixAtlaExK/L8e1BRlN6whiufdjO3V5fIIioPOE/UWExHD+CHTZ07kEAfFu+gvmQBMFfdS9Ge
e9Yi8ZAuI5FV6Fp/aYtYyEaRKHIlJ0Mf14tSDODWunsD6Kjf5npA+Wra0Pr41zodqMtlN3pyH1Me
7HvCLCz3C7ZHXTNijlkbTOuUlmso5GMauLilcTZsCG/lI0Ckyf8hxE+/MugNblkEszd8dxgRMVbu
wBNQJ6PG8ty8wkUNHp9mQ9TJv7brh6Ui6KEeRZ8cGSSlFlHifAjrs4jRYtrQb3d+S5D4Nce5Fo9g
w5bhMaD9Fc1gqXiCL+dc1EEgwxf/evQXVY5S/5FlB79C56dOSRaZf60lJgDzdO0dtL2SlzN6VVbh
dPSiGgnSy6oEovOnlDtcI7d/BZnxmMEEYDSRY6fkYNyUhhcFjGFXvkzY4+xTfR05ql8zTan+MiVf
OnSQE/smE71mt8jY/C/h3SyrDNFWmPEQYvyLLJTjFIMBIA0EMWhTOL5V1Yy5t7/R460/EPvWfipt
UlbGeSSSKnMUrbHc5h1q8ANTZuX3Yt9wWVbys1Nue8SjEH8YLd2nAS337HIsD5aEDDiTkQv25lyR
3Tkp5J9stOw/tGz8x0wmjplMzHt07+F+/k+26N/KZKG+rwX6pMc9rDJU9EiL+1isCR5zuyYvg0X3
VhKcf1mGfRT3CToQWel+TtZTe6xhPomV7uqaxWq60/EXBMLxlxUl/ojZou+cAGqMWo5Vik0I/gMp
3XSsBdsgNE6wZMCqzSGD8NEyMsArlC9YSHteD46XLad4/55D2Nro54Gu7o6ZwzYDzO2yOpADiCu8
j4aigcDDvsImES76hB45QxRNK4pvAVzrBYgHZjM8iqQFMJSP6kFbQnTFZx9BmavxXkils+SHFEvx
FJJDvakYrmJ14LY1FUXij6mtbtewoRwcq34dMxr+WAsjtoPkK20iP80vKWLIf0dq4mdlctvdbzpF
+8c0HdaLd133noUu3WuCefabg5nmZx+GcbhAYhe2yhyA9k7ZhLVNLESM068RcugnLF/NjwvH1k7T
MiVNA8wi26sZM4i4E0Dltwt+R3GXQGI0n+GCkPU1zYzC90Q6LaojJ2Zpsgwa40oSLjFzQPNha2to
+q1wHl8o/mypSy7n8EQmaJdLhWKBMI/0QMlSMMuc753o3UfH1tWU2o/gMzJN8zOhxgJA8R5NOF0d
VMh7NzgOcFbIWiKROTRdegh114URN3WAVCO54nMTWcNS21+7Agyfm21Mrgk+uo9oc4DeRzQmtyLF
ZsKpJcvqr3wYFL3OBeU/zab24ZlnHSLYtyHMuBCobJm+AjyQQ2M4ALJLiI49q+g25fetPDw2S5BT
Alg72/f4Cb2Xt5gSdiurfD9IhxGu313d6vSr/iatKoqLsGL4QTsil2+FjWX0jfs48RUadHWco3WB
R/vgefy87XP/MdiAQZp1HnAmLF0GcCsxjf+MkqMDgc3PKprYLhBhE2PS7UYJZRYz7U6OutMdf1r6
aP/P2K2DQ9egigYTHoAVrPYsI4Kg5PjB9j6tedj6BEfd77KeM3QGBoOZOuWFk2eDdUteDh2L/oSd
8xsQiTw7+1T761dwZf8nXQx52Y2YMAuZdnpYyDbpZy5TcgUE+SxHlz7FCKO8gzMcPlnlFXYrTdJy
gI3zJNPzvB6QrM7dJn4txej7ksTpfp0y29Mq6Q5xDgkc7H9aBBI0RK8GDb5yDwvtKaZ0d8y6ZgcT
5BzxePmhlzUpanS9RkG7rrblrP0+oCRvGMzKZUjyRgGoLMpJxQgI2alcbkmc97Zc0VlOJU0n+yJn
GD7gdXHTWcVj+CvTDazwKGHw+rgku7FNUWDd945pPP1AeXN0F6yb1y/PoAjNGkk0DEdKyzoq6yML
am+QLl/0lyEjeVYBHU2nE+yYJlfPJOuKygks8mery8B5+MyrMuuA2JQxcXhRUzoXjyyPjiqieffn
SIdhx4zRkf3UE6M4UiEP9DzEi1OWzEVfRgWyUDA5wISvFFJN9hrmxet6Vl7m5Tgiw7CeNCRssHBf
hivf0uwJuDWr+zEVj3lLcU6Sjr9nNgFelWPMLWF90U7vIrLwRR6OYkSr1xf/j+Wi/VAz0I1fPwpE
IKUrNqFLF6f2nM5zIOW0pmNzMDb9ajdpT4nbMPTLdQLPshfmZTPK/2ZkY9isn0AgVM6g5W62rsNL
kOQsJ88S7vJvYwgDPLjaZXiJBsQxPeoccTIY1h2MPhSoCd+wNjqAjkKivJwVYpbTChePz+W6wD2+
BJXmX5TQfquB6aMOJBvwv9IuZLFXIkb+IQo5zP9Curi+xHgJtIAsCh/SjJzc+9akfVLNM52hx21l
FJ51JtrhbFS0a3TItniAVt8+txvM05ps7vK87iBas/XBiyFUptXi5cBmx155eCy8gVkzn0vMPUJT
+ri/sDHuz6jzqExCT3cTcDEsOWFq/GIWdvnUOZwpmNX5kd1L7eR65zueLSDUgDNcNlFMRzP2fvzQ
ALsbodrup6PZ/guWsP6vx2BzBwAepy71xxvcm7ArOGJZJz8NraZPG0abK65W52qfUj1Ws8HCEqab
kaewLkqj9S1W1GbnbFLjcv2SyPsK5IB7nCl0AfcgsObitz9CDDbOoPvGg2Gmz2Ux/o8JMhEnR/b4
rRdgx0Sn4yuUC9n95uIWAaMLW89HaDt06CBjPm1mcApEfsSQz6QLBzGcacy9LZJaWQbgb8euyFvu
3FPSMlpPjA77BQ2CKvvES/QU2v4t1LHuN6StzkkzZyLcD0hou+Y6NQ/WTewsSY7wYcBy8EHLPdKU
akT6HleFLxoAKXx0rxNfUeDQzXVrOR3UAHYAXIoQRyxKnCGvT/5KDVKl3COQM7br93879n86PPX7
UCrRte9+1AfH8Vq5qkVkdjw8Ttsbi47u30QLNMEMju8MWQoULAsXnbstdtbqomw+vB6RBMmJpbHv
B0obivEaOgCYBwURrPP5rp2K+MVHKRwSZUSafUlUExNwZT3eGDx0KTrDNJe8SRMi7sKyzSeX4q+P
iZWntVPA/IoBRWYCyVPOPJcnwMKLKB3fO11vQNZehqHAJAabTVDvhrS3pVNoeffhsB97P+i6NYyh
qkTjVC55Ek5tB4c/cFairdReJBfH5/2dH9s2VtbgDcHGCb+5iS+X1LczBbfTZU+YwMB3gzSr5pEZ
gACtSH+tY7ef7CTENygH8tpm3NXHwtyPLVp9nYByftE8Gp8mxKVUgDnVRfI2esdth1yUwEO/BBoW
n7fWkMatABBQC8V5TLcBN6hrMZbkCESrpqnDvZzCjBbOY98jc/IjjjXWL1muMLp126OZoPfMW/S9
VQxq65KswACIEd1tS+ekBCR6YOS0MEs8DDUlEq7guVzQtPaTftmhCqmTFKtU7ODsMqn2uNAYZOw8
e/+AYcOfDtyI551F3QWSJHYdR5WfbDSFM1xHxgc7sqKZdf9nxipbhd+KpazFtF25qQFRq151vlbF
UTwPPSPvrlNJDWKSPAHUHR+Xbor/4LCndaBSVWm6t219KAKWQySiVKkkZTuHtmmHvf9IBTDDdCLi
snaxrLkIK17xKPqA3KwFoNl9xD6bzplr89OeQ4+Fc0H/cqwebrIJKeDBukdI9jfJO3sCIg1atD2O
OjV8O3PreVR27f4frPYAzfRbuGpF/6Lh/tTCZS9Y00VAMmwFHo8enJUDTv9GBOFn0L5J3UVHcc0L
Ez2uTn9ki1qaQUuwK6ItkPAJag8jSI9q2XP6BmRhPQO0Gu4Iw9IaRIcahdz3nwm16gIcMvs2Gvu2
8rF7H0mGWLYNPQA2lNYW9mzDcA/n1PwlHjteBwM84hRlxVQO0hRJqZSfSm85qds5/oO9shWf587q
UJgJ+hXpM97M2No1FZQsc1k4trtKQj0hUeyxulDrAbImfVjxfETdr6SHi9iHdHN6wCmUkzmjjUC2
Y7XJIKf07OyGQjhkEfiYZ+17Ih6mbU3S6OQzrFYBlbJWBIYLMLH9xx6KY76gbfPHK6DUXoGs8oYW
3+W60z9s8Eo+EXlw3ag49+Zf59Ngh/JwA1tquUqd3EIBO+WPvNNE3eHjxro6S6AkAM1tFvmUwCo+
fQhmGmoq9in54dM46LtkiCfQjal1Ur8UWCkzKHt7jCpJRh2778VmpP7MI5dpX85LFxvIefEL6DZg
eOlKuE9vstpoL4Dp+rj4vdkRPTTluXgE/TnEjdnn9v/biH2TcGvfpNu6qXRrbqKm3XXvK4C6HK0l
tZCOoyIiZBYa0kUl8sPrgYLzaiOajY+daPU7BsoFPdKI52aqujH4dwJvcPOt6HInTzC2iklVjHq5
AVRJIGcY2mH5t0O9N78tPfPzSwzDf1MVHQr/gfQPZ/qyw2XtH9S66KkqYjhsYu4EjUVLlOV5fpqt
DfikRQBaWw4egHU1utiAakgpJDN3RZFS/4B9z1b8tJHy+RO6LdK9e8fCUoaNLu69mzUOU5KAeoqb
1LvkF4jXPH4eALKIfxL2f/82DiU2LOYgVO/qnZEc06wCwnBVZovTCkhTiJ7R+ljRrLmM3gqHUwL/
WzpITSBM6PjQIjabMYRnR1s3I9HNdsCNLdvh7FzlMt+OVytBztTdCtVTVHIFoS+0tMoeE2hf0pLt
X+wWKPga8HmKsodjlIgLWrMW0gfUfWsaZBdH28+BRbP7LAAp5QmM88yBpO5kg5frUWmUdWDKKE8d
yL/1WMSPtI/AiMMfJM2j67TINZ/qfoHc7G5MIDkaQMYjbOBWeDbFF+h9jL+uJlonVfN1ysfH9TBH
ceayzxd9RXyUQFuE0N3wm+7bJCpHUmzLinkD01RPE1xwv0tAW+m3A5EIi66PlW9ZC7MMxK/DNzUO
7BFBHsUG0jqBQoNQfEJ7yVoIBpYyisTxsMYpT6d7zKSYdss5gVnaX+YZY+sp3bMuQP4jFSCLeyz2
CmVOR7cDA9uIyMabBh82/gGBNYcfKx4s9q+PLQExmXWj68iFYA2UTugVOLRy4LYG/Oy1TaYuj5sQ
Z/OM2UnayMLBNMQR0IbzhC9TjFe8JxjgEHOnkvCTiJ0vdbravBteQBZ4px5zkvCJ1HAf0eG/LBbZ
8THyTQ5guH02/ncAEdj0qUtTIU9L3h16qdaEBX0TAQQ2/KYzbBUfgAemc/janX9ZArIGQcDvVlfg
QwUmI9hJEiyF9thPKOGcmPwD3j/wBrdvzPc6t97coEof51vMMJqpE2opz5H8uzHMJz7FO4FPehqX
/3CZe3ojNul0qV3q6CnurcTtHxDRWu3xmsN/xBb/hCTdx47+57DguSTL1wrJmcUkzgsVYXxpsxXl
OhDEWOExyforyK2JvQ55t7VPjoy7vUUL1Kl3MKpAelq7mqmGZp01SJpn6E12nf+VRT8U5ZH2GldU
oK1Ay6ht9D7hzVYNfv5xazpIo0fsz+dpE2ckbI8tBaDzwUTIlt9QfCV/dXqEHNACCFTA2i6nDwwk
NWYOUBvpuc0MBFexKsaXfOkKJIgdGcmyeh9JYmAnQMefEiKb7anAeOErEKNc36RC9PDJp7i/zVKA
BC7T7QhLUmkJSfG7U9alTRGTYy0xP4Qnr5QLqtyx4BGqvgf++hxB9cJOoJgRzNKnnnk0JIe+14ne
jqptx1Ze4BknwUpKj7wcXB5sc6rkeNEicvQHcRk5PgjirePabxjIAY7u/v1I4t2gOYZt4689LtTZ
OijWUpHxa5FawH4M2tIqGUYE/OQJwVUCkNHjonccCHaBFI2qQB0LtVJQAZQsSA4LfRyA5K0dGFCi
ZYxGOND34/NKc509reh20bRIux1gC/vpbhg6Hq4ZdtyvkK9nf1hxENlAsEF+JhnfXwW+WVgPOu3h
2TplUINyYl4MNAL8bwZs/r+2xW25HMPs5ho+CEAGOUEreOVg3+kdRAn7N9pRD5B/mnOELTGyP7oh
6of7fpAK3UY6bR90KdLjkRzF8htc3vF3avk0VMXSSlqqjVKwegJ7IhHUq5Ur2j2v+r2XEwoHklQA
M+I/N3TCoJrwZYmyC9F4W8Y8a2Yx7WeW86OH17wDDEG+LrJKCrAhfjG/pbMBO1eg01Er9kVwQKHJ
8J6su/ocQRT+hQOyCq+BMv3bR1g7+NYjCqm9N2aI4DHso704tWDITQPhZFjqYl4nNCYulfMj87BD
q+YOIMoJO1999JJB34FlrzCY/0DJfemMv+D6tTwOtQHRP+QCym4QxLRgYkSfVq7boIBjPi0UIrzy
dEBBZaR9AoCLXa8Setdh/YdsKRE3ElIWNFuk2Iqhnpmf4nO0mCj5SVSr9DtuFXdf+w8AuJxGgOhT
ARjblPjiJv65FsvwXxcrHeMMhU2e4MO5ZPfQkKFUdyv2vrJi0LwKUZxcIFDqV+xWAliwq1q+7Vmi
AW4aSBW6Z5EoKl4AVGUvgGAH8TdbMVOQrd9/Kng3fsOK6TFXcYb3AStT24q3P9rG6EXg7fpG20Pw
ivOd5U12yAGyU64j2t27cUnHHwNdZjyXQkbs4jCA8UuRAzI68QzwyAkKr26rBXGQqEw+x+4OExoa
Hz72xL9q/OphSuTNULxLnM65XxukD8BuIxVCJ2/TAXD3OI/JFNJ6wOLes7BIEWgoVEk4V2FyUyUR
Ugt41iUFhCsljOG5epJ+kO3vkY09ewAgtLd5lS1tTkuASEE3qc44u+UCrfETsqnMdVJdSkFCG413
aeuL9c7m3r0ta9AIG2bJKstCT2AdFCjO8+Q3ceUTXvrL7rfVIYwRAj4QHHiH7he/Iv0c8lEyvCpU
JYjaZ+rx44kFQOVPFjZFG1csFP+M3e2mdqHDT5F1cEDNtnZ+LQ7H30iRFT8SjZNcIc6NRP/8sUj8
N5vbz8Sm5ndOdq5OBxisvZTtcohmDICOqwhtWfYnwdsXyXIr4DLykruMhWaf5KrfKTb7o9MIb5P2
74w2g/8IC9u/GZGM9xFanZd1yTU0KIPB9zW2zINj2DZekoj2K4Bj7lec+m2ctXymeh7J0x5Dh/ow
tjZ6WCYoWlA5Z/+4IGQ+gTq7H4ZHbSU4FSg/sXA1yXFsGI8kfABGGxjY8likbzN0c1cV20w8z5OR
lcOUUC4YpvfSsay4mBn6zn2O9E/EB61FOYpEPi0xrHeeGV5FWYfeql+YTAQEAJqi61IAcebbMI0G
mWNINBqhWxp6WZGcHnjE5qSALUx6JHijchl+ZT5WFWTL6/Yll0+ex3Ul4tu090a95gj07K9Gjvqr
98dVKYNPAS/5PWUvR2Y7aK8TCPzOEt3/ZEve+gDtC7DKV0wkhWq0SfZHmszsJpZWXwv0CxBaFFGS
vkDRctAaw9a6vocxgbySu2wa37qlJXPTiQOKnRgcDBBB167ikSAd4WmIyczAMAzrcBKunfLLvOys
e4CIrwdAvGvb/gOl0NtfuhgX9dYiI5qVaKQsvoEwrbcWgCw9QQNvc0CP+4ZfXK3SZwOhvEQhAsd0
KZTd3XWEsvel35IhOS3J0o41qGEvnuPQguqWEcSYjxPIMBjMTDFm8zJVCXEvIdpw7JdBWIstCVQ+
dgPBjR9i7hIIFXvcKmzKszUr5zZYfUthmT9d6BBkAMFioeUERh7Oq4qm0wiNz1U7PBVlj32LvUKj
ah9XZF7fmRyWPLNS4lvBV3Vn9wTpukWUQQ0UeainDLgW1jCkm94E+K9KbRGSNLVp0/QnOgqfVTyi
Kr3SwMK/fsEtenNh7G7jkejfK1ZORNkrJJxVGNedv1lbZNBXoHTYCkQslH+LJ3F/v4Edcs2ko/Xq
4HKIf6ZW/Jm1X1a40ZZuj35cuv9MkS1nfliC/SSbHuQCCT8zp8IFDnfBgCa5mr9QnjtgmS1wnFaG
M0Wg6f6ZF4zxiu4unquts/MVMgTzolVEJfpNT31RM4XSVUEG5uTzvgWoEHATLUY1Tv5BOjFVk1XJ
0OAv1xR0g87S+1RHS3FdJ23GGutgyLdrB8zgf3Cqt98ieNtA54V1BJq1yjRLPGG2p+OU7KdErAsa
wuh4YnrPT73oB1/t2wZLMBvjsaqVJvasw6r+osMamp0N7oHReDphY3KrD7R3D5sArqmwc/DbFarH
gVwGGCGFRdV0tdNz3LfLdB47PzyBGpkuMj6mJx11aYO3LAHnePj9ZNALlX0Rigtbev+MT9luDVrC
cYGaJCO2woQLdWm6iNMmwBd8W1BsDL5ARD2/kgMZQbRYthqSCpi5HmKDWJWaAopuNXADWDA41It1
peBElLlRFsQvttAj+d6b2Mb07LBFlPw0pu8QOtC78SFZCXtNZJb/aKF8ExV2jNq9zCOQxBzLq2tp
pj75PKCOCiUpdneTTLnLmA4QwUwBBO1svmADuKffw0A9F/jsTfonVUOmTiBXsTsAenucqn2GNf1V
BOgnpjgRy4W0rEjREiRwrCKCPuAbQxtwmBbCqiHW8DUm9LFF8jGu10Ije2LYznk6pLc3/CE/IduC
sQmMCMIrdg+x1DrkZoirVm7kEhjURo0Yh0hVBnq5AFcm1Io8rOIqXHSUC8avC+Tj66saTNoCU8p2
/8LzGUBDgDOfKgfDI/8IwSx04Wj6ou/ZnoIOd2b/qvVBneOE5fYMossfzYySSD4J2b5SGqB0GioA
E9AYujQdQ20x5/on4MIQq+Fh0WxpohBPDm7TMWpFwGKPOh9kplGtwY7KF5BLyE3aogKDRQlyT6Ox
7EkRFXdtL1sDsc+I6aiA4ojdc7uBIfUo0Bc8gxBm2XlpMWA6tT9jnqcfxbJmWDmiuzwQHE3FewZx
2x3hkX5mcPOiDQ1GxY9oN7e2jhUk8j9IN0SABUmUN9wd6JZxaPOLxplA34YGW1YM4yNosRh5YTWW
ujZfTjxT5jnMTrYA845YA/leRQtFB7S1r+hU9g2/txNYyRjV/AabUh7duQUTX7MWsf5OqTpqPCji
DfkRaG1hrNeh/e5CkSGiDZSULKHTxkMAOBGvOAEJ8Ah3PDRdYOX3Bt9x/EEwmDRyo4ydUCqhVRCQ
DYHzGtBJl8YNUJ44D4XtbUfDmlWopsf6ADN63Z9iiED8c7zpNQZpgvib09c7jNwb0JIkL9kIFUOF
XZJYNiL0WfbsDuyGl0u2HNlTMTEeniDkk+4KXcRXcgHBrbr1uKrT3c7ZSi9eLB1mP3I4ei5UG8vP
BCsH8AuMOkAdEoSrK8nQ5r8KldPsGSm7K8WljmSCTSM1ijqTBJF129EOWWXxKMyVWSzWTEoN7Zv+
5i1qL55+MUKEVcGtkczVigICMmJrLdSclU8htn0oNm0YRLQAs6Pv+P/u9Hpg7RjBuGn+MBml2lts
0rFt3HyI93Sb5QfWwwB3U8kcr43xDPBtQWm+vYONpfP95DhIH8CUkG1Czqqhy071eloIJuhyx8pU
AlwVGoB6gDoeYNG6fk+wtLOcppV35DznfP8UcilOMgvrcrEp5oUSwaj+xKH6FGBntu1RK7tNp7D7
3LzMYRsiiF46gaCIVi5GNnsxD38ikPjr4yxFvjaUFv6c8cj50qlRRmX/tWWAfnkSJ992HZZHsKxc
ZUeW/4XOjL7odukepOJgQHOZYLLNXQexSQjWnwxaiaPClgxZ3sDb4qOPBCdA4WH33Jdi3NP2sqll
ah/TKJCvbU87pxCUE6jFbhQGhfMv5dbuaZ5n7hESnLE3tiB+FDM6yfuHhGFr8uZWkBOfYuDY8wqz
5K/mS8YFgg4c8h0Foj2dkp4F0FHREW44SDE66cGFy7qy9nkMkFa+ThjYnymKLjQE2KurW7Ye4SHp
u4GfctDcv9FswVMvmfGKdiV0zuEHsaww/+PszHYkV64s+yvCfaeKxpmNUgHt9HmKech4ISIjIzlP
xtH49b38St195XWHQkCCgFREuns6aTQ7Z6+9D15ACXntKXOg1d8n1iIzZpsbp2q+tX5TLiXKz6cT
6YqjCnl2W20Y45d4bMtHVjPCpR0a2x6V96NJ7PlhmmznaJTt/F0lab4mEyk9urrrMFEDpgH1AcAw
kekHQRd1GeSGrTBd29NRA8xrg142E6pfJF8LDA2UpnXvngucoewQ7J1CKwuciRktctfo6m9+4mjI
afn8DMQ43cyoj7tcc/EOFqGfrFKi7A/aVCVnkQ9UxnOo0f1yG6JxKMUMF8I86teNMIYN6Ej3Blem
3YxxgsIOiXnAWNr4Kwxt5Q/QKD3AMUO3vh21Ry8e5X2l6umdVO7pKDCr3E7utM+4kTaclZoHfWjY
u3RX9hvg82jvDVLuKs2ArtYyzpjEf+krYQ8f9CVw47RxeoQKwwVmTILhLb79DXC4JsVn8i8bYwGU
w/TXajdHtr41xlKdXJ7CACdF9VJFQLUaV+QjHpLqZ5k7mFmmTnucoIbuyTMYj9kw9TsLCORomqn8
kSlT29HsG3e8FJUNx+r45DmZf4yGC9HXhiKHJBTYPCXn4nyo5ZInmUfjUZQRYpiuVmimqJAA2Tbt
sQnmxk/RJnHR44KJeqe+J5NpGkDAPK1ZUHoWd4YB4GiPWrkyumR8LYaClivNrdhfqkHG2zaeOspi
MusDmVL0DaaVLGu3MNhSdaBTBtO2ZN7YdLiDKGdOOy0v2cMAuk10arUGFEGGVR7omXhvM1fbMaAi
3Ife5H6bNMukKefZJzSQ7rtKtR5oQ0+fR+GiuvSjcURgGXfaMPcHjDDlMvSlt4oIaNzXvZYstZSx
58iiBLF6+rToOPle3IdiY1K8kkU6rTFIvbvwtdtu9octxaz57jV1d2hnu7qjaUj31Ww5a5NcF2i1
O+TILbrFIy/RNrCxGdYE3V9PmDAJ9Aznj1ngNEsxg784XSm/Rzho7pDGMTyPCJW1lg8bhrR17JDc
RtDHsl/SwDLaQJXu/Mz9C7TSVN5TiL6VLY1Bj36qrNRWCAHUrGjWZ8GaQ7ztQ73jVKqXp1Zltghs
0xIPkWY3E9K8XuxVlNUU0ulknKjC9H2N4MlmQxwzEDOqDUMXmDtPn91+jpXsgqzpo2TBiDEs0t7I
CcKY22Vm9EBAdFXUQ6f1tbe2MpW/eI5FF5YW3Ip6CFbOHdr0FiaMrg6NAm2nar/YViYaIGP6MA7x
jC4XnPyzJZ67/sMpneQVf0aL6OGOBI1Z2amO4uLeb5VT3RUWLoI4rovXtmRO7cJXpLUs4s7yKHDw
ReOoyyGKjC4715kJwgVYtsntNN33RUjbm8n3ExrgpPZJbekHHNpyo6G9FCvOvtnjxKEQ/g+XG2YM
LUdhZBCZbdTmS1Flb6XnNPiOu56NsHdSpgIQkoIw6ZhGIEbg6m2qJJBu3Bso0Li2l5wqhqVDTwF8
qC82VqrsdwMo79ziJVkaXslOy2V12EVGSqAYbSLgVJwF3GXTsw5k1i+QxvDfOUwF2tn6BEzetFTo
sVYm6xEaAl87eoO7xw9p3lWjI++ieVbbRhTZgLoc91BNjfjJCN5ij0Vdh+cvNLhD36IAA8pq/M+G
zmq0UBfrXyBMxtEaVp+dSMDp3APibmpjzac03IKoK+gm2KJ0wWGnDBcjprQtR0Hv1MQyXNEMBieR
tRkUDAn4jq8NIRkSrFvpbdM9hXgwxQtRBv7dJBSgRtQkfZ4uHHPEA4gZpV+7RSd2hQTVwfLZr9UQ
4fmKmyLsg0Hv3H2TR6TyVX5VTntBNgFHs06Um66dBOm4ej3f2g6H9syvh2HpOvn8EjpxGBQxuayb
jDiet6hy2k8OFfZWUVKtZzvXV9hnqkdj9sTjbA7is65wr9i9F7IvzUh+o5lHb7EcjBi8x7COcVF2
K9JgwYzp59jZgvxD3jQaiYP1E03sIS5G+pCd9tb5mPFoMLvZUzMW1q7oEu2dFoNVbhUO6APmMkJi
syLZjXojT3aklUCeftUcM23g3mCG0DlW/Nt8m7MtK4qWFCm1MR6mdvQXdL+mn5aTtCscBzafSbcf
R5L3kwWSN7oc9O4DGWDhSQdeOUdmXW5ot9X4kRq17mgfWAstGup4Rfxe9TBUDcVamtOKiVOzOquk
rL6XiVbear6jbW23mR8b6C/8nzSj5qDz+zrF65LSqXQcf230WX43z6O5Zsi2TfOh8j8d/EkEGMz6
BcZmUHBHihGjUTv/1pRecsxCNT5fkJizgbL/5LrW8JrHnD7wU80/pGiBxbuB2mFBAZvvaaGpwJR9
u9fg/+8uJkNsLxo3RdD4+nCa2gIzTWfMH7FumvcuqPUuNL3iNjXm/rspzdHEvOFkFU97pAZIX7qs
xKxliAAUdS0WCMGD0HL7cG1N4XCG5CPkkFi1Mg2sNqWZDRzhQEZFXvXkDXhmV+w06ibq+rRctcwT
fHB0tokMf+v3qbdAiyYfIfqs48VK35NQoDMJBSXu0zv5qUMarizZ5/NnQhTZuu2s3rvxBgFX1Gl5
f5QRvos9k5P057alTbWKbb0BAexqN93FEYxJRVM46rJl2KYwOElKNN4G57VXPBC14otVq+LqBCms
PRk1Tei1X1pNvK5cFOwgg3eM1piJ7B91HDrVRjU4ZRaxx/5NGJJR6M+ZcByxkcxmMwKVcxEI1BiG
WTpQfyWu7KnXwn2rhslvgpptgNw6ZYtQBRR8Y3OEslOMC/QldiraSelg4/mJe0UNikl6bfWamdIP
ALOZ1rLr7J3mqsZ4KxDkgy4PxXDPJuh2j+PoRfFurozRuiNabZ4WWaOxcinmzIOrfsXL21DdgH55
+bEItZw0Nw7SaXu22yadGPYLjLEmqQMkfJKJ5S21uhm0am3aTrMEQjcYoiNdva751ahSvb5UsauP
34DzL3Ihla6G5aiuPGJNCIk55uTvmc8lepL/iDabVTwZ80y91DEd2ORUO60J01A2o1jpBVGCatPO
inoXWTazT6SlGGNAd6eBjfSB8of7qcsogzIH+KUIdauegtS2WnlCRvM83CaFLSM4Mhf6bmFHpZwP
de+b5f0sIe9udEcH/g6wG87y1vSo26Gcbdt/1EtddotpsPrpSLdNvduVDwyywCfTr6sYndNfyBCc
jQO1azvDogcTqraWI8al0WoI9sXcigcf1/zJmTz8GTQIJxOLROU+0Yz0XlQxOxvEwmZvUjzcycm8
i40p3bolnbNeulbQuLb1vUH8fotwsOz7xrJWynJpC9RQVUjtSnzjnKexd5Bak2C9vBWF4CBpQxva
ngRHGTunWNlFxvnZSMMejMjPTyquvUe2CH9j1R27VJKxERteu0mwCrySPsPTo7E59iwKm46SSxjH
3jKm6SdogwhSecFk2rA0kL+d/LYcvPh2rjWXgQ5VuXZy+Pa2TXObZmqYW0uwJONWzZo60QnMQHQv
fsMF4+DbbzJ0QYXi2o7fzbbGDl4m03qeOrWMCqd+nhod/t8aphcIGfnkGBpaTm6X4s1vzHHrmyM8
Dgef/pHEwxaPfCKnADll4t6oxvF8GbH7Wpk4CwMKSn9tZp46JE2fP1t5Pb5lxBXJIGZVmGjsvNVM
lsFxdiUIoiiK544Vt7QZEsdY7ax373Cpig8tYXgPbkvrcTaS4pTpbhotinrqXwoF941Zp9rYVNlH
j7p12zbA0guFx+e1Zi7ZfTMqCf1P3by2eBxQ1WEQZy5vHD/qWhW9lfEoOLW3vbXMBKNoc98UD7Xe
Dtpq8sitlJGGAac0m5ssyXjYKNINvllTivcmceboofHaZg8YPi+HcnJ+GJpO54DWmRewf4BrN625
HxHWTq0wjFfTyqfb0oVQ1rENHaVhGwJ+vQuBVvBn3EUSgyp+yHTVOzIldsWIbn0+4rl15/Yn3ksc
lyY5GFJhaMV26sExdFF0cGoi4xZmrE2vtBrkuaPVRRu47JfkXaTPHYaJp2gQzpL0QrV2oqjAYA5p
qy+kZ0u5yjXDKZZYQdtzQv6Nc8aPwHwZGm205e+NsTPe0lG3K2gDsKEl1nmpr5VWzYHIJvFYZOiB
I/fJtNZdsx6+oaA6YmsAJNVrwiW6V9p7rxjvYD5NbIfNgjF4WLVsN/aWWVk5w0qnNEzPelfb0Sm+
lChBmDbNslVpOQdDWNMCKuOiXpcmhPmmn+W4IRCaLnRPPuIFkvD9N8eLtHit+SOmjcpQw0X3tap5
K/ShBfcj/eRcE1e4tcrYW1c6qOI+1Dqsz2BW98TwYOFRZs0BwHeTYd53VWmu/ZYib0g0iTxGj4sC
o+t5RPecq3qP5KOiK7KtHC8c5SV+Yy2L3KHz5VtZH/Bc65cD+sO2bsfhe6Lwm0x2ByeFImcKbmqf
VltDtAZjGQZmf2pVA29qpuN3iBZiqwz6QRwooI0ukbppEwjOZkDmbqYwsoaxJPJEpoIubAn9WHAm
0gZJDCtBQfO2qQdoYkqlPZ8LDnRQF5OFjoWZLmm9Ct0w3zngxHuik8aDGeOLnWJoy1af2A8MCgTu
sLpiQDwcEIxz6E/2B0Dg2OJB7Zqngfbmj5zt6HvMBI9VYZjFjZz95kVS/q4mNaqANnO5KXUXN2eW
1lq5VHmkPaS2X3+qwihWoPYokIMmq8BwacK7s3cZI0FjyMIJGzbIjVr5oyAX5WkOXdRwu3MajiUz
4HNog5JnsZCr2BuAvUJDg3dyXlsGcSLGeuJMpmEGjp7amxaBZM1+FN62rlJPfmWV6DVp+kQ71nvs
C5xloCNJUayHlu8PQARpLYEMuK/JVmOl49r6HCle1lprQfDh1P2Y7WyGUPOqOnABJqkMBX1koHKU
qVJGaTCkg7bXEZ6XctQ5AsNiCEaEG4xaZlC9XHoGzO1GN4G4dsiSmF+MydQS+ugV6hZqg9SXgwvK
thuELLYkweZ3ZkL3iGyvNKASwJfi16CHkxZxuu0JsXrvZwN6ygcdSZjBu007g2yaGTXkhs1ZvTDn
Qt5rDREO+A0p3kpRYyvzzXTakNvpizVl0RztsrS0Y+5sKU50ZC90CKrN0Wbfeya7opPrum/jDs3T
KV710ZsvZ82ZxMU5kkZ1B/DiHW0/6dLnqO5McnLMNJB5ZW6ladXuN6tq54LnDka6IEmqejs7uNYp
Q0k0GG0GV2Rz1U/3KTCzu4wL3ZiX5qzLdmuXYJFQecKjTRvrnYVqkbePuerTYt1dQnw2XTOTlUeK
nRttHL0cZmoQJy+emDAwpEGbRPICuvlp9JGPYcKdXDYSfdIlCSt8GBTRKXqgVJ1QGJhlQQ2t/Kmw
SGai5foxJGlT/OwKF1QGhSzLd+ry6vvGU7q2pX2hFUtsEhOdUc+TWKM6QmHk0fEdYbwRAeC6LD23
tOt7v9RjKw4s+hDDPrfG0d0wZ9gvGL7KNxLEbLNOEHfCvQzHGV25JcOjvEee9O9lLYbHbqwnYyVd
BcHGIXcqTlpX9OOBRmR6VzIl8mUeHJUHDIYfk7XpFGO4zkl/2la1VR+SMkPUoJeGikmui9hPLM0g
zhrvOekkNi6LKvAjYaJ5uDcrjuzfUlK2HOxGZPkCvyr1rhBDGgYPje07DgpyCYeeuu1gSz90N6g4
drhq4L9PUSaS9wmH34OpKeulo6CAOoEhw5lgx4m170kqUQtJPAy5YpSP3gOS3Ng8pGEVQFjRwy14
GNWefwgJ7Fh5aY9l1MPrNK0ILsQiA7PV3VdoImujm/WzIunjhDpvg1eBDnUbHIl+tMjpXz5BBaVs
A1kUci6Jx581ovOGnoedBEVv97s0FHa/GEeC8khsSH70Dv1OVDJvfEfaSR+IaRhvfNr+2bKx6b7x
j7XqpTIqexsKMysXaOX1c0+632ZwY+dQhOSx5AzV/NnXqDibSIwjj2kNTbvg9c5+57nGJp+79iyg
5afV5ICepb7Rpqs4pERDN08xhvv4KEq/MNceLLm9B/Hid3kaVfqStFC3hjMB/lh4s5ZCvdGg3phd
aS/7BmMEIU8cXlnaJpE6dcEjym8mzC4dgtv3eMaAtiCeYNrIxtVRnWe1mzIkPbSCiO4lpfuC3O7h
vXHrkaiKrPPHXe8rdy0p39a2TMsbeEKCrMDE8n2VMisKhXw850XW7J0wjM9llYYAaZ355BaayPZp
XpCN0KPxnb2u8Tdm6hMIptmPQq/UzgotG3k7zPx9xsmEKCY1bt10ap3bsgn99oTYz0GGnJDUNapl
oyay2XwtdplfNGNYaurwFqfdfFItC7PrvWrdtqIgag/whyijYo/v26K+K3FoxKQ0nRLUVBTwzhFv
BO9zNg6TuPgM44v/LZ7kW2R1eeBfEqGCssndb9QBYoUMNC9J4mhv6CYpCDQR6lEgtK4Xq8hMaWky
Siw7jqC4m8ogjlFv7PZ1IiFC36Vsppwl+3rZ18LeWmMva+wZeectKzfTSDPKnRX2p5fcxs3tiOal
MGpxFiSnkf0zj5vSn+3HPtHbD0asy1vpkJPE2qgerHk2H+KYaD22TZ1WHXOd3GTR0CzduEaW8jlz
sBaESk/aAOjFB5kg6mC207iyBaXOgsUkeKoq06C/podE7ilSbs7QsIMbAGF7+2JoJlQMskU5+nmT
fPSNqVhzHKLVUGdj+70i2+uonEuQUzeqB1uQAx20NTva4HbDps3metdOlv8wa6VzQ2qM/UBBrx3R
FK2DwPZDI50LXe71jvZuQyMo2xA54uokfGb5ocSFIoKpdN3kaOV5/d5IKbYW4BglZzShIpHntcG4
ys6vJM5vRir3iznpxm0cdeHBK8Nx6fHQ+7AZKPDoOeVES6Qk/sNEL1wyVLYL4mJgRx4V9uU09bcG
08+wD4Y5jinS7r+1doPFpcFtt7AB7zeIDKy+UHdrtbLo7URbr8qaR1ca2ZNOksEC16e2NrQaz2tL
WMNSApXVi6Edkl3VYqufS729J1PUPnriV6JoNBp87hpPSsAGg7q208tz6pkdhKZNyyyc8VzE6UAo
FYNogLCtsDtMKfhJWZv+Pie76EnSZZcLA/n6JqodcZx6d3xtG/2Hms3kVTgivne7OLtxnLhZRga1
n571+RaMxzkBG7RrZsw55Ip7Yb2tEUQ2SGicWwksvDy30DUhhaO3MCY1b9VRVxPvmuJCAkO96KYs
SjiNb7pQ9svY9tpam6z0RHuBVAHR5yvXhFOOKm8g1ZA4sR9svO6Ho+G6UdypNzQ1BH4oux/PsSbV
e69N0aGfu3RFqorAKFbR1Gi2ZBtnnDKLhHhha5cb5LWptc88kZREkoRBAt/TtDLqY8pmFWPdG+2m
ZbATfpR8QcJeMRoLqbl2eNbjrKJ/kDNLqr+HSE6sNCA7qEAkoOzhcchy9r0CMJpoPVYX+FxxSxU1
24QehXGHy5TqeW7PaERZzpPAoCq4YX8lCmBROTlA8gkWhVG665k8nojTL+nsa28GDb3X4DGrzz8P
GP6D/GLHJwX6N9PGumiEWHOZzW2ExtmHP24If/jaS18FSRN6Urijqo09X863pp32pdT/InL9jz61
+e+fmiJNuHleij1+YvyTmzbvvjbCynCu5gNoApQry6S9p8Vx11qzs2j1sf5isPnVTNBIC2kUyszY
R21/Q637wj73F+nwf/SVXMVEqxCKEIbV2FP7kGwQPWgZ7ogvXcnr8fbOqANWGXiKqiL8bnXqzeVW
/+JrX0XzI8kBhZluT0uEhCuzErtE++Kglv82097Ew2wgEe1jDChLMzFM8po8+bWLaV/F8eM18VJb
JzeEoyKOwGwNKfi1ERj2JQv8N6uyaGpSTBK7prQmW+/VTNVffNuXF/idcHf7ak1KUemxnrr13gFU
0ug4MfCaY2C3Tkhb/uJQIvtqdVoufUmQPt5EZD/NurjBOL/82p14tTqnrPfSVpT1Pve9t0xWtwCR
P7/20tdrszG7rKBPsmdPvdEp4arha6Ox7KulOTW9RH1N1F5naoM33doq+9oUhuuh9j1JqcQKRGof
MQB0aYnLKCI/Gr92g1/PtXdroTf0ySeWvWfegBY1O/Dk/muX0roaExS3gPit1497ZxwOrYg2epXe
felSWlcrkys5NxICdF9y1mDW2bfW7b74jV+tTM8kLbMT7bAP26xZQaXZK7dRxhe/8avlmQyCaAhI
t71QaXiWE6UrMx6Sr+2a1tW6zEg6aWwTsLu9hCrUvfMZhvYXP/nVwkzpeshREq9sx2AyvlZRGxRW
9hePrcu//3ceW9bV2pRaUXOYnDsiWN0O9wLt2jAWX7ykV8vT89s4I+K3YFiSi7MlOkqrev/SjXg9
416LWi8bItnsYY7wo+SZu2gE6Xdfe/WrrdOKJpu8dmL+eYCTqKJFT+mUjl/bgsyr5cnY2dmws77e
h0JcvJsuh9mM3LGvffSrFeoJuKvZrap9VM4eqTLDGcGqCr724ldrtCQwLBXUy3ucU9mCGJ21wBH+
xRe/WqJ93iZFP7C5JXr+SBQSVWTZ/9Wsa/vXCe6/c6ebV2sUv6NuqtTmi8FQ/mho6aay+mckd+IF
a4aSCqFVF7rf3dXuvJ8qBIi2nI+25xfzmvCV6Bn3b7ZLbWQzN2x9ap1Lr5xCB6ah/WFP4GDwjv1l
PIMM4ELuQjnGAYEmoFcaRmypAHh7kFxbGfa+UcxCGIcPd6KXgNV3Qe3v3Y6ln93kOqgvmOd0xrqU
7F2S1xZxrO3y3npIpH+TMs6tH4eXScU0quYMCJVSby5529ottfHRK8ts3Tl6tIJB89eZ9C9t4fou
w4u1yqNeAM/Hw05A09rwPAwaUIdpcqP1TJ3XPjEtY2vmcqwWeCC1H+Rlu4wwsQdwIaKrBwseXYzm
pgZIOWLbrug4paQux8mN34ThDeGxKz1qh2+pMrADd85SMUl5hfnlIDz5OsM27Kw+v9HKoV3Trteo
z6vpffI5GTj6oaDL0Ohh7W6FRnoVBmT6Q15yicV2xUAKyjRAK2vtBHRYQmthbC9xs1mLIg6PSdRD
N1cHUec7CtfyYfLCcGNrJMU7eD7O5PzhA1XwsAPxmZZxO9jm7eDZ45oisMBh7U5YHzt/CkrkqBXy
Tx84qZ+/pAkMYtJpGwFPdZuRBkdg4bn2yRwuqvRpzgsv4HRWqjVi8JZwn8daUyPdEfzGnDeXfu5l
akkY+a2FZS2AoCYZTE5qS8gGcx+y2DsSYTqC5KijhjEZo6gdiCgMA4+r32im7aLDOtMmJIZ365gC
R07proEV22dairA7A4ooAzJ6gcGPPvcjwc0JZl+S6gJSgPS1MyIsBtjQMW46hjx4ZutOKNlWQxw5
mnZnMrmgblR3DP3uXHEzXpKcV55PpuXGk5yyCJ0a7aAY1JYe03GMyqexUxuReX25qtBaHMt38vsW
rOWobP2UEtu6aonWDmLXx98nyJkdCGU+YAXsgq7RnwT41FonMp4bLaXlbntFtkd48jYuJhTHwxZv
RRumS2zQbi8QhMcXWvc/faTsZeESXuDSg9r1+AeXDSrnInK8gvEvMyHavf45W/Nd1zGj7daP3JbM
/1YSxCWmI3qvIvy8ZAkjrxogZwuhppNiciDBQaqZMRMjlSE2doO5j6bcfrX6Hsuw9PQHMlycoz1W
6J0EPRcvI9FIfAnWGKB++uqBpKeTTV/DeAqrnqkg1S4zHf2YkH9M06fV173h3zZaitgypkfy75Zk
fu0cEwjGn4Z1ewEz8IKKVWPLRW9lKZdAqY2XRIRJEe5BuAj3dHDxwWEYm+4yYrPWxZjsu8w80GL/
7kaDdxapQdRZJ1nZaq7n1znJczJEksTeMCfDCKqR6fJDE+8L3XR+MgpEkcdCHjQjWXzcFo7tJvO6
GRLzaBuI/Eujn/Q14eYnO/ENb0lQPxTnPLgrEKRQW5aqvpys3uKYCTBEAuWBjbj/KcJSSwk3ap6T
RM+2oi2RCDFHH4c5fM4T52KmnIfixqL1szaKag+wwtogqdrvL32sygKxxWGyIGSKx0xobbHkvOMm
Fs++RhGHv4PxyYjkzVIj3Q9gFtacPw/6jU0qzGoalQa0Ul9IQFdq2srDOvYUYy1cea10l14mCZZy
I8m1iHGiqkQvj63Kb6DQwhMzTm40HuF1SRPQNDWcDABnDN4ZyePjcSDI2/8mnHpbZnLLDabdRPjb
1qEbkxAeogVMQI2VLEBp7IbIOVyxLOewmX/UJRRh1prZA7SjAXo7Rq/0p4gPc6ZEC2TZaye9ghMO
xr5DTc/9qv/QQEckGVRl8xjK/hPMUzuQFAlZrLiW6CP9PtIIcFRc0mXTufM9p4p5DchRz0uAeQhH
pLCPwZIU1IPD9EINu5Ze4JdTVv4mVKcYADxkWE1rY+XPkCCxL0vmG8jbbsS2mnUMpjStLoLKkhOX
xqocnyB9/42+YrTVuyZ5yXWzq/aDZg0q6OBVj+k4+G5g+t032UJNm8Tu74diBD7NWk+h0zjde09c
T1D63QzEZNmPmPfhqTrsugjLxZIwIPyXJHrjlSKwSQiPbBpC0LY+aMdmzqroOOTjbrCF3OOaj0ki
aKzbzNWLpenQPtZ8fdcyMWpl2kSvB6qIbmk8Ms5rtvoRXik147XDhJyh8h33oJGx37y5zPEJsklG
G7t2Cb/z5eMQ5+JF55pCwRZ4Ewlvqazarp9IOpv7pYd6aS691HBf88FHQmt03Ts3xbwlvVxtLRtS
bmJYyqZJ0QYIUM/eoyyG9CAVtUQaNX8SQuPdVxJZtMuTH6aOBgeDKqrXXpX6oR786HWQXbFqcMMv
c57IpLJUsZsuONTkQZz0HSaphJSYNBfDjdbDDPRhQZab23kmWpLxiJ9R7CLY2p+KMVlPblOrGy0t
0GpLu4Cftyax8g0sm2bRoSkRjXmTdsN8a+kzlQd6F0+0iIDRHOhkXbe5mzLzBdoJ0daYmqDQc8me
VZk4F3yBo6Soy/YQxRPhbowx6+9GLMKPFc3yI36f8glrYb/qbDN6BuKuOSH09ditmaGlttBFU7XP
BDOzdGHGNrPZWvS4Pi55CKV5tRhrqmdttrA7WbEGcuCvkrBh8oSjzOVYWaeRWGnkdkw82Zg/WW04
MtgjvENQ0QRWP5lvDLZSDnYkO5k97wCHBOCWNE8hJ7EA8rK8VVHKlStc7Z8TZP/jY/pf0Wd1+8/T
Zvtf/8mfPyowFkxI3dUf/2vzWZ3fi8/2Py9/6//91r//nf96rAr+e/0r//Y3eN1/ve/yvXv/tz+s
SqRfddd/SnX/2fZ59+ur8wkvv/k//eHfPn99lUdVf/7jF1woZXd5tSipyl/+9aPdj3/8InRO6//x
29f/1w8v/8Z//LKtyuhvh8v/PPzv+//29z7f246XENbfLcvhPzYRq6QDUuiOn//8ifl3z9KF5V1u
Pg9T5S9/YyJDF//jF8P4OzyizsFCB5g3EbZ/+Vtb9f/6kbCFw3blY6e9/L1f/u/n+7cr9P+v2N/K
vritkrJr//HLpbK5rhocNOCrLr6Oi2CE4tYPEeeYbN770D3QLb/5Mv71Zv+TF78qMwfVgpoYo34Y
GTnn9O1znUQ7Qv6+0Dm4fParQhORTxHE2+oHH298o6GL/dWU5csH/L1v5brI1OuUXKlePzQMrclJ
6xvQkFIMsZyiDBsJevj882/oUvv93htdLstv2rUlwelGOPNG0sOSeGRs1F+UyX90Xa+Kzao3IBgN
3By9AbVjkInL6MHKm79Q41+++qtiMzG9QRubyxc0LZ36ya3/ou1xWQy/+4Vc/v/ffCFaSmg8vLE4
EIi2tsxo7zOBcCAkZoS/tbPhpieY8TIpEMPIFpvZrSubwOtwCtv1cfLtm0gwrSD3Dh6xlWlMWarv
HcwjnCrr7Z9fs8vt9XvX7KqlVNW2R8KHrh8mO31lAtSiTom5yH6ybe6xKG3+/F3+6M646i1h5BOg
mnzDonwzkWen9C9WzR/cGeJqxUdwQm3esuJd/VnBZDjTuvD+Yr79H6wbcbXgo6maKMv50EVvrtjx
3JmxNoQeEiIojW1Y/cU/4dcJrL9zCcTVyo/ITECXnfWDbX46U3tocgZUMsgYYjYkUo2AAs2DJ3Lx
eoOK6PY6Ev1TkZUrlV1I9XY1Kh0SZFxKque+rNca3mamuy1lki1jG/w/0laJVZ4Yo0aWMbPmwlFu
J90PCDEgNhWNHYPljFQtIz9gIOoyls+Teqn7bh1P9iGsT4S3LTQcffYQn5Ve3lwCiDyOq5UB2NlP
ZzznfBJ7wamjqox13mQrEXUrN5MbHjzLxHB2SDhBm41nrX8jaB/T3w8yPABE0f4lIyTdHwCHUPpp
cGmxedZ9OptUufLuz2/AP7pPrp6B5ZjasTen+kGVD418s9KjAOb589f+9Tnxexfw8qa/WeZpOsii
z1lD/4ez89qNXEmz7hMRoDe3JNPLpLy5IapUKnrv+fT/Ys1c6HCUSvw5QA9mTnczqWDEF27vvfTZ
w8rpENIX8s9msX4dbYdxNzaAHtQjUdhOKxMcR6yKMppuHwaHYkD/rmBhToRHpUIC0bT72Mrw7wWp
C1DJGdvuTEebx8R3r7moomRzl+ip6M9dV6x6+TUmuqca3yVyjHNOeuYDSOKVf24Tba4f3/3YoqYy
LElCFhrxoJjeyxhhfDGPel05HuycycIkmHziQmBoabeN3nCgIUou0WcHzGmuh0Gna2BItOKLnySc
pxG379PhK0k7FISvmEqFFaOALJA6sqU6YE/QLaNci/aWgstYfdPoW4QSXUm17GjFX4mHVIRHSjp6
4JiofETGGXoqDk2chrAFX3xgl5rn1zgI8ao8mvFnjj2SLIwLjkuZYqTFTICFuSW0h7aXSTmKxIHt
8Zknyydqq7Ss4KSz4/eT+KwcQgUQIFpSeUVOxmYkgLQaBMFB65twgCJK7+aIQz52RtRKcjs62AVh
C74MHLTBU2R6kdB83BEXjQKZADUZ/MDP/eHUSy4mAD2PlBKsB56GZtwiDbuOhI+fn3xiAhMXM4AF
dMVjz8/UgvXeUlYCTnXlT1pu8ZecWR+cKB7iYiKA1BsRAsok0wjM2M9d/0sRPn9++xPtIi5qP/qB
Lq5R7Rwsyy677aidmXBPtcqi3hUJDv5C4rk6ZcRr8UZwBFtWOxNYq1o9/Pzyp9pl/udf6p6eZDUh
k/wIDMNcv4nKDz26/fnRp9pl/udfHp3rPcgAH25OUEEV4tzVPfPcE3VJVP774NIqTUOES3EocB+l
UbXheHOF5JfofsvGDbMzQs4+Ci4AnsJoB6/aAYL32DeNaxQ+qtDalQhMFiBv9lW87boQo4OGtGcO
AajWvqesu6ncCCl0gFiyg0rfhe2xDoe7zriREYfX6a8aEb0w7rAzFU2xC/2VJa5JeFX96Mya7lTj
LYqN0BlgdT2DRVHFHrtcV5Zw4ZMXtUYvkFyFYTpvUu6jEVpzcqY+nOqvi/qANzFJVUmfDmndoCSO
12IXcPh4N0CCNBLx3Nf/dlLSrUWtKAEzC6ALKZUBDspdpZ4ZCN+/PfzT/3aqNg0J2+Ra6hBj/Zn8
qyl6mca/o9+Sji6daaHvP6puzb/9ZUSQtgNLA9blIfE/WungATw5MyRONMqyVES4WGSUkuDNV8gK
Qbf//Nzvq4NuLapDPwSSYXjydNDrYj17DccsuBX8MzX5VHPM//xLcyiaVtV4D+gwDdCVbk2e7Zn2
OPXeiwrhx6KXg3ecDrn3UNeCrXqswrle+7lVTnUV+b/vLeJyU1E+s9i3kAOTRwDbQw0dQE9E7/35
+TdO/QWLUUqsedoaw/wb1bZRn4yY6xh4FD8//FTDL0ZqmCdVCw6F5snckjF6bo9/4rnmYmwG3Cw0
Zspz218JTuxzy6NTj10MzaIxBQIQtOnQi9uA/JPJvagZzMVwHKzKHyoca4eZrdZLD7V+ZuY78fHM
xXAU5KLQ2vnBvn/biXcSezDlAoWHburmYkQmLaG0HYHqh6wgM8UN8vvL2mJu+y9jEYc97M/501ns
a6atpp0Ziae+3XIkphPph8X8vsHGuM/b1WWvuxiCssU+pOSekmp9HSpON20ue+5i2MVYKdF/89zU
vxuU97L/vOy5ixHXxEXoMZdR+Y1fQ3wdIGm46MHGYsiJQ1+qSU4NNQd4Bm4QX9YQxmLMkdUweUmn
TgdVf5Cnh+bcBvZE7TQWYy4IyeUyGhoiKu70uLlrMacOPbiTytxxv35hqywGoN8EEBRzfiVAsT4K
+3zwLyudxmL8FR2BAgSmiQeuvRoMQ8Nlc6GxGH9pgME6jBU6dLIFrRJZlw0UYzH+WqGIMPLz3JFN
Qwt74KJVpP7vIOxLvVAmCYlETL3o032mrr3LNg26sRiAfZNK7VRaAwF3LjITULo/j5N5PPzfswzd
WAxADM65Wea0w2T96qu/yGE25DE7ile7XDWqPsqH5vjzT50oeUsfQixVktdVxsQ+maOk9lHKfv/8
4LmPffM36IsxmZZ9YTQFY1IEqIm6aiOPTAPa+uenn3rtxciMudHDfshab0C1IiWqE7xf9uDFYIwU
ESOTQdN31Uo3tl574QsvhiJJYDB9BpPFqWHak3wbXvrCi7GIA4yg94YHqzDo013b/s9t5H8uI7/e
Pp1q4cVYxDifRkbA98uCQ9KSDjVGZ3r3qZ6xmA4JbKwVa64eFvQmg41tKx8zoth//oD/Tsu/63iL
QSkacu8TLTwdpOidpJpjYHH9Pec+ZbYkQb3QnnIJfEVcOyQj2SO+O1+6T2B5q2sF8r00itsw9M+9
zTxkv3ubxVAO2zAXlIq3qTHmeSmU66LFhbhvG3LZGRlNFDqtcQ9y67Kav/SMdHk454Il48FLgmNZ
5LfVmaJ/4rNpiwE9EF8fFAl/CXSpCL5P7t0GJPv8/NVOPXwxnpuaq6t27m2NIjllguNKfAiJjvv5
6fL87b/5CkvLCIBfpaohLBzkirOUbsD55q8zvXWC/B2ynSug9/BlYS+P7QEP+Jzt4uI0d3siQprC
sDVZXgPruckzwU0iSHuGuG/G7szrnRhqS9fJpEs1xm+GcECihRbthvHc5u/UkxfFYcC2lrBYoeoA
O813SAJ/btBTn0uhnb9MqCoYQqSsPDfEk05enIqHFRbJmfb4dwX93edaVAhkUmOmzzWtx5Q554MS
xC3iuI7nbDB52gyR8teKXsTOWkXd78x4VOUN0bOw+nQ3K/8kvXro1PVYvKhTuqrr2NXTeFMA1ozQ
7ViJsivqZ024/7kt5pnhu5dd1JtKjGqr7tPxUAADicO7es43kohSl5Qzg+PUV1zUEK57CB1WxPEA
u5cstb9jc1mNX9pYEk0rMAFn44FM/pGNyYVb66WBZUKYA/CEUzsSDB0hjUj5qTY/t/aJtli6V8Kk
GLDg09qE3GnkYnRnvuKp5y7mfUXSpoqEMAqQoXOzCIA8ufAgTZ0H0ZfBUiL+ldQyHw86l56INl8u
a4nF2LY6VM7wC8cDuZny0b/EXceefWlWEbjzHRFwjQcQO9rNxY9dDGlgTQ1CT284dI9T2P0ukvrj
52Y4UYqWFhUkdn5T4WhmwbaNhLfBJP9GSS7bOKiLkQftIdSCfhgPgI24M6wuW2Qu7SndyNKYuElk
9aHNAW552dsqyxnaa3w+H49FlnsfDZdVn6UhBUhLWFQqHSILjiSjvCdCdu6S7p8T75vaqSxGXaUr
/zvqvBoeSPdmMTVrCBVzb61PO2EayWf370QCEYRKszXMTWNjESP0ScSa08xQSu9BEEiuyg+WeUfH
dUYuOOTHuHohJZ//cGfXeDjHPAPTVO4G4jiy6KOvhB1JS1vT22rtfYMTztzCjPAik5j8lhhCCRVn
RaRCqdiivprxIhPm/VSsbCuQHCF4qsTXn3vvibKjLGpDoxlpRebjeCAtqAZVUbk/P1eaZ+LvWnZR
HQwrDMvRF4eDj65GNx78wHfgqyAFf/WEOzHEyP8ppA9l/6J17xATL+wsi4VBMIiNl4FEPJgk72Vb
EIs//z2n2mlRPuKwB35gCZw4/Opywpwum02UxdxtWAMZM9r82L9Yf9ruzPLoxJLgn8noS8VnxpPG
ZP6qXvQyk8WT6V7XP7z+sst9fSk7VMgk0E2C5LkxeFZ0O1TPHAXPq+1vOo28KCA6yCu8H9PA1Tbu
htkCgHhCje41gHHpucX4iU+51B1aSaOwAucQUOo2fmd7xZkuf2IikBe1hFicuqvU+VuCzBVFO8os
cLXnLpdOvfVioMaj2RLyyluTpEfAel/sfu7Y/wxm37X5/INf+oqXFGjKIHTwLa9ARt3JmIp71fXG
RzF4ChBjTWrvip22TvLoGEoSSX835IatwyCwo7rcggHaauq4z7i4hK2wKkG/iLlxJwmaKwjsUgo7
zz7bYluFjyKU4UzCNsAFEBFgbgKz4Oc/QxJPNf9i5Kud1JkyGS5cqBLmghe6LVTYkprTl3/Ia3Jy
zpd8X+F6mMg00VwRJmxPxDjGw65LSMRujd3Aar+ubjpC7sokc011JgEnmDq2EeGwsjgh5sGFQW6m
gnSrkLMrPbsaNJVgWAp2nEBVfBrUP4RJorl5NQrhQZW6tSant3n8W2yejVZe1QNpsz5EUUFfK/hN
si4Ej/Mxkx0CAUWLvm7yY0CmT7TGEHwtdZM7kBhoarsMvHA33XUJL9mQDkCCaKVJtmk+YbV3K7id
yZwo/ZZkslMTLBRUJNzLlUOclj0YNU4t0qnTJ1KMjVwGSmRstDiywRS6fbKaRGyAppP66ioWtRvd
fDaVqzgnxRIKkjVaUFYIFSfxMxKPZkQ4oS6sSKmz8/SvqGtE8L3joj/WClGGZX1ZzRUXAwovlp9D
ieacBhgIKXnnnJz/hELfdPl/XehLl+dS2UyMnrV2UTzm5pX5JyeU2Ab0hKmokLZ+vPPyM8PrRK+c
dehfR1eo+QGKQnaSXrLvWs+uydsmmu7nTv9v0/HdH7Lo850ktLlFmt9BFCRbr37hCQvHv4lyVSSP
SQ4QjaTou4aYGcv4qP2HvOj3SU1AyDrVerskC6vTK0crSQdUr9k0bc0EJETbkgfK0YNBmn5RwFu7
Jzz4OajWSUJOHGSwVIbPgaJaIMqxiDdo0MhJ6duVnJWI03pXlfdB9Bwad5m/aQzAjOd0hydqoLiY
hBvVGPCqinQIccY7cwt+d6Yhv593xMU07CVVWPUkmB5SiwTHY9U9/vzcE1//n0z6S0ebAl0Ky/lg
xayvompPgLAwnNHqnjii/3fS9PXRIHA1soHYz8QqUsE/BGY7WSPZWRCtOyr2qJf73jznOD+xoJAX
+xBPIVa798bhEHtHrX6s4mtVJ9yzO/PHnHj8UtRsSmExkYjOeiUcCFoKV8X4XlshgcznDNYnVhZL
aXPdwlNq5xWLmB3UDDqQufNq8L57PT7zN5zonEtRswzvE48LEzRbNaVdJ5eEcbAflhZVECo9ILOC
58baGqh82pyZMU+972JB0Styqyk6J556vBtEB3jAz33+1Lecf+9Lx8ywvkmkmo4HDlRdo8qQT6dO
rR7b2fv480+c6Pv/9hxffoLk407F6M3xXPmclO+qcFPFPcSCmnsefJ/jLDg+t7A41UyLmpPrMcGy
EUdUQ5M5cmtuEJpdVnWWOtZ2LPNMDerxgGPQDw/RudvGU319MVilGAIDNK2BK7X6WurHXZ6HTtkS
Eiwme4Cj7s9fQZmb4LvZZ/48Xz4D6dhArmWqm6FcZQI+FQWaQ+lM4nEiKXVM8k1h/W7Go4CW3gy3
CpZMscY8DG6vnKBdEaI/rr1Kwqlbur0QbqrQcoZieizKp0xtNlNIVGX2GZNZSpyDEFZrsGGoPNY/
v/+pU96lypUMzUwxK0ZW1rwmM6VsgGHXssdOu1UW/I4IRRt00gS4ZCiLu8K7TfQ7w/xdFRVOxtKJ
SLkTJ5g1cXmYOFcTLMvtonVDvnsd3Enxczq7wM9V4BNTyVI3OwwCmfFQIA5q7PaN2xGHedkhrLjo
LmYggRmaJym/+t0OrUuG/Jlx+v3Y0ZbqQ48ofTEo5w5ifmT5Uejffv5y0gkJuLbUH06NGLSTxQa3
4rJErshEr+7j/j2VbquMc7LRf/fnVMvi/U6zq1ZzDXWfFM+S/66UZE2Dvyg57IDgsVHl0PHHvzD3
bDF6TfrSwTWATO1N6nMXpG5dbiI/IxWeuH6SxuVGW3UGUdy+RLwtxpJh/PRmttcBMpaY3kvFtQaq
OLsWp+tEOzTjZ1NtC4KWhTc9fgino1DX4ToBISOiPhdJFTUl/96oTHp6JcF8jtnf7Sv9bexvfQge
mvneVFekU/rdS5aUIek31moqatA+f43mXgVE1QTXk96T3M8GRUXxDudKMVxFtexAqa+DRkQK92iM
kG+Pcv9Y9vcTwZmtfxSzh4kMVm9HvmqcbX1M4+XtSJ6uetCV/RSabjD5rhEcojKyrf42ln1Oj59i
9VAof2pwQbq0D0dvQ863axLv3fQrUTVuzbJ+GTE9BTrwNWDjwh2vrrZ/fv7yp3rUXPK+lJzOV/oy
h2p4wFgSNTfh/1pf/z8vm6GY/ve5KpEUaT7w3F7GjHI9nSvF/04u/m+N1JaaUKLisPGCMUCN55FQ
nACutdzAu/PBPQbaUyK5Svwavbx5a226Eow3Qfvw4smezJ1lvujhpzak90WV3Gmwarp4C3NPwsOv
sTuFs64qlwmjNGtu7y/tClqrL0IJFQZ4WFszDqJ/ZqjOJzff/f2LHUo5hQrpzvz9E8wJimFQbrrh
SRn2negO1PfLusVikg5LJW6rumH9TvD96MrSRWskzVrsC8h8zVQSv9lwxFeR4Sad+/P7njh3xiL8
3/aOEz37H4FNhzuVbGTAYr8CCMBMKZkQu610P/gfivFRjvsi5NambnGN71PyW+CHGwN+2bp1DOJl
wg7c9vS7Gm840khM8ihKEVeTq2Y3Qn2j6DiIVo08c2qSVSj/JdB8m6Wfglns2iy7KSrPTqR9PAiO
Z05rPwT1WjzV1S1wzaa9NvxbTbkBVQoo+bIvtRS9WrowSqnHnr4s72PpyuAA4+cmPVEZzMXRYdQN
hJz49GBJXukfbXhmkXDqsYuCA0lHEdL5DEIUKjvQXz1Ori574UXJGc2kEAANcVnyIUDEGozqjOj1
+5WCthS9Zu3giz2py4cZ5ZKxUw70x27ozrTzv/3MNyPaXJSKIAsUMdBUtoIAE6vAOKg9ZqpElDmV
ata+8mlygQletyb0XbHTOGG5IqZ2WEY3Dazg0RfejSz8tATxovWLZi5KzIR0PcXkMB5SvfmjvASK
+ueyL7SoKhDgY0Ad/YRyHfa8K59byp3qU4uq4ptyWCgVz21ZzgZu8HnZ6y5qSki4ygi6bTrI+ksl
7i8UJWtL0WyupDq4EV6XeJXBXLdn7z7mF/umJy1Vs50YtUXQ8sKNh6zCAGSsP5kpgV/ZVWx0sBn+
ZiMbi8aNSli6wR0HmU4Eudgc7jPzI4g0bL0jfl/5No9woSSvxdg99NgoyU92mWW8FEeftBlMyRab
fFsjeuteJ/lmyo9+uUmSbSttpo7denPb16+Kf0lIMZrzpWo3kkmZKUnBP6jvSrEv+8tKkbEoGPVI
4mc40VwCgdHdRqzPjJ/vt4vaUqQbdEokNZLCPb562xNRasc55yNBxLWOGbC8vGw0LTW7fq+MLWY8
yhJ8u85o1rXxeFHHX6p2gYRoYmHM42nYtrVrXHbLpS1Vu0Lu+VNu8lxJvGpf+3N+h1PtvRj+g6KQ
UmN0qNurRx1vb5ZzR/oEUjmvHy5rkEUlUEgyJ12v5WywSa/bmiPY9sxy7sTcslTrkmcvWZrMu+vK
W5lNtqxcVaZ1Zmo5UReXil1FI9Gnnh9Orls7rmvxzHNPvfRiDpchJJH9xBpUi95062/CdQq5ZquL
2lpfjMrQy7Whl+kkJW5sz1HPvfSpxpj/mC8rcgPKFcw6VA8N1MZtVmwue9355748drDGRNRbXtfw
fvnSlepfdFfDqui/z52EihRHuaXmkeUtrtrywvddzMHmRERhI8YUPQl0H5D7M2LSU827GIQjCIZa
MSJOnDfesXu6rHEX4y5stUqcdB7aXVWrc4EfJ950qaftLdWaEii785ty7PPzm/5brX0z9y7FtF6d
sQeQhuHQa4UTxSYKk1T/3UstqWH1zIUgYfIA6mQN2t2JCaEJU24/M59bxGNBGJJdExiWs8OI7gTE
all2XWbPafGaqP62J3M91CY39PsPxHKrkpAIA0oKSEbwKfVE+ri8r4k80MInMzxGOE6qndbdKNCt
uSoFc94WGtmJL0lX7lKF4+noDYWIk4mTsosDDfmrnkiOiDXGGYgyA2q1gze76/J6H5DZpw1jAdnn
ppezvdlsGu9+GDhQOQT+tk7kjVy3tS0NoOU0zYe0KriFFx6nPj+EAhj1fiszo4AY6m01nXbACneW
lW1UX9qY+Jaz3nqE567ZReDrQJ+Ty7YDS+0UcPTQ8PqcqyK4p7ldqJcVv6V6qhTp5QM00UPYXNXy
qw5ZqhEvEyVwXfDfUW/5bVhkCqOz0P608sOYPv7cPU9U7KUqqS5iMWqSCXfFuO5MaaW2rxWd6ueH
nxhQyvzPv5TAmrxq4k19phl8jJEbqmcuPk699KIEVulYFZ1ESwfdhpU4MPn1vIr6+aX/Xfd8M2D/
HcJ/eesqTKqGACXmmQGiCkjAJrOotM9VkJOtC4q+JS1V8t00ld3W/CvorwW617j2NsAs79SzOSen
Wm9ROCPTl5pIp9CL5quQP6cXrlmWkqVQDCXLR+1wkIvn2rxVLkmbZzG+REFIbT2kUU/5VNb+0/j7
569xohGWcv5ctEQwLyGXQmv/ejzTf+ZB880X1hYzvloXVtl2wXgwJstVOdOeGhQyAtHJ5/ya84Ln
u19Y9Hyt8ZSyL7FmKJ6+zohBErXBTVjthzMb7/WytlkMgxBZKdBTGjzZldeX3VFo2mIZEEuersaz
BpSgh6eSf/kPl73tojsLNWxPlXP4Q6Q2q1S5LzBX/PzkE+VgCX8o274aRBzIh6batYPKFRKy/Oic
ReFED1wq59H3yYPU8t5ZjSjnQcSFdtFrL6XzsjHBzx6ojpHxXgrTnZm0NqFXl1BfGI5L+XzqlXWf
hfSOcrqtx5uz6ezzneM3XXtJfhDGfIgFj7tUz/ScApUal0JkZkZEb8aOIIpuJYfQSe9/bqQT6lZt
Kan323zSu5pbYSXYTIXlNvn7wEkb4dubPqk3atoRN62vigpUhMmtTHuMPffn3z715ReDWNHzvq9D
ak98z5XNmfXgvxn7u/ZbjNoqQmRmFRSfzPQPAbmn8ORbU7sFbel4SQjprdpmqraC52mPab4SRYGT
6h356az9ss1omnhO3niC02eb2HxORVi5+9jHr9w9R2a783GleCgIPan73Xe/4vohrrfitGvLbj0Y
plNZfwTjXLSkdKqRFvUigv8O/heeuCJx1rMH42vnRbrqiUAT2+yACkeNd2N8i3sBBJpTS3ehfKZv
nCiySz9AFGhYniN2m2lw3fozgm1Xyy+JdejNC+9Vl66AUTP1hn6AJOSZFOX1Rf1q6QmoqqhOEsUc
DknMtzRWHZHbPz9Z5n++H55LwbDao7kBNM3qViP2u3Xk/LfeX/niq1l/9KgLU2Xrd7dxYTmZ8asL
4GJHezQkZIJWTgs8o+uA8l2ZxUBW2UtvvJj6vpde6bE2pLiNKeVuLeBlJG7NEo9SfWUoO4X/SnvM
PBT1mtMq1QZW7EZA4JfrW/JdtzVhaE1ARnewT/T7QfX2hVUcpOrDsDo7LGKHFHvbG8haUT9zrd7J
xqNQmTd5g4pSveGIfWVq5mYQi40ckgKRhy7A7PtpkN242DfesZcyjh5118s8VyRZuxK2nsHWSi/w
fwOxVbLr3AKo19crrpwdrPJuFd2nHEykU+EMpJd1fn8fFOJaE56z4rMwpJkEsdasTU9kdWImK9l7
yPy9l8gHD3jroByn6QphM/hJSA61bQjXgDbA4DlBrzgNscrClQwPIgeDGPnrSk1pzd7O83xVep9i
/6sfTFs10HxK0d+CJtK71vHbfiWIEOK2Yh+tqjLfxpKPoaoa7AJGVTeKu2GqN6NIpKHw2afDcaTq
ltnfUtzHTb1VzPd+Vt4Cq1WDtcZdWiS/pMXB6j9Dgq/DZzmHmZiCwA0CdxRuQKkDYdaea+8+RsNf
Vek9+drByAC2uMr2+zV5CG4f667W/u3zws2aAs+ivBG1oxW1dqjclPAXBcqS3Y9rybfWiS+6GvQJ
hWokQO5uLJL+x484ulYLaSObilPgfpCGAtzj5KrGA6dmnBjZEC823tg4bQjXk3s6WT5UVUxe/KdR
hjfqRHwWbs5euZlIQDQJgEaLaSvWLyCp6I/dvtI3UyDZRpuumEhRg9RwAKyVuorUB00+1tYjXMku
Ih782I3rgf+3mf9vTZjjJJ2yJFnyqYhv+N8Q0PPu0dq0q6lcc3NaWSsnJpmfc/O0bzg739RyZcvs
s7vupkOHEnB/p9+k1aGUX5uxRFVDIc7+mvJbHX8o9TsMg857G703qf2b8O8Z0iYm+i40UidJhOsE
oHxy7U3vnrwFiq3FqeN3xyG5LZIbOdmxnHYEGlSyCHaXUGO6Xn+dptdE2vfivRWKto6TpRRuPLQU
UQBvY7zlHGftC+W2NH23Tl+7KGN+wSnF6qJ6T6Nd1lbXXjISVAgZXs7WDYCVAdNLIFhbMxu2qXqL
INhphButu+51CA3NqicVXEp/mdpjNuauUSfuWLWPA9FlMmcSpORds05agW1PfV643leT4KTxy5Tv
tGYAsHRoc9nV/dIOtX2VdbZKJxViyx6oOoLk2dZ8MVuuZQqRgdcvAjysxkiyafI+iu0WykosIzCZ
BgcapluaGyhRdsiYCpL22gqPmnpriMfURJftIkjnTkxqA7ITfhnVnSQPV74q3w8JKhRFtYX4OeJc
FYaxkHG3yz7dzB7iJtxaleASH7EiIDUTuB9GhZu092nxpxriI2ssQLlE0SvRRlHuQR/bSVzZuUBI
CBckQ01mv9DbcqqxH21dq3+0LIjwtQq96k0naj8e0Z8Xvtv4w1PCYUqbV24kPZDLa2tqb1fWU1uj
gWLsmb7qWsHgGOZNTAtY6a9QQ3hTGvCT0y13/I5A0keLmVnRrqCGunn1pEro8upwOyQ7Dd+50bn4
DRBawapQni39wZOf27C6kYme9PE7AvNwZKVYI61fFfW733HuktWvlTj8llD0GZZwPdRMAtmUzNmZ
DlhxG9jANhITx1eaXcWOqYvxIIjFW44EPhlKW0Qk0SaaW5hzdhNsgfpxLDPbar31MLZuBZUJ0vY6
GnfAJA9FsiZ2vRE4ItY32fAwddhSo1XWHpL6tVdv2/JZlzHw3wnZC0eoQrHXWPDwnxgsGDnCexbc
9fQgCMRs3+bI2NSOkNTHyq1Ej5HbBz/nTl7213q3CaqVmd9GPQdVz1H4oDJYgqzhqn7vydaByzGg
A5Grx+9DXuwp1haeM0EJOKET0V9Lq0K87yR5EzHzdcqTYtyDFR3FxE16nGflS+7h9bRifmnX+9d5
lq/UUuVYLVgZ8vAYKu9ZtZegRihB4aYCp3HYy1BpkUAr9O918UeTd0rNoq/Y5dpd4X/Ak2BEXBGi
s43KbZP8lpp9xCvl/h6x1E7vGlaEh06TbS967MeN0LXu6D2jIJJyybXg8hTFWjTQXoUfAyY7q7/T
atevH6zytTLX6XArdPtWDndNc89hD1NoMvYfkyrZXRWtZEEAgE0vetOzX/AV7ECqOKQz9h0lNioI
VIh2coSr+jrLJFIVchZf1dbPwcLk62S8yWE1lRnVK3Br6SjF+SYjDbasJ4AYkS35/irUjpgBd4l/
A7BlldTbXvjUyTBEtCPmjH6Jg8/K4ZiQnZFGQp+PwS/LRqdIIdtQb6a8dry6eWyZ5Ou7NF6P/q2q
uEN8FWCzNMKNqGyYjNGOOXFY2GHiitIvUdwO0NDVp6m9ldRnKTkqScv12F0pIODCwNyqtiffdqa5
lriDIgcjYjrsg5fGd4FfcJVEqMN92D0JzH2VSZJ6U5B/PFUc3vIbWD+szIcvi5Y6Eg5V88vvBAam
avddtZNbz40QluXiqrNYkHVbI2+vzaQGbwFh3mRdMJW3cuUldGhI3dxDsGpJ49glXtjxmx3l+cYo
Di3VKS8KJ/R9J7DqjQCHRzZ6llrEqmbdSsYa3xYPluCv4+466uuNBedYl1rbCtf4yI4Bh1dBzfEs
175h8Fccr2P5kOafREUK0jEJ9k374KUtnJK3ZvJWfn0MS2rwcF2Ez1NIJO5UuaYCXbh21PCtTl8i
eQ1Xgal33eKvMWMqmM/03kZrg6wW6DIU8L9VtMWo5IRZSCcy3Jo9zEQFGF4s6zExtlNzU2qQw2HS
JO0ht9IbqehvYh+dFsFAgxBelWSKNejthZD5RR8MdkafOJc3Q17fF2XpFJ7nhlOyCbrioxnK7dCu
DP5oz6qc3Cuv0r4nGfeOxSGlwFyjttGTX2BmbDg47tgIbp3Xa0l+RP1jZ34MtOuq037L0i715nZV
jrUn2x1jqG7iQ0MT6OwwQvjLEQRzdZOJxTqLPybmt5TVC7TflWJyBkEnVlhhl3BF+lhz5fG3wASn
kwbcVjej/ytnMQ0srDWC7UQrg9BwAm26bTVxlanqPACsoN36tXXdYHRStD8GDOjYMFfgXdahl+2a
UbSVynJK+k1U5NtEeoeL5OpJw0LAka6lRgGdIq+qJlxLob7q6m0FzWVIMBMKcxbGPm6vY719iPS/
unr09Ps4PbIAbep6U+X9aooPlo+8RCqdPNoSEuPoEH1kaB2oy6IovU4kzVVhm6e6dq3msQsL+wjs
eZsWo11P6SZPmNjKZFOX2ME0iaEBKY3y3Ki0WgvqWVM3nfant8j6G7l46IziRTFulOGpGF9ZM2w7
sX8HBsHPwzSSYgdfCsWtR7/1MRYb0dcAZfnupN8MnWFLMst5cEwGy/Ki7I5hmji1fJf1tWtqBQOj
cQQWVK0+INLu2RAMG8l4CVJlPbXZVZdpNiA14p3Ku4q0yqCSjqrGlNO3dl3GB1nJ2AsYKz86hKXr
cRZhJZZTd6ZTpoSE6QBW6FHWxOqmMp06NBxD3JUVq8WYB6Q0SlW7WrwGLUaqdHEc29uyyNZFXF+H
BggqM9giI3cE0i9MHmqgz4gKgqL1iUs+c6sU8VVH4LdCM0/CdGVl6MdU7S2hoFbE60gsiib5b4PR
T/cMG1rpru532pA4JQ6iwWKF36i2rCUrJR3u4xlaz+A0844QltbuWMkPcXCEigUVm/ANRROdJvvz
/zg7j+W2la5d39BBFXKYEgDBLFFUsiYoWbaQc2gAV/8/3KOveCy7SiOXLRkEge7VK7zBtKo7Ndm3
1Xunhb5pqxxewjPnDp8jUPrxqavgONn7OpNWiFD7KOlR28JzqwKkjVfh5xgmXtg/D6azkZtyjXz5
Hjt0vgcmOrERBzHu4JOvaRPmQzDPtGAu7N/piFSOU/qZNXlx5OG8g9XWgCdMNa97687SuHFYfaUA
qD4Mp6a2fFM8qOoc9PSAKtleocS3nhL13NbFoekBRLZAWLGrooxRzZjh2FNPiRiZz1FcuQ3geDJH
fMp8O6r8ZLGgq2IkZDefFtrgK9ET2qyhO9b1BfUWXNPOA0bmhR7fz0QaWJBlEyRL4gJfKAp0kadD
qYwkd8iBK0TtpJvKbYGwTK9VJ8feG/DEENhZCbOEs1WBTrY3Yf3QtZjVmETH18T5iTBfvaoR8syS
mCONCijpgfATxdEE1gblJGz6PEuLsXkzrRW58rJWOwo0BixF89hbQb08lbAlIw5eQ1yQUfRrG6ny
sHoUxvQoo9895HgUgtmhRumUINf5wEXCKnI+OJLwR2Gt8YoAKIDxfYjb0LAy00clyj3cUdx5pp6g
kBTp4gq24BSW/rA8Wx0pQaG7hWluHAzGVrIjBSUgyIJQmfVo77fTvYPPDgpNvdcY4fPSZm5hxKdF
dzxV3spZdu80n3ajr3QInJ02eQv05AWs+TTpbk+xMNvdSZ8fF+2uFOEe3yxfrdmPxt4JzwtFeRz3
QehQBUeNp/a6i89MUMYW9hPjoa70Tx1VelT6m+q+19ZWecKaHU3olaP8UJPnMT6PTrzCsIq4BZq9
TY5NSlujGUBCr02k9U15fpTi1A1D1c2q/J4xF/lDvWLMG5izc9bSeBPOzrbPoqNeiLURqb8yMlRz
jA/Cep7HhmkVGQM+dyVQrKTV1pgMuyXUWAzLENiRAs2JdzJQrG6cKchpMKDbhji0utI0FHgKDDGp
JRjyrs1Q2ofmSaPS6CyGyeJxsBb8aSj7rUULIu04mhBwr1r21bTKzdZXcdMy7NrNiHaqrtwlUnwU
jIyF7OlQwSQynSKCo6R6korRwGy+Tfank8f7pstWSvKzL5MnpjJ3dEUQb1B2ZcwJlw/Wydbbx64P
A+B2VAv3dlXd1fE5nR6uhalbkAwnveam4piXDJgt9WiK2bWxAkwIPXO9j8z2VIccA8s7soiuVWq4
aEr+Yr+l9BQFu4i+EXjcPGZEPi6rnAlx+Vbl0NavnZz4oW/fU9o1pq6TmeVeE33ifkFfK8IkDCIv
QvWz9j4BjFSZ+prOB/ZsF3tkBc+BMdgbc6BUabRDnGlebWJoc6XS4FJXGEHh+C13ZonPyjJXUmdt
jPpEx9FVePVIiQeRvYlLa2Xm+NVJCQ6TvMZRp8BnT2AL0NtwtKdr4NlqUbdBrcjoX0KzJch+LgTO
HspnGmJrJo2biKQVz/DVoGQgkFNXTfLPqe5coOmYD5yvbRGFc0zo/SVVN3ZzYugGCwZps/J30rw7
XbhPZHwIG84dZb5v4sK38k9pCXDUW6shDppaMMWOGy9tILNqU438czI2BtkDtbGiLX48L8Q8Wds2
lk1dW3lpEW2KfLwvnbdSGU4V3SjD0FbDSK4eyaeFW+uht3ZYMSTWa7HsZOtlBKITSb+r+Z62xmxf
DC/zRfKrVe2DQ1cos05zhyMpOVUpMljeb6rxXoQ7Qae93Yi+DDp93cFFlrJjRiY3dq9pua1oYuiD
j6dkmPQYAjbk5z9LhJTT2Fzh1rpqE329LJ8TCctCdTkhxq11h0wRfkODOEVUyYDuRH8N2La4K4T0
0iJsOWTlKSVONznmCUW+jRsYLQ5ekClwtPpcjpOXJdqqoi5dJq+g0gb7fcBd8WDF2qYghSvMaOVM
b0U/7OXwrk4SmPh3VWR7UjN4vfOudzqqWckxZXQhc7+RbPL0x22vZ3eS0ZAZfxb26Pbh6I8N2V/V
edk4emOU4OsT0q58Cpdw49iBzYzLxNUnsfJ90T7XZeg6C7lVZewHG0qNTCe3v9aRxrGJ553TufAC
3NYCm24WrpQDLekKdwan7mT6oZ4I4vizmXGHGftEq0mB/CDcgqxganQ6dgBRMVxpRhZgo8B7galM
5tRW2IyVz1Z0laZP76LZ8mWMOiPT8Ywm9Ipa8KuDF6eNG6viIGwWSpEdovk0qflD2kz37VTCtCeI
pdJaV5JgrEL6AHD7S7HJCFWt9WaZGd55ykpnuagyaYiUcDXihvnSw8tSJOXc6M6zgaoL3YknWLou
Wu/HZnGeslJs9U459vp4nMMp6IDSynS2VWlb5Mju04C8/nqqS2TjpW9N6Sof8dXFJnVu8Q21Scei
8djPP6cHu9f2fd//UAVQFJUqdMBBLlJDWrqVAR9YusQDLbYWPJpCcwTzuHu5tcl+24UDHk0Ga0w2
Ym4/ZKcOcNj2GhnKXqHvCkXy+8qQAlG8LaG+N4AbzAbWJZmvJlkEAwryvxx5c/Vj6gBFN/NJDRWv
HA8VIh3TDw3X1ix8NKLXqHV2Q53t0bb7ES9EbkcE7TJjvckGMV/sEbsb5bMZXxr8OfTY8hcJE50+
9OOs9gtV3HVtPq0sM36gKAEd4I0lhbrzGvf2TsTl+ySA7prVcW6MrYKdJsRDKVulVs9IijkUhZAg
EGUpOHjB+pp9oUuu1RwkRRy0lmc8X6L5YEt3U8or23RX/3IZK20Ln1/SfKfHpsBGq0KtTE83Wsxc
Ftlt2rOBhtsgpRFJlOEu4emhSZbPWg/qtsZKRaL71lFnOG2/FtT9sfMktw9WWp2lpvGdTN2V3Uz/
ull3yPpEGmio6eKQrnaNs2trldqMFWaPDoJBNYahmFdeChoXoaPu5N6is9lUq741yJmWCp/GU5pt
I1tHnEhnAbTVRlXP+nLCJXhtYx9ZYdKA/zi279H4YETQWMbyHR9bd8qGdeyoDMGG9fXvmMWsNWZV
DX/2DAmuf79yRcNq8ReSQaHYqxqaWp+U17oHtSQuXAwKKWKOpqR+xWNv8bBeac2hJ2HolvhsqcNK
MmJ6qcbnFFaoCyFF02FFbPZwWsx76Ixexlgn24uCJkxLKj1p7aWrrGAS7UowdQ7xdY0G+k/OXZRo
ngzoZZAbt5+HC1Yu77UD/6At3aF4Cxm5Tp9G+2iFH8vAMSlZ696og0anHYzWx1j/surHxtoVzsiZ
2/mtOE4YNnZD4mvDnWlLa4tfr5ffVMf+iH3r0A1B5+geYq9wKJwVCcC+H/CROjYtds/zWzlvY2Nf
qMWqKA+O+dzInV8LfH4X2ZPoGqSyb8twNRXVTUwLav57x9qvafHiSkwxQB5e0TCe4VIooL6UOEik
9jUZ1edaGDnbUQS0vh4KeyfVm8yKfNFvZ2N5l0k726lHaAoCZLQNxSZsms0gIexZyus4oUs1DOtQ
MdYyG2HmYQ/xrykr35OuYIflnmQKjtpf9oyT5GQ/Jxoyk46VXWzcmJUMML0E/mxJ1SOCMOsoU8it
d6PYc2xsWeBB38rbViEOZOOnSZSqOtyClccI6xKT+294+nMy0GIMLW+29fe+H0HKJWcnwqAVS2t0
ElHTqmggLUu5KUe78CxZ96bljFGQ4jq0+6Zp9kstOaDacsYz5iC67GCbyyZO1G0oyRu5tKnq9EOc
lGcFIFffdwEOte5Y6OsmGzf6iPMIYwslP0baUza/VOmHk36k4j3iCFDQNskOvfZeYaBt9XeRcRLm
eaRmw8BYjehE0jCRpNzPlo+0e3Hml2z4nKBblfNJHzf08IEJyvaaDqoWG76ZQVM4XsfXrRJBwbxn
oKi0JVe4j9SzTVcGj1ep303inLXHqD7p+VGJj4lylOePSb3qeV9Yht5YZ+tBks6IgpaEpkVO3TyE
mJyJ+TWG2NlZp9G4y68n4GMTZw+zSUHaFH7ejC4P41dVfbTGutaAN3acuLiv4zs6YQC/FjYKLvHF
JN81aMKXMRqfkddotbsATUEgcGfpFGBwZbWdlp+u5eXs3GfSXTvQPSqPUqg9LFp7MDjSIp1R4AZZ
ckZvQWdAGyb7X+4NsQ2LT0RKgVscBvlDkaKNprGhxDFN/U56npKndsKRfkeroEQ1KhNXnZpurxpB
rTn4lM87yv/cvr7v/WBpJyk5df2doSNdwrSXYVpE93Ivsl052NqPdFED2EX7vHpTJ+egDQ96N6HF
XMqo0TjvQzXcGTgNes74bsjPfaysqbTWkZPgeIjdVY8D6U9i/nmJnI0uacerPE4+nO34pRgAtg9P
UvJcMC/qL3btpbW90+OdTWq+0a1fkrgYP8p0K7Wd38160MknpbiDys9Yw+0CewRuGvlRiGBPpz3O
heLmxGMRNqzbk5aP5yQ7WV3sI5Ae5Gr4w4zPMRFBNhD4IUdkYEDhZyer0graLeVMYeruYF8GKd9K
GvWPzAfVODM9gpT05YGupHSpo19FVHw4TeUvo3OQtWhvqjjJ14yeu05zGwtsLwKsOXm4k9i+QfhO
mrXJ8BEnlIQuwCWjJNXLdC16LHR6e/DbGNxSrHnq+IQvIDrBHTPnvdx/qK1Yg5taqbQ+choZRiF7
vSJdpvoX9Kumo5dR85MyfRpEdbGHiyJL/t/RBF9AO241wvQ46tpBABTMO2yjmd//Q3vsq+te8Rwf
7w9JGeG3qvy/dCoqzj+ua3frxjnW1veQ8beyYHKSyJUxc92UQeawkb8JmLy6zv7v/ZZYmKm1DQJs
bhGT5hX9AwD2FcHvP879/zyIqGi0qS8kDiXN3KbJ2yiNvmIqnLFMZFU9mLLGjXJ1XTi/7XC65HG3
qum/Rk7rRVDey59mlv3jXr56JzeoJFj+Rp5ev2NjMJrysm++6ht00JgJ084qXolcnGZGWQzAv7c2
b9CE9mI6Y1IUMIYUb0j95F+Any+gobfyO4nW2lmowm/msMELO9DsE2X7KsyXf4B/vhCoNm4VeBI5
6qUxkQQqprTrGndY+iCqybEZjo/K1krl1SThQahpWyrGfWIYvq6+hHNOGnpXOsxWRuIwnRElrE5y
O971xT+YGl/e2g2zNx+zRY4jEMcFXW/sYuGqb9AeiOr6kA2/mEFvm2FT9k+gfXTzWCOhbqJiITUW
Mg7ZKqeGoBLCFfAQFo+q8U367q3cD6+jopngIFNbePSccUr91hJSrkvgf3ZfYxdD18kgXXtGs7P6
e/ieLruh3MQLUbWV1S5cWA+kHlfy7y35/xB4/3O/lsgUXXJMJBtVV9YoQ73vPYebrW+1etaIpOV2
Z9WLQB8atEG+d+mb7Y8jnlouA0zEst/L+TqZvhfpb/V8YuwEymic573ysbxUv/5+s9oXeELlhlSk
JKpkGbNFONZBZwHzGI2rGi3tk2lJGFznd0mhkQKGZ0e6zqwRBmmZL4r8UOs/GEFI0kFPdwnZRJ1i
i6XqWyYR6wyn3Gb5VY7IyorpdJ3OJ7ITjMqrHL6PzYOjyoEpPcbRCCBqpywm8sNspkJ5+PvXum7e
P+BNb00sLTWNFZWO/z4XlxmtEtGOeDF04odWN+9JzVeMw+l7S/RW52fOjMLMG5aSld4t7dqyn//+
Hb44nW4lebRSH0pFT4j20aFKr7XC36/7RbS/1T009aFGa5NnM0oVgRgXRimksWTjAP4vgdj/uMh/
ev430WBMZU1uDPZAqsbuUp7L6iDrj9X41ucOXcaQAfJ21A5ddbDyt7K741ivypdGkgC6ZSu6mLSu
c7dqPorxzZEuofWSqD+wVzdnGrY4auCE3l2nlhIyOxGtnSpfV81vjTkpTtimWnOcPyXZs5F4YJlX
NiOb1AkUxJesJnZ766gOgSXuZfqI8s8kPRvKh7P8oPvsjvGdMt0v5tWL7b5onZPU7qf0lFTADqqG
IeNbTX/HbNr7qNTARYLgiR6QM7TbBY/d6jLpslcXz2O4a8BnO7to2P79rX2FCb+VejQhhfXpgCbR
VZuDYhDgE6MatDXniUa/CfjRcY1IwXGj8moqYZ3muxPF35KfM+SbeNlNTiUJiF77qTlG4Ub8C0r9
1SK/CZZqFemxBH5gP3zaj/U/zvSvgpp8kyjNiVTZYwNcvxxfDOxFgYLSHnNR3dIjmL8d7bihXU+R
4imzuZLlBYdpJhKR5dXdNs62VPuiD4x8pmnIw2aqYRnqMaqWVznp7hy9BG1gnu0y9lAWDBSay1Ni
bqNlU0SaGxfJYaafnGmHAm+WRPsXs/urZ3UTqns9F+WSKeQEOxQIxPdUaPRbGa2xY5rdxlw2OTGN
S/6lmHLd6v9/CNBvNbSuZgNZUbBiQoOx3C+IExuz/d5ZqN+adyadGNoG7bl9sqDB4BfpPxLVr276
Jj1SpALGdc1146hwnZFOB2AS8T3vRP1WrUnGrqOQB0TLlQ+mo9+qNvRbbaVOUssun+CKWK/ho/nz
79Hmz0tNd262e2ZGnTQC07lqk3Sp132v4tKdm+1uiq4KxfUJLK/L6V9KH38+0PRbGaVisB1HDwty
OacJWgc8OhgkSwYmYffe957HzdbTUwKKyLVpX70NXvn7Wxe9FStKUWOWE5vF1r42lk8X53uXvSlo
ijaxHLkiTwTFyJjL+Yc2wxdP2b5pYKhG1EpCVSnhtGFjAQAuotq1Oi3Q8n8J8H71ETe7L1PR1rRB
4qIrz1Di92ieU4zqnewfykV/TnV1+yYpGeQ01iSlJ37O4jBF48rJxd6mnTmr95B5vpWm67cCRmmu
C3PKUM5VC2DmG6eP1t97rzd7Um30cZg7BU79c/QofW9h27cbUq8Y2MqMCAwl3NLUh9P+97v9IpLa
N0ewGUZIb16rlSTbZICcyK+quPT/fvEvwpN9sx1VB0vhArbjtVsrxu2sfe9p3GoR1XNq0BnnEXfd
er7ixVd/v98vVt6tFBESBo2KftiMJRyg4B7h+gzM3LmZUz/Ul398yBe751YXSDUzO+pTPoS26BXX
wXxBB/Wldd87aG4FgjQDv5CoQ9PBbLpkZeqKVwE3/PsD+uKFWjdbMzJsJRtsXqgRogaH8sM/suav
rnv99/9pH9joiRfzzD2rhic+pDT4++3+953/kNzcagLpvTCczBHTXoYTNqMJmIJJm6JDijqrNP1a
ohHEI7yiDq7G3HjSJEPh2ppgLmV1ZTLOyivQXHemagMAhubRxEFaaww9i0AsT3o5Xyf9+9hWXcCS
V3VQrY6fnEL37dkMqoWurBYo5ujRMHN1JDTC8ueVHSFlMlCFt4UiCzeHg4lg37Tke13ugWpeOqDd
icn8HDXZwnpnRO8rVFkRrT6TkUucl8GST1u1b/0efT+79KTFPOTRvHVSfjz8Nhim9k+LEq1jmElj
cd+h5x/qD7YKMqFQ4aM+IWAHuuDn3x+zYV2jxZ+e8014giqsKOSmAuXuHq7tczg9GeCNJACUlX2p
Zp5P+CZSKVAdbTs7/brP2t3cmcwwdlY/M5cXm8I6liHK5eBTdZTLJ4dReb0a7V/XrkRW7VoLMpFa
BVcJkknzM2AAkbwDKhhEOoQdfjovd032K1XfoT7AcHgsGRyW+mZh9jwN60kHx7JEyBt6oim8BJx3
Ij4qeF9IGLl6161ywMLWNMED2uhKus6YbiyAknIG9cYvXKNNsdeGH2PuBIUtAiOmSQJCe/5ZqT9T
nEomsU3BZSh3fb6WHHA3zGwbxW3r7aR+0qZ3hTk8ZV15V0v9fs4YKo1MKiEpd1rltkDKQjAmmYYG
rHieO5DS4/0MZD4qeBLpyWImB0ENjBQqaAmy+9Lw0MUNGDB9k8e6O83SQ9WD+XxXlHk1UGzWcbXO
lux5wv87T56rZfKrdq+Z60pmVo+e46C0nsUPRfG8YIUsDHGWYJA3Ov9ZTUYQspLsaQDGh1ldsQ1q
84QO1mqqN2bdr9rujIGGWyaDr+kfeXMwZsNLzdLVhPJSdg00RTDp3NWYaD9NZNyxmtokDqrrYhzW
8oKzNZyUIu4epqa+or80o3uYx96zYVIMquSB2wim5B7ctFWUfo5AuSUprkjG7QgKP7JyF1vJpcZ2
Il62EgQr/YTBnpcDR3eMDKMM21W4BYOPbkCyjBFQrOuA0Vf10NPDdquE3XoUJkqnzk6B6umEE5yq
wo+tfjMwa+uT2M8BK2TtFDTmZz+G6yRxNiXammqsfZQR0GkIWhEDWruQfTNRvTK/zK12lYhxTQlp
3zY/5eqvxLqfoTLQJHVphwBNdfDPK1zbGrZ9bLjzlXe4hICJXnOnPtsLmkxMUIyVBB9Bko5O2h9r
Br/N5Bf664z97pIcLOTvhg2F0D39sjt7EQfFeVDi31MEW1MBklCDbDcqd9IfZSF2ThbQUWIuGgYG
eAs+ejVFa6Z0lmO6Dhh0YEFOh4XDUSgycLESEGbji3x5HGwIQQ2wUVlflbwxvXxppxeZlQg0amJI
EI6hW4QVUKli1UWS285okGD7sjjWShMv6B53SexmExSTAmTqUqyFtpOBOZh9DJyNqWUN2jeHBPBe
ZRq0wm2TaqvY0vBJROavgNnYHpJ5WqMChfSgn2aXrLABDvweNXuFQ43S7aQScjp9omnkhY+mq6EX
pMkPBqxriDvIh6vIZ3XGW1cV65hphp0+FvNDJwMwjxyXlwHGaq/CGHZK8PYO65hmZJ+9SEWLMpEG
F0Pd5MI+R4ZzGa098K0C2HOd7ASK5vW0NlvzOBCgre5VyuEEZnBFk86Ta8SaU1IrFLcYm4CezePM
z/vXyWB/DsB0cBwZtd8oNrqqDAFr1r3aeG9At/bTcz+VgZxYzF7PmY1spr0BHKT0mTvEeEdeyY9j
tquWO4UjTEleugFUfPrumPqmrk3ghu3GsWS6c+OqgsqZG+NKktl0EH7uzOJcZSzjyVjZ4PplZzM7
x9DCrq2zUIyu3LF/shXQm2DsvSqLf8tpvoviS8F8nb10PRCFAQDKetFFSYgs/aWPXkKmXT2w4MIp
jmb0ZkdA4VlwPfg5gT/MagY0VLNFZfs5BelRYqFTZcu92chPBZj4uYBePJXE5dR5KyQiYjxlbZBP
pmf2k9sa9J6NtvrRjuZ2lA+AUmPUYtB4gDqMAqlZrrVk348/lfaY5EdV/mGLaZ1WnMoTQ8nuKpkr
9qrOsf9r7pttV2tBlj6ANfTnsDxSAbg67w03mDa7GDWazNAAewd8bc/wKCw2iuUcW/U4tj8bJvKR
cHvE680eHcOo9md7a7TTqrGeevuN3pKXJqPXmM9G8amZlzH9gW+Yp0MliUg6hvKnBY9hwXlH7axz
m97XHXYp0SVtn4tkzY4KRMjVjDw5Rtl8L/AES6RdJiywdERgMLhoq7pMXCDigWrK0g5OsL3rStkV
BeCBokv9IX0Iq34/lvA0wOKYwLwbsJsmmQnFlOk4P8L5Qc5KcLgAWKL4MVou3IYnAzqS7fGnNoaH
Vj5L+pNIgp6eMFSqKRHbXNpZIT1h55gxQqoBsV/lUorZ+hgqTpzxdwU3L5nzdTFMh96C6uawf5vX
0FG2U8yUtQPZKbFYc1mGLxOuDIZ0V0tbKZlIhQWJ2oMx/EtB7wtNC928qXBizBNDCDFi78ynvlO8
hNjctTDDm09dpEFJatUDdEnaEhMo6OzwB3D/9SNTckUM9y35XNTiIQs53MJLWxReYUTkeapXsT3T
ir6jve2HEdAVhPekd9tY2rRDBSrcgat5cXKQoWW1NntAVQCD/55y6cZXKfPN16r6eMjqeKTTO4JX
zGG9I17TnGN12HRS4yUEY5jGG6EFTb0cbOVHa/8CA7tSc9OzqnEVL3AvIWLVoDym1ICRfYfDyGqB
FiEWCKSS3+jDHlhhMp3TOvdrJOfN7H4oIa2m6r67YglrElRGfb0OK96q3bx8zJRzj/DB0gvPrjRf
DmePWvVXAQnVyZZ1EqFKxdBgPmOYvq4gciZbAU8s6e8NUEzajAeR/DQizWhBJknDYx5/AKU16nEn
zIeUcyoVpR9RS9qDdUwzEGl080MyKwhszBmqDJtEAXW626EUpKyKJoFSvm6h3Aum0y2gIMLB0r4t
zR7NHzIh6MpW9SJLSF/TSrzK0A7SwWiih57ANcMEmLq10xwd49S2Xp+c1WrZyOl25r13sLnCCFSx
VG00NXIBp5EX7MI6CPOtKjrXNGNvIZwZFnhOyBa2DjhbqX3dvisJynIzrNS+IooD+YRIpL3rw4Mo
HmL4Z3Rhq2urOjnXAOVQzHBaZ51kJKB2IJnw1DT5kOSnRXrjyACRKTyNzKkeH+aUOWm0lsPjwuHZ
Nhd7sb1IDaRpJR6s7thMyyq8zlrkfbSc1fLRUu6NrPUxO17pDMmT4ThYrx28zHw7EdZM0mVwAqv/
cPHoCWS89yV5sxGbyKD9d5dQPMvyOY5+ju0+SV9CuNUJa6Fg/WnGqY5+Oi1cKi6cPlZtcnW8Jtcg
4NpQ9xlp4a8QRvZ9DAtnssAtY4TmDxAR20J+nPJzxVzdwnkAoK1vF+rWUZW1bYYPmHL7mbPHCMPO
2nVdA79X1UNfxduS6icEIl7lJsgpXo8zMy5onqvurQgvXfKkFM4OkhCCgNpjOA2vklzvc7Z0ZX0s
5nQe8f7EeQGbN6/E+Kyj/zRUj3pPhJAhMsTVLgT9qSU8ANjSiRRdAHi5HTTRUeYQmM9VEWJVNq3G
8DTj3lmDdGveQ+VhVKtVCxHDsdAv0J8MBGqLBLasnB30+mnMg2F6TbPZq4YdcmVXo1DSVlBYOoFR
0Y4lW1Grz7gOr9hkcODhMWPdwGZ/V9KHgfRC5u07T/C78B3pxXsb7jWmwuo97RLSfV8FSNwvR0M/
JOMU2LbjoQDSy/uZ86PQ31KYDpPzrNu/FSz9zKTyo7F6sPToqYSsnSAzggZKjwy8N4RA42NOoIz6
M0LbO+AflRxRhzkOCuUj7GffnkgDQIW7rb7R42AWDUz2vcIQMzepfbuXLK0gRGfg5gZI7cgwjN2T
LXV7ucI0pol7amYz3Cyk19XQvcYIZJvOAAcrDnQHIQOmRCYcxLEH51n0fgTroNObR3NwtmjqnwSs
fmsG1Zp7hYl8mgLxTnFcgcVOei3FBakQ7P/BvDcg/8fh6cqiQTwltNf95DCbI4xHsJURFiiWeA2h
qaEGENdkDls9R5rWMXDfMpo8G9KE1e0S+aBWzxMNNC2fIYosbhaSkcPlUEz7oV7wCbm+T2cOynHT
jdvrIaTmzWei55s01Fwo567dQojQLzMthIJukwQla8kjD8IHkhXbZAAGbW6madel9p2lFxBrk6Om
IZKbAypsej+OghTRFbsrHkJFD3qYMFE7nEJd26GbFswx0CmB2Vs7bRbd3lqDvO9y1iMRyUaIWRg/
JGg/YUmA6h4iAP5t+za24doqwDc/4tlTz+FhLq1LnomNYoM8RAjnH8fZF/2Dm0YhzCUeBpzp/Qyx
EF503P7++4X/Qy79oTNxK1UslNEUutpMe3vonwhmpxCZnskkD9UQhsAjaib/twtAn/Zv5BrIQUwX
ctl+kZS7bLK3crc8x/Zn6kQnJ/z8+0190XO9VThuF6cBP28iG5brq4wk6ApRFnXl/f3y/2F5/vSd
b0YAemaPY5Mz0qtlzesX+UlEu1LFqkh8JtIlGhQG81tFgDTud4IzcZjTU26dmn/a7/7np/anO7iZ
ECBQXpmsQb4hfZQFhr06F/BBGh8k2S4UDqwLXCaruwkfhQSmc8dZVaicMuWhr/dAXSdUFWxV/l6v
37xpW8YQwZKMwfg+lgJFPC3JP/qLnK5/XrjmTePSMkv4G5xXe8j3qwaPXbpx8BI3QCMuFM+QQ8o9
CRBWHrlbMvUvk48mR6he8eSlu1ScKEusew0kNc4CX4cqPcFbyEvK3/NY/9AifW2Yw1pf9F1cj34s
/dBBiFeafedUr6Ie3TlK/KJ4bhbLFRlsuHrbdYdwfi77xkPdyIERq/R3bZq6BaIiLY3mJrzX7J1N
NCWmubV5gPnXNC+ZPNBeQ9sGM6EJQhnRvasgBGWLa9U/kArJQ9hsu35EkVv2QIEMhUXyCE1e6l9i
AuX0f4ydV3PcWpal/0pHv6MaB8cBEd31QDKZTHpzRYl6QYgy8N7j188H5p2eK1ZdaV4YdJkJ4Li9
1157LTqO5qrYkITT0OlONpWBZqiJKr5kMcFiBlEXAY28pzM09m96Mx8cBaN/U+rY+fl14O5oYlUr
7YrNbVwduiU81UCEHjjELIuLFCGujLSg6mmmFwdVZycIutGjWi0f0r46a4f4YAMfpa0XKwnbk0PW
XNZAbFgtJdGXdf5RVtFVTaNPE8OfposRhRZP7vV0HSBXXeFrQInsel2T2zZJOI2J2zlVJ5GyVoqz
aKYDfKKdMdqH55EWqE1ZhprW1/klVd5NWf2QVXOR+8tZPmzd/Zd1/EfSri/ZRPBj6Bs0YkfKeVon
nDi06XXlH2N242U3EEURdwrT82B5lYXYLW76aPvvQfxVefFZPSEeV1iAj5RcKztpPfd0Li+c+rG3
9dkq6x9TV170zkrO9mLVFURy2l3760LKHXomJPLqFFWlk9EU9yvN5BP9Ru04n09VCICUX9Pw9uYw
HsX5iw+xIM4rPHM/ZQDEw9ZeiZCiXVNgJHtViNt4vemJHtsl+qCdj0vaXgXldxvTVauLs1k2u4W+
gmEKblUsL/tIviYSBALiRuB+d0ZJ7zG2Wp1GtrbGaP1jSt8W6mJDfR6gr1EW6j617m/qIH9TzDHv
zpQmS0emTDgRdYyghk9zFJ85PhSSmO649XcMh7/Zy9/rcqPWWnqICE1XffahwGZYd9cBba2/3sn/
Jsd7L88drCVJCpHUVeVepBGGefPyu/zx3+9b+t0RYSORKJDd6WrubobxiRPgN2/8N9Wt95q4JpDV
VFqQ8gF5iDFcUQZDRA6z49L93fH2N8UG/W4317bMu2zVDCydHHXW4yFogMsuUyRLkvRD7O6X0mef
SU4D5f+mWP93w/xuny9X4dplu602/iLtFhnS04cEwK/H+e8e2ruSsZ/FcbEOjHOkXZzIr2avpwEV
Ebrp268/4K3N4N8cyNpjHvylwJaGPUxaLTkBzbLt1IekTW6zWr2KCJAea96EnbUXX+04k97mt0X4
yW9JSTYnPBruUFk6G2qEw6LlIqvJaN3qNTDFoaffkuLdeTuKXZrmVyXR9G+u+G9G2bx7Jq5ZIjes
Z0qNdBiamLKCqa6n/CmLX6b6UzT3qKxFLyuSXArRjyBD08c6SJr1J84Eq6umtbOjGcmvXEpKX0rn
a4oI/K+vbRv0f/MwzbuH2YWpQF3OB0uEd8ghsoAP/vqd9XZ3/+at9TtUpyEPFoNiJvRlel/oZd8U
0S7op4Nnln1FW5oj6pOuys8QrkflBzWOsnoOaBASgNpReeGn02lqPosUJmUlL6k2nYQxnNT0tLKv
UcrOnT01m1AJsKYQhBl4grp0CE9oQUUdclrIpQVhdtH5/U7GL1n4JdP1jv64i3rJnqtlvsigG+fJ
vaSYX2KzOgSfw1CddsG+TJB+WOdXNatHXKNBCeRvnsrfLY93O/mSBXHUIMl/JfIKECQ/nREMxuyN
Su6f/PX/+sn6r/vnf/Pz16pe2iSK+3c//vMm+dpWXfWj/+/tZf/7bz+/6J+3X0Ya36v3//PTS3jn
Pz/57Ev/5acf6CtL+uVh+N4uj/Sj5/3b20ffq+0//3//+B/f397lj6X+/j//+bUayn57N0Q0y//8
80+Hb3QtbRT0//rr+//5x9svBa87lN+q8nuXfPmX13z/0vW8XIl/uCKQ0vNxMVLellpN37e/BPof
nqs815dWuZ5Um1tBWbV9/D//qf9hfFcGgR8oK5TU2ybdVcP2J0e4/whcrVwsyb3Asx4qzf/34u6P
a+A4IjyMP3/+j3Io7quk7OnBku+KzsZ4nhaSN/Kt9H3fe3+WFVK4pW5Sc6NSuXSoMTpBOyCWuLSQ
RSsTcd5X1KNYN7XC2m5IBtkjTDN50EULZbrd4lWOufTCcaTw3kPJAgj2Iyx51DJicNkZ2rMdHwnU
E6ShXAzyYhW+xmvXxWeZ10WvaYj/+snUdZomzWouNlm1om3swZcTbPt11yOk4XwegsqtXy1Fq3aH
453nnUxJvEkNLD5x3QxEHT/l6xDSge97krKV8SnCnm73v14kYhjyP7b7cE8cg6Sqh9a/U/pPkR+m
z+Hm3vRaT7as1puxz0RxFc1VTuqKDrXzlAYZmg4FWrQPQ5DWYbpTEGX5Hy2DCP8s12tRLSqn0S1Q
kkpdU6FDKUqDLFgNQeEGKZHBedJyID9I5pkGX7dxt5dkiVmKqzYPShdXljSlPTN0YuW9TDadqgcu
k9+YJsdNNFMN9WGVtUS8rcfLP029X/uoN9lIPYV9HLwMnYNMd2bqMWnpi7Ya0Ts7pFlM6phNw3dJ
c2hF/FkK1K5kjb/XwRopsarkHHJ3rpO60Q7YN5sfJL2SzWvc9Ci9yEVl9U045SLbj8kaio9Dq6OP
jcozNOfcTvUXPdK4HZ2hs+7OQ1e7LFuvLEBv+YGuM8+kV8ZGy3RIJsSonotiyac7Z13T9DvOIK66
WUVXQkZuZTXvs45H99I4yeQ8TaEyzWuplUBlOs1LVHsrRvJqsmvUnUxDnRbneJtMIRWisHmOoyou
DvkoEYSpstrJzuMs8zKS5CrR5ScpBhS0pKtrfavdZhm+50nNWJdIdmTfpNt2SMQMSqVfeM7x+tDF
pn8b2M4FVMlr36rnAeY+KJBtirx7aVU0GDQnyoWJlhHzE2BmxqWuXqT16t1RLAjii9ILA8gAS2CD
fZT0MXlZTBk3PxGs8uIq91FrxRg57uRZ5cV5fB91OQ9vLCuY1/BAEKLpZxvcLYCp5VUWBeFIBmfN
deIiq/jRHTeVNi8o8+BiyI2k6djJehaUnzr9wTQacn68ONzt6Kd83sho94+1r2k5LDtCjzMH87+P
SLwj7VyqMTgXtfTjG7eaKm+PTWZcX8R6GsX1lMGW2It+ZZjpo+NrktTF+gydrFffFpee7LlVOrs5
XnTZrUzfwUjkXm088z1Koqv77A8eik1TTmFOGTrNHkLhMgouWYWD1hSGpqcjBUse3Oiuw3fxNiMj
b5jKqzW0YfNStVk6PyxlnoQ7pC4z56K002IuMQ2anM9dFiffqhwhHHSEIpU+llEeyvhk0AlA8Ikp
KaNeRc7IW/BRnj4szVgja+86VBfjWiKNWMtsPpEiyWYwW28B2Q0XmaOQnUUu9fOpohgLHcdGh8ok
6fp8vNNsBol9GFQmm9camWTmvxG9e1ktvbsrorRzP49oI3vXwtHTtEdLk0dFGsG9h8BYxVWKLDaM
mFKFch9EigfmL6p3P8096G4bBejbadd0V2WovOzKJjniSbYq2Yn8OoqHQxINknxY9hUoZ6764I8q
astNqXSEGtVEcnyAcoNcTVcYWp57rZl4QqyWp9MtEdIX5PQ+McIMj2W/DmzI5064ClZgUjOLBier
Qxb+mO1DqpHVSTo4K8n6NHxba6+KH5OmStfLYXTpo21Hr+kuAtL8E0ToGrmf0CwCes5ZkDciWJ3m
cVFREn8ZVhmLPcZ8UchneuJLlNQ5GFecteX8kKfc1aGcK+ayMxfso2oKFhYPDaJWXhJdp9UlrTBx
yXtPm+BNCVCU5TRTL4KNWCyNEz9ToZvNOXlCOd+ONkwRgBodi0r/yaqGKLpP23EYr7WPOeCElJlH
0S5Ht26EZFh05YYVG1Gghpg5+pqCsjT7ZMgZn9ExM+H17Gm4JY6dJbSBBeLgyZRJdoHE9nyNcidh
f1/k4jX7rovQhmFKmgC8puvAqhPl0JgBA+74780yKRQr39bX0mL0eiWmMM+f8F7rzdVx3fVsgMuF
DUWC2hydMcFDWTcWbEDqfv2QNh4YQZ3X/XC7zG3mPgx5iWRrJsNGXlddwvuxg8CPyE7CsIcjfFYH
Cas08mnrc85gro/+QzAE0fBCzGSLuxWuQXbjTj6go6Ay5INdSZWEF7EafUs7km0Yn+PiH7N65Oir
3t6xWWsm5vH7rq9H52nhVOdIzSS00zWp0OtKKpPV1wJeW3xz3K7yt4MvD/xsRU9zWybRGHIEz4ac
ZDlHeXhb0HOGjw7Ic2ebHq0jZP3QZv5LKPdvoiO15SL/L5HwTeB5xoNIHvjKDzyit58Tv3n1pjYa
PYgqKsrZpYV2squimOLhHF+PyH/QifIevMLmGtgoG/DpMq6ZP7mFtumNMJYmsHnbz3t6aBzIUF7j
sYcy5d0G/gIOGA/Hd/ZFYxBMnxrW3zAEPM1Io49LWOC5Pe4k7WzG/HkdBSfNmlUINy0q8QDcl3rB
11x7L7W3oicrc57CeRZsPJe81K09KHeUN+6QR+LGC5wGCbkgko3z1CQOfI6iSLwSUoXDbO4CP+wP
MscbHILBrH+T74mfUd7tYdJiIW0g4G/5rvu+mGC3kLbilL10g9hpd06TCG1Oqkz03t1iUFrepUMk
3LOsr2lGkU20Iv9x3EndROFW8OvB9byfsS0ULeEDSKOt1oGvhfu+f7JcozBPM+S24i5M5D52pzr7
kEc47zwqOivWy0rpTWgYcWIkr/OMdR/H+JLqE1SW1HPitq08QzcoS3aYvdEF6iDSDPWLYnLenjaZ
YbAwOCksjtC2gnBapwFq3+2Ebsm6hAOO9K3qh9faU5DXnLQvAKkGiCZ4MuTJJVvD+qQqjqh0tN+Q
N6TXQ+e3iQyK3RJUDaJn2eOcrJ/0uOlNcYyesrf11Mr0adnrW1FVH/MVsspiHLRixbmXxecVlDe2
ydPZZpgNb5Cl3/S3eeM8DDWBX0b5raOzsO8XfVpEwYM7p/6NHNCtLQKUiGqjRvSaluxS6OB8Wgfc
DoaE3OMidUU37+iIfAxDS5M5WirUelEX0+UcnpbeVMIky8YHENXDWoyHsjSfTT09wymbkVlBqgZX
rEeBrJejfcu8X8EijAEyNnAVXYXCaSxM910Li+XsFOnEnE3eGt3nYTn2X11b6fQ2BhvvTo/xqIh8
v38q6ua2LRHwXoy+KOf8Zrb23sJrjaRzAwJ+F7lQQhPpNPu6Xl6HNrsyMxTQJECrdA6+dKVpHxp6
j/a6VcmZTCd1ogdUhyJJmTleEEDk4+oTMfYf3GbCCspzz0aZ3cdj++SsCcLL1Te5gOZHje1O+lz+
0cbw5gTZlZliat3RJcT5eyeEP2jy4dITKNzPY/o1lhA4G5wW8hRqVtCC5XfNLVEHcqc4kS2ZvY/m
5bNxzBNNzN1VbUfcBKPVPyXTkM/Z0H336RxYjfJ3S7QpSOf62Q+6H26Xw3eKh29R1H7w5ACCLJ0a
Dc7phxeuD8bCQAyRkJFrgYhwsAPTDp/qhGjfWT7ZniJ8XcPYobZxOenVO0ubZux3ToCe4b4bCUtO
p0Y4J+zWtyL0924K40+736TxxmsCTHSV0xQFxX66QZDgvFDpTYzI9UnaheuZ7VEFLTSmIJ21X1Il
vq95/dBk8kln4adl4ikhpRkitp0Iu8OcEOObQp+6Dm5ZlHAGjrlJNckr1TIvYZK3FRY8nVy7fUM9
hrBNGSJ2zHj68LpqnBm9WoRF7F3ehohIYVSRXMM069A4FxzqZ0koBAI8nMM7p8jSb1RsIG21ke6T
ifh9U6mlEtp/tmmR3hTRisA0e6gJfwPdyJ8BLd/oQOJvLzyBhFPgk/7/fA7VMEdhBWbxRSMiOz4i
5IMcplv5kdwlsqrQrY3cQkDp5mkhfh85pbePu4yTE9EdOT76FSHMZToPFmnLKmktySdhqLrQnUDD
P2pjPF6UbghdozTIQ6waQBCvh1gL9Ff7DdvyhhwJrxY7k/Bc9UuPOBhPF72zSWJ0XxYz+3db5o5z
sFkXZbeDGAiBfelCrhs803tPEbYk+jcntHzrZ/rrEW3YuF2pQDE8HQQucMhP2OzaWUfJOINu1Nfx
+uzVtE7vRT04H+laIHZs/JwMqplUrC68OkmjW3Y+fuMu6OrByYLpdDNMSRGyK1CIuy8babozdqv+
phyDOoHtWjWQm9Qcb42j7NoYCMz+ijPbW5CvQznpiyGc4aF2XtS9juugkHLXof9wjFirtSaiU2+Z
XDIJPm9NfCbqrBa9PIZrj6we30bdTuMG80JZk5hJTT6Xlw0hMTo+BXxfOQHJVv8WHGQ8p+687GsG
jEibcEGFdTG/ep07jeqEBo0y4qBJsgGGx+iRXNi52Rp5554QeoEQSRiRRn32Ioqpa4hUZt6jnjqs
ESBrjm7z2ri+5SPiiQi0L6dkfUZIGdS2cMPOv82FJeWfSdwwnKlG8oVymchEjh/TJ4rL69OYiAQX
O4fAv0BYjOOzsuTN7ozM/0uPSkF1t0QFCHhAp0GHin3BgBkTbfdWD3EMuPKWBwVxsElVluv2GPp1
Hr4Dk3FdQ6Wb7gVRF1421THpV/oWl+dxTCTjYsODGuYSQ4C/On7yWtcp3PhY0S2DHv8bYnFMno7T
dXACbssSFnSXhR/WWMgsjoK6RNN574n92FuCgMk2PNFjwIXALpcm5BiDgGTJ0p/nb3lgkDclMKtf
TvED+50F0vUDao1wedH+R71P9fN4l0d9Uz+MXpk2CIGZQCF9t9iedSarbTJ7yETju6OlICqIMuLR
H4Wo8wWXkdjYs9gCQBxMiNPSzq6a7K/RPsPpZqg1dGezrXL7sdZhCJIHVo0/gOOMgEx1mY9njP5g
rqUjzZvdcOB3SNuPuTeeIP5J0ldlDeOQNSG0QBCfLR0dqrpDQGBb2KMq+U0YZyu8v2LcsAfwtJfE
kbJ/jX2rP6mhS4fLvBdgKIA9DEjjLbwXCqhc7jHYNCLZQvm1JA7fB4UomeBTF3Oy+rMn18fG2JYi
dp4U0640HnlLAPmsvHCh5PYHAI4OMKRa8H3acQKwqjuzsGBsXdQv0TzVF1Sb3Pj+OFvg/GK7Qnpa
f3XzImnv+qafwn3qLeH4VBI4dy/K8ectucxTCZYXci9XmFGFLcsfomO2Gx1XON/KFG+GzGuz5Jl2
Ubc4aWp3QmLYCSFdTaFJ8ZOYJiTihXSG8tKOqF4iSV+0WL/5Fjpwma8swD93yNGTjJ7ROIdRUIj7
4qL2Iuv9MYcZa6J+y3/mss1YDV0T85xop2X3sGG7LZDjHAbb4+ajaeLmY/SGSRyGJk3UcyF0Ry4e
4uDWJjjyWj+Nlz8wF+YfozwirDjVvlzMGZLW+QezLmP0IKZphPYlMybsqyWdWU6ZJVr9EIPPZZMx
aqQtyuWymkwOEbHzg/5QkG8yT942WwDkXPNctT0t/ZbE7fjwVBJP0WkSR2Jmb2jI97FJFjH5yLhB
EDO2XYQFKwTgcGyS5cZmms2qXWoZ3nrrPNuHaQZdoQinUG6ZQ07LGEJaUM2fV61w3aC0A8D+sXjb
s2yr4WNhhlqM2OdMhh3H4Jix3kreV3IuevX6fMwucBJhM0mGQfg35P3V16UxXnXjEnRq/t0fzsJQ
zGjMVmKbrZPX4m9QqwD5z9NMjHR3GJaDRlDVkYiI1iLr1CYf2C0UUfN+S+baHMUpHbeDe22z1vGJ
8IZm3oMYmW5vTLKUV7W0RXURLD1tcwjNxZuKbUJncNt442bvp2R7dtxzcvxY2QK1ZDSOkHBoTeje
6KRpYaMpu1R7zVHwmdrGgmJwPgQrXTRFIWgtAV6aLwYoa3QXsMfSl9CuRXPR+gAFJ3OPrPk+G0Xq
7RX+e+1Z5buVor+GnOFsJjSUF33grzwthVAVuu91WYzXCrnxZC8VawFCZMgJRwzJTBVemg4HTzUU
1Jak2TyWEF6ugUyceXH3Ln1eiOMpRqU4DWUry49jx9kIh6NqXwqZUiIQenRILiYmzwaKjCMQeZ/O
p8MSaWZ8OtaQsYGMyhNStW3RpjR/7cbGpdpBtLLtBiYpOSaZx2/HJF98JUSFKUFZeK9+sGzLaNvj
5wfSMFl9TBJHD/vVkQXLaLKDRlwyH5FCfci7QYXl7Vz2ANhuEa/VPVhUYx+D41iE63aWZcLnwGsq
CI7LuQ/uAw4FRJD5Pyy9RCuCu33eLE/p284aC/pETmP8zbDCWES30trSMBPk+fx2rHqRYN85hinH
EEK/bfdHWHRCm5SrZyN3b8N16ceHKGPzOi8ananHkWNT7Ru/bX+jj+L9jItY33fJpgMjNGUjYUno
fw66SLiIsHr8v7JktOoiFQHpOXJJyMHidbQQp7qRRF7mmNYHruM1r+tKuzS2NonnXUxEIOE53Sua
4qeZY/voqHL4BGmph/I0OhIZDZWi5+1EWGPfjOuMTrbgbIfFE9RmukWlhJaR3wACP+sobXdlXUk9
iLiAEhHIwM935dLz01sfd7xjpLGmGmZ40YapeyYICZoXFjhHYrIkc/w4pnlqCQtqEX5Jc4IpOMtZ
7rCfeUYE5qJYEoHtsJlZE72dWBPxG65vURP4vnCs07xsRwRcrpcEjOmMjZlwHavCMngc6XVrLsS6
rvi5OYOIPtbol3R3nF0jrZPKYRL/+t7fgTPcuxCei00fSJeQSrz3wu1XvxJihJq7qpJAMcvcwCIl
utAyq3QPbR1RfHjBofXJGoTNgNKnbvToJFsqi6jWry/nX0bC+L6SLhNLufQPBu9q1hhyBA39ER4I
+OBWz1JK2pmcXJF7uJp6z3mcE10esiJ1RhhqBl3kX1/AO+FGn88XbiDJtwKehUD7+ee5EGH1oHQa
zocBvzj9ZXJ0WL843sg8JxqLCUFMheT4UJlqt8QramBdn3Q7oulJH8a4qPqTLljSfQzUWezdwaOd
qaygkFQS3ipasCV2F7++5m3R/TUTosBML0QQSOPyQPz3/qDWFF5eVlkEHr6AtAY4hVBUMEEzwFCO
XfZPtyzOmrznuRYrjjAJxcLuNw+OEva/XIb1LJE1VyCE/pcnl1nVGDkL96DThfqfMNHmpbggLnyo
FhLZx7bKI/OpK1G0F5u3TWAu4ceRXNYg3IgWybzz7tKVJAF0+y2JrZMxmD6Evb9tGonLVycJV8BD
IjogcmrA2IWcV2XZJDe69OMA5Gn731QsAI1zMLD9lO5gmnOq7Tag1smBeXmMv9q2Zka3QconlBli
JYcBk1V8FYNFbqlfX9/LwDHeE1PGOvs09rLqK5v7dM9DGLz7cHFb5NbfrjOqZz418jcfQAGuHp53
spijJ8oghGFS1u7HWRl8uoawqStErxM1fFhm7XS0vG+3EHXUHj4INyzTH26m+hRBb6MKbGGUQoB9
kG6GVU8Wdfq+VbOT06stEuxthriLb5wOKkr3tkwjDfj4WJuYNrt5NAobOCq7+zppO7WcligWVedu
Nq7ZTQe05ZzqXJU+5ClgzGrfG71ldW+IrIdqkndXD4LnmEJIa/dBpmNBtI+o+D3TymupCqeDd9ea
hLvGJG2lFDO1FWWe47YnZifQn6J428idoBnd+EQxb66D0aQzrBxnhPgrErlws4lOeJ0OBoZk6SZm
g1NGjt5NtCabT8WEHNKJ3MCEu9RGmBD1wPb6U1A2bAxr0nORfphh5eeMAf/jD8hz7HpXJ8s5hRck
/EMRzSHmQgvLuHVAc+6Or/X8So+PcqzYpkHPmH+eqxk+ZHmZKMehlEYodTGHI+M025npQiAUtp+C
Cp2/80L0QP87WFV9dcjyUNQX1dtTKxzDxQk/qdMf0zxEDs7Oa+ztRGeK9Ecf1W7K3OTuzwa1+Sk2
2JNggrdSg8yxwQLNenTjPE92FtXe5CaO8nLzMvKQelvRSrB73MLG7KpL/HK49H08a59EYTGy8WdT
zrC91kxTCsjBNIsGWmrp0jHxFObdjCsCXIwDzebBw5xGGtGE40CjR8A9OvD67QUu92rzvsL1qLtu
W0t2KVPbymeZtZtfGQM2xDcY1snhkNGLFVD2rJcm/WGaJNSfSjF70yFbR1PexK6B4oKgqCV9WcuU
dY/M+WjvojgJyQtLAq4zYWtMA7xS5942A+YWWXY7NHvK2A4ErKSkCcTx45JcY57p0UXpMxqf2qrl
8Ro7MgOM000W85Y4gzugc/BP2mK3tZgz1UKqgLBCDVQtzYivXBMd0jpoapyBfC/j9XE8wfXuqIT3
H0lfWApS+Wn/O4rn24n683ZtrdKeMJSYAiPfaw9Hga79ZFLysOZp8OoPih4yP7U9Ku+9PQX8B0aU
ZuRr1+jGPZSwCz+lsmxzUPYSEQDSvEnsYXgkWyEd4L+KmF4fSs9X89nczLBqtrp4cblI1s1j6fRh
9uh0Aunhte7mfN84pM53shjy5oxq64qM+yiCr6ope7uXbd/FLzDxa3ADSvMlpZqp39x5moI+GVMa
tZy5QyBCjFxyIP6GHM3QVKQLlLzjODFIc4eNnz3mpTejdsx0Lg81KNVync/ebC5piJnrU+Ixj06b
iFZ4cqER5Xq/Mrd5m9bmNwWoN8LvT088EATingYtdCnnva/m+d5KhxisqsPx4bICG4+2g/AruCh9
az2ckdcmy2FoZ471P9RFHD2GErLNSUoeKU6jMEWrvJY1Nk7MTYGUZMW5Xm2/QO2gUvfoIVt838sg
QCCkoFeUEUbbogVCT6/lHMvotFoKmVx2ipIhwvNJP4jTYhqn6iaKx3h6TB01PprK0l9jQSraM2Zo
/xSNo08FRg9wAKxe5A31/eFhDJvgS591bnLwxkWfz61bkhiXnkKfhRwxP8viCuwidaew37Fqiz8M
pk7jKXE96ijtMhQohcS6uZlCto9Ln/r+KbEhaJpaTdKiNjCHuLtGWlWX8H/GVz8PhoNt6/bzr0OX
nytxRFuB0B5faGMnoLDqXZ21iDZY1Yz6UM3O/JK4azYBCwhqPjWmvIgPcgiEqGrMfQcR73/Zev+m
xPvGhP3rpAgY8CDw4NsZ4+rgPf9taFpZFHMhLydO4+lsCSbqQVAmOa2Cdt4sOkE9/YtB2gFB9gDP
mBsdevWXujZsDUdAFScKUA7Ze1hhwxNTzbMi8PDPXbfEEEgPJA1zFfKOxaQX5DLrCAoWnr1OA28v
ifC5GusN0gkWd96MIcXyMSX2R10RGheIQ52lZnzyfCf5IwS5kThlbQAnbCreObUju+Eompo+85w+
3OvM7TNS1yT0ILlMXbuBG8gqpnhztRs6NsNseegyi9exAQf7FncwH06dtnTzO6cS65M3LMFLYwZ8
3LoxnC4X6Iu3Iijp0hAAzbQgs9a/khKv0a5oVp5D/MbsMmDRy6EmQkB3IAmxOsi21kp/AS+9qCYd
LJ99qiSffj2E4l9CTmJ0qq7auq7VxJ3vg/VeNjWmPDX1KM8BoQTpIEHCspkLO6ZyWdvxfZ+1a/mV
sA13VzEQjt+lVQelIVoUYIVVlGoPmkrtDycbo82WJgjXHec9TldJGtIXduLWyM3NtZd3H/O0mDXM
FCPTc0V/VEALjintLq1RwThxCt3h3zIoSqFH8kLlpHrapRP3cUI2qcK7oJ5l9NQNgUvPLZbG0Wlg
M4MC9GC66mKcK5qfYx9zyN2RWwjrEECQbbytX9dGFstlpFHjdGXIqg/zanOYy9d+BK1dU3Xr5so1
B/rqxYZo6oUJdiwqJGMjEmqwyzr9cUT2hzKW0yGA/nFnK/SG9j4Msgzsh/Du5IjHT5H18XoLk+Ib
02vAtPCNuVSu3UylQTtrfBrGCg87x2MjpEmmHcwOqIhpmqVi/cJsAgRSeOFCY/RNW5yNXgrKbFcM
pL8n4N3ZLggloxR1E98fGVpHDLrDou1HKidIFmaczcGGTgYkU9Opa1v0g/f5W3EBqJPAlQuL8NqB
BkbnkF6bbWShJYWQBt1uQuZ0nspTFyxWnKct0qhe7n4abdSESJoGXnduqtYcnLX10r0f65i2KhEt
MU1hDeWF30xc+TOOslEioOS47D8o6G1s33c4Crshltd+Pl0OdL9dTwFz+75eGwty4kwLYkbemPsc
j/GCWk08clp8EksbSe88gLDmPdnCq72LI1kS/i5gELpJwUugYfE/0/+kzAfpIjBwThjh3g1Iq+Lw
NE9rdyEDECTImQ2w1xpBDb87VmVgmLTD9WwNagHTVG4E1yFuNiTsWOZRU0PDbdOGeXA1ALl96u0M
Kw6Bzmw5J3xK3dNoSZvxa5WXprk0vjOWJ5W/gRqFDeiqA3iB32D86JyYOyo/oESKxP/CsUiPeOyW
y7e+dmcPWaVwceiVqDOmFvipIw9HMJlaAvijbTSVmmOG0c2ShdG0ZiOxoKXzwyGbS7/4iUVHbICX
SCFtcv8PZee1GzmSdesnIhC0Qd6mN1LKl9ENUaaLLug9n/58TDYwLdWBhP+mMJjumWKSYfZeexmw
ZMcuyokPalcRLWeE1bGgQE03zjTJcR9Cy+J3qhZO3XrMpjI/aJYdkVUalLqx63gucUTIpqHHMrTk
5A7FqO2WgVzP7eWdIylxSv6XX6eFINr7XEt9tkZmzyeyGRRNdzLRWjtfGG/0wcWAoMJwSXdIQHPh
SGLZJeIAdTxUp2wV54aytobpoRFwA3bwWsuxRSDsVy8RottVSgM9RmMFA1BThy62sGlpvGLCUkhm
qAsdF5DqWNqoxpFe+4qIYQ39nkt0J/7J1/ml7lH5bSbohA9eGqcNaaeOmZ8KJlP5ygKZfhjLKosP
NOcZh/hYh5xWRI4myCMaz9wLdwRmMCY3LS6u7kf4aQl0RGOvky+P5geMurcx4H7wq37AgAqzsuw2
N4ZMvUaT3UZPcWGjRc9Sxth39FXdJwK2a5bJmwseVMsGTJrvBQTd71k+FFiKosPrTj5YontSeV0+
2CKQz9qVqqwVFi5EQ9Io7TuONCWOCljuDnyTAlqog4sm0ZYFJL4NuLCO+lJOsGOZf7M4aaRxGsus
imxlMYz5PR2I2x0XzLYwREcMZoH1iR9nzoMFhrSrXSMnO5m/7sVvSyaHlZuzMD8+V8x3EAwUK9g3
kqxcz7Kk/AsJwjAqo7PSjPPCxMVmxYlPAT+ovbNcDFk3UrOjBIeNGTEHTIj43l6vsNRLUiLqGMS5
6FqSllz6K/MTtjCqJieq7eKhGPTqKXEqrhOohNQ0MhEJfE3sRXqiSvuh+Gm2gCq4N88T37SDH3Vr
1lEA0XzKhgGeuC1+pCbD3vNCGXf6IJvupnTIScyJ/Mh4apTjO+fU5AV+thregWS8GhOMjDrTpsid
F8RbXK8c7KbREvyOSlPT0j2Db3M/jbWLsVjQ56Z+0KMu0e+WkXva+7q81DLsArwPR6Hv6oQR050Z
W4XcWIxnm1mpqzHT1lowhRupee5JDGaWeusgLkILyNDqSD7thpJ3n7mTvqkUIyOcOkAOMfvTMVgH
yuyCm1GWpNPpojHOVkB+JS/TZk7zCT43q1f+gxIC9DpUSwg9hAPgy1t4B60ie60TGMbYT44SGG5k
BjOjTDB2KNQEdwyTtbL4Phk5ukC2VNrcLlBQFIdCO004h+b9J8jl3w8FZEgJzgdhomB575H3OOWe
kXoV7RfuO84CFHBx6nKsh3EOLu7aGaWuXqRN8MuHasDMdWqm8g+6m5p8JsQTHK8f7yJ9Xgr/Ozh4
UxLhjtThJdGfQwOdm5b/qP4abYxiXU+ifYWEqvlFcFRW/S6ZYUKFxvM82DNSHaa1STsg7n2zk/EB
n1Mzu0kzJcizKgyyKj1rrv6r67L55Pne8inn5zNsx3VYxExg6GbfLWW900k7HYJkL1LPqp8bSTGG
+iHPqOVlYGOgBLRq1M/0i3ZEoF7SuPKhdLAtOkt7kG3y2Qt7+0A8iQfSb6NIMqhkGAu9e2E+l2Db
pdO4C50S1IXJCQLxrPar6LFl6kKAVwQ9/pY0SrzmFdVXfe4cFR0LSfcZffI07zb6/DCmYUnXMXUH
adN7maHj2y0BAd6wi/oMVAdyRGfUG5MDeGfUpn7RUgUNDtTVHA8RI5uMhEyrZbD78Ve6Jj39bxVB
3YKdJIWUUsf3wOFDvV1FbUGgURqU9q5PM+2P8OWAN5RdpHdGH+S4Eo6cHHuntcPszsRxFdsyCuis
hkruDWo6N1fmhS9qCmnoqHOXeO1r5FDQcsZxRHPn15N5aZ1ibG99pon1pRrtNntKpWGW5gY1oz1e
vLEoi5/oCbLikyNV/6uKBUvxPN2hcZ/hc4Ym735i5wda0KjwhGkbe1UwdqznqDSYFyNtCrz0IWC6
WWQIEbAok83sUGBBdGDzEkgzWqV5VyiamXUe6uSDxtGAIYsDSxCuqZ769sHwClvf0B/0+YEU6jtr
Ri5PMbBRTPpxhRgoKweRf0UK5hHvl0N46Zku1Bebm9KH/eUJCC+VXn21u8zRCIkGl0nIRVfqZazB
AE9G5rXFjWl0L8FQBt9txnTliv5ZTV8ZXoL1XAXfN40T4sDepaBy3hSCVgFn1w2RhUp2h8yjtl4h
l4qfGsICvbXDQN7dGLaY/WUEVykUAB4wbion3dATYObgJh4PiODCyKAzIsDAQBRuuF9EIG2BFpJH
SgIkfRWqAMf+goyOtNSu8aEF6TGL5xjqWQdd0RUk27ZtKoxdMBv3+Ek0Nds+oGY5V+VAlGVfCoob
IwXbOuYRybvjlOfxRmmKEPSwCYG5Wq1s4qfQEDOfqu9CdBKjBsOVbEQEq6Rchr9cI40v2Uho1X3l
qcnYWmLOU56grh6dyFcPOgnofH2zskD1p9TlFIIs9nupGLKx9npsN11v2gjBHP9hgU6WHhNGhhtt
PRGjmoLuKatjag4quF2IZFnpTOWNY9rVv1y6wGHcBXNc2eVPToMWDZYx0aP7XvHHNJJA26oW1BqZ
dawdmH84zV0t0xoUpHX6XV77VkB+SJaPR7j1/b0WV3G3jjqHjBMcMolu9ZusJRZ0BLm6zYdI25hg
6ilk03J8aTItABcEKRk/u6HfHqPzuU6JIiEzmhY0Tgq4t9spSizN8BNUNhiVOMaFwyXsj03PWOqu
7Cm2eeWQ438sooySf8XZG7nF+UBWytyofXyA/X+uQWox8ypTNeV827x9nCpHsQjzJd5HVyxihCxa
7Io+Awfz3Ar7PNRhdQHpWPlSrmHOMGxzFjKar/NUbWCynBYQZHItBJEfP+B7MgJAruMis9W5rKlq
/irp7MksqIM74+Reu40i8gIJ6BDiY+pETbEtEXjZh6WaYFeDg4VQEa50tAgeO1nVj7h+1+PBKgeG
3inTdfvIDF/6WKNN/rOfhgM4qW022JDA3EoeYqMskiel3Dlj1I+CT5QJ7/xwgEMdxgJIEhCcODbl
2js4tPLkmDKWdv59d5Ng7P/VciryAhl0EJmuBXZ2G4U+liwx4wP3FJZy6G874bVy7TJ5ma97NeFu
ldvPBfR9nMa8ktHYTgb0tXdWieXJF+V1BazLa2kltEK9tLIU2WsypkSMhhNVag/bMj/D70fTKQxM
qufeHeDwFxxEs/gHU30NS9srs/Xjj/quIqRINaVNG0r/O98ucBLerjqhjUBcWidPSeUyxOMSQ5Ga
mj3jwdDJGR3Z5qDZ34YwZkGFnRPkLwEDIv2nVLSxfxY+8v/pmeaNadEzgFITagJq/L5Kpa2DCiAy
tU/aJivXHDYMnXE/F3dZHNXopAGK6xMp6tzSi4yLGaeBEYHX+Y96bgFbfPxE7xQs8xNBBqdsZogE
X4K1//YtSb8NIfOG5X6spARAw29GraANzq77oiXcELytns08ghusdSyK/ms/Z/LJ1N7KRY4BrG+n
akd67RiuoLJrECKvYGma0Pg2dRxp28FtdAmS2MAlG2Mh9lmhY+YWuIMpDoU1OGQwJw3+EYlgfe7r
xg93VaCqz4IQjHcnI5wCafL+bd20TUqq97UUw6xJt+HVnJY2IdHEjKkLmJW3ljEgXzbzqYxO4+DR
lxVVS+6f4yvdPRYN/nRkR89k5smAyn+BMsbAO9Mr+1yUPtWJM1UVKcwqCDxAGJry/A+iQ7wdjQRr
ZvXJqTqL+//TXMxNmM1Z6jh8O9AdVvjbLxcqnUctLLpFiPXDQ5bMZNsJRgUt87Vx9l3USNu+STNo
brZ/pfoNnvWaN1me/mwz++dCtlwG66MPqEpw4KwOCf3xJgYYwCiR+tDcDGOX3ERRnTzFbQo0ROWj
41fu5FCZW1i1dyF1DiZSaevh+e0VsGhrZGHrhaBWyxpqaXoV85a6LY4glcV4KXxpv+q28lhZXaCH
JwoFPeI+LSfvE47/368KKMOzAUhpxgQN7NtXlfKjfHwBtBPDKLa8xqlXb7mPSUor/T6+VE4DeWQs
4pZGtr+SPf5P22z+WAgLBHcLuCTd1l8bvypGZN21OpeBkQ7HESDzWx24YY7nKjPUuzhQbBbdhQG5
b3Sf45MimQBtM+6AeFoZzm/6ikMqGWHCWKdywL16ofYpS/fPeVkY+qbRK6oYgjT48oGa9PbWGGED
rJqqTYIDWLZlwE22+y+IbXS1V1fO7QLjffKL/3rnTDxMjyOdYRxL5f0NZPahVQ+pb52Wn1BbLMSf
oxzd8BQxO4YGEsd+CLsorqKHpS9ZNAnm1cZgsUworsIHMTAZJkcxb+5jMTTBIyzZOjjnzRiazwHd
UY5lWp6229Z3xnZH/1oX361Bxws6T+OpA51PzJw5aK8FN8h1pdr2sqf4YmY75PuPf/hbhyK+tIUz
AguNSRIuG9J7V3tBxQM2YjGc4G55HUZizFJvcTCG7cEJQ2Xz8V/3V3foOR6CUAaPM3ELWdO7AUCc
mdZo5bY6B+HAMaBCgwZqEfk6QeYls02FHkEML4REY+EX3IKoUvT2n0U3mk8eqlLLsbNffZk6+n64
jvuyzmLTJo2OOr2L9dnvYoHKhZFwZFqwHdwtO1345zbKqYhSUgBAcc2av/7jn/jXSuLSBJxgyCHY
u1RNb3dvKDqLk8btEJHoobbJDUs9hB335T4SDQBUkIWVfpBpa0JFsSxwg4///nf1K5+UmSA4FbiE
h9WEfP+KOYdZx6NFqlVpQWuRoQ9ByB78mXCmWfxZx2kLM78NNbxxALshSYe2d1dMWpg8uJJq7QTJ
k8KjLXT+8yeP9x6n4PEgOAIwcK4IELl3V7jvV2huTF07ddcP0fmok2ZbXo4MgQYrf2q0IjjCXIn7
DeoGmuTUFvFl0Tiiz4IQ7U9WekppA4cbExYPHnhjNOkHV2Qx+WPQ8MVpTGbN8PKtP/4BfxWrnpyR
RN3VwdqQU7w/HIdxcHsNEtDZDGylNrWhBXhyGrMBSKqE3u+qQhFEX/QQuY/UvGPDnNLqscB1c1X/
XoQDgUq6Cstj5Z/SJK/s+38PwWuLp0Eb054Wuh4jMFIV/LRBTBlpblPtYcmxgLmkAZS13LTPtRlN
xE+kUxTfYSSjyd3yuyc8LpxTUw/yk108L+H/QjwsbRgMJl+SulCCGr5d4kYawd5xqSRixN0wzbMC
R3/dmGEQDClnvljbaan1AD1Qrz85sP5aPvAXLBP+kMQK6O8KsEUrW06V1HCPyK3+TxNVqrnjVhbc
hSYLu17XycCmioKIQMdQ8WeNfHmK7E/cQa98pf+9hWstiioaUrhhuA5w13wQ/AcujQ2w/x4XkX2W
dClWl9fZb2rEUOLDPB/yY5xpWBUvUi9HuBx3y3i3g52F0KBsczx9GOpGm9Sjsd5CgxycdW7006Ee
StDyQo5gXl6ae+STpA5e6hq0JOif190SlI2EAAl6kU5wENjav3MmPt1nG/YtgA6gJwE4rxAnfYDO
V3/7O9NU+Y7miWnvVqGFewyxuMk2KnXFXE0yT339d07vjC71AWQk+dhYuTbtBC1MsJHorn58vAWv
Pqn/e/XzI82MdRsI1ZqvrvfEpqqElxDWscQpOmbbLYinyBsZ3Pta4SQvuUpj0hK6vrDEtivM0KaE
RkTjR0RbtGRumgcwog7Cbc40w18t9Nnuet7ZXenCJb1yc4G9Z1F+GbTQVBcm9pANAa4ZC3cuGFDA
HKaJ4e2KmBnUblcOTbyCu89/Ja8kVw/9UIXicea7L3/RUsM2bcRCrfzaw77nqidd1IROwLz41KQc
xaceKjrKSWNsyB1JQuFvFupm1Q0jrD5sgCGh2tf/wcIz7OoW333br33zBhMQUh1yI3YBJuPQR5Ze
1GVxO6mIK0EwwsTj0td5CGwj4YYuezfU6P9fxjaY1Yek/frBmYCC2L8pkDD7O8dElbxTXojA9uPP
ev1sbz6rC6v3Wn5RfM73zNuVhvYRewBYQvtiVF32nBfDZD5ZicBDyREj97h2JSUsJ+iisXJKM/LI
RCrhVWybsudfmhS2Rw811MjwXEDQVOv+WiOkFcK23ZAEFm7h3QC/jKFuUj2HiUSyUPmAd5+0q7rB
A//3B+H7QCUveIPCngUH735QWxgONCwfE+MrD3eWeKRYFjPrhobnDO4u10q/2dVp3ESrfDALEIhs
aMIdNLqs2edu7jWbqbJYAh+/6nd0fw4v1xLWLPqgHOM+fN+OWRFldjNhtYyv/RA/9hpidMBe3Z7t
+iCpEjPpeD5u4rXZvLJCox7B0lioy4i0TD0PlTHGP8qqTQnYgZAqKWmvlPawKvMvWsBBtm9nnuUn
S+SdSTVIEXUjG1+XMwrgYPv0dokAb8pC67Ps5DmEpRW6magTBlfxc83Nq16khXuR1ed9uJ28LIoO
WCEF+oU7gOmPUcRR9rgs8gJjEeOR066/g4Vsf1aE/XVLMd4R1IGCEYjFXPRdmdtDpAE1HHPEZrTo
l8QYpvjYe9Vs6lDqv71AI0cpmCGHQ1swzT9AlODQ+eQjz6XUm+VnWegiMP2YFS5cUu+eAh04hTBu
XLgaEKJN9O1Qd969gpXxQJIyqtsem1gJPS//ERqQIddKxQa8AfxI7J99V9B1wcjDX22P6xrGcB8/
nvH342EYNxNT4Yub7JB3lWDf6KpPSBY4mWlkblO3EdnZ7Q1M/KVW19VuvFIIG0NO9Qq6dX+pcA6T
K+WQTbMdK9/2bgIr8IybNCqL4Yivih8e60zqGE1GrW86W6tiRnfrZQVqtNUyn0eOOk03k2H21i5g
rCCfx8Rv/e3Hv+2vJsCGfkHxzRBX8BHekyxNJ4UTIlG/qKvrwDIfHLB5QQg9ta52B37HsasgCNjb
fOy19pPqxHx/a1NhGw7tHVNBTBVx9Hm7UcxAwDzS/Pq0mHV5paQaDbDVA7KOwzpbl7i/+BtMFOrx
pBWjVazpRQrnbHc0BltIAQNJNykkxlViW9Qo5pDqJqOgmbi5HJl5G+nz2KprsMy+ci/1tpu5tFFT
7tuyHSG4VfAGsnTS892Uk12+t1vDVbul6F9k5aM3oF2+AtQLg/HjL2G9xdBY9EAD6INoxqBBIPl6
V6zGhZ5hRUMrrU2uqi5ZKLPghsiwPNnxBgR3f2q73att0U48dDEkJrUSURRrv8us1LKV0jrmZ6FT
JfaDhlANV6Qr8cq76teUgjUzo8dxNK6NgeCuQyYEWQroPJ5aJ8/t736DDlkYtkZOBnAUI9DOMuQ2
UhboSdoVoXGCbO1h6SQ1mRxjdkS8q618/CY4xKn5EJ4am75q7zu9lkxGbE0Q4jhkdOr0tbBp7DFG
wrbc5x+/vb9vsJkpTP+PYRBMIor+t8uocJFyO83knZ3S4261IhLvbpCaVslRH5wIr7bWe6wB9/WN
AX72XDa4gq4zmGD5TZda2WGUTCSd1SeP9RdswaFBjgzDbhDF2Ufp7WMlo82025RklmgkY/2pKSfy
dZajJFiPSN2xqlVx2/zEy04FDxklIdZwcWE+m+1AzWMFsqX0k34im1u+TGrtGDPS8Lql3XCVffyw
fzOueVSho5Kb/Tr0v8SjXTR0STUm5U1PgEz8pZ7QgGBI1mXgaZy/iXPDZctjLeSlBVaa5l3BcUyP
51wtDZducHGMSLAzwKL3Cm0vXF79X2httmzSSFEYSbmE/AxtP0zUBZ9MAkO6fvD9QxtGPfE/XlCS
Yql6n/Avi3tpH9hw/NZ5rZ8W4C4s87Y72jxdcVOjEQ93YrYBmy/XbvynF2XSr2ZR3D8ZTVK7mQwX
dbnwK//GdGrcHQAXmNP5XoMbMWnEWrMGwo2a45hMeBNPgzeHGcBhhusorL5fxVk/50hqMkyo0tNa
7RwNUdfa9DJgN0CUaN3FbMKVFYSauCXFDTHmyhBl3d7YvUGQ4GIygssb7yaKbd7Ex98Rn5W5uvjv
hcrMAV8a7nQoiDoT5nciyboZxqZtteDI23XVuC5TPe90TECESoiDm52vHknuojJOqSxYSUvd18eS
ktm7SklZhnzqRfPXGyaVNoWI379UGVyMOy1gKPunmCoagJRB/88E8jo8Q69wnyxTL0v4mKX5PcGz
h9zTbMa2ksnskiNnPWl6SymT+EL3n4a4q5rL4jaWX3Emr7OK14iiytlSnCTtZnmW0PHgi2Alinxo
uagmW0PkXOIFa3+DUWJdajEFkpZofqwIkk33mBhNWhCUhLJk64b4PG4m2wPi6HthNg8LZM1hxRFl
oevrHv1rDySmkDZDShuLYek7pvYH2v9oby3+jJ5w28BqdHmcJHFG/8VpgrnXSFIGT77nzG90Ub0t
vdZIsiEtlWYi00ssSVBNYJVej62RsPMvaD2H5FFqA76GImugf21tB4fdPwuwueh+JSEW/baa+MG7
WjSa/k20LtGvSThTs5dPthTglY2fAFyeyoGfnAyNd/JiqrhT12l+/5yWg/9SFiVvcqGeZzhIMmko
oZtu6xHS95zmgaHAF7oNd7pVnYjUq2hSnGcqa4rzOZrjnyLIZHavAxMS5CG0b9AjPO+49J2lVbBY
xNVKblaoN2c7NYgJM68Y5tKOwnCn67TDAtFfHVlCu4V06eMJ01wli8sZ0muo+KAbN0BYIVTo34gn
unTvmT2JCw6hmwVu8vCbs5UpS3wGTLwAjl5e1uXPxoDn9IgBLddcaoYSo0L4dfy0Rc2ZZuGYHqak
Ed2XRQbYsTEIkSD7rsY+8yphjOmf7Z2MWjd6CqrGhT0lcES8La0yB5BUBRPOb0bc06Eu2k4TYHrE
YRje71H5zezf2nc8m2N8VXD2jnoWEzw2GcaTcq2SufxkrQZZGMiXLEmgY7hRDakWCUkXSY9nXJV6
5j+BoYXrGmBg2xfaTHQoJCIx4pGyRAvPaTQWN0g+pnVjBHyaxMIRuMDttlF2gwVekwz3VDwu8x+7
Do44hgRb5VX+xY7kPxP6oV3qVg0aleEx6XrrZx5riMDK2n2agqGF0eMNp9J2/HMYDOJWi1ykEFDo
VkwXmOlN6XQBIw13ZS3bh6Ie+7UQ40iBoOUEyeGwIG9p1PDY94mS64t2O/B/dlIZEZKN1wp8OKeW
nPNAha91nE4nGZFGZ+rK2GajVd3q4RQ6YOiF9c3oIvET4wvCxRgQrAV1EYILLbwt+tI61GVjkkk9
WPtYZytD1e6zL601jke7LJ+RgBBHCiiUbTAOis94MhA9gUsH5V3tXyrMr4lW8NMN/jnWdtACY1ch
uzRIRmtfe8CPdS1G98EvtfibBbfoyIhGn7MSy3btjzgvtWYrNqXOvKmutCRBX457Ta0Np0SPh204
qXCL1UW/QdHkiR0AsjiISkcY643K3ADeEk7JvOEXh7CtryrMzk6aEbc7+tj6QWuM8OiZ9KlCDSTU
dMbXMs2DOzcsEBuY0PM4bm9yLbona4HIN6rDrR+P2BLJyJqexm7KdmJkIr4Jc5JpGSEG7baikYiQ
9r4IBFJrjJiiHUh38HPqsaHXeh3GQT78I3w1YKwHRhm72Q/0zILIaAky9IQFfQgV37e/JrILDrZO
tipSVE4b3nNN2OuQTquq7u8npCSrAGcguprM2HhBjAN/OJjTvh3zxtniUBRXm3FIS44d6t51RSv0
rKcGZn5GMnm7PChMpP6TC5pOVHlog1S2DQnjfcT5NtUOZoMmw+NuCqsDPgny1daIRbSJwzt4ufYP
dt7BqY5tZ+3LcrzNNBIKDc3SXvPEil8g5+Aq3JXNTc5I9mustbJYjcrIzpZP9KE2tD/SBhFPYObu
PsMtahOYmluumqaFKSw5ebEOIMGsMCKtXU+5LzbSreRDTsPTb0LYXY9xOwRreG68eWV4W9Q6egC8
Rb6M3vbB7z6yHuJE93+nsRzu7QJpCfLk4RsNSqbBk+m9ba7bffG1FYnx1Z88xkOMUp0V6yt+lnrn
3WBeADO50R59bBG2Pg39hviQFnmIvNOkkTHQxB2FKOBIE4jJCoZKCNzsXYCj9n4kdvHoKi25IJYs
95AFpm8Y4NuoPUkuqjo5vSBuVGdHeT67m8CfUQ4WvDpN3RSOj4e5VngH6Uy9v4ntGdaGRi7jVaYU
/1A2TfknDWRw13iWs9H1sjqlgfPFikrz3qQiUTn+TBawB2NVZHVuSy6TksRrlub4hLOF/50hKBmP
EeqNMdHJlsIj8d5Hd4V39hjch6O4t8qkWreqrY5xX2B4VDc6duHIYmstwIQim7xurYyk3nduHm2K
sXui2g4fzMb5x+3GgfOo8462b48HE4LCwW+TKFxxi8l1EqvhNZHZjlK4vumjyFob+aD/cEp9MlZN
23drnAmIwHK64Nk04biZdk4aZNOnxpfSnvRLUIruJfPi6sXjpn5MzUAhKoQteYEaQ41oZPWvSmXZ
Hgt/hl9sA8wSZQJg5OHY4kDxc+3cXNtRN34dEpsM0KF1CPMdbffZCJ1g5/t+sJ44TqiygvjVC5rp
61SAwM+cVbX1YAawopC9fsssMjUA3zkKm5Bk2knLjxYcmZ2bFf1T67i3Llr/o4ns/B4HpebO7uGW
kbPmb1jc5p2NXcNq6MJij+8u0YEMN7qbOLK9L0mE+aNX1caXNq6ov6lpf7XKzY5dnue/27p1UQVV
OfZ8xlDtKpll60K00QVvIos88dElJpG6mwa2XJlR2DWrqVfNOrDSH2klUrKcsKpbub6n3WhjRbZc
BxKuACP3Rtjj4eEN2DANRXdpEQriehp6t1kQBl+thnTRQfBGWhmL7wkMq3XphdOe3TC+EqSUdGTY
JnKbgDGQwGW2MGVSJX/1yrgAzGTfs1GYOGj15MQ4FRjnmvLSWqdti4GiZXsKzXwX7/Q41X/YQUBd
52vOVvUGSiQq/QqusNvWYhXryuxXNjnv+KOG7V1ikpVdjmX+oBTa0i0WBVEAmJw0u2QI3CdM6dxt
XrSHzM+tvU8181XgYWIHZrdVIwFlvTuAguqFt850G8JTxsHONVk8cDvWB6vxxg3y+fwmoRZdtWaA
h6SepDsuHbXLTbXzUhLTrBCfnMGemAs0Olp82qE97+mi4fn3rEOWbVY+w6OLVkQQcmgGmeoIMo3j
Mh32adt8t+u23bfIM4+GjnlH5oXmyUlxz03C4vvAEbMX/ThtItvB9Nhp7Pqkp8MrDHfnlpriMvac
C2PQazu4icciJDwsLSWlM+XnGq5vfWi6Pv1BJwNVlSw/n+JsbgVzjNPFuPNqkex64PENJYDcmE5Q
fy9zX11w1CWm3nDUbd7V2oV1WVH5NKQzNw5j1wH5MnecEc0yrr7+g4w827tynAi5CPwZRULOP5r6
LzuIxVcn1b44RvLa5i0QKFZ2eGH0VfHSqrifZflduMV1PvuRIMo5YLfhPlhJ7jxDHo7wISXENStV
sArkQEcQ5v0dc0gw9cGNfiHXtfeer2NiFtmzTmcEcHJJsj9yMWYXOvEBpv7sFmmm3E9he8ElV0Cn
ScG+zKS+KOCus6uC+NFrOn3nyFYZq2SovKfOq6vxEHdddCuswLqfu3oII7UJ8dlBEYPQMsNgnGLC
sU8a3PYZZcvaCb+FgfJyIIeusjp9P+K+ifezFT3qkVNecMskELwsv0c4mW3KEsF6g5/huig9cW84
o3ioc6cigrRK7yr8107Yf5ZsEY4RE5eRFw6b6TbGhnVVd8F3HeX8akDjhOw0f3UwdSSkj+4US17F
ih5xQaaNrEs/3eGz1q4DGwNNGi+klC7Cyl1TxPgjQn8idjQuqD1jd3pi2Jr+0p1K+56lgh+A3ucM
2TV6NnHcSlGS4qUQ63QIGfLpQ0uEwTe/GInFg37+6g1lctvbZXczRZhRMh/OdhJfln2pshStUIZg
c40Pm9jiV+eAvrlBte9TfHXJ4r7F2pDaj075pUTQd5sOjPb4HNrMG0ohvCc2cgI/trmH+1NnYbyr
lTnrVEZ3vT0Wr0OGpBMDnvRbZoQ2xTZ1Q1L2yT1ACC65JntFEvQKckdantcZZ2cMiaSeiAhTjbq1
6aW+kC1Rn4RmZhuqdPmzxJBjxUVsX7owJg5Ei+ofMKnUd80KDZ/tQJpUFgoP02GyiSebBy4HU0tW
RRphJKyEfBwhOF6Q7w5wXEgEd3rXvalaOPC5aeDZkVbT2XDralVEZK4KaVZnQ2G9jzwSZ95Yd86j
l3mbsc5+CVwbH53MEjBbDeK18VUdN16fB+RPoNx70dHbnmKh6Ru/muydO8kOsXGB2hlUftNPybcq
kiFj6ro4BxxiuKMXWbNpjIZvaHbeS2p0mIxE2HeRXmU3Jx198xZWAJ5v0yCKe/Ds+DkxJA5MGNSv
oS4Q+aXa0NoNcTveoU7obkRYzSnVSdF+nxJrIuW75BKVsdqmDdVegWj3ZIV5GT4mbWrvpqArN0Fa
fxkj4e6dSIJ/NuHvogyaFzWk8Q90N96mDiz8EFPXWINSRUfZp9oW7kgbrciFZfgrW+AqWeD9PSln
3E7Ay6fQcke4Zgnh43ZSeMw5r7Y/tSm4+4zIYRSTdqzaR6+WqLXbDi74XW4pyzvDqnaIbW4SLMCC
riWfGbcEHh5lYeTvKy/xskt/HYIJlBfpfZ9MpdgVOFmksGZdYscgrgakcvpozrf9FJveIcF7zKPl
UTpxyVZk1uuWHkk9L9Y4C6I7gdtp52gWfpHHFcfujmSeecHX4aiLZw3o70U36pgEIK3SshckfyP5
8hGi2202CLf4kvajdlN3Fi116SHrf6y8HESlYrQ7vACeAAeYkZ2Xe9FO3nEixCXYR2YTOneIZz3y
gBOcho6SyLbfBu9oW9VMyjewViJxDsyBd7a4CgWsFGNvQI/OLsv4OnITfFmToiRYYubMghzBJ2by
0cRQ5U+5mTn5vg+jIHtqBix97rS65WmWifnCaZbB4NBghPGg3bV1o5i9YyOQ4Q6SdybneYmPzi64
Gl9xezffvcklyzoa0/lTXkEY5dYdBpSuXha85EwN3xb7nOEKH01Xf7VBucA1C0Dy/zg7r+a4kTSL
/pWNfscsvNnYnocyBK0oyksvCElNwXsk3K/fg4J2hkw1VROI2JhYNUkUKoF0X9577mhFLOSUhuPz
255Z1by084nXQGB5Na6hBvT2/YpO8iBT6fdZreOVw4F84oZ3ia3c2EPj5G+rWXWaW1erxuMYwAG0
CFoHkPreAl0xU+gH9XFonRhpAYmrHPZ3p0e0PvXOdmihXQX3Nr8glYRK03qWhFaE4lycqNPXRQ+Y
vFrgx+NNzLqGc7KxFfym3tvUipR4auvHPKJuVLGCHtvbcTnMuDRA8UQLQhznGqcYXG1ljJWkHVn4
7cWAlmaFB52poMrHoqA4qbtytK8aVO+BSz4v2zdaVSqCouFPlDSm5FS7C7Os6X2k+cBSW9CtFRRh
fDS3vUm94Y4pvf0eO3U9X6ZJnDvHlo+orn8azFkyq5zXeJQdOXDOkEPcE+IWqJfArtzIHwhUai9+
/yV+PVDCfoh+2SDcDH2ua0tnD40+GMJJA+16UEgMuZq7tCp9jtdwBdVAKT6OLuZ7a6cycYAsmfKG
7Yuuz3dNNQjGpnJuXErn6cLhxj0vbvOeSLJdZBSpuGgnJbwGx+zOx8pyCVNF4xd/WTkRfDkq6j3V
lOhAERJtZmsyqkwXFvhN158xyX9aibXFyYPs4e9DDaECp763qQe80zknLslNmKoSfn9HKsyRV6Nl
R0BR+4uSRVPwV9p2zvxpGoauvSdnulT2v289SZ3IiQCaA1J7OB81MRcAVXz+CoRNzcFErovrtfgM
iai1H7ww5MhsLZaudLX1jfS0PK2w82vWG2KCjM887njJy6DmuY+JyTqn3ZRkEcgLLE67liPb5dge
TZZU4Be1EuWxPfWsFUvo86po3DejPVbtDcOMPnJEI9KSsGM1v9LAbz8qo4kBoenw7wEsUDNyYFgU
HlLhWDMHi1WXUCcVg7gAuJCVQC4MpVTOnC/hTpKPJTzXWJwR6OppWg6dn7dpi3q/H4uYFe4JNT1r
WlLc1mWWJLdiTME8e5mbsxRe4aJrQlWDaGL+QOFwyR4yWHqDhTE4QbsbJ10VH2oADkCvQz1mvLUT
l2PPwoFlU+8gJY3TK+Kcl1QiJTOYOqnTzEgS51N6j+W0lX2VDaFmvlrF0auHfB1bldwmDscLcXj4
JqIyyNcxFunY3Bl9FvaPWMi1+A0JcIb4XPam6K/zPq+TozpjPNn1JwDQSmAo28GA3h+EA4Fn9omA
Y3H4Q2CPMSsTX9Ziuf4TipNV+XK3gmMG87VGnkL9vTEjVdypCENghQdGBh7KrXihbCjUODhxXXTt
l9R1FMxDdhnj3ccPyjlG05jul3QsF1fejIfaXxkzq8pvhbtXxWAvmXiFYPARS3LuDSd52B3qlUxv
LdbuyHEhNIfeIn13ScmDb+yWSvUOSX6nHFZcgM4sqVwRrRYZ+zkLQNJHLMGiA7YvDntWH9MUsFM5
pG07JQuPmSsrPQdY/ur9WCMBzNUntyoUV3vaetfQ13juZYrFmSzyE8IYX66pv9Ir5ALHleW8PizD
AgQZ79ezbwBZLdHhvOXZHoS2Pl6i/sFMtVuTtlI7qdrPZFhl+bSbtBynIefhI983jUnH8JOBAjjQ
xFN8xZgw072OmdzcC+0kScOqsryUK5MKIUg+f2BD6EEsQMapxI9GFWDPKuYJ58HeNXRKZJlDCvq4
U61h5jS+aBKSlPi5lvJCiaElj2Phua/e9NxxaMnUCWh5z0hYRO6ESknlvjOdyLs3osHDS3xKqbMb
VrPXKhmI5bFiTLN9ggdTkPCxJXif8L2zTdmR38cCdgehefnXdPK0rB6xqUkQla2Wz+r08BdoHL/0
U7XOgaG5b7Khda/CMIcwCWwOxgn1ECvqiouuxMSU7iD4eaDsWyVtI9jPC4ZXz1KOq2dwP3ywwhoh
hdBhl/lnl4Kr/rCKiaO1HRXce/xWVtY8ALFo0jBYVCMtpAP6Ua9H5h/rbhV3mpnjwt9SxcTZDiB4
hgiWrstfTKhA3R4Prm7O+wafdXJt1oK6WqRUlMpyW1fqi5y0AcJlBYeDl2PYucquU5w6u1tf/5X4
a3twcYgXJB8q/EvPhTm/ocN0mW+33eTsTI61vWMbK1P7MGDxphaUQIu8KrUua9udAuGz/FaGeZP4
Stn07Nx1XSwweETQ3O2UVjPtC93PbN56HFm/SY0wzu8ijK8s25fshTWHIW2F9iFVldj5FkQ12twh
rzT9DSxEh6JPiFZF+Jg+R2U3Ads2buqU/rmfDGU2oPc5U3+0da8L9zRuPF/iJOJBd91Uugds3yK+
WiloQ4CV9KaO0kk8CML5drhLVTabvWvPx3xBgF44GFP0i7UvtJ5VLLvilPHBsCnXCAdtwQ6cN1Ve
RoNlkF2EAfbJcrcqIAEwcPeQiES99xrM7K/W/24CMmWFAYuKbsvSSQvftq7owSolBJtWu6Sy9Hxf
wHqdX5MxSjYabu6RJDmYsNUn23IT7d2qcVmvVzoLS42Yt8D93BhTj7hSIdztgTM4bfapHCOiXI0x
qxkjz3rkxMur0o1XqwHVcJGaXSVJ0uX7NMj0io+k5PQZ6yfBh14n5uC91+hhhzgiDO9qJGEHGykO
8Z2al06HNUCysg0qFm1G+Zz6h2krsDWXuLbli84fSJPxyssC/4l2rQJXGajNNHp3SzYrY2OZNZC0
yDxMSt6Rqf/IEOF6Vz/77CnyYP3/V557lLaAkNxOH/P3PJs6uEBON8bHsBo85XodaLMunX+MuE2q
g1ICrT2yglDETdtQxTv8VGqknL3dlOxU3d26fstU9CA7UAwNcFxqECzpXBxZ9DOEBQtzPxkWflPW
62hf3dDpGenKk6FgJQzNpb4EXIasCNlf9EF/Y1Utkdc7VoIA3nqnpEGdxOGvE3NmUkSvuLgREAOi
AlPnxHMYtjjSuE5OnkLbHfizicbPbwwVCe5btyAk9G5lTJEtySXWTtyVg+LeNbrT2ZdTNTNvehkj
43Vf1QYJ554OTqymOMJC/iNbU6boNReM85KZLyHUnOwKjuwDyMWl5YrX3SmWkVQYM7uzcwg93dE6
ieVzN7ZpCSubaImqYtHlJ5Uy1tVuHd5cqnt09dptO9tfIfFr4xA4QkdJHJWbW7NvhimNu3d9QFrZ
LjkJU86saiUAEW4ID8eNAyWe4CJqTNKeoCsp4WpJmYEeZfFxzJWAAcLM0zziMEJrGN+B1uninhrC
KH6wDFnAt2MRsbgCjcHTZ8XYl7hx3JZd2slCsW6sf3+fjnyfi62PZb7DjsLGYSjrUtWmTJFUGc31
mnk5UhgkMYhcDOEz4ldEJmlW81CGBoI/Ys0EsNaJ4pNPIDD+GpEQkLAuCkgGwFadsodoDsCi8/DC
Sb05OSjkjEZH5ZTvCa82GvxOUbPpIpz1Tr8sm6YFaKx2RuEjmQoujMRWU5+s0IkcqzJU3esSHrxH
j8YE7+PkQmxY2moZDOSNC3hJalukAJ2FzdyRjQmFixQLxfskrwJe6TozE+/AEUnvt5UrijdJyMoZ
MY4JvyImbGA8Zn3q8VZNJKEDoyJSirxyxUEjK2zYFx9Wz/+CniDBaI2tXZe1E5BmkoROo0jVBcug
ugo9xlywLlhjGwvNVcyD0JBLH8mHndsD2Zl17etqy3TLkTFLjtFZsiPrFRWwOiVPRqj6tL5wWfmB
EDiFzWQceCNlMuEm7hG1iemMCFwWqaJNZy+BVETXYc7y5j7fNuD+zHUji4prUysWJtKKodaSxouP
sW7E+d6IsmK675qaus1/st+SUAaLnNsxCSFAHO/quMJk22WTaGqjgB+/4oQLAi0u+KIDmDVPFOZO
WhaOo7AlInXsucFVXxOTqGdeRjPT9V8LTPRDeyqeZFi03U8MIANS1mTQiK294agNRlftxbPqp7gA
2rs2433er2W6ddytEYFM5plt7iLsfyYUc1w0twaR5SZljl8YbAWrM9vgiOyqRlGW3iF8w9lvw/O2
r9uGOuT74ATs/n3v/oUhYDH+sIcnqg17DL5N6YGKijJdPyZU9siiiN9UNZ2ReHMtbN9XvWrVF6vU
bHWQrKNMmrWMjElbNfV909nT+OX39/TLE7Y0boptNa5P5Kp06ucvWa+4vWBpmqB0TVAlrQ5EMHLK
cCTgrXkgsqkg2o2lx6ONelHX9yOenfSiJDJX/xQ6uH1/eG3a5XdrXSw8gecnB5wreyv4IPvSSCGB
CuRq/7/DhTOxKJyojqA87YEjMsz+/mv94kOw6I2UsbgAbgSAe9KWu2MgMxR0vv6aOmA7SvV53WTU
p21k11dVe106aaz/LMoklNvB4raUhm8wRrj3Caq+6XqKcDv508g6ckchnaHhzJ3KNTfulP7Ncgdd
GeJF+aVoUIWo5DSVfl7OeX7s2EISiecSJvtZAQEUoZVk5X0Ag1s6PiXYPjsqea+2DwG5eOGu6k3t
pkXO6HB7XWb4bYZAxEkzvSTUiNDue0K82Tyhx8AWpqfWWc+wJ38DfMIWA5VFwUi34JBIRru66aJu
NqL6Zpia/C82csn4NuYAITmQGFJ/WlnvrlvbtW+fQkvZTsz2LTW3sL8bT8nEg6qYqNSCrE6uVGL5
ULec7OkregBUBaU6g+UQ2dZuyTcAp0Pw7VhVqslRNl6Dqy5mcXRFCFudvVf4Wx88nj69CvoeH0ei
fpora0AnXimCSwVDl3R7CpHFuHc7xthDU5Oc9RZar1m1O10L0y7eUyxludVWovBuXGMEjK0bU2hc
aKB3UrZo4QhiozcsBmj2wFdxENaub6VTZguCIIZoOKyrnjYZKTFAIWUXhMmL1QR6N6v+FpP44+1h
V1rtnTtPxmMe5LF3NAxREHqdwUU5kn2IcnwtBqhBSg4fyywW8gNflJn3JHQvT+JkowIFcNOQj158
ThAlQKBa0RpqwkyNYZz/ZT9azHjfKHCKm1ondXsnvD6aL5eIv49ObzbeDtoQAQ7GpFJeYtLpp2+s
z5uKEO7Gjj4KttSfehEM5cW63GxcJVL2DANqfWOHnacgsxgSNT2a3SyiN+t9Bm3FZD4bdpb4o6Jg
mK/6qR0v4zFZdr7txLlVgQxtLMW93Ux6u7o9/vv7+D/hY/l6Hdjbf/4v//4O64EKctRJ//znuzLn
//53+Zt//c7zv/jnXfy9KdvyR/fb3/Ify1df88dW/qVnV+bTf97d4Wv39dk/jkUXd9ODeGymN4+t
yLrTXfA9lt/8T3/4X4+nq7ybqsc///heCmKvuVoYl8UfP3909deff2hLdfdf8PHl+j9/uHyBP/+4
Kv6Kv/7y+49f2+7PPzznHyYIdOw/8OkXSj3zwvC4/MR2/8G/6eXAyfFsqMtPSDHroj//MKx/sLTG
sQb4GVfL6Y/akgwF/uofjMb8R/xhwBsW08cf//+9nz2/fz/P/ypEDm286No//3i+TFZOFAiOEazF
S/LE0kuiK9F12egcOyvKiOmbp+ljpNvjqyfN8PPj/oPLy/TjxEHEOowws3HJNc2bwZ7V8F1I7suP
31//+erjX7dvSgMlcZkpSq/APmKhA4lTIdZbDhYSSgjsC3IdhVTdBefOQ54tdf79YdIM2DLhJ4BM
7ePYMnjvXNUIqfJNtntmBbFc599LqX9ff/mST54FyBGV+OgJLaNWmXcaAtT87aAmqn07uV0x+ooz
I4rIp7p68/vWe+Hhy1B18DhVj2rIPvaZ54zXKEMCsTdbDBPrcPFstHj6+J/PZ//+RssHP/lGLqV0
SOJojIcUafw1BsZA31dpq0dw46NEv9NEKtI9QuuCQhg4c439ThH1zeWmLyh7J90isaoSYaRfOcGi
WZm9x4oQ5PrM2vdEVP27JyYtPysnZ23WIucXIef3e6odPhvRH1VqILfAQz30qMgmR7ktORwAzqBD
QEZUEILYO+N+e+kR6s9bOAunnA3aQAvjHt8bTfnDsYAdb2o+ea9SMhAM7tRZ0CZa55NakuITUIc/
Q5d86daloSdzk9huDRIzUyOOH1XmkdtCIc/2zMN54fLG8k4+efdKZbCqOrKsY9Y5/QcNaRekhtnZ
NrCd4E9Prk4FO6kqvbaOFELm+aiOCoADuyrLczTfl25fGmx0xGXulCUMNqUJMWiy7dHcwbnLzrGX
Xhg6T9yaJ9+ATeZgJbB2/DxDGvWGRIVafDBgO6nXnRJ5zgNkEsO+2vQmGdLQRmQjFMaWEBVYjI79
uo3bqPuQwyL7se360ilm66pCHUYyxedSy8lCNxXs2XHaNmdepuU6f9PRTzjuJ43lofHOBCmywN4p
e18MnOsjoBwmRCx1HJnexo+RxhPDpNSMO8PxkYXr3SVSEVQfc6Fl47GKu2Hc1q9PtNcn36Yuewj/
Y+76Fcr4d1SFo/vCsb13v38WL7WVtP/FL+pqyAE8X1coHGdt4xi4lqey/phanKqeaaqX+oc0ekQU
1jmrrFy/QSB2peSzek+cTHOO4vbC5eWyYRnEbHYw7qFKrXWO2ZLR/GzPZXVmYnzp8tK6BTtkyem2
TcEv4wl0WQjyU2DsPLNpf+ny0uAhYqOYsilxfbPtU57B5HKqg/cEtd3vn/FLHyD159RTrJpjGddH
r1AXV5VmFXjKEmceXm/7AKlDO/pktJqCV8WDFvPBoUj8eozDetp4/1JHc6bFQAMmwq9Qt8eXbLZH
bxelKDK3dbFTkehJFwNdV9ud3jh+2oaVedUiKXR3CGCbc3Pz8qb8zYgkm7ynMAk56+MR16hbmkMS
gg96nSvEsF1j8ofxD5B5Kj5BfTS+iCIcijMj+UtrnhPB8ck3y8YQNR8mDZ+j2qy6juBokHw+c0qP
L7IbiHTdFR1QN2Kg7SpHho7S/WCbg1G+7dXOFtsaWJOm9wlCj+OmsCxzRxEHIx4cpNdYIn7/+kkF
xn+tXGXUkdV3Y1zrtecb6tyUx1kLek5pgnnOLivAptN9SKzQD2p7Q35pzm5hvRqBZxV3OiCS5JOb
UkM7cysvdDVN6moZlU2NYpnjI/Aa/BCBfbYLOVf86/ff9KXLSx1NaI1NeH1o+mE1up+Jw63wvir5
tnFOWz71yctCvblIKE94PqIbdclDd7FzEYs1tWdegxe6wUl89eQD2rieSNhpXL+D0aOT+9w06rex
0pZYNR2bJTUbUeGanu0q/F7lM5i8be2mP/9mxlBkPOXG9tGb52JX1Tp42EmYGDa2fYA0jc7mnNbC
bpyjQA12RKEVHgApKodtV5emTzvwQMfV4+y3Iuz8ucBoZWPoOjNIvPBSySgOW1MjZWQtSUI8Zyo6
kMJDMJX6tpdKXd6FJ8+cbQkH8HE5+zr7xp0aaR8LOErbnuvJEP/k4uTzFCZE8tkPnam7E1OhMn/W
kZZsvL7UnSMgDZXRTLOvBLl3pfdjeggg2vibHqsq9Waj6q2qS7l6F+jmfjBA6LW5Fm+8d6k3uwUZ
QD0wOl/BSrpPDZT9NmHA21541Xj+WBHsN6QYtrNPdll20XpFuO8tc774fcssLfA386Uq9dcigOs1
a8rgD4r1yL4w7S9MdKyF3w3OOVjHS6+91GXJB+mLJA0G36Dj4qUpk6Nmlum2/bIqdVliHQxzmO3B
R3NiX5GKKw4JGVabWh9U6fPW1zqgd+6ciCWfxbyJs9y5q8Zs063r8nkGM2mQpprR+TVUNRQylt7u
nWikIP77h/v3DQ/f9fnNWwFnZMqCVaggDlynXdjdiiDINnUqqODPr059VEHDknQXjQiH9q0xINa4
txrXjja2vdRrUwKJsEnoaOZDMe/Tyvo8eVNx5sV/qW2W//5kQLMSJSUsKOiPYPVQIrSCQFQPA+a2
lpc6rYF1Cs2c29PyyudGZwFWeGOw8bFKfRZhW6Morf3z1k291ndWz1HQtluXe6vlBsKNtH6xQS+a
Oq7ebm8YqbcCmKhIYObqI1kXe+GmYmfb+tmIYR7er6MZ6RTPH2pkWm4J+omrm/pjTfTnRRiH20pP
uivNrylyTTcOuTgatdzHV8ohW2qPm9YGuiv11bEDYpRNaX+0OjQuo9brO60Kuk1TFAS45w2D9QPZ
laGKY4H2ZIfP5hEJj7btjZG18u3cIB6OBnHM0wh0hWl9Vvr2XJzQC/3UlfqpGlhoDAnFOjo4KA/t
GH9tF3vLpnf9pKd/MgjUyGkTVsLimGB1Qt0Ob1qgaNt4df15oztGopBCQ6i34wntruV45DVE9+wM
CfGlhpH66SjwtsN7E/6scdi4mwtoqQelU9x24zsjdVWdTJCcJKnen8wFxa8YlYUQVu++b2p7R+qr
GtgUNLA5M2vQZiB0Wu3Qpsm0aTHM9vJ524smQC8yWcLvPOMLWuWH1jQett243FMR2OfTpJAXGSmv
GB4/TzoUr23XlvqpF2Ns0hAeo4yPXGyC1rsyDcptD9SR5lPExErjuVjKlRjRAerxW0ev1Y13LvVT
jm+R342uckSE/Fc8aR916xxF9YU3XRaugEANFebryeeyLewCvYVaM7VGuG3odaR+SuKxiFIT9BmM
JfWTiUYJ4hAc8W0rDUfqqOiRdDylpUB308yHcnS+occPNja71EkDN66dPm6Eb03NtM/ziltPz528
vtDwMjbUI+kecT7JqJzKe3cuIu+7TAmqj5vedVvqoshAu6ZrYl7HCJKJkQ+fsP9se6S21Edns/RI
aUiF31i9sdPc8TNCq9fb7lvqo+ZgjgPxn9x30r4zxXSHB+ZMdMBLDS710HIANtIZYXfEHqrsFVDL
CBa31Qf0E0v7yWSnkYLqIKVTjrbq3eeT89ltpmzb0HIiHz65NmaMntGcNkFFimq4vEB8tG0kl+MM
zYo46JGi97Gce4BZkHisbTOo7N+E8YJThvAUn5jCW7fEgQ+4a9s7InXLOOvGSAhuusrfY+1Eg/5h
04UtadbMIN1Uc8pDNKP0WzN6D+5sbxunLKk/ihrS6zTYnT+1OD7mqdP9RBjtYduNSz3SKKCLJITv
we3irF8v0ksv8D5tu7bUI9OMfF74u8rRilndKqr9FcfxxonNkvokL3ZdA2ro/Ci2yVVvTeXgeU6/
reNYy0jwpONgSHeQ6PUkY9pvmxLozcaVhMxUjsIIjl40db5wUVsMRovTt7bfbWtwacYcOCCfILq1
Ry2qSIbj8B0bWLfxTZHmS8Kr1BQUf3t0M+u1IarvsTmdQ7Euzfo3G8RfdF2mNam167XHJjdeW1x7
FP3Ga8uiLm2IkdmPGmVj3VBvhRsm17U52ttaRZZ0Ra3ZZ6xnlwjV2d7NavI+s6MzmPoXWsWU+ibc
KXNIsZv6ozF1yV41AzInMPxq8bahxZQ6aDXkZsBZDXBZs/qqDP1HDh/eb3oVZbFWD/C5sQFLHYUI
rUMNW4xcat3Zto4wlxZ70j2bqHeoR4/c+Di+FuXikaw39lDTeH7tJHdAyERG67upcZchODxiktA3
trjUQwXgEdsTfeerVfZgAqUAHLZtkSLLnxpLKRAn562/mEn2Q641e81Mfmx7nNLEOXGi0Lp5B0su
sz+H7XgdO9bbTZeWlU9j0wWpqyuNP4GbxwXr1BcL43TbMkVWPpXWUIDV5eocIc2HYi5fOUa77Vye
sKHnrwpW3TYF39X4JfoUmEyiUW6UXp3ebGsZqXsOCirs2hQ80X76q2UFN7but22XlmbPjoknquyy
9VM7fIOM/krN823voSw+6gOQMklmNgAv6ujYD6F+IKj8+7b7ljonOUpB24wwDb2oImJpepW755ad
y1f/mzlIlhkNCvXgvoLJHeW9JXaNYyd3tV0BYVxCdffb7l+aRC1IMEUKm8DPYuNLFpkfAT2923Zp
qYuSNo3zwwka+n/fXvb4WHDpmtuO6jCjPX/VQ9BccWPo3Lipfcx7zNqmUn3YdOe6tMKNsIymDbHV
vqXH5oBPQEzmDn53lG6bpE+ppU+mC5PcaFcQLgDWXHmIc/1dXG/ci8sJMlls1WyYuXQweQ+dGt8H
hr3tGOqUb/XkrkELBDk510Dig1z3FVfvHrRwiDdJcfGlPX+guoPhrI95EwN1BgLR1D7BUNsUXSBl
nl+crCQFXFTU+EVfqTu1dy7qIdxYHZbFSl1jCvBbNDnD400/6TeZNW7rQ7JMyRtCXOs4gXwnCIud
M083XgMUddtrLnVQj7dEHfW08WHSv17gxY3abbtvWV7UxJxOwG2p/dZ2P8Za85Cl9bZNnCwtCkZc
0mGVND5RVTWZzeFANFLubhsPZcl7ZyTQpUuv5twmqvcAER6E4m1bgspSJFVln1UQde+HsQHhb6BQ
cRSqYm9sGGkKTRJsi30y0W+8CcyJsO03WazOG5+o1D17yM0BYrjaJ09T32ut+YqZdOPpuSxDEgom
OmuEJ9eWHl5OxtppQZe4Xp9uq+HIp/81dSxXEXnlG03ifgGHPwKdzPvLLT1Jk0//O9Bo0wxy2Mfq
iGON8+idMinOccvVMes+H7zQ/qpeOBa8N2FE3kFB4Q8It1lvPAM5ifiejOtTSgx0kweV7yptWhP7
UeU/hOcMGze8Jynkk+sDEVdN8Bc4IKOpPYCdBsdJgOi2HYwslnKcEfRsr1bQ3Gx9Dzy32ZOYvnFs
l8VSXYZ6sDWKym9NZ8GMEPryNZ1AhG4bg2W91Bg3djOMtE0ZQRiJu/z9mGnb5mtVWq5juAVw6Qja
vXCry6kF+DlkZbTpnSeX9flb2Rv9Eu82VH4SWPNHiAvhpem4VbqxYaTxxmCMt/SJx+oVQd1eOILs
6J0VlLBCNvUqWS/FQWJaFlVPyxvtcNU07nuoPhvPFWS5lJPmOgLmpvIds3sbh5CJ0u7ttvuWVuxh
MA1GloW17xTel6IctF1EoNimRvnFOd1MCmf0GQOZ1RMfYWnVNUCaM6+js6wrft3Q/BJ0XBNrZFWu
XvoQ1xcSdl4kdFgnHlMc0V6YQt+cAKDnbXYFJE5Z2FlRbb3D4ubUr4EmtACanNy+TDmXLC+TtDDt
nZPFFOPJuHFV6LJmUjfvh1onA0Cd6iL9WkaRUu9tFpY6MCBq7UenEqM4ZBpVsr3NKfV4BcPPhWCO
Udm8CsoEQICmUk34pKDsnS40cM1ArZ2Raw5Z3M0XIejyFredPouLXCeo79D2uVF8GR3TDF538IWS
by008Np3Z93r/Wbk+x6qbraOidpb7r7Aew+He3JCcQmLNfRubReWI2Eas/4Wscqw63W7uaritpl9
tfRIPIET1puHvjFD69iTkkMJO4t6cx8CqitZz3retHeb2HB2eUlC980A79W7ygytM/2Z1h72lpH2
V/Os5K/SjL21jwI0ASFO/tL8NoNE42xahcAKeT4sNHnY933Vl37qhuJD49YzNdTC7ba9oLK4pi7i
Dvm8B0ZhgcRbenJLIs02U4wma2vAGAGMcoFzTmVFDEmpDtjDazXetrgkCvt522hFrM2KkVQ+ga3W
eNTbBfXtkFpVH7aMDZqssOnyegiUqCt9zgd+DJV5bSntObfmMvD+Te+VBTaVGJq+npzSj4gUMndd
65D3Z5BD/GPbvUtbtN6qZ6MXeuVnNUTenVPWBkebLvysja+O/rz1h6rINHUExGComrkTzpAc4zje
ugSUnm0+msToCqP0bYuUNiZeggcMb9ute9Jca5jBxAYqq3zYvo+Bmb4NnHhbf/WkebbnBHLMdO7b
EmTleNk11P5NRXFNxgVZPYosjcqpj1x23AWKBzEu08qNbSI9zkYNDTvlsNoPdUg/Y1r/IAzp3aZ3
0ZPm2ARbd184wFrEJKpXOAfjS5IC800rJ82T9t2RTZ5RodutHzapeQuAKsFWLbrPm+5dTjqsSI5L
5pApnDOaZo+ijFwAZVD9bVeX7n0gVoqkgIIM8zLLrgHrWd3OBvq2Td9PWsXzTtomRYiQqeR1LIRz
TViB+oU97bSpFKzJai+HeKM5h0XuU8oarwIzEL6jds620deRqu+gsYQXL70U7DRk6qEOd6LL823v
uyMNMFqjjWJkn+yDvDIeI9Tmj3Mu8m3KT+KSnze8pRtFEiVp5Vu20ytXsOm1vRoMg3Xm7PAF45t2
Is092QXiBw0CG9KaP2ea0byr0hh+XeAUenUY2lJ5hyPslaJ4QHpYxaXePvTY0F0AqLXKbU/flr7i
4EArKXJCRuJmVL7lyWB8bxRmgU09Q5bNtAmxPlDYcp8l0Cunn2+yOjxDtnhh6pVVM0S+gfMkt8dv
Rz261rLG3UFeGbZ1aVk4MxCF4PapkftG6pbhjjjZ+jpyRBFtKqmBEnz+ZuFftlWRsOwfpjpy90qe
wP3Io6LKLja1vKzLgx0/s91aViaE/QVk8YXY/aZ66tSN30CaDmao3jiB9cI3DC1OlxSHwdwlqdlv
nN9PO6YnfYPIXF5LnQ+YhI5afBYfMU1839Q6sjgv6/KJjL+58KuG2J4xNH7MnbXxxmVtHpmwWgtY
Lfd71bwg2+ta19sz28WXXnppNM0BZIYD4Ba/M/t2nyomJzzD/GZbo0iDaRdlTagNfeEHANuPItLD
XW7FG5fKsmDM9MYSnp6a+45VJCRduZepqU3b5gFbmoGbqgjDwIsL4NTRcNs2ubl34Ko9/L5hlrHw
b1b5sm7MG9KpJy2ESuZs1ix91Db0jpmqEUBis7otfvz+Y154uLKGzJ3sgKjmsCRAxOiqXWR1yfKM
IfFum4tlwn1Owk7dezGjsaW/FZ36JtTORba/dO/SuwP9oXNV8qCw/FrWIW4o5ZOeWWx7vLKMrGD4
VVJUgUfNaYI3/aRUb4vI2uZmYjf7fCzO4kITqt5my2DgPlS5YfldbLkbG10a6SuqC2oAkI3DcKoS
Ze0+KGYYb2wY/fmtw4QsJjHFGQoBEE57zIf15zkjl2bj9aVBHmJMEFRdk/lzQ2BTkd7lTvRx29su
dVliSTitxiGIabUMoJK2on8cDLjEmy4vC8pi6ghFFCzNXrkBZxvAg3PbEtvWNbKgrNQBNc4NNx+E
EWUnTSftNx03DpWypMyzZ2eyWupv2tBp06GI0SPsk6JI+m2bUFlS5hIeVrGyzXwtsqcDkRvq6xI/
35ttTS8tKSc7Zqc/1Moh1MKxJDVLU1/pemWJM3dvvDAey8Iy2zT00bYFr44trPy+1rRCXMZpXzcX
bMSEfmGR59keSOUYS0IZ2RXcVg7BgJ91zSCk3tbnK8dUJgtweiBAeE3k4t7nhTXq+7yup5ggRaDF
38pgisVFUbHK3AsrGb8buWne9EQPXk8EQV4YgRi4BJAKWP85ebbvIg1/y0O6gCTeFbFbtQc2bObM
T4kPjVSUn6+SKlLmA7/dxneElJX9thWNLIhD11jriyH5GAZa8qonR+tWj4km2Nid9OcDTamkVmmq
ferro/po6/UDPNzX214XaYxhrzkRcz2kvjGjs81080ov23Oki2X++Zup+xRD9GQRScx8DkB6TP26
AqZx1bRzNhy8CdXDYWCpSuq0Z2fRtiqDLJLTas+yzd5KfaUiadNMh+xirrLw/aZ2kkVy5AoJ9ohG
6velGR0Is/pISMW5dnqhS8kiOU2FJ5o2IoX9KuK3qKpNMpzD8etIdsqZCs9LHyEtEVTQ4qFegbdt
RyO1D1FXN3W86xuK7VfxgKPtzKb6haWIDJMZE7UWrVF6hy4345GsgeF91aTpuY3VC2/UaVB68kah
fghFb2fhMYy7NL0Q1qghPlOyY5zPhOghGN9YPZU1emFEaSZoMp5JoSvo6OyPjHMb50dDWpYo8Eyo
MxSpr3Fi1hkDgR7amfH/pQctjRWOgVR0xuJ7SMPa6a68rLUuStfjaN4OiRrZJF7QFsDpU3WxxbVJ
tXAUKCCABLHSh5/+j7MzaZJUx6L0L8JMIBDSFnCPcI8xMyIjhw2WI4MQCCEhxK/vE2W9qPaqrNfm
22f2SALXcIdzzyfm/LrJ2ZheRCdLEHPXATxzk+eZPULSzYu6ja/M/i91esDFI+V0cXvTpTwF3DCo
iovuusLIpVCPMB0D3DvUVbx2Z3AtAYNh133zS4leAN9xmSweve/poRZA1XTJdQWXS4legBFatwhZ
V/D6vsuz6G5mVxYJLyV6UC2SHGulrnTv53O/LPYmyujLVafypUKvzvJ2Bc8Gix0G8QetQYAOYkiP
1z39YpcSIU2dAa9zk3cAi0JU+3luwnXes/GlRK9heROtoOzcDCEZjk7Y8ZbMw3VK1/hSpReFDZmW
Mt1N1/dzpVt+H+Xm/3pG/9UE9i9n/KWUrgXtGpQKsFvHdUbvdrrpzXTdJX4ppQvttjWqQSA1WHAG
RzcSUMOyfzga//beF/UbQEztjgk/rHLg5gqoxkrYgl95Zl1K6YBQDMtqNXjBXIHuAUrQXNRmBFHx
qsX4Lzf/f7v5hAqYuZCZwKDVBMI8H2pzN22yu24OMr409nJsrMd8pqJSfkfv6gNUAP/w5v96xH8J
Ay+1dCnb0XECdv0GhFO63pFOZRgwamC2+QqnpOkGoHgQqfJ5VdmBoZ7sy9kCtQ0LS83CcXaCzAeg
Mprku8qzZL2pOe3y6yrwl0o2oMhj+G4AVwerSducOkq4O7SLXMbrKhCXUrax6yzjcZtXm2kZTpDQ
u7FswQig1+Uel1o2Y6XbQRx1Bze1+qB46ist0utKnpdSNsRUGdVUuUP87vsFADYmtdP8Kn11fKlk
03DTX2qLh68O5srDks7FNCTX6eTiSx1b2jpMw7vRHZI+1iUFarxAReLHVbvxUsg2Sc4JobU9rEmr
Ch5FGODaUnLdxXMpZGugNSVpBIrUBGVNARxn8zjk1L5d9+7vx+O/nSSp15rGbLaHSKD8nsq9OXQh
u/LDXNyZnfHxhEasPcBEMnkG/lj+YGTPr4tTLkVsQAr62bp1OYwjG0pYS8MRJq2vcz35D87LICzd
Kc+WQ5dv5pjVFgbgkbxS7HGp96U+ofsg7XKgXrVQXNlXjFdv/3DG/verjVzKfZ2fYZmVh+UQ8ngv
JJEGQPHrgglyafaVScciOuOr7wp2Ld6GP8S0180S/gdMN9q1muuBukOD6RlA31tgnYEJLK9Z6+TS
6WvHGETdrYh8cp38AALmRbXJdePV5FIC0yqUlCedukNHDCk2ndSHuoaM7n+/+X/P48ilCmaI5ZzI
ifIjq4dsfW6d6tQxsGQAtNVo3IL/+5/528K52K/1Sus07vFHgBAUVWuSNeW4uesUMQREi//nqNHg
xFvL8PSmGbuKQw5Tiin8uu7VL3JQ2eM4gJ7RHPSmQ9kBsVstqr7q4iOXihgBgJNVWWYOq3TrUQEg
WsBheL/q5iOXksSgKGO78QYoo304xov8tMd9dt1PeilI3FuVgq2o5wPw4XmpgJgDqdRcJ50nl4rE
MQ+5zXmtQViKTNnveiyoDtc5N5FLPWKdpoOJe6YPnZ1bIGTVUAKefp2r4H+iseOAkrNp+LHvx/11
B978rQer7x927F+20qUcsabexw5i5UNmYsyjvAccOon/qUb4t6dfbNQ0jlGuDkIc0wil8zX6CejY
61UbiV/sUon0sQbgIgfZiwIFvu6QyVpQ1a/S85FL+Vc8THTaiRHHTKsRQsR+Y+09i4eRX7dX+UW5
SIMJiyhei6MAmbEXyXkg10Vi5FL8BSOu2YYEj1Yprr/3xvx4nTKWXCq/AFDo6jafxXF/tz6SPk7L
tOX+uoDgUvnVkwHAsTClgLnXt6PRz4CuX7fOL2VfJIO6hSqVVgyCn36M7tOx+3DVSvwPyRdshFpD
x7RKmFPxTaoHzF23XrlP1z3/fXP9W+g76njuBzflx3SKN3icp0t6fh/V+yc/wfdKwn9muuRSWATm
mQY+t2agSEfLrQVZTT0uOWmaA+ZU8/rUqN23D3av/z+S6385gPy3f/Ri++Yhqce1nwekrRtoz2U8
dOASH6TErhuObf0ORJ4nBZ7MO4UZd/vWBzPmp2nQrFVHJNa9VMWwyzWc2jpE9XdKPWR3I4G2Wha0
B8bSFwhy9HwvWcz1w7rUPmanLUrzWRZmH5qoKwgVHW0KY3ONQGhi+OmA45yn5rs2rXJxkcq8Uye6
S9g9VwEJfd5UYV69KWWg4OHBQs6vXZFJMHhg8x26bRmLGMhSlhYiwLtd3sZaMnjTKxQVLcBynRkc
XnDJp/GTThQSmT7v+R+lFf6zcXO6Vgy6c1o4fCFZrqtPuhuAazdQlyRQhuP3CVXV3BWbQTYAji1n
Tft17FIpfqrGgcSDQc59MqqA21cfvryrxW71rsJWjDCNWkrvuyWWVY7Byfqwo2WTHCLQlZey5lhp
olyZD5mqknXPyF0MZp84dpnbFWar5incwsZ/LHOmV/bQE9fxinTU07LN2YwojCtecQUD3GKbGzaP
0G/2U9tUViDfz0tUSLYGGHQzjyYvADjPMTeydjd1miNsxFnClDvj15rarjAckV0hYtDsK/Dpkm+z
VeAHhn3Lf7oOXL2jNlMmH3cDA863dk7y/JHamtL7vW65a6phx4xKehTexXBE2FnuhgdMaHD8Xrrr
NF4ORGbRuCOBqzGiMUWmXd4GAET9j5mrbmrKaUW19pRj2FG8xlu+LaEcxhQksYZH7zaQgxtGH2GK
ZYdMEQ46OUDfh4DfcppOSYZCWnJicuRtIZkURybbsZzY5pVBNSVEy/oeWa7LHXGLPHiDM+qRTY3r
X7ctaUaO5TAl7tjTbNnKqWnTBC6xbRgq5DUt/wrC4TjdiW1H4tdmxG2m8Nqi2l4IDg43IihrKaUl
KHC0/wDgtmFHGKzI7W5MfIyyM7HwVtvRZrZrg/knEhZmISlkMFkjg/uRDBFmZsyap/olz1TMq7Ze
sv4Hch8+YNOodFqrpc+m5VE60rBXyLNmdexDjjEhMZEpO+9ZlMj7uPVy/9WNw+TSKjXAdT/O2LTt
YdRtSE5axf38uY0UJwmON3DQsyJXwO8+Emtl/CPt65qHom6Eam68X9fsTEyXTl96z0JWwvOeYBq9
8YCVw9o5Y8PP2vpGNoWcJf+RgQSsP2O6fG+BJO9wd0HvPoUH6FgXjv95itKfU2/W/aQSHcKr3Ekc
l7rFTvrZp1jmt41M9kcrSHMkycz7J25czg6Ed7r9OMt22589hO5JhE40fAN49e5EzE6Lt+P4R6K1
0t71bKbhZpr6ob6ZExGbOzeLPCn7lKbJV85As/0Ve1k/YoQ8OqPPs/+ExF+BRp41VQODoKjaup37
MyAP634L8yD6ZRBdKio9YFrwQx4ADH6Mm7qLT34CsfgQzW2/3YpgwEjO2SbJZ8JqWX9sZ9HoUgcb
wROxJyC8FkKxZT2v+5KZh4XslpyoZnr4BLJGPT05oE3bI2nllFd261ecnT7jpj1CPx2bh1ms7OcA
T4CxrFEy9E/tRgyOknba/IFlkzVNRdBOWu9kD4PjY904jTGDKF+b15YvIj0prTUrbB0Z9qNtRa/L
ZgR3ti/4GNcEcKCUbqdlUGClWp+QqLLLmMTFOOxef6VW4A2qjDQx7AzByCy7qFlM0W/RMh7Gd0ue
AoZ2u3ycPQbTDpk2/ltCgmfgnzVgMZZAQbAHhEvNb0BKYV7cD22iSiCDs+lzmGmWweBIKVieFVTu
e3fyFpOmrwF8OlMX7WzzDef9rv00Fb3FNe0LVLzX5aeMrW0+AsIp7gB7M7gVJCxrxMcBj3r/NbV1
5pAJhn7kYfSJykB81WN2M4hYyMO6NnQIRRNbvt/5bWlQutjAfxK3pA4IFDHO1ranBSy0qNhN10Uv
LJMmqdqUuahayBqLKg/73r8ZstP+drW7FzdOTVFdzT6pwz0FYuuZxEvfvaB8lARZdMNgxRHW8Y09
C4k05jGgLsaPqexw6dm6zmaojtN2u1cN6WU57Sa2ZapNHmF4wSx15zFCty/xR0ukwmjQmFr73G0k
B4Acjd3+cYLdXTcXa0iBuYG5eDF7I+JTTMVin7JljsbvSbfx4Z4NdMFCG1s1tL/owHcsBwXftuUw
Nbxbj/jLtv6QKZkun5hc2/q8NF1PT5hGZcODMwnIWAecSQOrADSi9e8dfskwNl/aPrtdpq5poLTF
OAoWCoeZ0rntbdC3ulcUCtYEilZyWDTQh8Vqw5i8jJHg51UN4o0nEgVf2KRn9Wsat0P0B1L7l3eZ
9y2sVJJwtMHkL5B/bn+mZSa+iiNcgOXaj/KPxpTXG2jMIbsFehhLeBWzDLexHz9Lk/YV7JC7j8hq
4JG0kwhAwsHsKi/FlmDpKwJgwyMo9mupFwRrzzJBX+/Y2CipfN9VCVw9P7B8XP3DsCchrbquX7IX
JWYeHdsp0mW7TeAHQ82NZaD8UBKX7cs30ydIyzh47a60yAUfeou5z+c2hZtiBZlTfefxHx72Zmgq
sOtT1BYSSbeqT034Io1pbKkw4hPuYQlIv7fGbEXas4dWSXJalyWiNxjp1/Sdx53cipynL3usYAbT
Cuz6VxJjLxYiiVashyErkwT3PhF9N1Y4dZb5cY8cP6xcjKUj9b3uI/UJnr3rUw7aLzC8g6JVN08/
d9LORVB19w1slf4+9QFu535BS+RWAjybIuKw2xQqYjJqP89xg/FRBFp7BvtCC8dBePVJrINi8lH6
moAVk1Sd1/H4k68U532EGaY73S/QTvcQDTd3gtpt/QN9je0KgTboXpEoWbM7ntt9+5WPyh+b1UK6
XLQw6H/is2VtOW9Rqz+0Aw7Db3RSdWGWCAz0Usng4KhSN+kwFdLkujnvSWxNBc2RdTd+YerBKwSD
f0abP1O7q7ga+7hR+FQtxtIHEc31c6J1vR0hjBzHj9Cs2f4FBgTsviVdvd6oOYTwmMMBQVdmQ+f8
lMIqZy2US3xS0G2e2y9uNA351rV0feppMj9rY/a28LBgX1Y0IfaN/Zzibo5fLIiJ0ReKVlj0OWU4
SWHbZG2GKdp0YFko886sSdloEGjPbbebcp5djno3c64u8z1bj9y6vr9BcrLrBw/RyrPAZZubYvUK
Uqsme0yEGsuQA2loasjycH67IupdDflx68rE7PlhY6I7BdWVtR+/KiC/inzr/MlDR9dP42eo8UIZ
6JSWSZtKBnMTD1yCmcSA6wsDXbyvCUzaXKiaIdWI7EFiL7ZVxPcg10ahApOa3GYe+ttQoymajswe
QL2OymEwc9HRDOYLho2fEPV+YzJ7cjHADLHFFk3DuxJbJRviT/al6cTDSkU5zTF2RhyTm1YO61ju
fY/uUUTSl1j5+QQImDRF3IPzLVMtSodRv+eFDPwc9floStJMj8gz7HqTDHnGVvxmRM2Pup1bOGXE
sII9atEP0wNV2ke4K+BScCdYQ6t+mu12zOIuXZ/ikRgYOqOzLl5TPvr2uA5ALz3PSUu/8AXYoGpJ
a9SWeBdZ9hhGXedHYnqfPKGhScePi2X7U5YOQ3yjh2mKtmJ5L1+MKU5cSP+hgeQ3a6yRm+xjI+5q
HJkaJO40bZ4DpE9RuTHs3o/L7md4e2CuOvElbDJrWeYi7vSTXFDDxMdrhvlAA+a2hyNmceMDr+k4
VobUiS7jrh3ihxQEdZCC2fIeXHNId9umFHzNkkq5mcQOD8HM+Khsfuj5AGuuYlcYEXzVGOWlb83C
pnszOoT1Zdv0URn3sB7E0uXbWuSe4ZBIHPwpbhvmNYLKfCPIBRuLTi4sSYwHY4mmQMZ3eBnywU3Y
mCUQ6nMlQ+vGG7nhPvmaEePXYwJkewwGjoG5Xpx2lFchH9qfYs2aYqHxfnTcbV/GsW4TpDxZ3S+P
Dmo9nHgGIX13pp326P3X4YmHd/DubnZ6t3AuyYGDnLQhfEOoW5k9pdmbH9aoOUk2ZvbVDXW8fhwN
8Obozc3JtzDUfi0zQM4rLdtPYnOuWHX0O0iME03o9BRm69vb1mqYo6SY60ewR8t9t0IXORLyGbJf
+WINSW4TmfgbUL3Fwauc3kkqxOcBAVW5hf5HAyPrpxglrec2TlgDTIF9yfx6nibcDGfum/Ar1n38
No8Zb2+TrsV4wd4vu3iYo8Q8Ew//YdjfZw9wDnUFZwFOJI7sNwhb5rcGJSfzvEYaAnO75aWLILmo
o+yN83EpwsQf0IaExwCguNQUC2nucMStp2B48gmne3OQSc9kodRmIY4B7CQBPr5sPAgQlcTWwfdx
HmdG3d12Lm8OWBgAhrEmnHfGf3He2A9pkqZnRiQWHB1M2RH2YciM+hTvw/bEme4/NEQvUDq5Qcq5
2Egn/FI0yN/CMQBYGG7ZmjRvLN702faBi6ofZ1aq3e3bcTR9dg4Q5KaffMTzl2bwFKCBxI55dFur
fPVDUWOvcBg/hJb86mwd7KcsYywUa6c2DnFyvPpQde9mOqchbDuMgLiJgwYrep4XrLKto1NfNWyN
o/Map5izxsS+J2fTxrV4XKJtsccVzhXkbWdDwkoR0tXeuVRnzTfkYmoGNCOJklvd6S6977d1AF+4
GVccrbE2/I26QZOnmTqqDzDvCCP8fBbWnqZoFcPXCDsTELYsdFlXkaVvbeGyDsmVsC7vSjMg6vZF
TSNKhyJkwXU/N57R+X7dpnX/AcyaR4DfWp7h9h6wkTNd9JjF6g/whaqTG8OHrv+wxahmHaYxpepo
cxx8FXL0Jj/N74LSw5yrhD5hXqnP7qAIp3EViy0TpxgTadufDreoenKL5ZqUQTRre17mhRJWwGaG
I/7b+2QIH1DsyRPUdSBC3u+WZVhwErVjjhhKK2z9F4nyi/8qMylOKUjvKPkon3+NFyqjbwqSARR+
tikDdxNtlbbE6kDkX9RulSDAGLdVq2oM/8zgUmHfuG8J/7Iss0j6KsvnCMFKPWbR+sL83m9NESVJ
ThHl1EaVoqZD8rjsfAt/UhhYDL9Mh0HBA+8Br/wYhnYTsNDIJvMMankmt8O4wq/4RnRRMj0z7E+c
wYSa9wABeKQc5e92hGPEbU9J62+pbCVRVbqbzUzFwBhrADaYkFEjfennMiBIRWCNuMf6D71FiOhv
hGykeRuWaFqPUx9ZcVoW4TL8YrvwppqTYVu/SZFhnpS1UizfrJfzetQNUVEppIvvurmpWTlD2mHv
Q9+nDX6SvMN464K+UWn0OiPDmhlMht7cngoO74m5vp+aZL7x9cY/zjQJdilstu/6KQzDUBgQYgvM
2zWOgpjH++kYPEf40gCq6047XVByaIXLi8V6xM+FddYvH/LY5+2fFbAeftglIW3FPOy8pqJZQE25
3ZnKfgSwGbu+oFMk6jMA4ylLy2XY+wjJVSDRzbZjBd/kSRbnZ4ubpf8u9q6twgjjk6cpWcyhi+bd
QSUQ1dEJyRq1JUFlHKcit3NdwjCMfqKrheRx9W2jT6J9v57wtWwMv+Jp6krcgVq9ZWhKkWPftqOt
dJR1/rBuGM1BGSPC6OKet3H3yHtPUALqgnzEZIM7DXXHRuzI2p0ngtLdg0gam5wQbw/feN9O/nGU
fjnbOR+HtuIhbGWW4eBAcbGpv8HIBclIo3Cadr2RD9YSgeEImHj505DzttR7AGkH80zktssNHR5m
S5fhwdRuuXNaT/33xGxcHiYuzSvKKPSgIoooDO/D+CnseWrKYUv9WwZ7nd8mYYQULQxlOixiBDrF
4HN1pACdu3JGrjqVHK36FbBHvqFfgXNzQThqtnJwqIGUsF4SW4kZrtAUcYvFOweZDKWG9Auiczjm
JA+TGC0KhjbahTrnfs3aL5tf5/1+T3HZfYJxzZTcK9a5biktXXV3N3EIw2AKuG0VYf3kQCtPnxKQ
36t1yrcelhw1gM0jgor8Q9xSlGPqBXl+wQBzPO99HW1QtM7DXkk00REl1BZjcT/rEbCZUyJRQixq
2J7w35NFWQ1XGRIXwCY3Ag3FbnG8PURcTPYF7bbE3HsYGSDu9aCUPqYOHk0l50b7J4Vu6I90R2b7
bWwy235upwbTctJqPUAIqNJXlQhkN2D2IgmQgKSgBgQYJM6+VX9uO1Q9UGNejnJxIS5wRmx1V+yo
RWeVzFnbDnfB5yicFBgwi7+ZRY+0nFBaWZ+Cbnb/geg5yr/4eh7dk1s70Z15K5DSHJSrZXdam3aL
W5y3SfZHesS032RovFoPu9CwyZbTvH9C50BB/baixKS2YsMVb263fvHY2cn8ltCWHtHkie/groCL
hGfwOC9Gz1z+CfvBDwfR2hZJC4/H7d5zN8qvXqEaUyCHdelDHCVs/K17IWQlp9okr1Gyq/UxEN6v
j/UExNsHjpJq8q9CknvUC6Xjn2xcRH67xc1AyjSFU/Y9LrIGl3WzZYmvapZvXJeAZEGYW+4x1C8v
K2yNyJnBooncYWHl8uwYTTWYfWQbH4RGgbVgmnoYnevW/CYZ7drHZK9HCIpqIsdbOM5HyTMGHnM2
lcA37R6NmzHoI8CL3hwhUdOqRDskcz9Gr5YIZMPd8lM0oATyhQxqRgLBEDlWsRG6R+6CeFY9OhT+
ZInJBbu4Am4+cXJHWJIhas9sNN52EEisP3wSxIK/itX2xjcd95XJtJaHgVI+VwlQMlYWs1GhPSKQ
GpARpPAeg2pyeOd6AXM2VX3bie1cW/QaSwx4NCKrYKFAFhii1wqNaPQwp+bM1o3uOJqtTm9xTk5o
s8+4wgoUUGNZYNJz76tZjW44ppuL5995l8khQogUp5YCVAsbnD9aqgGDWBKtLbuUq8J1mJbRYMQN
S3QStpOMOeVvzgDBcv++5jaNP7xL+7Ts441OT1neDdvnCH+NiIoWyd7kju821IjvV76v6aN7T03u
6miSG+4YCF33og910zwFFS+IyYyjjKzoKaHOlJdokmTeFmRRYvzZBRzZEOWFXJHfxq7RfHRwl0Bc
iG2O3B+YmcmcFzE5/pS1/drgRuT9/ku2aCN863s/yWPapGOEPHjWdATlmJnuQ4qoBlcDWIVpdtQ4
2uffrU4zzwsbC9gs+zx1/DVGTa0DtwWFe/tDwIdVvunITdHz1KBT82EV/bxg5j3wISnzdYYhMebd
tBlOrULDCosk1fRocsR37AAAopvvMLrXZL7c0fyZFJwcTd7lFcmY5XdeowV0jyCCs3vp0nR5GYde
mnPeUD+dIgcK+TdKCNJzNm4M4zKTilwx5ImP7icCe50PkVtc9yXaARQsBQKA8RCc4uaxWyxGSFRG
8vV1H6BFLDlZ0J3p6DDCpMg0kf3J2aLrV4raUJmMABP0636OdoCxTUVh6jecvG5oKBBm9HsZ55t1
t2EaBb01KI/7m0GynbzFrc2ycyfRwis1UejcHzAITAxyuxEVetTtly2LjrNJEldSpvqowJ57YHp5
L0WNGQwWjiSGJno+dlGMRg0b0ZsJxQA2Gi/CvOmsMm2epbd2c2K/1ekWkRFebIl3opC0AeQMyVfc
32exWZa3bIEd+u+8SZ26Jyhq58cha5148R49lWpoUN7DWCGUZM/dOA7srm6GUb54jg9zFxIulzNx
YOGgUAFpOVjhYc+ee5er5rz1RshPiGdRRULFkIVuRkWBK5SaU5irdaR02Mw6KuEewYKu0MDLuThK
6PjevYfzr7DvI0tcCgH3R3VQ6OEs7pQrb/Bhbd5r87wZfDQ0O7ESgAtPchFeKD47xpZE1sr9E9oe
KGyt2MlHse/5PXIFFt0lUY0KYsEIbOeS9/4bT25Iz5i+kX0+Z/f7MGFkOk7CZL/6zgmU7qSD+cTR
gjAd2iL2qMGiOZlALUXmha9wtzNq+abWlCfPExxCluT47tEaI3XbMmDTudnF2pdCeS+roMw7Cs4u
7DEzdTqeUozg+tt51I5WzRr0eJ8sMJgptlqS+JTuOqP30RLH0RFtRdtVA28E4mo9LxqVMao6+n3L
QWa/q/em3z6ioJxaVMrb2uy/6JjR5oeWExlOhGI68UQ6H+YHDPob+zrARbr9NI1Zut3HabSEP2HO
en3frU7lh91lHLUPgfZ0gR6dQzukWxbo82abPjiiFl/aANbnyeAV+srtSSJLyNkZ2txp+q6IXflR
QIz8OKyA+X4iXjbLg7F7PJ5zkOoQEaDiXWM8QdgA2vqSp/0PFE0iVJ4yHukF1UGEYOUyYp2rA/pI
EoUGHKHveYx/j0REZFZahiiKDbYJnw0mHHT2/u2ERpreFCjaiqclX4cIDgFd3v1y7zfjr9yhzobx
76w5zZNAEEJw0g0v1JjEujJtULk3hRtSeDB4CrRTjlIoqWiSRRDE0GauH5M2t/6I8xPuheswdutv
2296u5/2XGWfEQWwdCv6uXfngFrk9pnnSq9PuK4bersgTikUfFLmAvieZqtGito8Llu0HJ8RFYv8
vLSYDXhEV0NhRB3Agh2p+yyRlWdATaaZ/e5cNPMCszqJRzlTSxQszNx+hLAhbqp1BUb5Yw8tIi5E
UDHgtihWXou3XBMBbfhI0IFChas282SLDiN0aTFxdP5piW61cb+RKDcohyEhJfY7srG9iwpmoX3o
iwzHq92LZpgwn1HAVl775rhhoBM4n3FLWfsVM9EoShfOAzsz3yjkGl1f+hmO3/6MRHjL4srQFuKL
6jqNy4UskoV0VNO4DAcivvTpK1uvEqWTS0eYbKDrtiA3P9DuI0fO02XXjZ6QSz+YCW5vou7y/Ihb
iiBVFSt5WHBY/hNS/i9GT+TSEwYJd2Kh5ELcHWETzO3U2TvlowkeagtULSiHrT3s9HMxJ8/bggJR
CQxuREpUZZFz/O+fhf13adAl163ZUGPrIpMfJ1BAh6rDMMgDRHdziXAJHTt02/g/TOj/RYTE3t/g
30ROZl7CklLKjhikn/MXG6baVbpBmImpa2RiqIC30YCgcAvjP0wX/0WceOlj1UNXhcM8yY6Mg2Vh
YddymFHR+oc/6G9Pv1BtaZDwlrwVGRQX6oc08Zvnur5OzHZpZIUoeVa6qbMj2lyI1004dW6gVz78
Qpll49iOk2PZEZWuAwSPKK/GqG/87wX1t69ysc/rDT2MTHTs2JBowZW61si7cfle9/QLTWUiNYWq
5v9wdl7bcSPZmn6VXnWPPggg4NY63Rcw6eiSFCWRusEiKQreAwHz9OfL6p6ZFqunND3lVkkiE0xk
IGLvf/+G+0Knhqft6JHOuDWf/vzF/y8r9KOlj90zqGmXnOWSOp7xfaizag50ezXI43GNqvXbCRbz
AXGQ1f5/xdrpH+19UjeZHbxOrB0xotZX2fXDbS5AZ/78Df2uwvs3HLyP5j5Ovpq2WhO5q1wvBefy
6nUGwuXv91WM9hdJ4cvv1FLU9j5r88d8yx4FK806xEM2pbQKSRqRavh9UWbaGv7oUBH946f7r58E
m8Pf/5tfvzXt2mdJOn745d8fm4p//vvyPf/7a37+jr/v35vbl+p9+PhFP30Pr/vP64Yv48tPv4go
i8f1fnrv14f3YSrH318/eW8uX/n/+od/ef/9VR7X9v1vv72B6Y6XV8NDrv7tn390/P63336Xzf7X
v77+P//w8gb+9tvppX3549e/vwwj32qZf/VcaV44pvP7779jGH/1IAnpUujCogH/7S818aDp336T
1l9xG9RxZ3QJ5aJ95lkbmunyR4b+V3nBgz0dG2SOa0z2/tePc/7HwvjHJ8Db/+ev/1JP1blh9Dn8
7Tfzd6X1/1lADq/vuax5zxTobHT7Y9pDjYh0WlVRnz0dmMDVGqhFBfUIDp3LrlnEFtBIASqO82ds
mW/Je43Xff8ssyYsLRsrh+Z60l/ssvPhNV5MPDFJgfAy2Keiyna7rdxuF5yhB/CoOLv3jPgwr84c
GnpBI7poVdgO1QJPyooRDUC1jKuZlA8rf2HgpBH3oWXRnECIlFIHJq0qK8DUA+qPl5pBGcRJVj5t
a0qMVG58J2mvggnZ276b3A3JeJXlzdu49fquWhmsbiZDoaT9ZNA0BFMqVTD2nokEyPjqNuubNCp5
8AonvdXKtIyGRpVfMeOsbsxBTIec0NvinJ9t1zuMXnK9VdeJ7ENmeUdvu1JF8qDRyOydmYKx7kUZ
6sWiRVuSPDHS3PyxBbGu3rwmZUZ5Mksg5CNUGsZQYLxdsHnAB/JtKuoW7YcFhj/McF7MtQ6sGtAw
RtBynGtNCzUHTGnOINXOdth0dG/GG8TPnCZI6CbI3mLmPn7iDR5LjTjUAqkT26n5o9X6/i7ZJjhu
mimftF57qXDVDSqnkJEcdBHQneSYSlffEc3H/pDEBiMgkym63JK9oS8ikLHqA/JjtF28NW9qWtxw
SxqPszcfTsPaleFid53fg1KErWtjlFPr2U01D3M04wwZwp4zglgN3SMYa343uYND/o8ENNVUStdD
Fy7G4inp5iF0tPIV/4jKL5iN70YV0/WrfNptsSqfbOkJnnxR3TYDy3Zqu2+lWgGy1zoPBRT6a3Ne
HHrW5lUwuQ+m1XmuSyT7pA4BtDGKiXIT6rIzTunOKK1PfHhZUA9JcholnaLT2cvB8Zx7nJnqoGzL
OOpkowfKWptPceEk+6XwPlumDnJTjZh45nCCEhq/0J1B2DcMTs76GLu7IV3lVS3n5NmcLSca4WKE
Xc05zYjYg3pSTdkLI0onWtVlkU+FvHK62qYrLl3frPU8Ij8SV6UB/jRio5J7MNgBvYfpDx0Wq1T5
8jrOKwwrFvg7iM1aP2vpbwYY1X6jTYyXEkdFWc7IFni0Uz9wzlM3lW3OIOObY0TFHDeRGDCPd51d
JnY7BU/TF8UWhyDk6Z3GBxllRc/EQNMgZmaMAoqNKaThac5u0ByeVyHh0zo2lGHSbCG7K/NQxpsb
jBJymuiL7qlMBVE1YoMfoZNZRw54fyWGpY/sHHjXB0MzQvbGOWiaHuCokLpf21sZqXQZgxyr99DN
yumYGsYQ0HYBGk9xEo1JYx4Xr68DTbUC0kgVByTuSb9Q4CZOoj7XJKkFmTK/OKX1vtaQNCrdfJEu
G1m/2F+L0RBMw4UT0J3+cGQyhKOa8bknqdjXpvUOKYMWSNLpIw/S7G16kTvKOpnDJIGI1W1eHgnh
CT/L7MvgSnOxqG+6m7IpzWPv5WtoTcwNMrFUkaFi6BCeAcEhLrNT3dQ8Kg6EhD5JNpjHaJKnjke4
Zn7mrwlzDbvKXubLvKcArzolvGO/0Pp15+p9fTDiUh2raXt24YNAR/Vga6oNr6ClL/hQIW+65LFE
fTs4B2VgJNvljDz/vP5wf2ou/nF6eMK2DZsDDLN17+fSX6vbooMfUZ8dz7yqvCm0eBj01g092F6x
DcOsEfEvqvKfBYpc07ItCYBmgUZZNG+XIu9f2o3JkGO/2cN0VisX04bEvW10kt9NRzi/KN5+rhe5
lE3hZgO+2yanNP/386UYfXl8/o557ov8W1dDEdzUKcFbJFNeuIzm/s/v5s+t2h8v9+Fuim1KYP66
5lnL8icJ/x9iYMiQ99Ry6f/4Uq5n47oAs553+bFnMxsoPeXSedzE28G8gbmSy/tG+4Up0x8+Khup
4b9c5cNHFYsaAhaSIxDJr0t9iut7Pf2FBuvffESeobMEUawaFOsfmk+IKROZ6NIFi3SDVZ5kjpuE
vNflj+VXduL/5t14l0UgbcfRbfMjIGEjSgZnEd4ZmpAB8UKE6fYfWe1cVoDQpXMpEw3ej/Px3cCS
Acgkf+uswczaQgqBP//Yf+7dfn99z/JMCkoucnl4fl7QOSudRabye/gN95QXX2tnePjzS/zxLol/
vcTHuwQH50JAmxAt5OLrRASHl63PGxyKP7/Mx8+dHYAhu7C5ScJyGbj//E4Skwpkpn85p+1NWd6p
aecs8P2CQfuFUcfH98OF2Gs8RxgO+Lf90TdnhXQmVjfJzk5ZBUb5omWfCvmLLe0DUAR11oEubiCJ
c3SXZfzRbEXJHm6qC9UO10dfh9y16ufcu8/K61pXp8qZAtfKgzz+8uc38eNykI596S/Y5VjPcJ8+
3MS0pisubJmfu2CK32vtV8fD724m/9pdcAHJBaRjSul55kelZG6qLMXGrjzXjbdbvO0LsY87T9xj
+B+S/uhPxnGmevbOqPBCfR5+scv97mv28fq0NQ43F2s/46PbSkZ8zbqleX5eEjRUo1LNDZ56gqPf
aQNDj6eoukwwsOfRI9iCIwIq3fxmTHKCNdA8GRDafHRETWB0uXVf1RV0NN1+X/AOOGeNV8F9HJ09
Fv1OJEj2wb6BE39IN2ShHIyJ72aUtFD/Cr8tXDMaPCu+c5UYfZxItp1dxdahgcX2i2Prj0uW+pd1
ZBIhaXJOmj8/GwWaOreFYnNu9IPXnbzmVhT/kX3jZcFeLsF24RrCMTzrAxhUNl5vznZCP3TvtZQc
4X+6MDmsXalDx7NtIO0PC3Oo8iX15m46I3Tz3UfGk7/YPv648n++wIdjg0GRVorLBRbd71e//VUi
O3uewV3+ee2xf+uWwV+Qtt2PXmG5beZ6onXOnVMwSixr0gQglGaH0UDd0yzYhZZUx09GzjwTqo2E
LZ4L3TdSD6q1Nzt+LZLihgY1UZ2KkO/E/qa8bNdm6Zs1mPbZi73plJYorHb2bDzreg55aGEQHuJm
J499o5ic0PXRpM/GrZ7lSzBMeEX17tyFyWC5Vwg7HCh809AYR0sv54h8mPlWNWP1mHpZu1/npUwC
eC4/lm6B6VnjqXZyzBbkyFI0y7m77Pp50oNlNosw0frP6NlU6g/VQFanoiSGgdhs86nYZLmDRNdS
BKcjIsn2uV08a69QUTKG9XgFY/FuMz2t8BHss6BBs736Opsv2psx/moiJ0FqfYl2dGR6M5QdEIWp
mjsXR6UHp9AbLFoGFz73hM4PRSiKb3frPstu6W5SWdknx076aBpwEStqrDozuOWvGXvGySVnAyYY
bqdW6TrfAQHnYEFEGybtrEcL4EOwuiKJTNvVj65LXa8lOCj27vpWZUxkhlo9OynKZ1lMY+RdWJfl
mnb7PmMgbCTpg260T0laX4Sji73L8eINZggMV8mQoIjqVAFH1GQA1XQldyqW7Y0+aHU02qoLFhfn
d7ocVFZV6t00pdxuu0zVu9Hqcn9CmBom/doduqQl/i9zRjo9yWwt6adDowo8tKGfwAEck8nvNBRO
HmyNm04W5bErDTpyt3TvBRoJG92VkR+2evwiRh3iv5YXu8FE8mNoeucnnTseSbLxrkQ5yWvRz/p1
b8+WX5TWdsLY0NtbcZrtbFW24Dq6S5fraflOG1pXvueTdUOTtkLk1nO/1IvmwZa6ZMlM8t2h9ZNR
epl7DdX2RMhwfFzcfj6tlinRgw5ZUCpve2hMr7tCTDr/SCb3VVWEqWM7Y+8Gj30YDHOBG9dqd+O4
bvfFbBWBm9jpAcPLInKbxYTeuwg+U8e8A6iwj7kzmKhr7MFn6EyrlXRmWFt8G6TsL96SoFQabAWF
Y0l3pnCqHx6iCL+1kARVJCdF6Jztq4XH7biJvjwVUKzIcFvbY02OIaYDeKbZI8yNIZfqeFFDPRBe
guYhlYN538McYibvwlPQLCRrsYrhvCVtVG4YUKK1QZBYDOC6qzUFFyOyHiA3qk1Eb6Nsh8Okw6wW
CVoXbnK1BzNL3pmy9hAXzdS3cIRjS0scv/ca71hb+n1jb3VoMb4+psnU3GqL6o6FTFXkJmiaCs/1
jjRy63W/CRrFVphHwOqEL7b1UDSIZLbeznx7nebclxsy1tp0YKu6cr7Ch7P3VzHlO5HgS9P0cImb
FhSgbaogtysByrJmp26QdjjF6wlBZJ2/VPZncIdbbcySII6z5tqmyLouzBbAhxiRXcKn57tY4uf1
oztbIUrHKFkQXkzdnEXKLL5TMn0aTXvU2C0b+c1Ilj50BvUZYSlEjTpmdJ826NGx1r6DoxkfMhgv
vmBYdbIKlHv2nKfHHvTzUDUkf8JdHm+mtd0CZs5NOJc4bkHNJSJZG0t137fTG1SgLJzj0T2DowD1
yF6GrUl4TjbY5s2qLfnRHBvdl+aUH6ZSg2JfopjWYycN3LpXIRobL4XDvbSROztw7vuRjUuMmv6i
2dZwBe0XV0l2VXJCMYOiyEXUmK48lsqDg213VVSWVbszqqTZ6UBTPmmTzVnM4FlwAMpDbdf2DSLb
bZd23fctb71rD0kUSgSdvjzzCr8RjXeamvgJjhiyAv15riHh2lnr+uj4s52lRMIguX4zlD4FmyG3
YB5d9saiLF6XtRoOC+Pee9HN6h3pVpFC8JeX0NFJPaq2y6/YBbsjE23ripVmX02EbgZJQyczF3m2
X73sQUxOG7Uw7gMKFeQFQh0IdGBQCZf8CNSiB8MF+JzS3NsTBLJEWt1ku8lcc/TiTMJnjfsJd8R7
zuAJRE2eVEcUie1B2kvyLBZ0I3ZTwEM3pvyMqMiNsjbuAhOPSn+zkgltpKqCpZUZKkYjRULQ5p1f
a63zOLd2EpRNPBwG43L0xexxgQWLJShhlj2JtbAMP3O1mS2eM8FfR3zCUSbvSr23D/pkFp+8BtGK
b5VrBpgW66etW/TbsTw3oDg5WKgzvw2Vo6NVBi7p807ugUwfOvTrO3jOaiegajJYm9/rBi79XNfe
qc+rBvmN0JHOqIk9rEPmQ0ZRMObpO9ohlrZNXpwV1/pBS2t0NFoF5cfSsvPimK9YrSbfDTVroTnE
w53r5M0rmg1kUKmtZaFmLO2tk5sGW7ZV7itTDUc4HiLQxJxfLa7OrZuoHaYmf5uInjajfhCmFSI9
Lu5TNB7cuzlP9jAKMsPn9O5CHTPNfWXkSIc8JZVfo03eNdQVtw3lQeTUZhkMo4sa0+udPS6z+U6v
0jdgsNWXS2ecck1+nftG3DRN8qrzJpAGDWDBK1gwQj6Y8pOPmdxFe2w2n+BeI9HLSs7tGhvMwIrt
8b52phRzCEu/FdlYXrkModF9W6vLXLHyfB0VEuTXapQnLUUjOywOnLkYG1oW/nC/lFAokpj8D+RJ
xFhCtEKgi9JhmPQhMIl/j5xGZU8zFf+xugChTZ/y0pbxTV/HBL5lg0wRwD5CkSBgUK5oPFQ6h51C
O6yG/Ecu4/4ltcT7fPl3tvqQhTOe0oGomqCHB3xjJfNLbjNQwc0RFp1rlIel78p3RkOCWsLliTX1
N5mnL81sai+Kjnk3SewktUI3Hi/5IhjZkxjhl/k63rYFTvR1rOaw9MzkoCShHc7ozkEGBT2Ys3YI
MnfVggFZfYQKuQzdvqbEGNR6nkr9JUECP/tp0r8Kc3uXVq0dWwRooy+hxTDid7KrhYlzZFfMCGZb
vZqlw3vWZ3aQEYOAAGoPx6Sm5lv8tC3fIIsnqumX8lBrG3ePGP0O/cKtyRRm1GXUyy998gTVKsow
svA19kt/VnK5Qztjh/HU/tCq7b3XtBFgdIBqJEw7MBgmXSml1bvKs+HnTLaBsGiewqHQUd/aDoNr
u1eBxFE2GsqZGDRiLn0F3hzOvVPBzyD2omH7uWUiVfvLBWKUVqnv+q5tAowvpgsqr1NSQd/b4+00
7xVckpBGIAmrPF53E6T7o2laIrAK/VstivKABWcRTBA4T2ZhTvjFV96pG22dUzPh1hkYpZjZ6u7K
xdr2covJVyLadJeV9puZQ4gydSb5bs5u2sSztSdYNf2Ml6LyW5PCvcCQ84hgBVycUZJvb553nWrO
be+VW9DUm/YlKVcZTQxCvmSYRfO4MhHsOGaBnnOCIU4TQTQA/qvNj7YsJyQAsOk76T6sLii4YWoL
EMuCo4Yc32q8WK5ndBo3WSlfbEHZlVXoIy9a/AzSd9IcMrecfEqkJtxa9JlIgyAH1pN1SCp7fCU5
Or5dDLe7TtcWuVbViodeUswK9n8O3PSItOaeVSdDffDcOwwZinM5UL/aS/N5SXuLtQ91Gxf2/lj3
5tfWHbGnTqsFwWn9HfLZGNkeenYEINnevTg2oNZNp7Cp5HpXduT0OXIofb3NVASun2Ob0Y1E3sZL
3e2cTh9TnwlJD5LUxFepgUkEz9kEXd5UxAioPj7bJVJtlVjJDRvdelBdib7LyjHK66CrUw02O9Fm
RL8msELZ9ePxZpi70m8RdB4L9HxsP8SJOIT+JMPDMJjWW1UXeVS1WP2vBRRYmbfmXdJ0ai/bpPxc
tE4WGV0vL4uxnXwY6MuJZkgFGm3SCX8Laz8MPIYdnOmT0N3vKDrsqKsZl6KjSfdDl6ahni9QxYzZ
imoorn4sEZxJmXkoaI1DvPUYXGYNPgtj097wnJdhRXfAsKzLdku3vhYgKX6et+sBPdw7s435Zsjj
+bHaJJTqzEpv18XCikDVle/01I2mVOjXq/pi72skgdEORshQKEUWkRvbpwVDj7s4VsyFquwSSYeu
6MAsFwaUSSLSvtuwhLDaOD+Uq1CvWW1Cw9WbJDIKfTp0Zb2eXTNdv+SwrU7dBp9NalvuexCvbhDf
QItcJWzmVXlPpd3ln2EpIgZxxmUOU00j24IGa8+Q2okyz3yw0rVJGF8uZCjHVvFgivbQU4a3oEUW
ff7FA6jZU6+lJ8s1K3zcyECm94ufFFOjHftlvbfMYQ7rITYDs87Al2YNgfw2df6Ium3X6tsnWi6b
8TA0wrFJiR6JqesOa8xcb8vE/FIPtX0hOA53Ww0z0BRrjk6VnlgXyVvSeZ+YhWo+Rj2DHxNadyjN
3LpRTpc/2KydI8zQZC8HzisK0vyWWIflttssSYLz8lwZTNdbL0t36WSse8/u8SogHyNSAgtM3Jqo
AosJ0YdV2idot0OY2VSjeDKZcEYF0aJtdZx5ZPe2trnhnIlq17M9wnCU95lI5mPq4gBQlnN/ZetL
sVODgCOQKuPaYXiO2itJb5va7u9rozRPoq6taLXxJjYaW4TlUNaHvuXz6/JlREecqY0B4IQuBiAL
6UrjPbdp9q41+uA3rWUdKg1pRoEGhshfFZRCfsXyoDx0WJv4Ojq0KwOxBQ2m94WWimm4onJSY+pF
xqDwd9o6EcYKfdwWmzIyNqrzS5rHMTfwW5DGNASla/LkZ9yXWoL1N47EBTsRepimNoP87RHyJ3WY
xZGQ9Nt8k3sKAHCwPOwmLPuzxFxqbyXES2VYCQWya+YDQqg2yFFK7xfEgH68aTQCk2Z9XsYKume2
JTg8ie8M6Iug9Tx5XeXl6xpb/VERShaYW7zcwSBb9noxv0/O5N2urQar2/Iu+2Gz4PcF9za9iJxT
La+vGtPxDvDj5wgf+TQYVocDL87pm5iYnNTkyCccVrCKzgzr2fAmVFpFXD1w4xJu+VK84XtwWRbV
N6nMhf3JvOU5sa9xTS7gNupjZMCmRwxutv7U2GbYN/SgaYt0n3hXrJ8a5KiTS8NGAI+MzHoasVfP
+gARDQzpsYiDRE0lg9ZU8bjQMi+jxrjV2ZAsIKf0bTW+x/hhoe+d7HDQWRlbTYGbFrT28TwlB08g
kJsSOz81yVzs3IzwzA5riEYMR72rjQOPSJDN8shs3bozi6J61NyNQNix/VJ4fRzJuk38Nt5seCtZ
viNXh/ciSmB4q5kjRxvkEcXzk0wR5GPlMEedM+gI8QsAgjpeI9zCp4ubhhbpeTUwmjXnPRC/sQM8
BlB3GmPZg3l5BDPUKXeVtvg468UYrLFGnKIoULiNUC0wdq6xUruUprge+Hk5V6ETbyzBWbcu+gh2
7MbgygpzKctItKPTTD/MwUI6TZRL2JfOEA1i0/3CxWurULJ4IN88QVMy1PsU0vlRm9dhPzRzfaim
JjnYHfxwJb0+Qm8/3vAWYFEusrwhVU9cL/EyvuS5eGawPgbuMmLaIms8F+YKXaJEO9KljtzjA0eP
HifrAaiKNj1LmXZvSXXtDWn72CR5c4cn049G0C3h1DEFtoIeNM7QPzyZ1wd+Tg8bDbT5NThppOam
vzVaxkWW4w3nrB+Kq1lOrw5/sb8Bk5RGVtzRuOB5r9zkNlu3guqH5XXscKDboaLxDkU7NFfoX/A7
GiEepTG3G3p3fnKMynnyEt14GTdzjThGJ38bVriGnelgIsOTmaetw46NTvc6TuIkaBcL6Iyd2Zet
+uyK3AjqLsc8qx+NQzKs1dHhLt0xKeBBcPMeKUMn7tvRhViyDTrFZJztZ8SEkSZ0yJPx5O3U6A4+
QxPeTScJy92m6WAnpdp1mfvcSWPc14BfZ8KplsjLOpNTmyWLsiK9y61M7Zt4EftEXM4qmrkdrh0i
gnqALtTCu44a54mgneZgQFdB48xl0JSl94kUzdGEznEDIQXpl4l5xbYYNswKVWLsscDySaEIxG1W
HOOyAHvI3QKXMASDyCNfl7SoggRe7yGRTFOaakLpNgMs1GMldu0K6lC7bf8dZWD6ifiHOrRZsT5D
YI7U7AIZ0yjOgdabuy0F4Zj3qdaGHGtZMAwcJFNl+jNOFgRNl8Z1oUpM6RxB+w9flhouqesrBELG
LpnEU5F2wAp5fJHcjJOfzRtpe4WGrVM6gVgbXu3bkCSuDd1YTk5KtGusbTj3Ok17bbjjQAy3rPf4
/BS+Je3mZisx/Bkduwg6LMbOKTShw5xwwm9a/b4lRXVky512SDVG/DOn9ZRLvNiSEeWkk4zlnk80
Pqjk0iVaA9Zem4XNSqncsHKQdaWmvZwgBjUnDKSMx45QZ144gTzkpvoOYd8rULkOALNpfgLpHz+c
dkv8DY07VF4OqUkrxH6SRY7RjwNzxShbYOD+i446KlzXzozWJY99PEmcY2J64mFecVAQcvZJT5wx
U6N0E/Lik+d6a0ADOYLq0biX9MNfq81YrltTe8TqUEWDg3yrTYjLdmM4OYnuVFQcA7jU1r3JEtRA
aYMTzXon/Drf+vMF0Q88ZDibbzjr+zwoJmjKmD4t3rD62VQkhwI/hbCTnfY1pk24xgSmDjOCPELq
av3ihyJ3PeAc8omzXuM2JrVXFyd3X5ODF/UZjqJKtPYtyGUKgMVnK01tvUkFiUyaIjkPQbpzXCpn
ekSfBaMv06erJdPlfjAT8nyWWgVF3+EFraPtXIxx9U03a0PPNLoAqjeLw56yq7khX0hVeEoi++6f
sgLqVl+K/tPU1QjDpsFdgrYsppvGMrQQOa8ZaFpjfGHmolBxUBH6ddMlzBJqC3wUQWxcwdrxcAYa
y/KMrdnXXl0g/3lDeJcS27gZc3/teCAmtTv33wuUCHf4R3R3RpPOVxgdzHt3y77kWzxeQYDriSuo
bVjj8YKvDa2LEzqgtlFtUPPIKWk+S1kb+Abo7shC8RIkTPhpzC5422g1+m29eC+r2Ox9l88CRKqk
PsTyLbTQB16Jedswq3C6fW7kajfT0QfgrLo/aGuxo7OTJ8Ie2nBpvITK10Jqt6oUXW+GH+fi25jT
3fU4TD5PRaPdThb11rggadHRQfk8OPHZpFHcoRE0PlmxmDzITyBlwAf45KUkYbsoHq/GzJ5v4RoN
Ozwat68DS/duRBCf0hq6LrS+9munarhNom8fMbLypZje4lbYTCc4dUwrK1/cXDeOIk7nO5vSyyeh
Sh3idNNCa8jEN9er9B80h89WEc+3TNv0b/gw5l9yu5k0X4GWfVVIvI4dANye2HjMwjJEHESAsH24
O4Ec7pZF98UcGkSzYp6qRx35uy9TjE3QWmwYheLZuS+JrLLCZi1b7AbwqKTKYZ1UORanU+9Yd7SW
39kLp7vYzAT2m+MDw8L0UHIaAOtSOhC3LPl5wMQwtcHoAEuA0BtRWtHx92y1Mr+fMutVn7PySieg
AL1TrO56PaMH7XDqSwdgQ7gxsd928yucKjtKrSrd45mhoLyXQrteGTCELuTUcGCBnPMZyEANlqJv
pt8XMqOSynvzutJX9QI/CSWeTKxXx47x/nIqtdxhq6FFWGEZJ2HiwqOXGkRSDaB6AAjtg4rB/k6s
nv5jq2YRpJ5RPhhFmX/KurT7bCOlujGLCoOYSkfEPHjj88ic3KDdLb9pYtkOWj6qY6p3ZuXPC+Yy
WR6nHE7Z9DqKUh7BlOdzqbssRnc2vRP7UBkUTp9+9bKiPZnbNF7NHI9Bl28XwbKr3TQrU19U+wcD
XRWGp7kX0YzBP1i1HH1VU69B0xrmFZ5+w7518zFoScKi/i+cfYXHSzAlSGhCr5zXz5Nwc4PhGIBs
76S4ORjk74zuKPYQsl2/Ido3RGvvvmurGnd2E1+OaHou4/KfOms0nDsa3q/JbKwt2m+xOYoDarvv
WpqJe0fTgaOn1DUxeEs05MciNfpHF3lo0yz6uGdlEoupwd2dlxGfUX3Q5ZdOE/J73hlrFmIp4F7H
RWpSMYBPNZldcc4XyfWAR/b9Wm4Vc6vOObm2v87TTeYa7V4nw/aGn2PzuyWHqGxUXRFojpsSjg6h
eNhibMdocxQchzwx8aQqlnU/8rHs7ThRz2lu5tfE05LUNDB+qQUsx6yyy9Bk9nfbiGTD3s9WCZ4m
TBfRHjYVszhP+9rYGu7x9iADC5AqMJKm32WMhndK1MwHU30LZTymkaul6VUMM++kwyY5pDEoCdrb
ji7GwdlwFpoPmsIqZPBxj3OoOrTdSvMiq+KBJgxaKPZxkFHs+WAJCmcZG3iqSOnsqjFOdk2lNkbu
PPITHmehxCsUmWWzHSqiC6D3GhT6uKUFKnGxvipMzH6L2A7VbG67xcSjwvkeV/e59qy6duXMTsHW
zC6nxfb6H5nmbVjeJNIAxcY/L+gvJZpZJ7gclNsLMhH9O0C2PvJ6a/9JYW8RTVOyBAURJ7u0GGea
hYrwBz3tb8YY0zn8MI1Qc+d65wyOdeVgdBtIeyTblLOIOXb2nf4an8EthxR6KccGr+rDDBXx3mQO
E+gt4yV9XF/IDKK1rnDoZc7nYQiAWBleLQDX6ywIyen7i4mOSj5xxMkv8YVqD8ZafOWuizevq4DR
+g4mQmFmV/GMxyTDTwwZmuGttJ3ibDJOiqqltIPCE+XDOnnWUzFWyxdt+B/SzrRHTibb1r8ICQKC
4WsmOdeUNXn4guyqMjME8/Drz4PPvXpdacsl36sjtU53v11kkkGwY++1niXbyu9HsC5emAm/wdK4
wqzZrKqWNrGT2p9lUxLXVHBiBosWgZzpxQn8BRC2WING5DoMGjkDgbxpnYVqq/A26wxtvmmQZKJt
UmoOJjF4C/6Yjl9Jw3VxoyYlYYWN3ecUpSlmX+qNm87sUdhSIyhh0CE07Hor3KHdE7/Z8gG6fp+H
Q3hEfG7h+3bE5ykzpL5KIou6xHOG267C/o2bOjrBb9O/aplFbSSboNzKYhRr1pzpj6bARs2R5RGc
sYRhlrunqZMoCVyj/OTVrORETpM/2RYq8UAn2k9nSt1FQ3LMdSUYKiJOx6qP/VcznW1rmcZGG8p2
x6cZdxPYxa2NB/9TXSwWVT2wjskEBjgDl/kY5hEFfoKX2A6ZPwJ5+A4+mo6iXeTrVMEYRMXbnyLV
FNvEaHP053GEy97i90gE9RFZxRC9466Wre+oKXvUpizB1ivc71FgJbztoSsqFZdbjuzDLh+N9AGQ
grc39Cr+PqagfQEA9zuabAPnxrzdzIFKH5186u6ZJjIuhZ+A094rDZEi49ZvO0GHftB79OrmHE9n
3n6MYbHQCpznMTxo+gAszBp7CL53CsLJ3Umpqq3XmfqGoOOENCnNnE60A2e/jxwGc501baWZ3ZhJ
0d+OmpJYQczX3IE1BSsvuBnMoj2Zc54cgLq0jJrKRVSjyRe9y2lnKkenFQgtCBv3xomGucaaor9F
VPgga7VwbQqY7w7sm1kvVlE/rPtY2qsetzcH1JFGXKvR8CnDIHkg3c65T7MheaUb13Vbqeb4jsEh
QnYelx3Sxxl2EOLujCUerT188avSrKObjMEdbfZZP8A1ND8ZZeZBL0mbc1H1AhxFJ+5i3WQIqezb
ngLnLDmiVShrMhLNOh5V/OLFUu/qG6Gb1aFMs3pj1HsAQ6cwxoWTDhMPSpSrybdNnTiCrM1piDpG
hbGDmQS4RVAYeRXlYI+D8tWCOMXERDNPdinsL1FPEMgUZg2lxlKnUZhsafQzlHNCfcMQ2Du2Rmv5
3eR+A4C3EDu6qVqrmu1Ewa2rkpDYInSJccijbpWmuGX2IL7kHLBgLMzU6c1CDWaOsfAYZQxeyHaH
6VmpttkL4GgZZ8A42OVwMWFGGdpNGncIrJyo3mhtI5lS4UQpS8m9CMyp3cm6zX5AVQs+B42Yzwmw
zGdCKulPJSFVl6aYLGTOPZZ0CxZPwnb5d9XbH2Sg6OQNXfLEWgwmLoV7FUQrvSXr9A462bXD5Lcb
443s8pOsplvLLJ5aOE06CoNS9Zu/X/t3QdwiOjawH3geUslLRy08W32O2dzuwLPUO2/4J6PuoheE
gGZgZ0PbyiTOutALUs0wr5d9cAsZCNXlZP+jcJq/j8xOd12+AFrPS7tlNhb60GUiuNXH7DoFK91q
/+ZD5yu4ID4hqxAZhaqdS71XVdaUqYQZDPMd7aw2XXhEH/z8P0Myf1UMLipc3AYG6mz+hQXw/gpp
N00ytOvqRhihQa9Ks5fOZDucsrrF+mLnDcYba96EDR3xrtD660DXU18VHL21pMneOlg2HH/7SD/2
IYw2uszFIYOQvRLwI+5KdC5fqTgYLYA/YbDx9yW0iMd/+/jQaJD8e6ZpOhdq/0yQ2DA6oE2ZQ676
4rYZdrEDvtd91tkJSvDMUH3/USi63DLXwixpS9tlWV3csiDT0QtMVXUT0Owb1YNVfCD//t+7/v5r
LeJsmia28HTHlMuT84vfRIeNCTZJa29Cu6nxMDl0eVODihAhyDx8Z8lEq8yywDokKEZEEi0/AbK4
FWUTvcKZc8esvPGRLpncQx11lwpgeA7wq6w7hZ2pE0vPO8t5F9Ds2VYBYCjHpGcFwigrD8gf5NaI
xXw1xTMQUPiNGya4nQ9MmKmY1xwyjvQ+qdHkP1jjM62XAnqZoTBoGRoakdrZlxDf6cLQstFCBhRF
XTwF/FmqTN1YQbcUZMEYqKMoZdnC8f/t7M5tN26fiH3WRe0JulC5jZ08vWl5xB+mrqtvnIHnzKmm
xxJF5U1s6M2pgIMxuQdDBdm2xdaGKRGKn1Ij2PRBvVAPeWi+q+bZGTRUceHY+jUCEz/RU/cg3PpI
mc/JI4rL4ahZ2RsPg3uOeheVgd3P146bVwfH8IbPMVMUGue97WynyVAsd86wkN1L4oSA123xDv2A
Sp2tMY5oPoDUbAt6vvUr2TQPZYy3dWz75CZDj3JWKkzldszTGdYoJ2PiBM2NOdr50fOmUK3M2oih
xs9yY3XauKaGfRF2ZR/mRY814dY95oFht6uRPFPGSaO5SvlnrqNs4g3BOYwyJh4l9zbLDpo2JfdN
qTp/cIx+Y5YKDWXeBG8uwfSbob41KmvjxvnKDKPTFMPMTeIcW6U+lHcT3dA3yGY00SHG8cFSm851
MCOFbRrSOBAUTVehENU2K7JipTQCZz3Ns9aUHPSLXI4ZcIW715iW8NlLHHVoHHB3pqElN8ZcZoAT
hePnrZfvaDNQT01pg80w0LX1IJrsnDTltNGbiqG9W00oeCCpW9sJGh20Hpl3J4IAZt9oA7x7lT3a
yPvdieGHPb/0Gv9ZwfpLIf6lTHEcoaxtR2wYBQYsUgYaUfcZRTnvf2dOd4TblidZtF+bzoufwrKn
KQUJmsmQCG+qVgdintTxdeVIRhZar/vz0JrHISoVuEFYlys308uz0r5Mzad2HQsx7xC64vSro+jJ
NdUdCSBXMQe4Pg/y63juEC5GmY/OsHwuosb8WifwcsOqqXakjEQHBUDg2BlddOMNyr2i+qET6Roo
/hNJagLHHMc+xRNZXBZT+08lisknqHkTSPN9bQw1M8ukMDYxLgQGW854hnNlrcIi+FJP4wt8QfVd
q91gDayHEShtVfdGQ/qCwFXC0plDw6+YcK8xGmQH+trDUXeiiXFbR7OiKbp5h4Te3dVVFwAMa/xE
bLLat5NefHJ7VK966yKfHmc4zevai5nIe5pktAptdMssSlxHsASOoa29Kk8w02mKtxAZlN9kyG/4
CAFwPE1tRy3sUd/VYLwnPNiTU/2Yeg7PUBVoxgOlBROoO3uCeDwfnPNwFLzC+Klj0GIwhB5dInUo
usZvNvXnq1GH4hiS0YMtuLCutcirAbpOxWY2reoqKId+o5rBuwJZRnvCq0iClFgkJ6GlTCxwbOaW
orcNPi78ICXvwtWIlF/YFnmqwhPSxCR1YQ4gKC+oQ7s17kQUOeMGBdh8qwdF/AAszfnewiF7ql20
lAVK+viDl+h77wZvft77thSOxYzQ8n57iepakLrziBa+QhExbAhUatMPSr3l4//3QlsuQaiwWGoy
MnoM8dM088sLDVxAYExt793gOh9f69kPmg2Zg38vBj66yMVbc86z0gpMLmIRu1P5DNDNeC2TD17/
H13lwidCNwf+XD54NxxE5uEmEGuBBLH7wMa4fNZ3N8xzXcHtokLmdgn9oshITBTPVh/FvDjibhuO
Q3WTTH24+7c75rmGwFpoWpgmKTUuy6cmNRql69V8x5Q3hOY1pbsUXcxWR6Bw1ESWfrDS3t87B/sf
Pj1yXeTyrxI/4/u6Bu5iZExEZDD4jTbor1o4y7HP4/VPRJffr3NRNw9YKjmYl+Lamnv3liicaQNl
Mfj6L3fv96tcOBsxk5Uoh/k2Cl5CRJvrRUO+3U3/dtM4HTlkFRuS/1sWwk/Tzy/PDuaQwIz0LHhg
KExPk7be5ND8/OAJvTA3cgY0DZ5917ZRcHJ/Lpa1qPB1MeSp7gNelbGp/CA61iMQZ8Ur6t/Sh5cD
pwmdabHpYhmz+Frv14FZdRmM0K68F1+ZztZPf/9d3j87P/86qxlfI2WZ7liXRjFtMIkPC/T8PtcP
1K36v50r+fDYJnWoKlgwsDBeZmBKOVrAAKR23w8Qws7I/j/4wZdb/d+zv3x+R/CM2BZeJRsd3cVT
UsXQVa3AkPfbKX3WIxPtRvGBhfm3S/C6WbZkj0eRV89l9Ct0MB5O4M5np5+QR2x67FDUhn//HS6e
dkaZuAHxyy5nY5PH/eIpHCsSVnQxqLMuh00bb6peR+r9nCN4/vuFjGW9vLtjYpG3eMyTdPyB8jJI
uFCFaNI5Nc921pjUXsaxlrjMZIs4sOzy20XzRX8X7Dpmq3nkLTQ8Y0X5t4YA3xdEgG3wwPKSk+5C
0Pn11EYuosybauzvw32g7QrtX9fd8uddgTOYpoCFh/79nzfI6ELDIvt7oc/fpJKfgbj8/T7+9uAI
cDyS97NBu4FbeQHESjoooz1iuPsp9z0qzHD7//f3L25QT4BGZYIbuK849jAHQr379wssK+rdOvj5
SPKaoW9iLXXN+1s0DiPiVHaWh0xVvtamJ8YmPo6RNVCSA0jcDSGO4QfXvLxpFo1CtkuXUIGlIXS5
cRpNKTtSsCj9Ufw5ZI/8449y+feXp+yX7d8SqmwYLJbnLDvDAMU29G/3bKk8af7Am2AroNq4+FFi
L2iChCbanZyDUxuFO2l1x6yHdtoAYaqzAAX/RxHu79s2roFvzaGL7BEBzVXp3bz/TsZAohJ6g/xc
Rp/wfc3DZ69hIngnms8BYU45Noq/f8mLNudvV7xc2oh4k2gQRQ4OqsaxbyVXtWevqil6BU+PBlAx
TEJCdtTK5pSr7vzB5Zeb+N/C/L+XxxbushUK59JcPJlxiyYxZEhX1Ufesp+7GY09gpc+jmPgnYFN
YwEP2aTsIyCDR425zwcf4U/3nNchpT5vLg8r9ft7Hqe1abTMmM5CM29Grb3uswS1hph/uOX8mXpp
bXvRN7LnrstR+hJaw4rpKLqU5Fui2fuanDGXcJgxd9eGqE9odD94XfzxAxq0u4RJ3atfYsG6PsSu
iZD/TEzX2Z4XiqXnrdoltbDAR2QTyFXb7UvipB/U2n9cHMzPDF6JwqC5t7wtf3nEGtUYqZVk+TnF
QdVMNO4Ljin0wXP5xD5r9l/d5kobP3hdXLy1/ndR/HrZiyd7YvQS1YpFEVgjDZN9hd5t+DqFZxl5
pKd9DgKMq80tmhnsn9EH24r3fq/8/eoXVYZexiUuszw/aymjTlyppwwSMrMXzEx2/r238cq2ZCuu
hgjrAnKBF2avb1lvP8jMWVNcbCvwykQwMD6SB0tnhjsaCstC9TJEtYaGQL+TtJ62Rlds1MA16jm/
4wWQ02BmyETkGluTu5367keZ41WSRbhexN0DfUajwJ2j2ZuEyE8Y4fVNNEIMm+fPeE5Obor2xx0U
dsrGz8toO7WFb5osmJCtfhDjvgsUbVAze8qC8NEu9LsgVWsM4uOqR1jYyMk3VHF0K2NjTdXDQGSt
VyL0GAt3Xg25nW5UH4FwYnRm4d5dB6SZYpyBGV8SGGOLt76yvmG3wnU6tJs6h6FL7yhGKYoWBR10
GD5WcdOtk0Z8Mprw5LhvKTN4OpHPtkUP0ej6HckWDO6QQpImZKB86q+m0nocteGqSKpNOdEe7bFW
qya8/2AjeF+W/Z8fnnELdSwFP+/696udfYDGG62ys267d0x4YXJ5o0JVpB3HUOyiicCeHHuRPe/M
ZD4ZY/AUxQRvoRpgFvat6LQzJpOPdsjl1fx+h0R8yjDoZ9ULPONiezJL5sWEtKpzWr1K3gT8Thby
Es14qpKth9pBm761/aNJ6vFUf/AKNH5/FlAiMfuSHLft5f97f0tA7CS9Ddf6rOPjOs2osramJghW
aa0Zxeio/yAQavw+ey1+DKdWt202f0f7EB1nA5q7lpn2sRu89rauJnxjMZGY5JxbW31Iu9e//3zm
UoRd3ijb4tgBF4bDjX3xvnaxSCCVlOW59g5x/xqXn9wZZoNHHKF3ZyEkSbprkvkQka7K6sZ09O81
+D45F1f1eBsACMH/4pvutyJFa1f8GBmCZhphdgYO5ozRH0SH0LwihoqOb3rnJf8ECllW3zKXE2SE
8lvTDbrYa+MkVAykJnWerfYUTOkd4SUx8AAt/WCD+8OuTrVsUAUyBYSJcVmOAyw0aoF471xkyKaZ
RESvCGuyfas5r2Mx5rexZ43XMDOmEyJx9P7xaH1Q8P5hXbnsYRx0Hch91NXv15VNGPhAVI06x9Xz
NMj7Ip8RyVQrhN9e9mLp2Qcv+d9foXxl3p90ciRTI/fiIdLI/dNlys0NC89+sYY5QxID0S502mgv
y1E85WlNtNRoYD0gcNL/+9r849c1Of0wrmTQdAlI0vQOIR9Q+zPKG8zUTAbJMSvu45ZgF/LBDlZY
+J1nf/D0vi/Af64oV1iepIbliTDFxZdu9ChgCLDc5Ag6Z5PBqxz/vULgxv53jZ8P5S8VQuwESpv7
Vp0tsfNQOrSTtVbyGUExnjayt7xNYcSHqSs+WEDL03DxsNM2NenNWSats8u6UZkENhiByx01vMfe
NRCD9U8zErm//3DG79fhzAQ3iTOMQQP6shFYxeicReHU58aQt01QPBG9hWo524cRsyskUvCOHsFc
HFqr3jKQpoKuN0jPevIE1T2BPx+spGXDff+933+eZaX9cr9xyebT7Lo1FRlJv+xOrByEzyutqbdD
+vj3b//7C3G5mMN8joYL1rGLLWkEBjTH5HWcizg+6CVC8649kMuxR/j+wTnkD5cy4OrQ+lwaofpl
Hzye2P8mhGaoaJMHW5beOTWUtw0T8SMMJueDu/iHX5WrOSTjMBxfaLXv7yLQ285I+na5GsWWara6
U2xy8cGm8/tTT0OC5iR4Nx0hxG86Cw/nXhuNzVkRjtHk3TcHD780XXaBdJO0zRWmkQ8ei98f+eWS
Lk1RHnqa1xePvEaGRDYaXDKdB3HAKqid9EobPv19XfzxKiD+ODTpSz/kYl2YHqxgHLvN2VTFueit
B9OMPrh3P0/XFwudFrww0ZGAzcK59/4nQuJtYcyam7Ob/6gh/FUDMd7V6+hyBFQM8UffKs4zJq7E
iz5YHX/6er9e+uIZM/HMhK67/G6N2lfGEqFOdPIHC/4PS3Dph/H2g5wj6Mu8/36FwtmE4FzeOX1f
wT0y7WvM4vlpjqE0//3n+v3ZonIDK0fOEY3Z334uLekxf9hJfO6kM7PwUFpHJrCiiRmtr6p0/mDT
vNijEKhZSHLIKrV1IX7fNtKQpn1X9tO5N4ChakWudnOnA7fNJrXxEL9wqGjMD+aEv10U8S9zNE+a
WPQXINr7+xlkIsN81DlnN2i6bUD4+3qIpvTUy8HZLsGXx3TQ0o9W6fJXf1mlgEh1ejVLTxoqD5Pm
yyehonWSjbp2JkhsOOi1kW7bFhpDVxq4y5vQuNWcePjEgRJcEaXy0Q0bjFt1n6afZyfFHymimTCc
bsjORNmHpzxrxN0cxlQqYxkdS+bkf18MF4tbIGijDUiZDAMdrpN3cZ/GJPbIM8n5+9B97GjXi4e/
X+BitV1cgCr//Q9h4Qd2e5taJ7TVSuSoBWOacxYhKPlHBM2LZ+h/L4U4i9Yv/U1+g/eX4lWLHKUy
ynM54yl4SbJVTjrh/8PX+e8azsVz2jcphBTEwGfcM5b1CRICopDAND+6DEKpy7W0/DL/XemyRnX0
0Z6C3CzPupGXyKE99yZL8s4fK8YpDe6ew8ByuyGpLD4lPZpQ8FL4NBzkLLKqE1/BuqIrxf8CbJ17
qCsCDTnbL4rdTMvivWW2Ib5JAAEYSC14OWHh/ojJJNiX5KlG7Hp+rOa3VNOcc4L2zU/Qckm/ixxm
AyR1E3mEwGBf5BkowDpM6RnnwbY0CQ1kD1lE85GxMkbDWYVyaFc1Ti3Mf08ZEoUJnJ6PCVbtEBK/
uG1NgCXnqnVYxV+RnbwOaP9Jca1ayEkN+KnGwsQ1D/YbAi++pyCYeWTGscvJ1FpLzjTQc5LoPI/T
sZjz/dC0+toFGqBhEcDPbzeCJOaooBQdhPswILTrsOjNV2HlQI3bTmRNKOlo5jXcgBioVI0iBh8J
rITYIgRI4I8Wqe2tPKMqfEeCTmAX9+C0gI9JxRjsbZKh7kSZvZh5aG3Q7TtfHIyjOxME1K6oou4W
iwjyXYEKiYkVVja9HfzGzcWmidmL9DQFWxLbyUazW3nfmH1z0hX+SlzZzRUIG3VIYbuvRFxZe8MI
yi9OGzY7OXTVxhGYGr0Srbsbmc6xwL3lz1mmbWoMo76DGNAP6v5rY4X2upCd8QNg97SOOvb5SR8s
iGu2wLU8jR2MKwBPk1XzQp0XNXitAiwvrpluSL2K/bkKDQC+01CtEFvJXViBHfII8nwqWwJl0rwI
wNuB0LrKhkhciTD/URl6iDS8dA991xNrOwGFq2e4Hl2B8xzXiQDxyMYwxO74FXIzYB9cyxvdDezN
VMQmGW0Y9pCM19dx6rrHJeFsL72JOTKjXn5k24BlVX1nxZDOJibzSzjbmFgE/KG+W4KJEYuSMD5l
m6SeXsVwGgB198X0WDkk4dQR/TQVRSRPBirYySRIiC+Y5X7splfE3xouV5cfxS0q34aqkPlRBvtM
IePbOYaRbNymaA+NjbhoUAho46s+PcZkmfcMOdCjk0GWGmKHADrcF81g7YOyg7YFggJtfGbilhqs
dG2m3Y960L5Wk+Q0SOzXLnBqkoatnIZgoyK2zMn5DOVlsldNluPdJW8OIVs975qsdhB8N/COoWf5
fRxpd8VQuiemIe22lclIgCzOg66Lx9MAemZrK7B1bVSF141jvWmejlDdbSV58bipekJIyFF0vo5G
QvuaMnhdoNveZlqgE5hqjAeDMGzepGZ8XadRf2gCI7gPwjk+NKoEaj9W5a03YXf1ZniVWAtBJBaQ
0jWBF96y4KOQ1EV2eRYbeGBN9yZuidqJ8cPs3Ei+2LAsMdMh/kor9zs0Q4B32H/Wbipwn+QBR49S
1Se84bwP9fB6AEhxKAKXVix2Tboj0Z2r96MflW7xHOa2szL5t1vT6qQ/gpLb9snsYPMqZzqXkFGB
pOCA0gaxVeWEXUUVyq86Hea9h206FouvcMTYk2cLXS6nZ4W6NLyy+bdLJluzItQzBoRWq5dQwy4L
lgvgoeVo9C26alq30nmLbKJlwmYB67tuRDJCmK3N1sW3nZARPWc24EfXJQugD0s/anUb10zbnOwg
Jr6vBo00hFX3ENI727aLPbZTc3mMXJTgfQGawS5nstKqmaZ/WgUr/ongzphh7OiR+pJ0sbkm4hXc
QxNbfGSipTUT1BVkiRbEG4rvKAL6knjEWMDG9zZljHZthv+1zbW0ogNbWN/zYNTXZIui1qucrzVG
zbUVp69D0bwprDmMHZLXXmqfTNVBRBzNlyLgTQArBScW8+UVv8+LlLRzHBGotdF1QFTNJPHnjplO
3qrogQNnugocGDBFqz3W6cjHrOwMzV2EvC7XZ2SagLXCNue5yWsMl25h7mxID6uhoqaIwigAwBSN
10U/of6COdA88Q/yJGbxiAE3rjkysGM8xU6D60dW2bOT5082KsVP5MXlpwGz3XGay/AUogaosK4C
feoWfaezQBEwlGkvVuiSg1lgOMQYiODRC9E1krO3FXQCfCPy7GMROm8WkYZ8t7S8ahwPLtjQaCvq
Y532eDPiA+f0F9Zk88Vk2u/EYFmbPslhWvCcbMEa2PdJZww7xEjNNWgy6GDKSo51zt671LpXFNFE
547RgP9U/mATUn6PnJftjsSW3ibeEJlaslW9N+0AsYzbiBkSS3vo6Cvh8cLyhfnSMqc1b+H5KPpu
8OemEQ8qieweiW7XwbgGJrmLESSvBt1Lnq2g4X0vSlm8lATTL2yDAg+4PoTnZFwYuaLHZucx+vJK
95uXFO0KUCWIDm+2brDCEVsZk0GxEhgg4XRa6RXw+89OI7/IrnueJPgWQqvje2CTKQYEKkPZgxm0
7clbAcOpT1mnhXcyBgngYcJdt43JQX1MMayQYpmtCkiw+IdiwzL3QZZw/6dQ1sdCWUxkXClxbREX
K/jBmEB40dZJCyJcKHy3bYZfqFgwO0XGc8/pK1hlzJrWjtMBKImKbJWRDHIcHWvcitpMDg2Gups+
tRhAhhZ42MB6yytmYA1OwqPetu1mMDL3c2D0ZFDEebknNFSt0d6bWxcggs+EWXxuoJxh1EZyhlFm
lo/z5OJN7qwE00to9Pc5ICGWu15cGxZmgEHLfqiZvTFKUDU2ZNACP9Xi27lEZZzLPt0zL5lvFRoO
/muzCa8swiLXCb7N07Q0UxHihz4vu+ChaTNrF8rG2rU6XK4MAzkWok49F8TF77u8crENmcZWQw+3
awtsj0TftTWk5N67xSrOEp4q78WtsQ+4tWb4wNO8O6C27sbSBzTCY8uDmlE8QVCOcKeqZ0HG9jcb
yyCGqnTKgSHOucQnObPPi7SDMGAN+tmoquAx6EKYIF017tLCCPyQ7KyNHTJq84qZDTlwySiRWr5k
hE7how5v5N6KePsh74Uj4I494XZ9sOF8qR6txVIJ2tvdtBr7DvAkxoSjmWwR37q72NUTP6l6/Lke
De+kcx/sooEMFVBTRoM7kKc8V28mrh/ImNmApgBHfGbYb7rFTKwqKHEbOHnss6ytVdan5XeIqXLL
aEsnfRL5dZzMZChNc32rtz1q28Tju6JlLvNTEhvtY+VN3+xGbyh8utdphFk2jWZ93ddC91PdeB3l
8qONNNxsJbC7DQTztsAnQG1M0X4cGf0wocI34LKjqyoybiImNCutYB9123jeqloyMsDXuiWxeXwI
xkmtNaJC+QzZ04Di26fN/cMViYPHfSQr3MImmRu+QN+ab1+UHj3qiGvBD3Nwx4kx7YaKiJsBXMRK
H4duhwY5Jhx8Spnv2Ma2qsNxY5kz8bdxkG0ci3VqNyEAGZca+DRJgzNFkrXHOM6qe1nlyb4abRLM
9Wa4hifdfuPGTzvRp1jRBvDwm8T5eYSuGm7BmJ0IB0pwKKfBI1ZwnOnYC3cF51sYhy7AWKoPAy19
VJ9EYnSf2tKFvYomxPdU4V6j4g63cqZqMpXd3kG04oCgg4L/2iQcRrZpPQ1nBWOipk7tqy/E4FyN
o/yKNkvhMXWjAmuUrNrY9APF+Gcp4QAd445d1mPaAxAgrBwfuuw3ld325IH2Xr6K28AwNoKndOKJ
h1x0bQ+8lXvbclY5PvyDbHF7CpgjAKaYIMezjae4sOyN56pyn86xvZKG9iVrCP3OiCU9uMquPqWV
wdHGzSOwxTWJ85D3lJ5zzKG4DjLg9uusNdMDXYRp0+dJdGcocncgG9XOA9ng0HZr66EfsG+EETMx
tnr3zo7xnQQOAM+qrnA0gfJ22i8oLdFqMgVxj4rC72D2WrytgD8ckoyBvEZF7WdcneSV4RVgiFxP
UYOMvUmhb1mQQWl3AafJKXl0O/WwpirzkCjnk4c6bKu7dQjirMYYy462KqLgSxaQummlloDkSp5t
Oix7IUbQlbKTiFOTS/IuYcPXVTPxh6FnFY85GKnE96DDUdS7Gp/UyChhgIqwZcpkuobSQpSRkcj5
2jXUXVplXzoYvvvBxkS56kzskVrm1cAOAOQ4o177EdCADfrMfEuEDa8HMLg4GVma+F+jZ6oAWkpQ
Q1/tKBxfHD3o7yam+Hv+wAjQpo1ugCYiGgxnaUBjdvqAncEoP7c5FlNRuObBSUZnL+bIXGkBaC4q
jv4g4s65TYOap71YSIg9+QTQt6rcr5sJRg5Jtbd0tACdyeZL6DhvWkYrUnAAOY5kkH3yhKvt6kkr
v3lTAJGB+ZaPcEqRAQ+mQsujFu9ioDEQNXF8sjOspVZpe4xndMUYA6506PB+FYT1lT3gCNBN11zS
0012c43qYDAlJyk1aTtrGEicsuGv3enN6K7A6ogNub36WobkvOQpaEIyxGiAmc68ptkjcBKZb14I
60OVsLyNIiRn1bJCP7YkjJIoMCiuiEZqPFxa+mTBENTNcZtzrlB1t9Wq6qTN+fjQClocVdz2+1oy
XbGkCq/qRmKaz6ULrC/ubtNcdjt0iN1XAObuyR4T7QZXEizVQTbbHPz+54it5gReIPWTMQXkyqoS
d5S2EDPIK99XRMI/QGd76wco/VHbeytGZvOViB66bEuQXbLmAMQvIlLjCyVszx5D+aM02a6HrmGI
3CpnE6FM90UoiCZuFQc/jK4pca9Ryvdzvc9WaS+xwbARvs+B8w1P0fAUiqI8tFID0q/nUxkfmHlA
FJKVAUXejVr7R5TK8ZDWI9vQmGQbYtJjop0DBBUGDlVSM5rypmnFq22a2hE03rjK5l4gU8PPxuMV
wxroefxnghXgQ9hfC9tp90tK+3l2LIMCsMYgXpqMIIuElgnO4mdPnz45WHEosSYAfY2i0NMybed0
pNSl+QjirqBmRagFvCgty3VNgsDWxt+9cuq2AXEwn+li9OgM0ZIwi7ZvzR6/WewwCUwqWP5xrkf7
2ArCvVsV9X0kXOeBL2WubIfVGbvIiprhKxQx3GoWNmudWmpFkxe4R9t3myHNrU8dMbObqc3Mr20k
xI2XpCJeVYRQ/ZjbjPAwttJTbyHKydoGyo8efMI6hXwi0siREwBjWgtMWpHVYt94fehjl/0+12m/
AVKDG9s12T5RxG4Tzwnwg6nvIyivJ1pPkGeIBANQWgNYs/iJp2my7gsnepqTgQRFTQenZLolrnIU
ozQleZzs7m0gaW2tjFTto6622H/49fSI3JVyks297AvtVMvSOcE6jm4cK5u3eeqmmxlCMQ1dxdcw
lnO/9sUrzfI2dUYK1pZ0bk7MNC/CgKdTvvByeSPaBE4VKom1NWF6b7URu9UgPd9etERhHDu8QBfi
u+12tzEOxCun4I1XwP/g89kRuRai2oS6943JcrXVuoLHUpPNt7mnPYmomDKrGbbCKvMbisOeQCkY
V2YdRCuOjSX8QVnvgrxLF7wIZ4NZ2emXGRP5tih6yo1J5hsONIQJ6BOWdNVmyb4tgaGHjvgBqgP5
nZrntaok7DnL/aGUXsFGztIjW668RlxU+FY7oJgKw//h6DyWI0WiKPpFRGCSBLYFlDcqeWlDqGXw
3vP1c5jtRHePVBSZz9x7rtE81nk/0cFnHf418g43BlaUrY3rlkSyoN1WePo2RpL/Q9kb8do2P9EE
IQZEgWYcZcG3v1+079WWv4nUijEdsGeqanIZftOAvJmyNbUbSXW1D+aamZwYDK/vVgBoYp+tBWiv
gZT26NgcCsy1etKJUhu+BGAK1uPDxlAi5TWDvX4fDC26N61RXJzUtt4xCTKfoi/d8OFWBEICKgD5
Yu6F1c4ejlHD7wjx84WEwajqSecpYa+DsCrb/KPrZHACINjsI+L89oHWRg9gFVuvINhvN/FY3D4Z
9ZMx8GhCGeoboFimX44wsPIgWXZl4ugnHXyB30wazkoDTLvjaOXu/4yPJmy3S7F8KVFvMZCtJnno
RhFtEafCiaJq22othIW2UsY9azoQWHbE48hGEkViIQ/jJPZ2FT/XmIUR0bW9n4mOvkyNkgN78/rq
gCw/6oxuTwuwUm6WRhN/Q2ZVH9Lu3oMqi04a4K5d2kIxmuLkJ2ynkR+fgbBY1mi+oOtxisZtAANG
Th5bUQZVNW2BsFL1Bhye99uEVjCHjurnpdHteTmNLSEkAgucXh2VZiqe9CCx3qfF/keDy/dF5bzB
Q9ltSwt006QU9kGYdclZUhfPrWK3HslN4EgK8om0VIk/Bt3qzkRuAueNlcGP+ql2lYVkyaTKcOPl
SvWyxB1xCMwlALzLLgieeBgazV9WOcRcQlewtApgskQbqLXS/JgXcziaHBhgBicdXnOjji9cdWId
7uoH1BjqLaoYTehWMOznwVrJiylAmBxLZyIguOQVfYDJLP4Hq1LkgCer8+8ohJ5S9Fn+x9wVwZjd
cCDP/SQvNuFHjxH5M3c1FwAOBVr6BAqJZxZtTg2CfR8rHNwGwRf71kwEiIfWVDK86BrXDuaJkrQb
zEsvGcUtOuxBkkDfMYWiGpjqX5yG4574HSAp09ghn1DRPm/ZW0DvGatia2hGdNGbcoSvaS0otqCh
N9hu3oizf2e5plKuVZ9mGrUQBWq6fxA03UHUCEEVkln1IOh/jNzRQka5M21I0lXd0XZgSRV4SfBS
dc27nuuAbZq89QaMyHrxvrL3xvZJLwU3Q1eYfzZn/tnKxw8UndWRiJ1N0aYbBoDKR5wjSp5CUncY
HnTu1Aw0liS4+GCMOX6pfj8SC7iVnmPt7TsreRq0smFJAGca9KK1DZIi2o+VplOuoxUhNyU/tpIF
LG+cGSGO7GW50fXeOVWOVn2YS9UEwNFbfTuL+KV3IjoUY/yIqhXSLfj8XC4A8WQzLwB73Gexh2lj
GXZ5notua+RGsFGT4LGKxvESEc6Z+Ayj6/YlRmndb5Ou6V4MXRAG38YOQKSWgII6MtQj1FH7MMFs
fQsatfV4a9lQyjY4hDMTY92JXgN22W5hh+SUEAW3C7DL72lvggNOEs0zk5Bo4pLQnqUnb1IJ22yX
9CPjO2coV1Kt6dV29S9Xi39pmWsu0FDc6KbFeO000Es2fhb0D5kNNrK3wVQTr5LQM0W6X0NtYrab
/us1TsWhyrM1hph1itpbwVutziWl9OTUexIofCf5ZHhWBuei6C3jAnZ6DVEdujjeNayIrwvWVgRR
It4huSO/GGoOQZ8NJJVcg9AvFfmzpHB7CwxTWN/L7yAL15Hka/OWJydZb7Wn9RdAEe2V5VbKk4B4
Bp4fSJaY8sPCJbJJFvOprgFElAEJLZpRazupAbHtWCdBkHJGat8q4FDklJirvjtaSN2XcFA2c5K+
4OJgV4fve5tktvlImtS/WddOc5o+L7zvOxWxI2kkDOQz6O+En13EOGskBlHytmr8C1sZY491soaH
HLOiCYmSSaeeSwr3PAveF4qxi56z5HGtWYn+KjH2z4m0208NhpznzJAFsD5rC9e7nQg/ybvhbqnG
crT1+NM22tewUsG4Z/AWOm1gDkbA+imayoYHXMSuIypOmBL0wkaAmLv1lTqeRAlojbnwuCljhTBN
hWl0ETOd6IsyZPTbNeQv05pCUmJHYgDdNAZw9RARxk1WEPOTaYz1mRhlrDc4hGc+LVeMIKKGSh9I
LujjLXwtNMxtTm7KXEQAVxnYEA7CpSas/rmdWKbUcWSdiGH44DjXdxb7DtcgHuBm5nbiBYhn3AKN
suTFxxm9UZFnoAtkBrQRBu+zAu+TORB3zybLh/Y3t+iVjNQu/bKlVgM+QEbUGP5O1hT5JGUthc+S
473mAHJZr0CkCqYv3ETJxmBSxCpGpSQB5rzVFUFnGFeT+qMpbXuqOnAQCek4m5BZzqYZCLZlEDVS
l1bl3ZjL7jGJI+TgA4yXR0vPC0rjparduRg/Dc4pL4MS7sI2+iJJnH2sLuuZcW0vgGUn4ksPbe3C
1qa8mJwl/CDmv5KO+JSEcoYJa0J3NplmMGyLMLpobGzzIKVBzz7UMKz32KGcI4Pnf13Uj/yzCdPB
pKhX23wbzF7WDd1T7ahMbIO0gVMGdzLOCEk2rTAinCbsb0XefOX2ovuidtAmJlzV1HHZJoU/O4Da
tZqZFUz/JnLsUHAz84vSN3l1yvU0v6jskSyk590EmXdItunAA1Lw6vtFqOZXY8r0W8UkHxhfQa2o
9t3LiCPJMxJlgjFfrSkP+msJ1AMTO+723jST42I56VGqa7nd8CzYqdJC62G9rcM08hqn67bNYDV7
1jWkXNVFtKXmgCNROjpHX6FuHIbrXpCY71qRvRKaZ/NWt5G/xIG+J33L3DuTTv0WdJO9ZVE5Pw4G
ErDOGo0D+IjJH9s2P5dTA6iztResZvhzIbTzmRihQ4iZ5Kso5HRRFsc+WSF/gxjgz7KFlTilGtsA
VSdVvW2IcCGb3KXv5dBkyHSPtCZqPDWQDaRPNQ0vDVh0NjOWvmHNPmyzNnjgNBGkVwXaUWpZuh86
Ee9XWi/NDRmKWuLQIJAW4qcT0GnE8pU7zgyygEGh8zQRICDlb9g+ktwBSE9h3YGQf2KYu+1CRuMq
ZrFPnVKIrUaYupNWt6cJ08tJNWP9KyWbagNYnYFMA4cMamq5t8WQ3TUqsl2Y9PeUqNRdImvyKESm
Xbpk1XELY/AimS0nFNXiKKVZHYSC+aG0A6LFmrj5jOK48kPCdFxB7Um4e65zo3D0E06RElmjDk/G
wCIGgEp7IougAbXbtb5ZLBwfkYbSWzMJZGMg2GycmVgnJ12WveOE0h8GEe3GbGS1vLwt9dDsSQ4p
fWsQ/SPn88yaCOtogqd3b2hBfK70pjoBSIEAaQz1nZGizTZr7inrFrawdZjc2mZ8EpSae2UymIZ1
iiDob91KC/XLdJr2MgvcFoXVyUM76/NTNfSMmagpXIs6poBjho0wvzWRtH3FGX9iQB3v4VgQ/z6v
OAeZchJUY/iTD7PcpnYc0C+PKctslb8wrPjCYhR3WojwqzONYkfUHFlIK2JJhHXipok1XJETg+BX
a5UrLKiRdYXOkbQp58gtrB/CNKlQV+RwaaqUyAJu4qVN5x1D1cajqq8JcK7GS6Hl6d6y7X6tDBWX
/B6K416Z95pSFegZJBXxXIK9HpmiysR8yare2bHfaY6VbNeMt1ql3x3wZcgOumfgQFApA1eJx+la
TWEJnXvFgxtOSYCQ80fE5HdDF8Je+ttEbnGQtpK9jYZI78M8j67ahL2PCVDciH0Vfjqw0tXNsDgm
TmoeQcTFuyRPXxJhZbSemnpqTX3iA+hgrxQpEBXWNeyakLnJEZUdq6v5oJtB+JaG80/R1R+4bCJX
49J387KNt6xO1a2lUj4JhRiVNVgAjYul3sIAFbNjpe22NBd9Q0CN7sWcPZcia6NNOs8sxuX0MpRZ
u1OcKAPCzCJglEEOKVtTXmHmHhBnXudSi7fsAq7kXNrbZTA/B72LPHPmcrU1vuJA6qKzw1Pd0Zlp
Vwf24B05a+qKiXmc5cBGD/rM/qFG0yCRWiXLohRkkGI3h7mFLmPM5mdDPbdHcoqMxAkgQPeTsSno
hrcROaW8CsannbDdQwFbA5xdu7FafV/EGJ+dIuiPtDGYHFiCx1y0yogojXlAjAzf1UTB16VKjDvh
belFq0B/LhGeoSWKah94CumNZaPd9HVh4BT0gwLB3MaUZB7iEs/vMpQ2vIbxbWRGuuVLFnlMuoAX
aa25XwKHtbtUxF+AcXp9Efj7dBlu4CTgwC3lx5SqBQmz+nAmkC7R2PeXlMN6nyj8OqHBzKdqxSsC
gmj1KS37hTxbVy753R6X7k3yo3nMo3jiqh6cFPIYvbSLPtDvQGoW5rM+xJanhdH4bJeWxW8BY9hM
GSdBX+oOVWct2xZWj90Nr2XAJjEZSW3Smj7eDAgvPbYdgWs3Q+47kdYd9D7rHno16HZtGhfPQMcM
j9Ab3dVCkwBESH+FG9Sj/DR1td0P9my8h2BHXpTKDqFzlqQbsiyxsYhlTPGQB7kt7ZRvR4wH55oq
CLIw4PhK9vfGKJbHYRjwHDF+Ih6h30TIHi+GrNsvQsuKM5MowW7fCp6BJPHu1iOky7BgFBtDxCGr
pKPhbNTvtLXpcnBT/Vu6oH7PNHvZT1FibY3IYKDI3rFUhFvit9bhr1Cj/3bl+BYp4TPJYERprMKc
KWMCCKzHRpYmx1c75P8AU7H065b1IS1R763AspuZjM0/tauHV02l20nocCF3z71Pc5Iyq+VibW1F
vdIghsD8e8vt0xGeLTwTz7F6zQ8dVAdTUIQQuqT+rPXGr2o6CZJ/Mocn3UhcTauDu4MTatOapXZP
qMc2nWR1QdoDWTs6hQ56VCjMLCr2mlGxxVeG5GYE4+ASDgglI2+SfjPAY39H/6Rv48F6sVupPxqi
0vd0W8hyZFpzwldcLbYZnIOkXrbzmCdEuwRPMaDRE9vC/KUz0VMUs52dNXlEDtUAUlWSN8I7LLcq
LZJGSzoeYSMlYzWhPhrpJ+pZJjj3oLtRAbgNb6vKvDkGR5Sy8h9fk3yroSNihXipi+9BS67BMsMv
fiAWG1qCqp+YzBDPTKkS/oCK565k2pvBnls3+valn18QN25N2eyFfCZ5V4mfk4bdnvlUaSfTZAB5
C6OjPd1IteP9utVxgK32txZIA2rKuzNxFwG5I05e0PgIYoreBSlNhsKHvF+yvcx/HOtOw7WJVXqG
9swEUltogtRTx8yz6P244W4BbcQz+yqse6m+GHRTxS2Kd63FWM88zCVZPtlvPu4zpk+t4uotC6ry
PDNOig/a9LAunXvWi9nQuQmKr5Qbrun+YGdRKvy2igfbu+nPU/7T447Ug+sSfmt5Q2YV6TdO+lBE
zTYsn0PxrtRnrUoOJhtrKe5W7Wy5/M5lsIprSr/i8wft7JEUelL77dT+zEwuzBR9Ix2VOr7OjKTa
0B8HJAa0RJDeCkba2bjXkqOYT3bEolVkZNbv1exeVM8FL1BDi32xOyb8kD2HLvMqg0Rz27U72yuH
n/XZyeiP9pJIUDzPC2kZvmnfyuZN5dgMq/SY6rtROxHhc8gzGKe0z5wPvfqdRARBIk/VAC7PgO/G
pyDE1NRD9p1+OIc2OQTFniGcqI7NyPUDIj+FN6AWr6U8SGYQZFtu4mDc1MYxQmjE94brxOOnTqNt
rT0oBNyKj7B8yLRDF/2sDHhsR+5o8gFeFJ0UqIuTr9uvD6Yro3V3QOi0Jlnt30J7nqdXzFEb9hut
uAT2rmKNhfBdQYvT7RLkM7npd9pPxh4153KFSh4vCrFjlzK4xoLAK6Ra6cXmOpcETolWrbcljS6I
fKRfeak07G0H8RINZnFgrPulp3p6BY7pWwttVXoZCXC2Sc6jBuuaCSWUeLBNxc0N4pQzMnU5ekCf
y3Og16cIeqSW7TOr2IwkpoFjI22B6B24Q6h22SrlqWdNF4NsKMHB57wMNeevw14tY4IabMTwAmLc
YzPs1hSFSbqL2SaP+M1Qsu7nMMbg+DSxaMsvkhicidbebN8TgN9Abdjv2sYlBabkpKDMups5vajO
Yx3sEvSXS/XHYHKnNK/q8qg7L2GzW7K/kZQINldlra2G9L06JIjRdmv8iG6CmJ8/4volJoJxUPdB
OB3kqLopfKi6xEvrANNnWk/NwOrgMKO8EajfHOIFmuKp1V5bgypT2VPiHkp9zbwg3yP+FYQVZGxV
Sn4mJgybaig2ufw3SR5fcl54Wn18qEKGOXPgmkXGJEl5QFjkwXmcTPgdzg8pelzCD5b8Qfvnhqhj
V5O2xqR90Xc9kKyEQ3dmE39YRZCCtLro4swahQnHIt8BuiVPyQo/bpXXAfUZ/N2NHdxT84FYln1q
fOrI3ecCfjCyhrD6LIcQedYzRMH1QpzW3l8YXqagBKg2DqExSUZhmmtoVJ5Jj1VpEUmaKOaLIPTR
wDQxBW+mgywjCo4BVGQr2HTxj6WQeWL4SnKqyfqyTcx3w4MGmG9o2ISzKaJy5fSvPXLbTw2xVzOZ
hZHphcZrUZJQzicy0fcgCCgl2KQt204e2LMMW+YdV+jCAlNvaH92+qpCna7p3Hm5Evxrh8pjqEyq
1EXOByV/68dvU93P+U6jdkohWjpfpfmARdiNgQGnBthReWxoEAtzVxDmNBKtlWr4gu/crjGAQdPN
RsWdrO+FM3esv5v02TLPdBkbs/oI+w/kZL6JagAFA4rL65Igbt+PysWe9njOO5v34aEnSCt/V8oP
5lVeJWhurS+lfQrXFLV4m+c7PXlth2+rqHYzClvEBsjbQJTSACEvLJT+CPWbIxuyR/4lwgerBSJa
HljM4PN/aqu32T7l5DD872MmiYcukH8YEePwrzIf1nhDR9mb8jGb/th6lO0P8to9sHEa53yj6j/5
TJajs5vrc1JzhXKKd7CsLVSKRrJb8ufeRha73KT5wO22pax2oR4EfzWzkj9IxKQC/3awc8LXZLir
83uONkTrTgqlVmg5HflbIkWeEXMiSRDKCQomn3Sq7piRsrTj6XdARUuC2Q0ZnWojexjxTfHgoy1V
jCvH+zAiHOyZDuZXzWH2mOBSe41H0jrNb2v6bZGdJADBzQmG80IgB4+EL4M7J78KCwebEKYOafUY
CQ8B6WwqO8aKRIm8ISvzZbBciQfaLZO8BcRms9D2tRT3OnKnTPYfs2Zs2/CQ2+9sCuios21uvkXB
r7x2gF3UfN9+2Ye6u8mK/3CiZd4M+a5jFbcM4WGMDpL8gwoSc7ScVzHPML8YnKppzpmxHhDiJ+ee
IiIcdNeDleMaIxuufLTJ2KhSHvIHh5hDPCBcvCLNPEnAMmeLreHLWT5C86ntz4nzSz5CNhzD6UzO
4EZ2l/VNYxXNS3RwqLv1a1w9BjqbeNPySUnjX/stM3+m1mNIMrb/HEZhrE+4ehq3WRHW8VeSXipE
BwARFun39ptiXnX9NmuHpqWjVfdisrYD14ZhHzWFTUS7FclVsh0ZlzvaVGTp17l5nMcvS+Mb85HF
n0pECryNnp5Qn0q59LXH2t8HoOmqw8donZbyAbBkyUawis5jTCrmF0MfpZj2IEfz+lk1UF5+qdZJ
isdgfCFlqAwPi7ltolMONmzZ4WJ3RX51GMmW4y1LHgRC27j7zOKOL8HJtF8Gczdxi8UhFpYXU38O
k4d+OKshEfLIpLr3RB6BRfSLTb3ix1hX+YZCT310dJJIYQVt5WDyPr4v2s3pffo5z+y+uY9YcoMt
lNxyv5NMt0ZxtokvNjMSEtTMb+Ck0u6L7h6lsD11sL+J2GjqVtaYZ9BFBVzO6hoedsnJywrLQ289
Jup4HvTPsA92me4wpCZhrLnS17jSauh+is3A7mJSd9gNiVWsfIp1ymam1vQBilQJSqY5ia4EkWws
LmC7eMQLjQD1hXxsTrvkOEG5z9rvGNF0XkBgLw659hsN1qbW3xIOAF1NcIYmLtPonDJ+Yo0Yjr/9
HHlKPGPunW9Jm8MHYXyrcc3x62vtK4i7thoPvfOAn4KSINwuZKrNVByT5VsAYCv5pMtsG4/tYx9C
+18Ep0zoNcHHZKLZH1+C6pIFpqvUBHUxsVrMv6HNvSXCKvMVRLBLkHUmnAcls8tG8WL11jrmw+Kk
564Kt6PgxgrzTaCgk+ZDH0kJdnQEipITr9df6oxvc5kBog+/hcGuKvmth4ItBIp9dDTciITD98cB
uxs7bc5cGP1Mmgv+yQJRS0BAr8UMKWmehuGdSDbZ3SDao7rgxA62TfFjsFkHncqu86+0fdmLnRYE
QJQT+vH6QEDzdtB+6rrZBA4BgivBp8+bQ8XsU8Wbs0Fa2TrKu5JMh7LoD2hM1gl/+NcEZEvvNdRt
ih1v5omLLHqedTC6ZeMz/zt3GJN31mKipv+rbHI3m9dOGq96Wn8tqtxkpFEL46fO/yLTOplEXIRA
OfLsfWxi+nT0buz/WDIvA3F/D5XCxRu9xs5LpGt+36DrXf5NCEKC52L+c2qSwjDbaB89hNienzja
i+WwxmzP9IqZ/AxJYG28ZFH3gzWce/k81lsZU6sApkmUjcYumI5HbX7InuzrL9O41+XqGWNLc6rL
babdegse8MG0NDIpPEwYPrIJt6NGlEW86wnQHFH16eq9a069ODXsw2X0kxumOzE77pSDzo60Yp6b
aC+WdRkUbYfqc6PSS8GegJXMk8esgiTAjdeOjPlN/zoZpF30xKlm98n+IRbs30IwhsgFBNlraTyj
WN3E5cT455czXgTXRjlp1iFPdn1KwCc/G/tyc3l0zL+eNGbG/1mzzaO30QqAjnIa4UI6KnyLWBWQ
V3Jm82yYv0VYIRN9Zk8So3NDXwbCJcn+1Omi1s8mQtXirCV8OXEQhupVVui99s2aemKfqpbexzwP
+Z8hpReSTtIwtoqfZc+eiWCIqn4I5Es6mu4wX7s6YM9PWfamIfmaIYZYTNhp+vgCtMHFAq5cFk/5
8KrUT3bzOM67obmTIekyBGZ4fjQz/kD10LQfOh2McE5trB5KZhrpTAWEAzHPXknTvU3xtVJOeAXJ
T3/MrFMu3xOw7svcuZYkq5W0rQguMZF3i8ZGHl+ewYw1RzwZUdepyd+A+LTq92F1SQi5jEvaXG7v
ovhxyMcg3XwXazsiEA2dLHeA1OHs1QlBjGG17+PXoSQ/S21YW3/H45fT8RsiN1CM90L/VzfDLjJm
z1APRD0g5uJ7vNj9vVeICQbYKkuUGtC1u6bwI3QFCxlAssZ+IUi3Ssd/AkXfrKawl/ozpq4jQ4dg
g8fvlawQd+GkRlSdHgOHEb9iX3ESuktanLNyZlOO/ZGpDyku8ezrQ3tsgXrxeVgNTU+6pmU1DwYY
mF5T/gJR+3mA578Wbhqqf3aDFkmffNDYH06Id4iRbEH2+5AXOxQVR6ub9x3BMuoqaCIIDH18B5g9
1VUU0su3Fui3BsoROHBaMGdntB1J6WsEyODVhdjXMy+7NY8Huwzf+6l8F0LZO8vg21I9lyVRqdXi
MhTbyDl7YKzpG8N0ZNT/YVIgSmc4jkZyJ+TQG8d5G1cki+tWCfJJQtVTD52tnPM0PEWGsi3Y+29Y
avw2itz2+fQYziorfDZVo+4uZntoeWtix+YSNz6QvFBLEFHDbdxs4lRx4fg8RYbhaY16KYz6c0pt
6eslLAEnc44aFy5ib1ftjU2tGP4C0dyFA42772/O7137JMVAiYw4WXfWbi57Zy/0MMbpVpuwC1jz
cVnCPTK4h8xhQWQ4u6LRWFGSeaO1lyJnr1ewnu+b/RQED3o8QGOBxdYv7bVf8hMpC17KOi9QCVFi
xkzG8cnmgN6ES/CAlPAygfgpQvNNr7rNwKXZpTpGPwQ5enjCnUS8SfKiAcya9OWlXVrf4c+oyCL7
OXSdKSEZN9/URC4u84Iyh4Cd0EFZsewUUzu3Zb43Wt5TtJRjJN3Gtnx2lh+1Yu/Tcrw02uSW5vjS
EmHHOpO85XmFaaraXjbTI0PJt3HojyINPILQSIAk1RdyCm3P2teOJbVdy3SePB97LpHwipva//SB
CVVF2cfcJ5Fq+ia7ZkLrmBWpW+Tsd8XkCpa8vd28nKKM6j3FAtdJ7cFQB1/+H8AEzE+0HrIyN4qa
fd12BE51u16dCBxCaMtqjzzag6WXnsT9Z6Tr+8PPzsWMnvnXIbFu1Kxjqy0eDKerLKnYBn18Ghgi
dVa1DRVmciqTn8mcvIxZPKOpX3V2HmNYRq45kHVODffblDxvGzGRyRWFtrbWUZsZlJDELhPALQjv
BR+LrAbVx9glh3TMPKfJDqpaYO5MdvVUfLBOzggtj0J+G2XbNGxkVrGhXkDaJ2zHs8YJRmCwZV8s
/B4/fpSEkO5L4s4CbgNJX6rL+JTaI0lC4S4YJmLKHQU5Ue1nU3UqQ85ye3kRSF6HjoK4htpPKB1b
sGGNJHaYBqpqc0JZdEhnALo4+QInoiEhi75cDmiGeto6MnOl8UTsHfKp6UbGU7ZJ8CDkTfhW8+Ul
IgEmTn8vDAuAn8irraIlT0b3mg50eS1meU1iDOTj5MioqyezSz+SWSICJFLeLPZTHhIVQWXVV5R1
+EFRPhaozXJvYrcUaNm5YSlWdRzJVD98PRLuj7qvbjNyyTbipdAK10b/gHIVNzcS8IVTPohJKeNN
qGoKDBocs4mORdBtkqDyipKlNvYGIuXQQkKtL7mIgJ6ht2ZEX/lRY+91BqyAHP1kmPy0szZ6auxI
iPB0s7hSZh4x+dJpURR3ihtC1LJ1TO2NxC+E0dLCAxkXzMMEQaCsCVAZJKVrZpiyuvroJMOmXHu2
iNjiXGv3gqq36fM/4iOIlzOWd21k6zbMl4HOcGEsW1nInW34vUiM7Q5+d8GJKfEPFX3KZE/H5AdN
/qI7NgLbmulKeWppCNsyczVl3HIyHAz0dHPbeDqiPGfMXqs+OfZToroIZW9LFBDGJvLH0kSfiHyC
zhD3WiKK9xZHGv0a6xYDMWyiqZd6YGRu84OSycIf6djSUpKtOdjRDmuWPyYsgBeeIoNRPEpeEEwu
ULKtEVibXtrICAhRzCQ2MvJ5RzThFoP5tDKYmWBH5XnOiJviMRk3SLx4OGvu+hL4FeCubBlzVyom
c40k94j/2FWNyrWLeyiyPbRabjit/XrtGkVxVm1MxhonS9kWyJR0Mrjlj4G1xJ1T4UaCzb9qI5nm
KlWJ9MskLv62/S0pxCt+XmUZeaDVaZKNHyyqbzDeqzTjorEAqPFsbMIBnmjY6KdCLM9GYuyRde/I
XHmC9HlnOXyp+HCGSe56xZ+ckploMu4jsqTDTu5wTHl4yXz2c3e1o1RlHWnjDgTPcbdy5aMaEYfa
LAA1daHhwIYhIxbIjkdariuo4aJeeXQM2rexOHRU7IRXEhxpTiBdiZtvG5zOurVzpn+rtWao+NVw
P7SIc0n6HnKvk5gd+K8a3IW4oxQW4YLoXXzP4LtQ2n/x3eOAxToskB13VveeoXE0suQ2MqDrpojd
cIHJKzzFTb3Dy8+ip3PllN6EKA9ajyWuHHa6TB6xfjMPZUnL/v6gSv2gCeevljHZvCnmm6h4KqGO
rpt2Q3WYyfBSTE536Nma54F4KLXOwz3PT9nmpIuiMzQ4kEzrfVYYxHetdaX2+BgREbqBUt+zfppY
DvEPFjrrJectrYLz0mNRGzv0lFH47BTTpct63IOo/s0K9G0/r+6jodwxYmatEWMVJGM2TlgxcDkI
zIkorteFigJGAJfjNJZEvs4fekKMtT2g5oG9QLWtYlKIs54SulOPJH2wCggqaAwmQu6GPasfdRNh
YEjWAppU3Vn2q2hzttoLmdI7sEYnq5/7PYu2H3sytmacnCemjDhP/CqUb2o4bPugEddxLBkf2tAt
SoeexvYsVsuBJPJngJVp1bYXrq1jPtPL40tVaSdk017rLKAD185GFf+Vhv3r2Mulgf1ZEWcnREtd
WBzHJvWJBHUnPTqaYbZfZTDUvN5sI0Vbh0DMlCSDGE1vmJlMy8YwQxJGGcCXCje2zSCXAWW4XoaK
ruOLR2XWzKiOSMWu04hSjjy9RILQyOvQR9uwnXQiuisSI9neb4eM9WuLl7yYmvIgIuHqwBTqyaTo
FoxXoCUsBjPxbthZWYG6skdrnhQi93vYMI/KjDU/wUp3LSsJZxRYM22Send4Qassbwistdc10aDf
Nbus7C0hpd0ujyMsncTyfiet/U9tVOeqmjU7CA042etisMbSzXPbJlbzUiL/eIOik+1GrFveaPZo
oiUyIQPe6T6wiKHZ1GVKtr2R3UqJ/gsBERzaXRCFxVn0QAKxMCh0O+Z7P4j6RGjM95K2/Q5/4X8k
ndeOpUoWRL8ICZO412M4trztfkHV1dXYxGVCAl8/69x5GY1Go9t9qyDZGTtiRUFevAnoSBoqSgnz
9AH4NRnPbM15pr3cxYmHkOcCqrCj964b3E9nyaJHVyyy2o7z4B4EmvbWiqhLdRoUh2pKy/Pk+ucu
BoYhBrLUq2uc/6otjwRc5F0PC+SgVlaULvnLI/tYve+rEOuSwq03B8SKNXlIPEQNMXi/UnfS/YHG
j7+2pB7Gi0L3i75Q7FoTZvis0+z6yiw9q4JLvazGmTxq7LJ6Ikj9jCUtP9H4i23JTYseNbYvX1uJ
TBeQCc93RYx0THcBWBeXiM5TCYAjgl6SmUfTFeF3IH0gJcuI4hlRMVtNFB07vkgpIVIWBmyzvLD7
T7KMnsxwCYE7KFqKNCUlCFKTkd+Rs64JbHK5s2vAHSSSvsbZMhnuKIWuM4EZID65K2sf0zvTlOLk
XPKncNXtv2rVXG+LtuECKtwgxn0dghghLuwurxVuib0Z7Rc5m7+dPZTnxnfupF+nBxFN7MhhjnyA
uOFTqyMyxj5slce46MKD7+g4WQfjfLJ/jl+xJc/vkF9A2lNjwfuwTJdBDVOS0Wl0seNgfNPKZQsc
y/XEFZIsD8asJx4T8djAH9i3ttv/tTFJHvp1no4NW1NYiUHBa1KmbHaGzGM6N571Nwya+uRUBHHH
gisFUYL/nvgGEgUnWlX2ZJZ7mz+vM9+VDQUlnkEXe4v3UkS9e/ANFhLGlq6yzthVbHRphVbtZ5Lz
yUEPRgqs38nO3gyfa+MncSGLK8YYd0dzz3juCKMyijV6Pk2uxPcRjOPbNE+kMeII+c+O2zfaCJlM
J4vjuSLOYm/qUgwHUZJ5x72oBJ4QXx/a24anM3H4Jy6Gen8LfUEBmHrCiBVA1EAxkdWdP6NhZAzT
RR5tHcpS0Wo5eRpQVi/8EZxMLsvv1pbjvTvaGWfnfFtDBxnJOjSFg5qKH4jUBZ5mgyLUVDEBhZ7V
V95L/tvaUQBZt/xtHE9FQGFpO63lwtdWwXhYcpy2EUpoWY7Lg0W9WYF2fh4L81A4lMuJAgh3GTJU
hHF37Nrq20vXV1nNZFfupiJ4jHLIcKQxAXHE84LXD2/NMRtaTnG3eykZoSgryjlFaVE3D37qN0/V
7EV8i6hM4DIq0hNVpzeahOO/WfOIoEkBaeKn/KSrNCYPooLlUYeS3q52ijDqoi7sZpem4Zjb68jo
+1ktTkvG0p1O5g14QD4l/NWHU6HWnjcf6ZVhcGx3kvIvamXr7K8XZ78ZTdY7Z27azxpNSCxvWd2h
daebHJxGCs6AdHm2JW3K2SbT9N9g9/WzPUbpj14CJ2MfnhanMI0eUj5/L8aI4SIsjIXSokMM6lvM
UXI7L+rV2c9+sVXpYfGYZkVE+LQe1HTyhcNSP6NafMfAU/pbOzexA4R5DMa9GmowBuRcu6NHiGgL
IBd1dckWliNlbw+Eb1FZy9nF7YhmReNelif8WrOTRck4VVF8k73S4QFcLce/GGgO+J64JFzr4VMO
nwmhkZ1JG7K+Av+wy2i2Rim72QkasxXQ7lVpi3k56NdPa2XTLYzl8Uz4v5eZp0W7xX6CoIQblvsK
BGc8JLmFk31A3eo89dvcgCQyaNW2H0R6UNYg0H3KPhkXBTakj1KmDeNIpm6MV7pwiKzImqmO4ATz
OZk+kOM2HKs8DYjhYvnhzberBF8s79AoSRCx5t4MbsF3iEZc3NAUPkOex6B5Yy1lVvi1EnfY1fZI
B3hFDQcDXIxAlZIDGXXdbLtigU50MwamMXgV3Hb9VuVDhm8heMqIi2TbvMMuMQ463aBrlS3FVGk6
7Ka1u+uM/rHh9U7PAQMZDoS0fByMV5/UINgRkVASiOg0pxVqBiNvxelbZrnmn+RTDgbMc//QZvgX
GSved0ZyvWLar7ZxyuYvzqbzFP7BxYu/QPZuB/PAtTDZAijmiy4/mt53n0g3jJ9AgEje3izzJnJ/
a92W3r6ojcPgp6GRZZDOTiwN9ClacdwI0K2P/c3/WLqIVCF3m32oK5nUGV9hUlmElIWKH/vaxcuo
nEtdzeqBjECHy7LoEW0Ci4RNV39Ga/2dWVH3xc11xJ2UVR3vP5PJNFAiu2U5QIY/KvPqDlDBwFa2
i8jSq+qhW4N/6VjcZlt//sbm+7dbsEHNffgQB9Z8l+YpaV76SPttaPeT3kO5ExlshkDxgJCxQqZC
2J/n4LYxjy376LWl85XOKW2IQQZWeonlIwFK/ypH4A0bE5ucHSjB5neJHXZP3h/tgAZj687NsUBG
htps7YesiMlKbEsbXsG1DYIyfiqymH21oPxwyQJEfos9SQCXJZvjX73GuQmoIkh8v3jIULb70dlm
7mequUogtKRtznqAKtIfSjGfB98892JEIOymR89Y12ao+vc09UtsDz2iwDh5rx7ma7YgavorXWWz
NxZvRlNc3YTyne6B/E7k2fjmcwfhHj8j1noE1CmZflq69plg1WsdkZ4SBCb5jnOcbta+/9DlHNzL
kulPBBYkowKoTiVa86v3MKh+E8Z5XckHyge7q9/77BYSW0JWWo2xHKpEGIxulCS57ceV5UDEJyNC
ndjISf+rG/lji7JBkMIiFPisoXsYVLwwZTZO286z4DDYPKbpwSmov6UEVuDmp+NpYzTZ6YmZdNv3
VnMIivG3O0nI5qqK7had3YoWYgwMogTcNuSIhws3pC2gLqhpynOPo9fi3S+muHV2cyk9hz2rcADq
l+of9eByX1dMN/WK97pew+8CNS5p2uJX1zXESRYuP11trZsSRst2XMIeAWFl3xGBvNg3Sy6/O2nL
LxBpNz93hTK5FwNbszAL8eAHouPgdhc2kN4Yds+OWzrc7O28X+Grla9IGtw6+YxhSVC02RZtPvVH
y8T+koxDJWj+jGbnRDmi4e1PHfyGw5IC1Mnwir9z/whOQ9cBl9AO7sHAVFHiQxhHnLBtCI+U4T46
mRm/a17tam9F1odZgj+yYtsLN65JYG1Diwon/2fy6rHdNq55MJOa3vmnYIAOFB6pIr+RBOCvckVU
r6xwX20Ckrs6tULiSK5O+ppVPmN3TsLBfvdyikqOmEcE3Z/RzxTxleCyE+4nye056eExnTx/Jf5b
R4t8UAv6Wx/Giv+Tz+3JYzdOuUt5l1fqaR0I9zHMuUxmVS+eJPxAVq6Lza6U4WlTNSPpf9IYrKD4
ndDSKHeF0iEaSv+2BCZ6signSaZ8kpc0GN09k02P1glYPvJB6G9CkccUysbDT3XjsmE9YWKcQutx
BCn1FzbWfNVCTBfPVcMpm6N0h/SDTBnr8BiIVewsaWvuIvZ45RVrt7XgWQOLZY4BxqS7KQ76UxEV
0akeKF2NREl01egW2cwRLDrm5mEwHC1yQmBDqvRuojGBowEkCXKehc3zdnCkUzZ9QrQJtlU4+vdt
4/a/Klupcz/E1ZOay/TO9abyww7prnWNNW5NVSzJtFTsnUBanUP2GUyHo8jJnwzLWfj2N2XNGHe8
aGO3sNVlGVunibD5UWTuuPdRx7Zl6HVHJBIMC67NcR7xV0tzzz2bpgi+Rrt3totfmJ0L6GBnW+Vb
9X9rFxZBQgxE9+jDGPdzYaGxxU6aOJPzs476M1iI3NulvfyOkG4u3kx2m018e4Z/X72sNp46u57n
K4buQG9JprB3VvJ19QsAMAEapbCwkVlB+acTA2MSk9dGxVr8C7XPO8ksvaXRfHkmwuVuZxZVG3Jm
zoZlPhqrPBfxcmMIWd12roqbY32qOfxXk+8V/n9YP8xnOiU5pLLOSaI5ph/UZrU6qqWDjoCG5eNr
kb7e8/ZD+0i78DKEjvvPuMSb1TxyOdKFtSYFQ/jfCiDT4xLbONbynjsA7J7rODuPFDP/ACtTmyHX
bKgYdGMmhyoAtTY1aTKHmWAN0VsvXVj5uyqYScukXkMdGXaG1yoe0s9g7PJ3Jo74U7ViRbadVt45
Ms2Jvzhhzg9mCt8HKcpDS8CG4B/JYoShvv3Ie63Y3FXVVoEuTcbJCf4F9qOPzXElW/rc1wAkE5mx
LeziDOYmNKpz2yHlWuFgyGAygUNYqz+F6cFGtGQp0BuX4oNCn4VLCdlI2p5HOupXZJ0bYPUSWA3i
So7diRmcuzcCyrmxml8A96od9bmvtbI+nJj6FTzW0xV41fCGJVrds5n2SCNmSFlOlV5iwn1kCPvs
Gy2HinqbyErUpQM9Ll12J6Udvfa1wuZWG7SWdfCvPGkdfAvvp+4HnzDBKI+5FKt78d2s1X/n0AqK
fVtG6jqGmYPi7haXARPXGSSIOcgpMPiaSvA2mkhpWNNQO5QLmpO9uBPDL4mmdBtz5/aODZRd0t6y
wtGB0jLVySA5b/e+mKP7TJUGcdrxLr0gALnIdDmueONfBFtTLPiqTphJqXQhgHB1qpXFZhm0Oze2
HNoQYuindZHv67WzdmsYmhCNycb+PiydtwmjAExTZftYbpfoQxeo8ZXrZdWu8dZ3b/VYIgGR8pBM
0wzv54IlqUu76qgd56vK+VAt3cL2QfXLyvKz7IbPtSpGjPVui31AzjnFod0Iwyl0vMfIGSaEd1fc
51QJP6U2MKZ5wiYzj+zjoHute5mr4VCa7PYnxG+hrvUf10FzU4qAgIvvbMfSQG71KOK9XKv6L1W7
w7XqyhSOXFqbYKs8doFDGDgPq+giot2Dn3S6jPY197iz7HLN9o+llAoaJoXc8e/p04mfetsfme01
THwLzc5g2FsKOKjzWq9vIHnb49oa59HxrGAbR6V+JKndJJ27wjBSDhWS3Eq3XSDSP/XE9IFWyeyw
evaBJCwGDsVpX5QF+K0Gz1wKzPBQR60DCR11nQQ5ni2q9qj08RnglPkypeoeykb631AEgLj5yPkS
zuPKX5lt3zr31iFXvKsB48OOFP+0C2ZH3q3dgnnBq3icQBrSZD3Bl6mA2ifN4hRE2bN0p8Mge/NK
NnJ8Pyzv3R4sSYxdW1faWhnz+UockO3aw6xsmRRz4zzyFtw2UCibMkcVhYJGW8EkY+hB4++xT6ON
RQjtgKRb7x27yD/mcLHP0h6HVznyhOC6kFgsAxq2LYs9aS1sCwdn3sFAhYUcwTgBNMtSrGqG305e
9H/NAiwIPX6k2Z2Kuz6T3X0zzd92EGT3TBWS5wpXczxQUW+CtTnGQWce164JLuSCAeexhtwF2ocz
42UNQUKyclPECd8N7Dzaqaf+OWM/FxeIX4WmCLpuFTmdHhAwtr7V4EkGpAykmCLkhpwPXIckU7xs
DrL9bafOiFlltweYM2xZEDU0cZv1s8pG8aZyBjeTE9FoJh0AfIzipPaFPNooWJuyWD5guqGJc0MG
zBHYCBg0qOxC4XZv81zxkWJsYSEEBoY4/XwQwBP/5VjJNnVr0qMtiZH6Eh/eBOSDRQD3G6cAqi+C
yiCAx0XCdsw7jJxtNzZS+3A7tzYh8ctNw5d331CmQAq5BVc1Dr8XG3du4af3aUCoPV2acjcAm8K9
kv8rGF03gTN/LhMG42FIvWNu6jemJr2NbOul9hjgNtKI/mMMamw/jnGuYzX8CHo4ICYQtr8LXdKy
0WLJe9cjD6rpFX0I4dh/9l2NUi08jHKdw7orL37kGrEkpkjuvSMTuXMpyTiBk7JOWSoUseWcTZAt
oOiFoTwD78NIkq+Ze/vE8a3y58j+w1UWWcmzcKvM2nP3Fs/HNg8Y4HrhBIeo5UJsPGd6z8omvY/U
OFzbopn2XJBw9hlZvLDcIEc+4BAu4Bbnm5V81GYdij+xLNrL1A71BWsGf3U4SgZsDVbpdtTOta46
9JZIg5HyMliGTAeifoFC5h3HtXGe2Abh8VYNjrSJsAKundvvIXNKBpFV+wrdtfd++8Zu7nnmAC/k
+Q8kDcxrhdc+hKmHPaJoKbMrCu3tlIeGivIBbU9Lvpad5W4i0TCpw5ROI+ntZ9LYh6mnYSrrB3at
YYvA7jb9lt8uZWKj8uAzuu5ltXHZeDn+Yzyc2MF0S+wCi9JmhqR1cFf9XKOpIJHIl3kUj/WYdXu7
zcwB2Kf9Fd5M5e0tYsjbwwgp/AGTrm/fBZP1x6nNkBRKzP1mEt2wL0tnOsdVaODkl1+krdMt317c
vG5EoDfr7SSO++WSrwKZYQJcBG9uSvrRtbl9QccNx/wLxI1MMiwWAM+q+do2LRcNHWNqsrgK7HLR
MdfbuCniwJWHYlXhPlvqQSdY01hQr/G89QKLS6SLhysaZtaZs77EhGWXa7Q0UL1SEee3o796zNH9
/2T++oZyRRBMGTe4dG3rUqNXaxjnrFAx+LN5U0dX6+HHUTp/KoIoekxz3MQDdUsPdKbd+FTpwDlZ
VyVyebm0LdZ1fLskkEjW5Ddzucbv8ZfNsX+fNnP+4ERkAxuEZZAm8Ljcrv6xc7asqNiE+9htsybP
yFvKVbz3VL8dc/glBzKyRPyDzIY+Qt2t6UCiBtltvmNIP1guiSDloOHinw12wsu+DHf2o5g685TD
StqVA9kIa+yLreFU3lZzHFymhs6ocG4+Mopnkywm8VstrSEtlEd77Sze69BSea4Nc5Vj6TpxF3Oz
Y/JrlaL9VWYRxuDI4nmeeKU8R/3ldstidXXJ1ZQrSVN4JS/upGPebfsWTMCLz/sBtMioiRwHY48v
UJHrFOip1J4G7OGr+OQjruMclSFgp4wFyatHQH7aq7VYPsl2qG2sSDwXTTxt0uAGLncWrjNDhK/C
6xhyTF0xNmpTnmNvXraiGV+aHgFqrG1rExqLbTDQqKMbTtHVCHIBG9H27OP6VvHQlJk7s+Qe7GC5
yMIFHTvN5Wvayb8cwADNm+C2GmrL53FJ5xdfji2nUkmQMwpxiQe5+7lAX7uKeamY8fH7xAzuE3p5
8db0JbD+FT9HGs55ktuo+iJIbXweq9ce8CMw5EfxTxbKL81tkx+KUxxW6hMu3dxTaWhC5rxuWHg+
QODx6SswCCA82m8ZVArsa9h8bdjZpG3WbOfNLKE2JcuGXdavBeKy5WlU1V46W9vjR6bX0H0h4uk8
e7LE/OHxzymL32gHMbdqOe1qkzIRzCSAUIrS40qsAN8vLrq5Q8GzUhYf5cRa1045sOvCOspxyH/X
VsD6ALXs6FrzcI7rsN3hucBL3QB2PNfS0XxWLT3zq2GkpbKgulLqiUtlUn7CDylPFj/+oQ4XM3if
xZfaG7hz884AEe9WruCFhZIb11QEDCl48CwlsoqkPS2XeupB6hdtdnC4gyXLMiFfztkNCAJvgpVy
2YPnztReeKo9lFHpvxgvqF+WIoOsEHblDVjhbXxF5DIzrHxGJpTQDVWSD+6vid68hwW2LCRth+xx
KvhueSIx4pS6P5BCp509jQHovSBzXrI5V+9OVOHKJNSDiK40EpLi30pZ2CBsPQ7nQVjlq4iYkV3t
BSgm47gfGixmbVHrXzNYyedWZ+A7+X5/RQXR1WrilggwHCCpwSFQCeXC1l3AW0dY/Zop8A4sBRiM
B0iSIH5mloDl/AQ92jlbga+/0t73b3yxeXicHMAgVlSprVN3f1EZvJ9pdDjOWcPtA7fk+hzBcFit
CgsH+QHSMCLYpD33ZGfM5VdQV95+NLP+bEYuFdBImLFN9O14fDHGPPUSRghcLpE/oNWreXzK+7C4
tCOqqYNdbfamW6zFMzmnjlP9iljqc3fHr6CX3nrs80g+1FHQP7kIWiiqKMKeI0j5BCtOzHkJMMhX
BSUMwPOJgpiwSSKvmEDY6ZFWCxPucttd72OfUYLEIHoPexVsTfsZ6My+L7tiN1I0UZfzDw7z5hhZ
OkyIFS8HKITDceqpE7BxaH3VrjEr5muhji0nxk6sivNUzNV1IZ2MHdahmLcETZ/2dHDVNVqmh8Pj
zl0YxwtDCgc+Fadf6/ww+jCk+fXtMzwMZ2UxUKxUze1hRtKmqShrfE4j/Ldw1vJHh8A5WH6YbafR
K6PDGBpJkD3oD2m/akgc4fI1UAyREJfnvAAKyPFPnJVtgX6nVAKQlpAB24BbvoTx4Oiwb3qdNfZx
29jr3dxrykJpRz0AfoUJbPP5NY5r3buRmBKuXu7RDDr/03SOdfLSstqu7fxn8inh060s/jVA9/A8
zipxStMlhjLaxEfsgmaVeYmzYthlU8ydkS6ARNDJgTMVX1reOkoc6gW5sSzcwwyZe7N45LSnzGf7
U6Z6v3oqxGNKaUarp+Bz6AxS3e2wXcj1nSbPSokio4Fvinn4XVki+i2WgZViG3TtCQDwsAtcn98H
EIEs+yVH3Ic455o9a4j0GJbkblK6U/YN7cqAIkLrWOVZuS+y0eJwzZq9t2BN7t3on0Y42VY3EBhC
D+yevAJo4gDT0WuPZgh4g/+KtMDKU1nPmd2Ky60L+HmGXgVyASgJ4RO8CqPvnNKKRZ4J3OjJ0xN9
O1Hwi8nCvVIFYF0CuIIMKRCmth5k5R1h4R/WdDcLVRCG28IOIS+pluKOqhoBQFZxeap9HNw1BLUg
hsSMAgBqvf4MGwsOY5t2VH+Rvsnj1blYVdd9+CPMmYDQ2X7kcXrwGIHOJTSA7RDgSqnLMrsLWUtd
DY8+Hylt8D6QCGiqdSenFm5g7v9hP+Q9Ej//xvCHNEfZ8WEygd71mRccYq5/ZwoonEvkLirh+9sd
6pXDrxyamMynNMCiRJEUlYp/sZKbN9wj7U0vsf7GAZ0VzVKqbTEgmfAAbmGXoZdI/JQd6JANK5jy
D+IrQCSCAHeMiDyPnk3yjO7r7dy2+C6tCWE/asRtkgtfQQSQjgAaBHgO/CHBlvwWTF/yQx4Ymh3L
pt2WgfXNR74QwMU4mEy5iqRMw+yK0xUv4IpMatEmuxucViSuLT/QurJ9j6a4XSbXYuC0igsiXr5f
rJCBSXb2vzWP3wZiL29BbfFKpY0fP4XjbN+RLx6SuC6YqYi7Eaj36OgFXAzRAk8fVWTRblgx1uRy
9o+Zi70kA6kwAPkIWcTes4WMPpwMdjS3kuni2jwda7t2u7xcYXrlJAYbO3sGSXJc6dAjtdWzr6Mx
lBlsqRG/yDC6VlMfKkm6mtEADU9Z9l7VEIHz0Dbb1m7sE1oveIq66C52yDm0jW99O55ZwgfLxhWk
UYTAgBHiqdrwILtufVBrkD47tbKvsLfXbeEgD8RB0R5jNhlHrLYQDhzGmUS6wALmonlXDftyDtz8
5MFQDDH5LwzNHVTLzRzpcGdop9l7TV98iGahAwSdEM8mUv45snzvA4uTn6jbVDFNU3fQLvozSpi4
rETJjyUwrkTO+GiLYgK8YTAPgy1o36sibJ4tn8wtV+YFzxb6d1V3r/EyuwmnBCA4FjBHXdnhU51b
bYKdI3zH1AnRo45YSOFQYOPZOkRX2dPM9QhZvh3HxK5Aemxm1qW76LYcCtbYWwG5VtiXG6fH6qFi
ZOdI823ATHorNbStN1FJqBV1PrxZcgaPxarwHlY0P2LdyScw7tA5BAhJtXZql/qmgwVuo8BXQ31N
6259bRnArpRSPxqoFbuyGX84VLgix9nIPAgePqXTBLIIU66P3WcTMCjSlYHQDIANTYLODF1Ppw5M
4DWVqDZDjybJDxPT8ew5OIm1fYCu/ZlHfBY2zZgDO8YDltZTZ+9Cv/oH9LPlcQVRQFC0x6GEgRc+
h/M0Z+aLYMlvBefiZNZ8edfI5TvWslOyZNDrikbHTAR5cMdirT2odOJqQlIaqAJNORn9R/+ZskhI
A2WL0Sy20GXiTVWxW5Rd0G49FfRwhvkEDXS7f9OtLa99VLBCnJhnbXvN77jT9dxO8L09d1ElD9EU
i126IA/dPDmEfSdqtmpZP2D3M1vD2cbEjPVnaqMZPidapmoKLOFtGl5ntyMwW13X/knZwE9A+du/
/G70/xTuDaQVkg0KoK9sS5ind05qwm0wVkvSrGmQRHY8fJRGoSeEXI+pbLZRZ/L5iuPc+eYEIHRa
1iH1MxU1HNwN7kA48jF1M0VUh1V03cTyin9UMlm1TB99Z30PN+dw24PRaTD5HWjvDi8s+6q9O3vq
O83H/K/VwqIsq7RInL6YKGi8IS+rCUc05jew1h5y1tSN7wUerw+boQ0fLmHTcEKx2sQpXURlN+Zv
7IVTxvK6ejY0izzFIOlx2i8adJWhYszvWRkIrDf8R/luQk8cfRwSp35Er9xWiDU44esaO2wBL//a
V02PZNLLE6fV+uZ6nXV2WeEf6n7kiGFYcUYmJ8wx3A7LkNxdan8BrPlQdvY0gnIH6Y++VMdvnXlr
Q3Q9BxHnoZ/D6JLhN8engaGOBWzO49K236Uz1/sqq1o6k8NbgJwGwOd4be2TK0d6FNBqD55bFa/u
LRFmh05+RS+rfqTHPtrGSHZvt3hNB2ec97Ge6wt3jfZxnaVILFrQEigtdBME1XtheX27VceypdYF
XlyMTBuhrlOMsvMzCMpHGe09/I7ilMs74qtwScaUhUinXSIeJTpEBPbnRkjR78V0o2xEME4HI3GX
YPVkC4Cdb/aKdeuGQ7vnNCn2mqYI/giKLgz31t1C/SbPgzdgtW/T9Ttta8ETcPN2NEV/zlRW4nS1
ILTb/G8QksWTv64e+9m53cVCx4fI49cVDAAJ7BTAF7Cfd+Rl+4tOI/8YlO2z3as+Qe79v4eOrDa9
4xtnjqk4quZfkYm6O2JO+Tdft/kOVwjGHaighEd9ElUjRQGAnkb5iCa8fEwt5wGL2PZo6vCt7+dh
M4T8QyYn/fZWx+3pu+F6B3caH4FYPhau4RtPrsUBZl90g7eRofPc245H88jwsl3KkZ8FbHiaVwij
jFxKBETDW9UKUlR3yfDUb4qAOSvW+X4ET9yQnzXurR1GQ/yN49xsdfg4VXn/1grAPLc2o+wSz5U4
4+rrdsGysAG1veWuL2XEB1xH906DVka5X33IxpinZgpjrEHs4VkLUryxxMO1R3l+ZKlRAIdt/uDt
yfaAo7PHIO+d4zyBkitZJOIvcuU5yjIyuNJtD5MHaC4dh+xh7oNv8PTN2WknAr6eiaDsp+tm4ep2
T8MU5zOecs4MbuzO3KbPQYBXMgs7lJUGsmPFRhMtZGB7xL3ncQ7JGBQO+oNnwBHpsovuh0nxHY3F
bU4j+1HOdoVyyK9usQkxVRV1Cjzx1p7+yOJYRFisuL65N95zcxx5J4HdcmAZHdNgWpBGgZ+hnv0l
onyKr+adlVG/hKnRIo4DMpOLa8EnNer+ZLcJuun76Sdyp/FbBmOW1DR+wZmDyJJb6XRAwGxe7GnJ
qIYRmgUX5NmyxKoTevaCZA2FMMVsctEhuWvqRemWcAEMiIV/SXfQFxWSF/BjsbyrsHcRGFNxxpZD
PjxwfkUwJcoSyQn2ofYhudE6DlIzPvhYJ+6BeRUEs/B0UG9ndvR4jbgwOuS0Gj+xRaLaSQmZRXVH
uUKTzhCgIPnouLbpTHTEucOVnwTeFJ96uXYHy8FMM67WcOTtY6pWiO26DItd5sroUuOM3THecSTp
8bPDXnhUGGie+2hVPFsUKUJSKBP0aHMC+Mk7Gyrm9sWO3lLHfg5r3+zKdhHXNfQ/3ckHJ1/zedUN
Swqcl9HzSKjuWmk+eq3m+eh9HNq1NeZHtisl4AbaMpaYsuyhx47FcpWXBNWU4cvyANiyd7r7z9xs
Ko8EDsBt7jakstWiFg591V6cmLSAN5IZ5Q0d2VA3zRG6lo37eyxZi/r9F4Mr4w6uVJgwVT1yDgpb
n6Bt8eDCCLKwLnGHlX+EGGzIgXl/9EuruOO58k50tK3ApNaQMGGuqOdrm7/MQqRkQ939ohSJ9PBk
jeHG4YaKddElbjJgBUHX45Yeeg4HJpajuRrIJFWEZyw86M8eLxfnoCN2wUpyZRIDUasiVR/DMKgn
W9HtmPVRdciWmSrzXPg7nLpfmABYCwLdvLZ8fPaBzqCudyycBSntLf6e8FiXwAS8MebEX9zf4xz2
V8UWn6ARKyDlYGGusXZvJpqLdsYxX/NU2QcS91ESSTH+0FoUnJ24ZHsU29/g+mQywF19jk38lYcR
5rYBBYEF2l+Mvs6e7Q0X1aKmMNuC9hZ1BluIGKnSmgK0P7s9+IJRzSELDqzGT5NwIRUoaPDaicwi
Ox/TytXObssb33nyOFpe9uj6Wj4L7o24x/WMcI9Efeah+u41e4pOtlwgopyvUTrZe+PaWEuVY2/C
0Gp2M0FemkoaUIXMcdt5JZiJM7DdjxmfP52ycaKgLyciV8yH2cpdgkAIMqg5i6YyCx5i7If6XNJ5
seNXwVU8t5d9VDf/XBoUd3Ce6j96Qej2w9H66in6QmzwNClE8dwzYd6zYINDZafzb8a+X7jNAkRX
YjHUoM67YUQ4MhM2hbJs//IvxyvdzkQ9boUjbck2KupydZ5rITZq6IennGPnmHfwMvH9/Y+0M9mN
HEm29qv8uOufACfnsLibiJBCU0rJVM4bonLiPM98+vsxG+iKcBFBKLO6Fw2oixY+mZubHTuHCgV1
VT2njR00DsoqFDJ0WuISET8KZKIPWkYTrRnxgrJHt6NV35/8Wx11E4IsewJezMWmztDPdMh+AJoC
2dTY9Xznuj1sx6GTfGp9MteOTtGhSbgahDowh2TC9m2hKOTe6hqm/LoBojN8QW6S1HKS2hCMqPD4
00kyjsUNZRplnyS0QPaaMV2BqebWVGmmUAc0h+ac7kkXyadD27fGUU8aOtTrCXUEao339J88xUni
fAARFO+rvLKPwFygd4LZY0+6P6R/oOP+B3BP04wK8NhWmgfRWhVFB7A2lAlMHhrdVAZXTm//Ctyu
D6iQjuPy3FegsqJjii4acSiGyST56wNZhhO3p55qTd2dBWA9IAqMgwQIf5XU6MyiiEFY1zbaJ5BH
n6oHlCM7iv4I+TSQgwNbcEVPqVXAxqgsGb/IbZIvQwdGS7cU2M6hMgS7Foi7pgzIqADY+GENY/cr
sOAvNCH6VdLyp0Ni9ggMB2HsyZmWX5f9arTMPPQGxfxQ53RDFAGn4EJhquKA95EDhXcWwvujvq/g
0NwVNRVKJzWHQ2WpybEGlntrElkhkEjotmu4bul7s5ObGrkn2E0hOYsc+lY6V4cdOLHqB4pY80cL
YYRn/r8oF7ShcpV1kXJlduFEKx9YJBCJ6g+lA4lJQq76kVhGxEsh0XmjVkyNsfAfmD2d/JbhcM/n
hri3LSB8DT0st7xKe/oM4uYWDAc8VjSu3OmU7OAMMWwIQmJxp2tJhCLoeG1UtCKXVEchrO97Rf9I
CZvWSFMnKWnZ1p3pE1FyQ9DXpBnBVZlN9Rvow8VVPWcVBBHoA9h1RFsbbi4bDZiBBB/xawLJslj4
P0hQg0CLor1Zd1DXWAIoZyCUo6P10RH0DEUEWt0p9hj9l8Y0u/c6NF1wq5JZ8ioDfBk6x2I/lz6U
ywbbr47gckFl8qNDIfza9p9cGhoI6xZJEnUG5VopIGgE788HkoMwENMdBvBzqZTmnfk1IDz4XOUU
xOY+VR+GMBdvw4xkrALu/p1aljSpja5Lhz2oVvCQNfl4QU2XujetVwC/baFp99ZAxyQs5V/mbkFM
6rDSqhHd5Lwfu6u2jb6Y3IS7tCdRQVrdPLLfScaZgwkRDXC1CB7wI3x2ACRUKNkWdlZFIeyIVZdS
q0bbEeGb+0YgQQIcZqw/8gLWjj2t4TRDO75/V2kaRyXuCYS1eLzRubMAwyrjo01mW70ZK2DIKI0l
dukVI128PggqXBD5MV2vnZ2Tppy30mHZMoR7IlfAgC/y7BOQ8o92a+Fl+gxF4wghYcsFHwBlL2An
Hr0NXLJWcpizCUYxZIh3bkVj7BTiwJURmrKWH7qPK0W8m8FEAcmL6k9Iw+hHp0yH5yQUFhcJ267R
qaFSPJspI8Mk40S6ea/rANq5rjWAKkZHNZUslmnaFWxveXGcW8NBErNFYNOhNBD4gKUuC46vCrQb
jmPSb2ra/PM//6/8/s+7iMj2f/9H+/8g3RBNjmAthhwNmkLr02s/LwzdcHVhUPgRuirpmXdmYPLQ
ngqPLuj3wVzuC236etnECwV4frrquKbp6KSOgU2dj6BUU53SUKFAtPVPMh2Q9qYalEz3f2dFP7di
VmJOlhYrb3CdZ05M8WyF5FuBtCkPRNXG9WVza8vCgkAnrDuuYZrGublE5e1tRHblcQdwm07+hgD8
1veXv58sO438mVapbuVVXymaILTzdz9/EZ8/+XxJ6pA2aX6+OV3Z6bHwD5e/ry3jL+C+LPLbH//7
P46uCpb7ZH6WTXFigGZfmy4wv4IC963z0dW8oIdgDDgfHaV7OMZgrWhA036alXeXLW9NnHReWgCP
eHiz8hQBReuh7DZGtvV953xgZZkNoaUKFgbYI33f4V8uvHv+/QmuEUWdWZl8pjX7HUmPv5ofoZ5/
33aJTYqW7wcUfjWTVtrjZQPL1nm58jbiWfBaaGQazw00VIHLzqKX3HGeKxCAsHE13y+bWNbwgglN
GgPZb4ShigCuJHO8Ag6x6zqiG+eTAvYw5zFx2drGgDTJfzmghIDGcxTpWwGkPjS3tbmxqbZM6Odz
Vhipa0zLaQfbkNO1Df5t3jCxvm//uyy/D+zJgYTPKtDA7FUeAMai31EouDxLW99f/n7yfR9q8RyU
UeUNxJg0lD9f/vzWDC1/P/m8pvB6SWaWHL6hqKNACGLtL0cguSwkBFMrSp3Kq4n28E4bC7D86y82
rWMK2yXwcoQpfb7kEqby2NTemMHUT5Acx/ueZ4Q/eZenanUlTgxJHtBplAw4XV17LhU0tOehWLps
YHUtHFTDQc+bxP3S3ZfZ1E21Jobme6EfJpa3qqfMfvN3RqT9hHTkaFnoentWBFvuLOgytqnL5XeX
zay6Etd0HNDjumEJ6XB32dyjiWjgrY6gBwF/vzUmGC7fXrayuvaugwUNig5Vk5ZE9I3iICzEdQu5
nn9vIEh5sD5ftrG27IauG7bp8vgVrmQDQbO29Y2+9hTI95zrki7EvzMg3XwW5c96tjDgNvuu+hpV
9YaBtVkyVc1UdUPXGII8Ajh9mcG59LJ/GqT9xiNJ27J4uDyKtc1rao5wdI3OF0eeJj9tfWhi29Kz
ugcl/TzWj622EYouEyGfdFMXJq3RhqNZhuSrHDd1gj5LAESMKDu41YOiOo8CrukkCO7opJgRwRrz
jclbW/5To5J7IUncV+TUSlJT33e6++3yrK0uzcmQpKWZqHMNWZ+WHvltK7j1IxJlh7Z7+gMrJmED
xRyqdrbkWPLAiYlMg8ojcRQ9OeF3M/k86xs3yepEWdRoXITBDcuRTryukuguwYp7VnJHL721sfir
++vk8/r5RTU7TT/Ri8jiUxSPdY/LCg6ly/O0usEsy1p2MW92Uwqx5qwsYt0cSy+g3DfOaBRpECEu
NeSEnNqNMP5oyv5rT44ZQYFa6ZRgLyUsyebnCfjD5RH9DtlenBmXVbctc/GR0pmx2wxO6s4vvNoG
8XEMQeY61xCsUUWmzzL7Bo3RZYur63RiUDovUVhkVlZjEL5KdDdCdZ8VN5dNrB4al1qlK7hfDPnh
K0SNcHaOCSQrtRGW1upHJeydfXvZzOpuODEj7TiOvZjtDDPwJKDPdoSJH4KRyYgPPUWrAMOX7S1n
XV4qoWqqKQTrZOvS7qvgS6DZMiy9Jn+b+D8y/yqxHyoI7PuN+Vs7qSeGDCnMp4JGe4yDIedXVDwY
5uPlcaztAKGSltAEiVDVXeb1JKRUgXppSAHyeQPhNuDE6IxsjEAyYaoGFR4XV2YJk2tNSFPVZPAx
ZGOVexNIirS9qdObIMw2zs6aEV2z6USAL0g1LWkcaQY4uaMR0iMllpVf/eHRLz9dnqrlEydL/nsc
pyakcTiJBo7EwkQZ/UPS9zalbO+DNaeDTgefTNP7H9jTyUiZBteArkpbmoYEJwfolns9LRgtfNUm
tNf0hx3q/qkMvyvxxhGSdtrv8Rnoypou6j8WB/Z8K6A1rxgWvWTeBGga8JMNwdjlEa1acC3LMFTd
QixKunUU2jcs2tMLjypYoPwc7I04duv70ozFJXgYat4FtLAG3Ds/AVG+fgCmRQO/JXTXFO6yC09O
S9fGetHRae3Zxh423M3ocm0Xm45wLRadvIEtHfYoUTUlb+bYg9fZ72+pN4H9uzyELRPSGtQBndUu
3G7eMFSICQ2e1lVPEVWm15sRqiVI2ZIaNOSMLVJkoGeLLvFapGfT6wH8kLlxPtZGcmpCOvIhVZsR
3EjipbC80I72m3s4xhE3hrqx7lumpKNRgfGFzmtK8JJIpAzhozXezv27y1Mm3ZS/z5/QVJWn0bL2
8tu46h13rnt4noGlwgQJuyp80v63y0bWjsipESmGLUeugsDVE2+y3B+z0kyUKYaNtV+zwYXPs5iM
OlAO4/yUQOmnQV0Wp54uIKzaZ/3G91dWgxuF68rQVVVouryFSQ26rh+VntJ8VkYoVuBUoST06ok6
MyL5Ejj1HHgk49JzYbODUFfZ2L0rk3T2fWmSQgXCNkcwCIsYBW3xpLY2RrA6TeSgyVBwvTvySzLK
sh4ct0PRBLzSF3hUko29tG7AXi5cgjtaTc7XmQIjmkP9XHhdbz2Iqbxz2uKh8vPnyyuxcu/ahv6v
mWUmT5wurdcABZOx8FRDBXp8nC1YJcYOqeNHU/sShV8um1tdGCDs5A8sl/9IC48YjFWoGqMaIury
NgILzZ8M6MSCNG9+IUDzNWrhablz484u5MZPcF0g9vPWRDI7yj5fHtHqOhm8i3nrG4LL93wCmwAJ
cpiOCm/W4xubttdpqKr97CsbAcTiO6QACZT6v3akcxmNVVGKqis8iLMnWKt760proMSGrsrY9Xar
IJYyZK97ai5eE6O25RIk87yQUxmiT8DGWOyOge6C6tj5d0G3EVasz9+/JqSLJqoKqBNaTLjg/ay7
4H1c/tFZdSkNkrNyaDlYfsLJHhej1RsQHBReLN7l/U+3Qjnn6vIuWF2dExPSW6/M5gyYKuEdIJp9
IryoRSvW+oG0HOq5rzdlgrKF9Mc0Lf7H+Why39LMlEZBD9jIHiKAN34GZk7Tmh3K7J+0TJh/4OqI
m8wl2NCp4Eo7z8gVNTUnO/f0AqGbMLqKafeDoGp/eVxrG+HUjOQaSDIMWgia2VP0HzE4BaP6LvSN
QvHaMp3akJxDNhcT8DEHGyT+GnCJIvWino5GNbiy5neXB7QSctinxiTXqgRzVgQpA3JZG7P+KKb+
0OvFFRRtlw2tOVXyyw7+0qIH1pECKFXPhKOpARX2XNwDcHswwnDDxNri0AVH+pr/OI4hTZwdWFMc
0GtC7AykdIJE/yPw4NcP49SGNF+1RmOhgaahl1FUBSel/cE+Pv2+dHDEZJk5VCosfgTj5twc3B7C
bXPDT6+tuhCUJoXBUw/Gm/Pj2RtAvC1rzDzyMUfFfKrb8mBk3wv96g9mi/wvEaDlqvBjnNtpfJie
dTvJPF95F4lbYNOXv786DgsP4+rub795/n0jGxo4G63MU2dY4wG3hsWuTo8/LltZCz+AAdpCt8E4
uPJLxgzHYLShKvCgkIVlEgaKr0Z1B6XZwUY/ymy2As/fdRD5GmUbW7ppmxpN09LyFIYNWZmVItEd
i/neVsS8j5XaOKijptBAXZk3Vt9/8NUKnmRdTFd0AcZXPczBu7ooIPmv4H+h3abe6bBQ7CPdLe58
x9AOl6dl7bhZJL5MNOpNjXLe+eTb0DKBF3VxufnHhJLzbH3Wuz+4209tSP4W3L+qaKqSI6XrKdVT
DVZcKTeO9OrynoxDmu3ZndDYcvFMcOrd2frwDuH5D4Vu3NGsfEBRGChtnLyu/PI7Zjkdl+RGMo3G
B2ghcg9+V/uxzg599ScWYDrijWQ6ti47Q8BIs61BOuLNBYSQ/W3Yf8unfuP8rW6BEyPSMGgAm21a
PAqvR2TDVECLihqQ5fs/2GhEdwaH0DKIyKWNpmi9BQkYC1Tch8N8nOlc1HjSXLaydu0SfAFiWlJ8
EPWdW4nLyujotiTG64vDHL33i2PmIlhavQ/TH5dNLdMin+9TU4tbO4n1KFpomtUR643jx6F/NDY+
v7YquHbXUoEoIuMuHRo7F6md+AY5/SB9CBz9WhtgGg6djWru6igc22GqIFDB/56PwgY8WVr9zNk0
4XAoVOWt4jjfLs/U2qIsFfblAcu7RXa9JTzBGozGhYf3ytpr5OLU8Igg/aBdXTa0Mmfk3Fh3jWzC
4nXPB1MXYE/hIk28pP2exleVdp3YG8uybFNp1V1HJwCyKFXx32WsJ6vuFrEibKEknlX+gnqK9vG9
i+AYyhtoV9FM91RNGz5g5Xo8syg9W6BCNUTCJmCfIWdhvKkCWAFmCwWYaePwrE0fwEnLtF3Xeult
wqjPVNpuSfahFTXGcCojIO1sxHerwzFdw11ifJUDdD6BQKXDma5mskrBZ5GVx8S6gXIBHcLhDzYD
bxcqsI4BvYa57PyTlerqKu8hzEg8U/m0KMdpzue22ojyV2fMVqnw2qDXX6BHAt0qkWRgbXK6fhWa
l57U4eflPb02X8uD3wIxa5Crli42q6gix6nNlLSJ2NN5u1NBAkLTTWvAxjG1VnyB6wJzE9D6mxSS
JBetxG0/17SPIpIRNW8rq/taISSHWpER07HtZ8pbP/efojS6VjzaE66VVFxD3EyPXVgqN+2sZZ9t
jR5at52R+ChjeFZR+/kMQ2N0M8x68iulanDtzrr7BpC+cdf3ASR5dHNdiVJQqFD09kYVYvQgyqfV
dBjGI/wU8YGN1Ht1GoOfH5ToUKuD/qNI24X4gUaF3dwY7ncVnOS413Ong8ir0w/zXA2/WhP+VwO+
6581nF4f4ESKvwdF4d7AJK/diSJTDk6X9kfHdD7EfY4WUwDAKFKQUFQLpIrBacNopIT0jNI3iIq2
mdykSZT/hLQluoI5tdoFFoKtOkzPxz9Yds4h1VaXx5a87E1sJqArWs5idYR96XFUdmW8YWN1vR2K
FOR4hQD/e35Cijm1jSrFRlY2V48qIiqvHYNDGpz0sSUEBAIyBMKyYJpe+jQ8NG5+zoL2sTr9NITa
Q6bbG67r5VAclVzyUmbjwgRifj4UUYx91JcJpmhlpOCy8dTSdP79c7fP96HAt4AoLIAk6RQWhTZX
qUYdhC4SOlBCqvlVhWhlXSw6j+1dUIzot6hfJ9+B9m4+6kbxWY2TjZ/x0hcsv4KuTHJkluPKRXgV
OkiYNsj6UwH2xii+UXse/KJobhzR7S8v3suA+tzWMiMn7lPQBWuIyEg8eLeuF+Ula75F+OS6rN85
tfMm3nLXqytI5sfWNbpsXyQAh662kX2jbJL1/nWJNlGvW6/e7wyJ7BK70qSuIdct4X5wW4dMo5fA
GaoHP5us3Ji01UHQVsd7D9iXLr+m+lDJ4U8zYm+GhPYOhozLa7K2/ia4O9wC3URUL8/XJFBqvRCw
qkHg3T2lqXulwU+wi+z4PYqNG4Hhqi2DW225Oin/SLYGVXcTt/JjqLNj2mVrc6R9shmRuhlz2Lur
0rs8tuV78gnjlnN56WgL0Ew6YUkPr747xOxt/Zg4Vwoaj/P1ZRNrq0M7y5Iq4QECPOd8+iDZoAXf
LjAxBjac7Xp5hRLKsPHaXb5yPpAlfNJtwlAd5yoDmlI9yxs3WUpz0/u4R3QYgZh4w929tOEAWbGF
IBGsAVyVAt0i1Ux4hXNqprl+pWYfRfXNma81ak8BfcGXZ23Vlu1otF2peD8ZVdq0NbyxbZiQ0876
9xZ5zb3gtU0tzfD9Yxyr9rfZD8WGq1vdDidWJffjEnhofsZ2aMPxZokg9paB3oPqIAx8eXyrloDP
mcSiGi8haaMHoMFoiA8STxRf8rHZQS+tW68DAJMpWLa0y7uU9SKYkzb3MDoGHFtu5EW84+b+4ObQ
jW1VBla295mR5e8nHjtYUBlxjJHsHxOanpjEx6tnCp9DDQ+UEaORQ3d1KtS0pO/XWyjF2lb9VE7p
Gz3oNh48a+OwqXbq5H8BnsqYLLr/YPVKdcbxUW8+KNHz5VGsfh7ALCgzYDK6DDGCJaElqObz/qLu
cqMn7saGWgsWeH0uFXOTDrEXcc84Zc2sq2PkgdicIMNSnl1N0H1O/In6BuG7PRbfYKARUMLCz5kX
LTIa8J48wL6D6skfDBcENegNk8e3nIbMlalyBshOPBScDohqvQkH/8NlEyuhgrY8gIwljfiyTjQN
tYYKNBsvNT5aEBXByQ8b90MVuwct1BHZ21jBlROLPUIE7liTurh0msLSSnt4Dria/PpdJpAfrKKb
dgg+Xx7Wyg2ImLtKLEWlY6Ua5Y9T15ZG5NU+Alu9+jUs/Ft3HoHBml8um1odkbu8uXBglNukETlN
lIsCgQsPfUUbdqjicWj2l02sbvsTE8vfT7xDtcT6aski9cOi3wxGbG/F0Kf9nRXJmcLRFqgBVJVe
lNzoxqMYbv7u+8uanYwig/yvaBy+D0oUdqfxrSiCjcBnbaJYdfBhoFJ01XXPTTTC6H3evbgfNNQR
btqIc1auUzRfSLLAGQ+MUi6hBUaDfzUd8mwtbfX3uvPsRp/U8d5+ZVfn7zuHhB6vIaKElwlXkqRx
O7ZJ6PWzcg0x+pVhpBsY97WpItah0s1QXuZyREWT1PJM9cL3hbuLvr1+rU+/Lq116k5QDSGbA3Rn
X+QPzVa28Hc68DxSc7gG/v35y1KdbKa6bCZ4k5efr0GRCd8wClx7JZ6uinR8skJl2iHa+XPq2zeB
OX6gcX1jgGsXBdAnWwNuZmniRXshPj9tJ/rbvSDRn0T/tmy/5Ur3EZZ3SAkWCVCDHvBWuzK0+Hoh
xk3oSX/1HJ/+Arn7cISBGBkNfkFjmW/Vwv/QR+7rIzmgcNSX2CP0Zst4uMAyq2Go9cBTXdiK32S1
N7kbZ2rFfWKCZiF6VJCX1CTfFjpWZaeGFXiwVzXZ3WzcKf7V5YlaXyudFwppANW25L4BKxJJR69H
4CmZm3+BA7s6jJPW3ygOShGW6QZHU5AjKmxfgZeFtFRYmRDrTIFymxiQjVz+OasjJqik+ru8AOSH
5lAWeo3AT+i1SOBkn0X1Myg2HptyG8PiQOjHIMXt8polLpaOR5GpPZFxHnn42x8ULb/DiA/5+s+2
6q41K7vv8vqDkcBTFC5kNpfHt+JZSA4TszgugyOyOD+arQNdjJE4oef00X78NEfhxnW4OoEnBpaY
5uTsK/U0w59vhx682FryEJWUJTcw+atjoHEcaAaouhfhcqcOsEo1JYHmDNlii3JS9f4PZsmhekIP
JjUCOcHmJF3eNkofeUGM5EViIKNTpNkWKmd9HP9aWf5+MlUtfEt5OWAlhlzGBMPSVVttGCsR5EKr
YAH4NyiZy+9Zt3QK166ziCR3BT9khKD3czz39f08h8nNVGrTk6sG+gFWvK3M4UqUxyVPsyRPP/IC
cnGqMufYHUyCdaWCNWds79D0e68P/YdgemWTxn8O1Ikpac/5I3jXvMEUIDp/13dh+agjrYJwCLyc
f7AzqOcJk7v5JQh5FoWhIIZNQNkd8+ek3QjD1iaNzqaFBIMQBljq+ZbwoyQooWWKvMk4psX46BgP
GmrnEL1dXx7HliH93JChzia8sRiq0w/ort0rDbqLIz0bW3CNtU2OhLZOstpemsMkcKU/xi2Uxkro
+emx1m+2GD1WP0/yhByDS9AhP1mmIE3gr+Pzjfs4fIBK4vI0rXkziqtgOEh9UzGQdhZlo1KLpzL0
4MoOkPQI0M0JxPAAFeUWXH/1IkRK2zVIRQPRknMZJcRJdDbqoTc1SrunT4vemSRBx9iHLAFFB+QS
ovA4WtGBFFV/EHGJyhA0Xz+NoXM3UgVLLC5FcLoAkrQULUlQGdK4x9Aq4afKQCimQBMpc7Rwbs7l
NTR7sAzZfbbPA1hbuxzxLFjLNi6p1VlfYl8LrMECnznfnPRDwefuO4Fnjc69Bl942iNsmB4vr+3q
EbBZ0+UeJAEnvUdQfshDmABDTy3a706MUMrs/kwqCm5tszGdqwOiEROwFz1xdMacD6jgRhYDIrKe
lriImFdT+dSJKr8bqqHbmLtlZeSVW/LYRBe4fRbv3BRUq301Reyi0OrGpyYFpCOqt6KxJgSbNP1N
HVTmwairaePJsrp9dbqwllDRXWpT54ZdJbIqNR5DYFn52zJ0DykdQC3CS+jPHFrKkKkNnamNmMLe
19vDQPUD+rvXA4WhnoMCaekRARkho2HisHDKuUwzHvyokhkQh32ptl78axvnxIbchYSYnw3PKzbG
7lgMMHhasCxPt8YQ/8FlA0BFXQCCDhyp0g7VaT/SEtRDPTW5sc29nT2//gTorgugBkYAmhQk30yK
eaonK87gFe+PTfWZsiiU6B/1diNgW9v+S0ubTQ0KDyckbxLoiTL1/pR5Bm3tUNPuAW8roIdePxoe
KXhQjYe5Jud6BPprgZv0mVdP1xAFR84tot6w1/2dFSloi8eizg363L0BNuMaAep0/CcOIblXfvyB
IXIlgIItZk5+e/WqmcOQq6ZebBxs2BVdhJj/mdo/8bVkTJZ3JBmyF2kTHwREbcEk5XVa1+3cOnss
jPZrJ5KNV8/aHsCGzYWiE4jK+J44Gg13tDsQHTPyFIURVDsD0a85az5cnrdVR3RqSdptwCX62oVe
24PC+TqH2TJWkVVS4N1OxW0UWXATqNfz7DzPFjzYafTBLLSNg7UWlSzpTY4WJVFHrvEFTdxoSjqn
nu20X1VhvS2Q8d0YprHi6Cl46L8ReeDypEtSg8EbVY8889xKvDer+ZDM0WGoGF4Co5lD01RqNqhL
oVMLDAiBrbusiG/HRj9c/iGrC8vbgrIvLQovcy3xrGfwJ2deAbnIoVGqw4xc+aEBbPwHhghFfgP3
iJAkb5VkSRR1Hd5qGJP4PWIJwTXtoEGGbrDzSma13y8K6oAgKtUlNJBv0WSug9ZqmVytObqPbbpR
ylzdHyefl7Zo5tu+6EZukB7ZmiFwdt2ny3O13PJyFEApnkS+Sj2e831+GddxBzeuHmReUM4/7BKO
8L2S5XfGLK6Gpr26bGx1Bzg0tJDXgCxFRk9oLmxemgvU0XaeaGxBLe8ptcXG6mvrVhZGFmREGZh0
GbZuYeMNm9xrTD2D6nZ+Ej58PFF8vcg3mFFyVe6mHVToJiJgELkWofaEdD1yH2G/cS+vzS5lNHj9
yC7SNSbNbub76PFodOw7tOu7k/alKtBgQyKsvBor+1cXohH0+immIANfGmhSAEWLMzhJFcTq0Cc+
xQxvUh4WUJEbfTb1fy7bWAtrFvF1YI9Qk7zIFZTwvrc9oqae4UAQcqWF17p7NPrby1bWlnHJyMIF
Svacq+B8JHbgKmFamZlHAfFYtdlxULVHpNo2vNJaGCxIcZEeWgJSWz83E/kaobbrZl6mfXGhjfeD
n2rT70L7c4dEdadNG9tz7USf2pMWyETePNQdB4cBZav4petb9/SagSWjDu0JuiaALM4HVPScv0ok
yz19GwX3W+RTq58HI2ITPrPD5MdQliFDYplOQtw87Cyl3pXVvHFqNkzIKXFy7TNMHSB887DNbqex
Sh/1ELnAy/trNbtKtERrHQUAnJH0AOqGdqrVGpiIiDL7C5KIEfoASrYXZj/coC+THCGI1W6rNvWB
+URQPHdTuoVXWtvlpM0p3ZJKxldJPyLoqy5trZ5oR5lh2s4/J/N4k6fjxmDXppSISodhhTNF3uB8
U9hzGGlztnTA+f4eRus9NL2Xp3PLwvL3E8czBU0O+TkWiD8R+0B7+E++D+cFqXDwNqr0fdj5ndAu
lNSbnTfpoRs3Xh7LpSDfgxS0lz5lavRC9tRIMPRxUxLd9uYDato7NOX2KM3suBugfHVhyhbaxojW
3OipScnBBYTaUYHoNf0F2c4pxn1W3+pU8Ywt5pvfCINLg5M22Wy2wPmyludhZN/kdXKTmxbE4/E1
YiN3A0ws8PgHdw4cBq7Sfspz64B44vvOjzee/qt7BAw1gSxXInfz+R6xA7tHEozQ3hybD2463IFE
v3n9NqGVgvIQgR//SCZEpVhFmQETpfUrfO/4mX/vIAj08bKVtUsDJoAlbKJnnw6k84H0BZiZyZkT
b7TGQxh8MGOyr28K8dCKfmdvkdAuX5OXj4CJbJC+0JjJ71Uov4NmzEDNGUjE78revclS9zZM0jcB
PPdu2m89kNfqsqQT/rUoHTZXaaifx6DbkLR70yNyvc/V+m5CXmw3Zt39WAXXSo+CRo0ElWOjkoDe
3uHyFK/tldOfIIVOejbNczRnkHggl2kcwmzjmbn+fSLRhU5avOCRFj16dK5WcY8F7/T0+wz59+UB
rHl2+lT+a0AKLESbtEiisWpRBp+zgOq4U9PvhrnF6iC5EVLaAMLIaYNQByP64kJGdM7u4qqHBGF+
mJyPSYsySI8+V3B1eTzSLvxthyzhf5JACwj6fM9HYT2LicqrV8ZP6HeZZXCAhXDfRV+qcmsDSt74
hS3p2VOPvhGpKu3U0/glD365BpIVKEBrSFCm2Zumude2SoVrs0j0RyGX/guyXNKONzvkHKpozD3N
RA/+qi0eyTgiOH55DiW/sYyLYAPYGzEtV418kjutrCcR0YdpGneCsxRdNZ8n9ybVb6rhx2VTstN/
YUsaUdDyrF9kTLwCfqI0o2g4eyYP/dj+OVeIFigoL6L3Ofxw3ecxQXGw2RisdML+8wPoBQOnCBKb
YtX5hgl8AB1dkUGbcmejrZJvePqVFTPVk89L+9E1yqY2Jnra1PKBNik1PirBXWltYJGkU/xiENJO
pCgANG3ASpXdBeFhNm8783XPqcUERAtsPlIzBk3r0ns1HVGaQ8Q7976lxdc+QEuKjGdw2NgOi7s5
uUT+Y4XWa8DdVFpfgKJjNAnNxuBIJf/Yu5/o+kT2Wye9g9OvU+7M7hG58dD9eNnoisugLf6/NuVE
DBLnRtbnUDDYQXc1OZ+S0r0KkDtLi2ff3ciUrCzUmS0pyxX7rj4bIe7Jodw0JDbCPdVemz7/wYgW
bhaehHQfygnqfLZhRhMcKt392GQH1PuU3t13Ag31+dtlU79JKl+sGKcH7i8DtyvnBps4twd1aQxH
/sW+T73k2ri2fon2kO7fV+Z7YfhXffcB3DfpPaSE0cQ0r6L0yS3eoHwR+YhxPaXTUzzeVtH15Z/2
4mRDovcbq00nhFj+e36yx7RqFSV09XdQEX+u9Q9Gbv36OwuS82r/a4H229x9+5dfX/bSyVulr6lw
hDG/v9ZaRDgPCti8y7/fkk+bNEPL308s1BC3IJmLBRvRzGIXUJkU98nWmV61snRxLtAQ2AAl59Rr
FcI/TWq8Qx7M2WUiv9F9ujZ64ybvhu+K7l6j/eXpY/pVQ/F2FNUzNG9vgzg9Wg7qVDSbou/rv7Kp
ja1h0U+8JKC46GCUkBxzUvgjwM4yfO7cT5b1IX5d4Pbi89KgzTlpkwE50+faurKy662y6Mu9zWQu
1xV1KMIqGddVJVGJQr1AgHC+6cZjPG7sjPXv01JIZYNKl/x0iHI0z3xF898hBZnvLOe1l67NI58y
EBcKzwVUM843np5XWmmrjf2ubt7U90W44WXXfr2pAc2FCwFibfmZTCc0XG7T6L/rgrvpuh5fv7Zk
KPB5VPTNl4hZrSxEGStp8Gzx9NY5OK8++DDpLUE5uUt4yeT+WiM0mzFVeKBFdIwHxftK2WgzWZuf
EwOmVHoYO0ub8tpBTB2JtOCYFxtpihe3HMtLBmQpoFDse1FuGAPe1UZbBM9uByfvbkLqTvzBBiW7
Yanc2xpztQzxxHWVakm/WYkefBP8cN/odE+91jVCj0sBkUZR5G5opDz/vlDaVpmQfH3GA03BdUJ5
b75x9ddv1DMr0jnQlKlua8OInqP8qp2Qf9sYxcpCn31fugLRrkmLpuf7bX3bRrcoF16epa3vS6vA
Lye0jczoefpoh9dOdbz8+Zc3x3JduA597bzyKR2fL0IkHL+dRyN9LvKDbu3Se15YSrS/bORF+McW
JVuxlAhI4GPo3EhT1Sn0ORhRu3bnI/GZP0TKfY0Aw1Y33sqx4EQsKCDwHC+BnlnUlbYdd81z5jzy
TkTG23Q3clcvnqSk6k5NSDd6VYQxN3HVPCdWEVyPOWK1TjBVb9BEU9+6SffcNCJ6b5l9glRihubi
5blcM8/7gFYCHS6aF4XiFuW7GoRHjVhsYO/ruS72lhKIx1K326e4FN1RnWlHdmNV3DZE3Ru4pJXt
CAPdv+al0eehOqumotXP19X4OVE2ouplt51FuswtPa4mz2+XJLicnRbVKCa9NernUftYz89Vu5+0
btf0t67TXSnB7eWpXNss1EAWnDrtoS8oI5yQkq3eO/VzlwY7HR3hSvw0yi34x8rmRwiEQhwZQkio
5M2ftnnhOIWon/36we+jw5j9hCh453ZXyCZeHtDa4tDfD2yMo+a+ANCijF0tHWb18xCW72oruBuE
sXGvrc3ZQktCUASfrib3sNV5NM5OXNfPhRv073w31N8mWqtAUqSoG1fc2mYAU89wKMvQqindDwHy
nmpsFO1zb4Dht43Piq/fDFaD4moWgA3TnkY/37jzfmNk5B2IwhT94v9xiJKrAhHUtaaC0QwtbHQl
resQ6dr016yH1wH2+67/NMTd22G+jnq6vsvoJnPN66q1311ey7WJPvkhcu2rrQaYWWZ+SBt1O6v3
JtSViurTZSNrzuTUiDTFVVc2SRnX7XPXHmbl/0i7siW3cWT7RYzgDvKVFCXV4nJVsWS3/YIYt23u
+wby6+9B9b1jCuIVQtUTPREzUdFMJZCZyPXk52y+twg2OxtouQrT+L6T6feWgCJohr6hhwzzmJzp
lUuRZJmV1TOYUrEVvu0xNUglT42MgmCfSElHzSzKPmwbrE1dLCvzGJWomVgw5JEH3HY0yAMVEQD1
YsEQ7QbqZFpzF3bKM1a1V7x3THt2m2+aUR5NeuyS2tPQs/SBy1pR5fqyOjxKuqIs56ULc1Zi3+9d
aX6h070KLIgJq2OH3Guwtfw6STH//w+nmPn4p7EXxUmBJmC6XYxl9WGZdztVuyumbzF9rumhiYIi
vhsT5qXKr66S8bp5jSu6/O8rXqNknrU6SkA3Nj9jn+9XWspSy5sKhpV6KN5g0gEjD+ck4qrvJqWm
XWggfrE/FfGh1/eS4+PHc2FN+OHxDQpoNhePzykVYNQMUOJixK5d10/dF7t71odH9Kz4Wve7Ij+0
6LMynjCAUNy8jRFiih4rFDYA6HhZyowKxV0aA7owA6Zo8PtGIpBbl7T+vqBrTjpPSWTi+4bhY7W6
KUMJ3noA1t/nL+tKCLAEPcszLYV1ArxyQFOsiW9MdAE2ROv9gvEN1Pkch8qC9bPXL07GmaBqZjw1
ae6As2pZYERGr6gkvgc/G1EycDGIe5AVR4OaIH3a7ECdixqSYR9d+4vTwcV5SbSft/JBMDmLri4+
b44wTuAjBSaaMadmF2p7xRh3uS4rzl0qESfgAo/in0daMOgLicyINSMIMKz5Puhq68Hvvc7EJg0e
pQCMBu6aiB5mTjnL0PbRhVN5aLIg1w+TbE/Q5W2ADQQpcDoRV19022N7Ax1NBSQq7KHqd2qE1zDI
MonvdClV51QEfSl0ZrSDqbRhYf6VGp/dIrh+UJevOb7vcvD4f05KuIyBGXCfawsPRPMXqnTwXg5M
rzyWPxbdcW6eHE3mLm1dDffMMK+Fw7sAIUY5BPuVdKcL56neKcaeADG8k/XOSYiIPefaaDBMB5Mu
jOvPi3Vwx12nvV4/uUtLg3CRpyuR0gJOvZiLo2naYBE39D1BHr8PrNZHURtwZ1O8S2TAzdvs/KEl
6KTKnBgtCQU8lP5AgI5m7lNnd52dy5DjnB3BuKBLny024MTCcu79tAdAHUEhydI9HT05bSsLSTe8
hDN6tpjsSkY9WnQcXxy9UljLRLlX68jrtF3vHAkkUckfGnbPNIlCbant6trENtKUNgBiZHAnDWBU
ZZ91gAe7h162mldGRT9/hkZraBdigQq8PZZ+i9LHuH3FW3T9ziRiYQuuQt3ryQDQXJyhcu+6O8Px
HRl80Jb9WR8X//vqPWV2YznNDLFwzL0+AQpdwoLs+5zF1ffbgfUL7RqwwL4y6quqpAS7+X3eeID5
FuQGxOuuKhOoNxM0Z0KnYVw9Ld3P63ewSQBzOkiEoTChigULJY0NdWoMZI/Sr/E+rb984PMGLCUe
TIDGidmNlqnpAMiPLjQZgO59XWLENn/96vP876vjN1H2dBaGz6u6EiATORT7679/UxHe4c7QOQiH
VogWE6ob86jRNiRpdV8uX1rknpBtCIZW5ptvGjCeoXeRAODIMuesDI7aKC2anUJtSgPVjjDkXuVe
q7PC64cS0aOsW2wjpOMJQ7AFbC1gn4vRQNanSHfbZhuOGPmYzclPAdwfoZuZ3Gfk01TgREcFHV3H
DxwpGkCQe+WhyHvpd3VnZEhoNFBk86as9VCux1D3U1l8c27E8EIcB6cApUEkYTlSmSjZ0ZQmM3rG
kLTMEOmbNEgy/S5jMhz8LRHUgerGE8mojIs1MwXYh0pJjD60CZawWMt0yJNFBpSxJRxrIoI9rk1l
7JXc7MMGScFB38925nXNN8A/1q1//Xoue2f4ua0YEqxySxo6tCkBrfI5pm9Tl3tWsp/V0lPUUCWP
SP/0+P851ugsdJcUkgdu+zwBFYRKFYp5ol+ij6itjqhNh5Ya+0s3fDLp+O06i1sksBuL974BjhHF
/HNVM7pKy4yuGEKk9bxnasXe9e9vGY319/nfVxIeTwk1OxPfJ0bs5/biKc0TGYLSOFyns/V+ohcN
QQIcYEBVCDeVN8QZ9KIaQgyTHZcUS7KACZoP0wdsoIEBY+AFIY2FAO6cHXXuHCtVSrBj60D427uz
r+tehxzddXY2PFLYIdRl0FWKARYx8TJOzIiiWGVhZda+3U/Bot1NzR1JnvR218h80g0hAGIr4kMk
qjFzIAItKSmb0rro59COfvZ+W/7nOjMbMgA8B6wxwsgXwtGLhy+159GKCYPh3o3Tfinu+uUAc3qd
ynva7TymRs2TLy7iQB8YoxMMQ6EOJFfGBWeGaQQjOqU125XWK+YHTPKEhZJWFfvougN6L/GrudoB
wtU3o53dPdl8wFlWgd/k2gSAKnAuYYDFEnBlqpXd9MkcDsWhWoJsQovFffr9OtObN7ciIspjZo7a
pKYzDFThnarlA8E3sPP+MCGcaTIi7WJF5Rym3d0E9IDCM26cqudv0xkJQXMxhIBmaaMAC+nfbuo7
j4rlJ+gn/ncHxQ9yZYdSpsxLY+M24u7IkK/tXq5/X3bbgh01MdCGAcAcBzXcx9WOjp8W99Elwb+j
wn/Figt7zgySJtkcJtYDYLF8ayy8wr03ZbWXbbGCtsJlwJCS+CpUOoav1biaw87ZacTXb28c43f+
5/sCH+hp0BJnglhpy54ZxzSXhAobr8HZ97kPsTonmjsFmg7aOYyWgGr7ZvRq2ZqTTRIYzcAgK68G
iPstDCcq8nigLLRnz6iDKfFsGSza5i2sSAin1BgtK7oimsOifbInf2ler0uT7PvCKcWtkVnAoGRo
IvHJuIPeXf/+1hG9L19Crym2DIid4ipDrXDs9SW07NdU/XuuRy9NJf0dG94gphxh9/FqAbNRBJGY
Zww1s6RWQzS1eooeRthWnWIpH7lPRra/zs/WeVm4arRs8XKxmM7XujouqqlXEZY8dKrid6NsKHAr
DkGASND2hCLk5cxqqy6sihCjhJEJeBFoeZlpqmf1hp+S5DNJl4Oidz/4uM6SyhrqtnwO8IURAo4u
cjGk2ltWHzXobgjdjndpO+m9Ht3n5t6lgX7juPS70cfiDniGGCDh8wrnClokE1C/lEgPB1PdDehV
bGUr87hyiN7AmoKgPN3Sj7QmoDBNu+gp3bPf0Y0rsv+XCQNoN5A8wIcIL9c0l9j+UZlaqBY7Qv0y
O6aRJEDcEjkHASlKcChSISQ+PydCqckWK17CSlc87P32eiJR0k0KkGW05QBo42LvupIqdYyldUvY
Ownw41Lv53Wl2TICqD5ZSBzADQIX5xzMWm70pgrf0urTQCs+0VQBpPgHjmlNhDO5svcY3kW6oq/n
cKEexabqGxevvd/0+vvCNQCUZkkbF0wY0aFXfWbtrh/SlrCuvy8Iaz7r1EpLvFcuwiOtZp6lv/RW
EdSGxFxu3TZKBMjVI6jA9KTgLxo6pc0EhPcwS5cg1Tto9u2sIDmHvkHsXEL7tJhJgY/FyGRME9JQ
2V6r1E9GP3k5swK0pkjC463wHBM6AMXHHA26XkTtwAIbI7eMZgoZ7cqd6jLNq6rJ9MzSUYNSLxLf
GPXOJ0rb7xuzdl+GjjVvul0qR4By6f48qky2w2vjKs9+k3CVs6WiFwbtG/DIE78vfo7Ka6M/Oaok
ptp6Kc7oCI93wpSiUbV2Co2i9Fj2oqYnQLR6rH5uHCy4B8zhycTg+nU5FaFSuCIA+QddD+gH5Rti
BUWwNORe2ywaw8wwPQLIJr31FiyMboKaHUiUe8Dw89XyzVyeW0M2Sbfx1usoA6KiBIgj/AjBlCiY
FHUVhwyh5v6Hw3Oj6650ANr9QC1J//HmJfKBcKwNADy5mE3oMPWNaYdyDBf9d+50Hu+JqWfipfXN
/XRA6gZUN3pI8Vgh5D83XGneLQCKG8ZwavdY9RQvwfUL27C+aLDF88T3bVymRYjRKJgoZlM4tIMP
l/mwaK3fGrJy9hYZLMBEqID5dbS/CGKhGnNRNWbDwqTYFcmxM1+1G6HG3yVvTULQq7ZNMkwPgQQD
vrHqK9o9kWUQZFwIKmWk+tyxBSQMZT8nDxiE02QivGF/kQaBVeQJX2yPEe475ttoXVAJzUOq7pwb
d6D/c0h/Pv9uNFbvYKyTslYNfH764phPfXZ7WLX+9e+FwNXnTbsvGIUNxVsepMpDSfxykrzkW5q3
OqB3A7QioVbRiIFP3EH0pe29pfKAMVXKBmYktyCq97L0pdvFLQsHspvSFEbr13W1kxHgf19xkWhx
NxKuDyb7rvzIy98f+DxvmkfKDv094u+P+9p0ugparWBif8AoJ/1AugRl8D8UBAZ0s4nUrgSFpPb1
OyMLPsIAjzMAdcGTjufnU8y6WS5xN4X10vhqUviyWtXWU4FO2P8jQAQ9a5x8dEyK19EhT3nuM3S/
YDXzTmFe5Ugawt9PW4g0OFIdsnzvcDtiTrhi6eIuQA8P8zbUrCAa74z05NaHUX/siRH0+iFKGsxI
BxOGb1Py5fpRbkRt3AGC8QXqFIB4BE7ryCirVk+aUAdyogtM4InDv8JMAmKuBljKIru7jaNFRhMW
zEHfD/Y+CFYSS6F7/MGtQ63A/i16NONPSsu8tom9zJYNSvNfL5ztGTHO/UqRGsegUWE4dYg1zl5V
3o/DXuleovxnFp9IZng2MyTx0NZ5rtkTzjOHizPECa1DWuZ/dT0MUKzv+26+B3K81wCJXl+m8PoV
blgL5I94Nz92lSCQFJzypHMbl6laHWJ34fyzknx9w6KefV3QNWNU9HIg+Pr4OWdfZnKnZQe3PF1n
YasH5IyK4Jt1k1uarQEq83ycsGXJTL52UbIb3N8teqhd11PYgXb3HdC+rlOWHZ5gqayWOYXNQLjG
LDtSfR94Us8Y407DSgKVrmuKBcN0IZoO+sKLZJUe/u+LEu5gLgZNgPCcAFZy/n0aF2OPqnoVWs63
pHnUnfs2+3H7EWEKEJ4zgEGxHkboz8n7kSRGnNdh/qgsO+tGTCHudJjrzwviq5IUQ0pzUYdYgzqO
f42DrAixdcV4I1Amh8OEmUMu4asrGCYsNVAUowqBA+52z7SVYcBumTQH04ZwbpAEQWx8TqCcO+yg
RygTJlX1gG1++z7tvMyqvahzAr2W7SXb0kjea4C9RyYaNkQLitx02WOZFpoNnFelon5RAchIDYkk
ttiQLAutgCbqYYgsLkaF8kSpo7ormzD5DTCB7m+Mdl2Xqw1TialvPAQ2dv/oF2vvkWFblH7JmzBP
s8xrFfO+mrIgHYb95Gq7tu4xgHUzmAQ6NNY0BXXPOL4/dYombIpfVFEAuvOB1OQZBUEhC43QUp/A
VQ24FqfYZ45sZnBD3M4oCPJcTE4FpBbwkLUdILr3w+ip7QEDA8T+ev2GtkQA2VU+EYTnGkA+54Ld
OQphE42a0GKh039qqDdYh+skthIRAJ75Lw0R3IEpYzOlJh7MtgN+buxbyil3AQxrP5v0czE+p82z
pcte6Q2TAAhuRM0AvneQ/BEYU6vRzhaiwy9wdgB1NPrdda4k3xebTpNeh0Fr8f3c+WQau479uv79
DROw/v2uYHHiMWk1OzLrMO55gUp3dln2iMP6d1SEpz+Kx2qKEgNUCr+L74BzSYETb0uSJbKzEp7+
TFeafHDAyzj2fzVG9Ujr9HidERkJ/vfVC4DqbfPPcdVx0KE83PvXvy+7DkHnsWe4MysDB7V0qBsF
SnMfKd4i00YZF4LeU0p7tVFBhUSHIvd12VZA2fe53Vmd0lANulpG3BVC6IkJQ+wDZHjJvlw/q03r
9Uf1xA0HbVcv9liAi6zxR/VRxxC9uk/T51TW0iMCuHLH4kxJBCWv0E9iGAWU0EV1KInSw7Tkuedg
A65uJGaQObQOlkw/UDW7c5TB093ua56ox0apHqcx0v0xJt+uM39dUNAlen7EaaUBJ6PEEVdFEJc+
cP+zbxh/vE5kK8u6YhwbAM6pLE2RqHkGjaKDpu3g/OQeraNhl3XJ5MV1vnjwx14zXHaQxEvrOYnD
vMG1sAQbs8gSA78tVSh7moB9x2yEIFVabLvN1CDeo+0+q/aKrL96K34Gt38ICDGeW9faAh++DlOj
fSXALUtMBTC9xGuwaMzU06NiuvuRAaEQXOrAxUYO89A26sv1U9++2j8/Q5C2Rc0WVJPxjlXDIxlj
r6gNDx3NCKCJ5H63Nei/lMR++TI2JttqQWkxvyzxQ6U+l/Gxih6kE1qbz/+fkxUDS5fQdhhGnOyo
74CvgFXZUIrrp7b9/K9oCG8M4FGnkpaI0JtqRgvEya6emuIpUT+Z9WOrHqboxxzPwXWiMr6E5yDS
nb5Gggevvwus8qfCQXD+oafzzx0JLwLpG1tvOQnF0AKtHV4sO7qbq27fTmR/nZv/R93/0OKSubLb
SzSjVaKx8EzHT73+szBPhHyZaOupWK/g1n+P+smdv+fWAVAyElGUCL0tKDfpojEfDUhIpx26fq+6
p5IG2SDhcPO+LPRLogkZWTmxSUPJjXop+wX3RTof26uGwd9dP0OunEIUjSr8HwoCHw619LSI8FRY
7Z07HM3Kt+q3TNk3cRBpD3MnqTxu2sQVOcFkGdgXMNhkwhsI8MvaQ9btOjuy7wu2qM6x1SmxcWBN
dvjayyy65LDEfACaLzJ11nBYsbZDUqt9TqJfNPFI9Rj5H+n0WN+MIbxlOUlGLCsBK5YeYxYt8mKJ
3ZYIlyEYoAYbuDt7mKGp+X6I0Cr9mckgyCXXIfYwZPnI4nTAgVVY4fE6pjKo7m0WTL57kqPhi41F
tV6kbHbx3hvtkY6jNziHaJH1Fm0z8YcI//vKylisco285z5ue5zT58n6iI9u/fm+YDFHreiGssL3
Z2tvJXfFB4Y0IUh/vi9YyQ7ThnijcUha95Ip9yT+pkcHUiwS1ZPdhWBJiItagZPxY4qCFEs/schd
1hm8+f5bBIYQTUPorRUklqKOBggQpOwdFijT76w8WCnmgcj3Cm77dUOyad9XpITYbERlNpksJACi
9DibX/vxrwHD+h2RhIDbh/aHI0G2SqLFEyng0XTRX3blK/ZDlkneENmhCeKlD2WalTbc0Kl/bJwA
rf2eGd/TzvHtG5eY/hN3rA5NkLS5KQG59Z41cb0cCyMLXwrrtHkvWLKI/V74z8VATjHVCkN4AwPf
ZLvIeHTKT1XzyR4kGCpbOo+BBwtFBfT6XAzkMFJU9ZAyGN84AIidKrv3Te9vTUAQZeIubp5SPIRD
+5gVP4bqkJPBS8bXnrxY3d9Y4LWrRglTW2e3pinIdGMaOkucsQ5ta1+WHs32OsF+6K/XNWdL3tZU
BJFGlSfOtAGc6crXZj6kBXq694m2W2QoETJ2BMEuejttu7xD1O7SsOin+6Zp97kWm15WzhKvlvsl
opu0ZkqQbEIGq6h6MGUB0T7zaXa/sEBnu0l9dvTT9QOU8cUPePXeaAxg5csIvjR9NydoYD4u7FPG
PpDkXnMkeGLloHbGnEPCMZpF6p0xI4kqCXG2GQFIMx/avtwTrjUqczMHL8Jg249WXb9qznRI4FkC
W+oD3WOWicGf/6Ul5h2rgWLnHveW2rvoqKKjGVtibm8BPCMhOGQKMGT0YkAKwykOWv/kmB/wA9Ys
CCZhiJJ8mVOeIgHIj9r8p2sjyYVsW7U/hyQYgIX1bEhjUCChsXjat+tyK/u6oPgDuqTQ+QB/sqgO
dheUH3mS1+cj6PtQRFlkR1yc1CNWjNvZc1v/SGJJVwL/yqWm/zkjQdOt2B5S3VbrMKqei+yLmrwq
Y/DvDkpQ8GQmBC2rUD027yPDl1XFN9N/64MSVBsL0bPRpbjmIct2TZrsouxLjBbHsn5QimeTFXu0
HWPtwA+T3Y/6p9j9ZRj7wpKFyDJ5EGKxqgP8BYmgkgM6KnqsEGvD6+d43b6gKezcUEZ1PRgRD2B0
7YWZx6TYs/izln65TuU6G+hXP6dC4Z4tVQEqBiI942jMEhdQ9n1B7TU7mfK2RoykNxiMuMtlnZKb
Am2gsxh9jMTB+pfz349JJdvJ6xZhXjGi2dXwHNb+oLUucZg32ViREdioEk2fbQOvVtc+t8lXCnT+
D9zDioBgvJJZTxsggMCPrfFW9b/s6q9/R4BzuHp3F6ef+pGBg4LttAWo7hLruymugD7D4kyUrlWx
6XrUUjRDAfAF/T9+2nq5fdCUIJ8kUb2MCv/7igtdcZDr7vhDiLEEpgWT9a2Cy58TWSVRRkiwYu5Y
JmNMcVxRxLwuejPLtxGonfP05QPXAvfBxJoO/CPO2M5Tn5ElhdlfFPQRm5BftE9dJ7GpIv8lgWaJ
8zOrMjVP6AKbr7pI7XgL/drKkvWb6rEiIWhhQUYK5EVoufU3dsD0v64zIPu6oHyUKA5jM0L8PnpF
q1wmMbSyzwuq1yqt2eglrkAhh9IARrrk/DdFaXU4gubR3tDbhEBmS/vg7KtvL4asMiS7Yf73lVZE
9Vg0Ni9LW7k/p0+o5lay12j7kIC4iaYedPeJyUF17tFCZIEJVKazyc+kBYNNHqAAWBqHtnTY8nMe
GjigRZ41yBMVqYdVK549PST20xRrey3B1qtk3GnVK+l/LNZ9Rh9rzPWl7iN6HyW3JfsdwrtuTH2T
d2ON30Gf535vYwOLTCC2ztIBkChHwMeSafHNLVPal9Y4FWj00Y5uXu7M7td1jdliYk1B0JiKLgVz
h7EIF+N3VD2ZzZ0BcIobaThIugEEQ8cuQb74R1AbK6f6NM5ddcpqJTnGVWQ/INtD7urZdiVvi8Yv
/8xtfadluciLoXv3ohWSZYA4y6ulOhWd7qcphnqYD9yS3VAch+5xyA2vUjK/m2u/6rNXrLVI8vqo
JeWjmdUeJbrfJRm601XJEVwkA/CzbHgd6C4yOMCEcARtPiyzUo/NKeqIZ9h9oKRvFRp7tfRX70gi
2gsrItASrAi2eDkNKVhzcpyvsZt5WEnnx6nuJUsi4epCeARK/O8razKrdtY0qO2e7IgGc5x6ENVg
kg4NbR6egwlAxMPoQBRnHmDSC2uomuaUmj+VuvEL7XMSRd68KLuyku23uVA58IRxbIipjf8FkOxz
nhpC0wQ4RfUJ8NxfrD55GLNYIqQyEoLOAbLYNhUUf060r35kinMcKJXkaTZIAPQFq+vwX8zIvodG
q5sx57GxsH63PvWZ6tdfnfLGjfSAewGK94oAF8IVARQcdE1Jq/qkp9TLpntYjT2b3MCSvbmXxU2B
kuBfRSg6YHInw4Vg/64WA/m094A34uVtt1uqO6yR2Kd9vzPy+DC4qZe1t5bqAGriqFiFC1wT/CNO
WDVWRcYqnqqTsZR3MZgdVEnksyHfvOHdAXgg+keBjX1+lqSoNWtu4/rEGD2MKRa50mnxRmzG8YrO
ol7VyVajb4gHH3bHzlLM4qEjQzhTR3GiOKWgWCo6XugfTOZ9bxHA4gcDqLV8+Fic5yIjCjGpZVWn
of8+x00wujJEqg0rh1XZmKbHZBp6U8VD67OxrzDcXJ0shLvqi7fTki/Xn62LKicgqGBsgCWBRWuX
cGU51rdmrFKrU4LtdCZfUpv8XVrdQ4+lqtpk+5oTMNlaqG2u/tAUTEPGeiPH4BeeSobhT/O1V98S
rfQtdrjO2yYdjjwBicMiSIf/faW+xVgPQFYYINRofZrY0gZRita4qSajXwDM8vaHwsV0Le9Wxtwn
5lzOycXdkOdADsxOy9Sg3JIHEzqSGvVmgELcGHxO6CqwOFUUQs/JKENWKi51U77Lat5VsiHFLaFe
f164HD2KlwEg/empztvyc2uZ9T2xpem9y0f1vekaq2V4M/8FQlQ7F7qCbv/41E/xXonLABtQglaT
oaJeOkoYF7Uxh4sNzFgDI2poa7AKy39Yf8L81y41jnP2ncT3lvWguvsy/3Fd3C5PDsbAQrMth74A
LIVgbzq7GBY7ggc4z5E/oOf65g0hDlZFAeQfeREH3eTiEMRIqmGYsHoTfS7m3pq+VPljagJraPlO
plvTuwIpQXXYlNR9W5P6VNieW3iNbJ5j46w09CVitR56rgHdJbwGkZEDTw3dsKe0oJPnKHbudW0p
cUEu9R9SA0gVmGYHDoIIDwaxSude7YcTdueo9d5uMc/uOzL4uw1WMKbAvV5M9sKrESKkDq2FWjIt
8Qnr6/WnlpVFYDlJLclUX1IhSCWhmRvODgADxG44C0HY0tKGvkVtb+2wU6HtzN2t8ntOQjAsjhor
kwawnjcrfi1Y2B3/3ecFw0KVbG564Di+1e9Sm2c3zzghfsS4iMsruLxiLNhfs7SKkfWN80bHJpif
os4MbubgjICgFLYBZNI2ap23BSu7OwcrBG+t2QocCBakxb5LE9GG88aqboduHe9vt4CftNwMowtf
T+exBjbIaFj8LKTAkmxS57J2ilM5P8xlnHnGjHy3frvMnpMRBGpmUzUD76g46YcmZjssur5ZYtEl
h7EdJFgRcCJTcv4UGrOuLu3kZicM/3rOcVSnm590ToBnIqHhcPTEG7cozYxByU5W/hlDW6n2PRnC
60J1aaTwXgBSG8iVfEhDfM7LTquKzBkz3EWP8Ve/Mv0+Dmo3kxjDSwNyTkdQv1Sj+YxtNNmJWq5X
/ydJZYijMgLCZTgZ6epuBoGaIU5mpq8lt9ZkASVpIufBN1dhlbg44ZZFjTFroz29AUkMofLOWWRY
YhduCShYKp8V5w/GxRqiwnEr5uQTezOHXR/tIhJMrcQpvTimcxKi7iHSSks7BQkNhbnPrgx84EKc
hM8LOpf2lETOhM9T7X74TVNMAtT31c0zFJwKLCw8UWAcXyzWy62ssLHYgr0l94qKBbKYrr9RK0CA
h6GobMJSXUzlMXXpusRYxrf5ZbTvRnqi89dBtp7xchwXLwVMFOZK+cjnxXxUCfLUdiYdAAR4MSbr
oRgbHytrn5cBe8GBb6wodG/O5u8Ko1qqIntwL2u37/Qt5MuAO8Jxpc7tV9ksUeo0hQ60jtyrLW1n
GMd8nn2U8PzJvK/jT+P8mPQRNvMeKDA5WXK0+9dBZqcvZYYfA07bet+MIAYueRMjAExHPSRV5PeA
dO7ifEcwb1eyW30AzrCGgBN7w3HcYotog5kENW5mPbS+quNRtW7NYgif57q3CviWScMejBqfNyYW
oK0+7mWbALdFBvICdCgV6V4RI9pqlM5xGgscTAjwpsqrMMZNk8B0MZsQoFW4tvflRLxaOg9xaZtw
divKPNZZMUeXKTPyxdTDTr1vl09T9OAkL9e17tI2gQTiZLCnc+g+QR4xbNkMVazrYdJ5I/GzZXf9
+xuCpqtQabx2ACFEHHvOAkBLaFTDZUdRI+ibY/7QNdh8IHnoNs6JJ+6A1gzfBiOXAhMmVYw4MUoz
VNrpLlHGx8Rgn5pm2V/n5SJxwhH2MWftILbAbiTR7c/aWO01tTXRJPZtMO8s43ePcRjqfu70fd6g
IUmVDRJv3A56njTMKUNNMWUkMNb0S1m6pWGFVRL7rf7CGkk+deN6kMvSYQoQZ6KCIUjY0pKWNTS2
wy5+mcbFq763aOmsrbfrJ7fBB+wtRzo2gaKomQIflrEQUuWKFY7uXld8Q8KF7PMCF5nuNkja4vOd
+mIh+5ItktLDFgGsGEeBGmgiQGcVnti2cZNWpdQK7bbyfpJM1vuwIcA846diYzovpoj3nLl0bMsh
t8OMndqEAq9B27nkZl8KiwM0iDD2HmOiX1we4BYL6lQVs0MVnfRu5efRz5tvmcA7gECp2H0MrM5z
XZ/1MtHY1JDQ1PZDvDNlgMgbt4AcCE5fdflqALFeUurqZMRI5YUFZnFQVgzS4FYGgPSNWSEYERDB
bZwzYA9ukzMggIYG3XWl3+Q3P1Zn379wBCkeqhzphFDVHvpfeSWxT5fKjJ1ZaD7heox9soZw/qU7
daS3NRpOReI17vLksu6JjN+JbLHNpbieE+J/X71LZuvEI9DZaZhGQXWvsEC2rnaLEw7ujk3dunGJ
uMp0Eo9Rk6PpxC19Lf1mm6do9LROlTwclxKFVBRoIMQAuMUFZE+P4WktNevobTH9kj7EZnizQOH7
qLjp2MoCXEnhoPKa6U039NEbEoPZeExloGBbvx9eFZI4yINAsQWBdSYcUmUk0Zsyla9Wz+4zAEtK
/HIJDVFoS2DkRB0W2r3NmKed1L1LZHJ7SQGd6YjnHWJBq+EWn4uTW6SuUrqaE/Y79F73Mmnl1v+s
dI4swfrzXNhW0mroSRkjKeKEcxZMOvONQvWN4ak3iE8NzY9uD/dAD94IdqjD370A3+yjpG5GPXEB
uezs7d7dS+z4pfadf1/gx3aXvCtrCn4WrMvZ0eGTevt7d05CfK/nvDC0DCR0e6/0Xq3fXdcL/u+L
V8JhqTkQmWFfvKd0YV20kEwJ9YVh5QD8zuroRMeJPrk0utnDRZ5oRUvIgrAky1s2g5bTvSIr7Jay
boEN8UUHi44yPoJHlB0F54CSkbi1YtHQ+ZICnl+Nb8ZGhM/5Hq2hlXMD3lONTOw7IT0Nu/vKdIPF
mILr17GhIWcEOIcrDWnRVNG1tKOhlmaHaCD32BljFbtW39l6f6SGs79Ob0OCz+gJCm8rLM/tDAzl
lvozzoZjEhfHOc9/XSezdTEmeg40vpibACfpnK2BNWWbFGArzV+AvmFLUrebn8ceEsQ1kOQLgOi0
MBP0CtQUmxO+lRi+L28u++He0VwE5CUsK4VXJQjWlGhdYzslDdsRjVL7Rr/Zq8VGcSzaRB0DsDsX
qa/EHObB7lwrNNrdqPl5vrt+/lvXjEiJJ5yx4PsizzlW6DuIatsM86h8ysz8UTeGQ9S4kjaDrXtY
kxEVPG6raUB4CJydnfq3KhtK5FIi2Co0/P3hQkhyWgAZB8Kha4YlIBmbJPMXkvqRhYdKBiC4eV5A
DIC1clAgFYt9PdCi0ipNLcwkLj/UzP3UYTCoT9PD9WvZPC8beVW+aAJdGYJxH+t+IMC6tkNt7P2u
2k85+cjFu8hw8cIMbw87VzzgViQ14JUgWMuCpTwNsESDWWZENtlYERHYMNUiN6cRRIDHjNLMS5Hc
Wn/jof6KgBBV1mnpZFEEAsNcYJoi9T7gKJwRELw3taswvMGPCUhiO/cTcW+PZzj+GHCpeXUaWVvB
zqpVnpoxJUZoVMvdlCjBUksi7w2RPaMg3LRujgPlC5RCqnydu6DNj7eLEoyrASsFmD4NbUSCKFV5
rat9YocRZXcKlglUrPH0cX+zSmDbgokhCvQxAltHkCW9SzimN7XDOn40P2PX3O2fRwYUKx2AyIVq
g1B8K+yOslEv7XBKvzifFePrBz6PFkLkcXjzsPhOxJVWldMAOUK62PiezD+uf37DABINrZ0ubxdy
L3o8I8Mt8qVWlND+blujr+W2X1uzX7mysvrl0CyaxHQNzzWH4Ef/lnBOlUbyZbEGJVSTJVCnoCwf
1OYpYYdEy3xi7FQkxJ1K8nxsiPA7ajqS1C4WiBCB6KK3qtJkixtO0dfGtgKzro95dHMgiIYx+G7/
R0R4yiNDxeo1TqS0Plf7/yHtypbk1JXtFxHBPLwCNfXootvutl8I220DQgxihq+/S31unF0Iooja
xw/2Q4WVaErlsHIlvRkaC65gLBwQkZyTfXF+R02W4glsuy9Wil54bfWYxvKu7rJHELpuuMz8KgjP
IbAPgPIAYmOhTFu4KmlfpVPShs7LhHp5y/llmkFIT9o3omwB4lc2hh9nMCspBrJzYqpENpOmwuMC
w70bDxX8KKVCGVutHq4f7+U7AnZik5OAguESFWuCkgQpeFzp4di8xmbtBr281bNzbXxdQfdsIF+A
TBSjVoNkGFPRZc1rrn1kB6P8ffvn896jUO9o0w3W67mCbNEVZxhyu351hi927CnF/zi+oIDDciq0
qsb4ke1ZX29u/eqYFhQv1h3fD99JeD96ZxqmIXSir6N8qox9ffMTDs59LD3cfw5EFdfeyUIgmqyk
eu2OlpntnGqLcGm5uZ/mOax0XUFUVUzlS+oYItydsVcg7J14J4c3Rwzn4wu2bSNHZqgblIGyJ33M
3CRnGwKWlwwrD0IFhOsQ3VbF9JydKtFk5035Wjjlz6YdPafjtQL6j+undPmGQKFzBYUcL1IoIqo1
RhWBnHe0fq3776mueSMwwCEAAxnbSjgtd+Tz6TAtsMM5QIDx3y98Waeq4t4oG1zn7sAcl20xIm6N
L6iLpO6kRGswvhb5g+UmH9cXamt44UIMho1mjX3dvErIARs/0MXLvVkAAIs6vD0DofpFry6zr0sW
2nLzmoE4vDop6Ex/uwA83ijs+bwRYq6kyDs9mcaavpLsvdnlN/dlhQWC24ZULGoYeNve+f5Opj2a
WVmS19b2a3Rb2HgNVu7DbHhh/ZNIgvwCw/vU+MFOefv95tWZjS88nzSrtVDqMb4KIpifpR3vr4+/
9v2GA0PD5E2xEHyeL884Kuo0SSl5pfFOHw9KuBvUjfjjMloEzJoC7CNH18KPFF6E1snsaJIJAWTt
1U4Kr6liryHgObYtgIByt98qrF25E8CNAmYNLYWOMKJfrHcFrSY7Jq9yL7t5fKq61+uLthTggGwG
mWO4KkhOiqjRvg5RnSoZKHBNz6GrNzc7SfPhufgLlTQmKUGgB8NPZNgbw+gWSoNWLebG1m/NQrgZ
uPF1gcBC/srcgvhoPnR9kfjJnxt+81kIN2MCnyEcGQxP9dE19G/SbmzfgfW9WX0giooMO3wlWOPI
hc4XC9g/UFgkdHititK1aOJWG0/RyjLxHB9KOBERXOKMCooug606tK+mp7dnqt5s6fMONkiBorMt
PArR564ldJvvMrl/VZKHInO8OMpv32fuTACxIfOGiKJdjGxGNY61M74myV10iJ2bo4LcmfhneMGg
jMkQxVGH4VXzrc1ezd31Y7RUULDDQLCBGg001YNFPN/fqhyZZJiF/AryeumukJXMRajLBgqpqTZ5
PsW9RhIXPY/hUZoGlOGiq5BO4XdlTJtemXL6QpXj9amIN+JzdJh3aBCOqB2sm/lUTGXsJ1Ky6dXO
RvsZxPVloEi0PphMRhNnmobMuy5wOR1MxQbPCs+vA7YjrF1rWxPqNJI+iN8LexexDU94OZ/58MLb
EQM5T0iF4bURraSad1VHwfE+3kr+bM1CWLZUjislMiCm073Sdidn44Rtjc9/v1C3cDgip04wfu4g
DT7e13TDqxCPMCxLQHdx94BCRvWcmHVVQnjX3dB3gcJeFce3ZVzy8807fSlCjIREWiylFcKbgaK6
FfPiDStnZYl41wiU2zj8Goq1GMTRWpZqWRe08sHOH5ytlOva+MAxIGnBgQJAdc63oJUqpWiSuAsQ
4QRTHHFvXx4gND5r/DTcBkUwQVRQKdkamgQEvKgwQS1w9vv6+nMz7PKxwxYjrQNnHQ+/DgCWcEab
pKsTA/CJwChPUogqUDe0T3jrUun1uqCVlUIVIeehgzXL+xXNVwrAYIobHTZBYrph5CsbpsfW8Pz3
i7uQWja6qpUYvqdvUv9Dv5UU4XOdLj6fX5XL8ceky/se48vyd6UKSHB9dVY0EuANiMkiAs6rlwVr
WTKN2h7TvA1A3PKDlfXe6iVXaq09ehBs2B0rl3omSnj2Mi3TkEzI2iBhe6X7oHRXtNGGjK3pCMe2
MLrCNAdMR4n9kPgS3TnMlZKNyy3a55978s+iiboDXTqSCoXybTBUvZsUkgvWHncyao8kfxV2apKt
aa1dFhh6fKNQ1bCo7BvNEs0ao4oEZWSFPxR7QEPIuEz1U0zD8X4gbLyjSk+36BcWWGpMlNNlAJT3
H1Y4YTmlkgB/UVokqKpUf0ZXczPEa5JbIM7o0dfFcv72TdzuQ2qyhxJLH7u51Iy1O9hmv5eqFn30
QjLlaGRSZ/vKsKKNd2K53TizAD9bvOQRJSv898vL0WlJ0jCsi8OO9bBrukfTIH5VbHXpWW445CDq
i5IVrkVE96VqJttIa0ICs3kgQ3zKpdLvQZ2ZgIchC4D93TjGn3BEQTvCDpcRpIepC6y+YIc4lGWU
xFkasKZkBws1sGjy3ijmXZn32m5UwT3b2DrIGtnQHpmNMmOqKNEeDWS+AyMq/+nohFZbUik95ghF
uIQ6KdCnGftzXXusXOnZZ6rz9VdQ7hQylNoE9Rg/tXr+R0KjD7WzTtfFrOhY9I7CawTuLfR9swUx
hDSDM6rQfurZUnY399nCKbfQp4aX/gKU44gG85Q0hjlUahU0eyl8dcrg9q9H5ScwUqiHWCadY1XJ
mF6zKqCdZ1Df6L3bx0cmGJYSjAH4c4IKz/rOklmX1oGe3JNjm/2Lxb8cXlDbIamNQqsx/Gi8Gtkb
24h1rOwtZ5Hh+Q4AMBaVnmOWSE0iyXVQab5NdpG1EX7dGF9MPrFaypM4xPh96uuh22/YSSs34PLz
LeGi5k1SFj0oagK9rk+0RQ9Gp/HGyTpe3+OlolNgBcsW/GnE2s3PvN6FoiOsGptCNqogN45TYrhT
FSRG5Tnk13U5n9ErQfGgCMPUQWJiojJSzNPmWmiySGnyAF+jeXZja56Sm6nnFFTdx1LieCVopnYU
mus+dvLKN+nQQTeBi/cD6P3qxYqH71o4Zn+nMSHP6KHRvxYsTg5KF9nPjFjDviZ4KeVoyFR3qDRr
69Fa2RFkaXglP/ffkRmf66ReynQ5snMadG1/0tHf/MhoMvlVqL1fX6s1Qaj1RMYZwCFt8SjoWZFZ
TlLToC7z7gvqCOR7C+z250kpt+oiVrYfuw78JnglgEUV88+aPdAkK6U8SIdjm56i8qFLzmO54Z2u
XBUOJkEYkBd5oK3ofOWQpUDXzszKgzJ5UOx9ulWsvLZgl+MLmoShHaRpFxifsLPqPDLyZKcb13Fr
CoLBorF2QNUtRMjKYXw2K//6li/tMFTBwB0CRQRMMUOE3ThZq8aNqQ1Boruq/h0ZU1ndRfGv6eO6
nOU0eLWNzFvUahqPms53opmSzDJAVRMU5Jjs0mpDm6wMD6wY75kNcCiSU8JG1CpL7Fqvp2Bo/8bH
6tYqBfTa4CYLHlJgv3GWhHM0dEaXypHTBTV6Lmhv+c140P8IAD8RoK2IOy3sgQ40iaZB+6CvP1Tr
g978oALZj+giHF/YSgjVzVe/GifkG6URQaAo9NIDePQ3BCwvAgRwUx5ANOQqNOGU9lYaAdLKhsBI
DTeqAlt+CbNbS4exSDro8oBOAnQd76qAuqCoCyMWS4ygQV9P6L9mI8q71Elo6geSG4T9QM+CRNd8
laaWxqg3yszAeKjlb3ZJd6lT7Azl7fpVWEBW+DzgmOI2YMm4hSPICfWwiVliBVUcKL/BHC3p++pv
N36AfegYFRsexcrVgDRObYRIwRJL0OcxgrMjpLUxOFKDIv8X24LJIB+PBCEeWTGwMkWOXchD3gRU
Md1Hh93KGYzlwvjI5nBPhYOJ5svVoddJFcdNEwBL7ak7NGLaOLxcOcwtBJ4cxKGyVVTWA5U7FwBe
IytBOXQTmHEPtOZzkzzXxb39VfpWptPu+uav7MZMlnDG8kyKnTaELKlAkC7xJHYr9pQvF3gtAOtw
uKsrkrbpg6SbYz01gSE/tbV2tNPOHSwFxClbnYjW5oKgPJh5gMzmZZTCulU0gwtTIWL3szEPkXW4
fangHkFxOajdQgJgPnwER1yKSMojH25r7cz6ZjsdYKSL8YWtKJQYuLGQtEE+3UvEo9YGgm/tWMG8
RaUQPIFlwLQsNbS76tIuIPqfYvxexx9l9YvKP7Lhr6FsNTlakD3ybQeiH3gkGCRg/+Ea+sKeNjqp
n8C32AbO4Li5vpPJsT6P4K9s5DeTeg495fSu/MWYV45eH/oke0F5MPw3VIle37dF8bP4KcK5KArH
aVVJa4PRKtHl+6mTfozJDyI9pZT3mDCaYIqf1eT1utiVJwgXGOwYQK7CrBSpUEECr1VZGkMNvdc/
gLIAFuK6gLX9BA0i8jY4NDyRNl/hoZQ1SQe9XmBZzY4lx8qpTt1Ueap+zJxkX9jfr8tbnZDBQeTg
muBlL3N5ss0SWitOHYSG8VxJoT+U49fuZsYPvltwLxCNAFMD14JzMf1AcqaWcL9AXiCVB2kLUMz/
v6hdUToKywwWJoIdgmmgT2BEkKKwCuTqoY5Nvx+/tPaDWT43rNnfvmIA/zkmzxFyVON8Knmph22k
qnDsY6btJr1Q3XjsGfpaWlvkqnyzhVmBCJHXQSPUAoNTEGWERmEmQ98GPTiq3vN0qHdK/FaEvear
LNqiIV9ZQw52U5HAA54BRsN8YibAH1YG4rBAYoBpJuAhv7PVYzyBpO5mjwlrh+PwWZyC51AwpGNi
xXo38UBwtKNN43W24V7fpJVXw/5MoyO9Cs9DpJGolTDJ4tFqgrAI8TD5cbVVXMVPlLg3wNXhHOBA
LzuQO4SSoZDyPmiibA+mPdciw5PckWM3Os+pVTyaGmOuHMkbx29tZsAlIqj6yZEozoyi9CbqVLsN
Ums4fpfMLVqMFYUAVxlNyOHkAKEvCzdVlaMR7TqmLhhCzbXad7Qj9qJRuX1/uI+D0CSw57xOaX7W
qqEJO61E7DD5pvyaft66+Yg4ozwXahq1bwvYOa/mtEvkWIOuS+9hdN0jULbx7C5XaS5CMBvaorbD
GgoZfJG9NxX2EX27H9FaaQPyoHL1Oz9lkANvBLcS/uwCxtmyQR81WicBDesC/cCGDiTxoe5ZU/tk
OcVJV94jVvu1Gu3syoweWJiOP6OE5L9sdF7YO6nZuwOoSA6VqUec1qVziyLX/Ta3o71D9S2U1/L5
As8otpMjsZEbEw2ESKW9Pk5REiQkO0R65dnKIZ/GU2cPJxNmNdCV1/d6JdcCidDCnJGOB/qEk9R2
jDog8SRBSmXF05XULdQH129Kxydy2e8sGvWuKjmaT2wTCKdI+10xfYCNkHa7vknajQd8xTDBB3Hy
LAtAQJRXC0/RVDPkVFGKFRDydaRIOMk7lt4X4Z3dP8aN5lJF3jXVL8fcShQu9TcqlKGMPtklzUXN
dTyp/cSsNA0MUNhO5fAGcs7GjXu7ctNGO+da7W+s/cpuI7SG4Br6la2Yg6palhl6K5MA7ffcsb6f
ytSLnWMXG74+vLX2Xpce0VPK19Q7CpLqXHl3HNCRGj5ScMnoqdn79Q9a6kaOxkfbY/hvqPASo7Bp
BiqLKexS9CTe19Ex2nJCV279bHzh3WLgcHTktE2Dhp3TOnfrlrnpJnfr1iyEA1SmhpOisD0NosTY
leynskmOvjEPXTD6hmw0I2Os02C0vao4DerB2gLlrU4CLG/cpIRRIYZeIw3eYFaNadB9EHvvKBtu
1eoMLoYX9G8NY9ahYCEK4HN2QHaCRm6L4mbBgw2uTp44RpYURwpaTdiH3jBpZEp6GiTjXe+UbmPs
s+4Bf1v6Mc9SP809qz3r0/sQbhHkrVxlEIrwaksoffiPglLLDXUwKrtMA9V5MNJ9MmWeBVNMfkZF
woY9sSqKP8Hc3UCsXBClqx2SDTrDRpV+FPpt6obhMQ3dsrs5o6SBO+0fQdzYvfAdW9VguV5CkK6c
7fKxPt1+90087Aj+InhniQmroa86pjb08+636b7fOHCry2Rq2A6U48DB4L9ffH3VN6gpNao0kDQP
fZ2lJ+0nOr3lW53r1s41fEsEURWEUBEvn4sxE52VVMfjMQ6+5SAn7KLi/fpCrc7kHxGLnFihZGpn
miSI8h12u1DPduJ14Y5umsh8RwXjBTzh/53M50t5sWYkHMMevegBM1Dchuxptx/R1PLWjpn8ml5K
EVRBVdbMzjubBE3i9r1bbCXGVmcBNwwOC4BpjiVsSSrbvSSbcRqEk6chwjW4eXYyiuD6rqxuPKBE
COMAWowyiPnGg5u4QP7SwK6gV7EZfbOGEyjDrstY08ngO+Ok4IBIQNRcBmyjVhuNMg/QkklJ9t0W
vnFtpS7HF+aQVyhkm5Q6DybnqwEG0QRBwQio8tTZ6qrz6WQLRwtkjAhEIe4FIIu4XGWWhYllR0VA
aFy7Vq9/p7GN/huqJ5fAmbfF0QS+KNXiQ142bsN0t9bIrrZuLYPC4UP5HLoCQ+UgZiOGaxKqp7ZJ
kDhTw11l7W2yYU2uHAsHFg0MGli2cMuEJU3ToWXMyLJApeVTGYa/U6c5ZUOy4c6snAxedWPBU+YZ
WdH1V7Ma2FdSQ0z8+6exlR3fGp3/fqEHkqmqUEtXZUGsfkmtYAu4vTW8cKy1AVCICmG5wJnenJ1J
v16/NWtbcAmWEr6+R3+oaGxqEhgtTI1XyXi9tdaQH6JLCcIEJhTbqDXjEvRdpu/6t+sTWLHSkQgy
QNECSBrqDYWnq+7Amz9oCQlYFrtgEL2z0jd1+CKZu7A8qf2WR7a2HbgR6D6EThGI9glhJDKmmTFM
McBvZB+6SPRen83adiD7xzvFIOG+UJSRInfZ0FG8kFnp5/Z9nZ8n9eW6jBVFhgwjsmYgIcEjLMLI
6rrUqxgcBUFpNV6Jbqhh9wrIp5emkn9d0nI2nFwPGTpeZcqRVPOr0emVA3Mfal9Nq4Oaf21VBWT9
f68LWe7IXIhwAEazatAeFS8+MJ4e1V71YiucszUNwTEKh1Cq9QESaNejEd+z43hmUd6sC+fTEB5i
s65zM49gG2nVMS5PU3Evb3EJr84DqXGUXX8SKgpJU2WMJnBfYDssaT9Nitujrt9Rb/ZSMY8LIYLB
MkROiWgvhPTkLYk/qnAjaLQ+CfgP/ApqC/aciegGkwesk6SmXpUxMBMgDdhs2UUrgQ4+j//KEeG8
sOdbcJ7DvGveSevqqZ+zw9Ds7X1vefUb2r6qW3jelaT2XKSwP4baTQmqqkmQ5LVLxhgQ/lOXPUjE
8ZAZLJQ9BQtu2tysDuZShQ3Thn5q+gFSO05q5pfj0aKufnuiEwAZlC2CaQ5d2xYtgsaqsaKmkLCc
Pdj8wycl/n27GkCLQAdOGAcOiokLSa+KNk4kChcmdpXwSxhvKLM1PYNwLh4Z5GmBhxJ2Zwp7tFwi
LAuk8i50JN/O28P1KXBNNTf7dOhImCoKeD+gnQUJgzWqExol06BtfKpTzyYPZXM3kcRzktsnw2PH
Ng8twtAUcSBZBly4WfZRECnFTovvrcncmMzKcs0kCJNxommkjQQJxVOl7Uprf32tVoZHFoc3NtHx
wixSIBJhZCw7OQ7y+lR4ZXqzM4EkBEgwUUyDMwVczvzlyvUpUeSYlgHrf1Jw8f26/vUrSmw2vPAw
ojNnGdclhk8TL8T1Jmbvm7f2VAN+ASSeoFKC08UJ8oSHEQHsLrTrrniRdb/ISx/9J3yDHBv1ZvN6
Lkd4HvUhLTOphRyreulLPJAf1xdrudUIFCE96CBZAEyRmF11zIwCYpcmL81v07wHKuP68Hyt57cO
UU+Ou8Fl4FwYwkFtidXLHaqOAKuzv5vyuCdfpLg6IMH1/bqg5aZDEPxSsJLixKIV+vxMRSy1xyRr
w6CWvuTtPpr25pZDtbJU6PEEnwrwN+hbcS5qoTlDCcjHSzTsyl/FVqXi1vDCU6HnOitUB8NL7M3+
VTYbMKul/kPyCgAr5Lh5gx8Rcp9Xda5Wak1f0HJL017i7N2hL2bih7crD3DCwOPkcEfcDV2YhwH0
utUbTfZSSplrmJJrWbvre72yUmCcQg0KHgzkSwzhgne6lpitbucvz+Dfdge0qfrfxhfudul0ukTL
MH/Rp53eH/N+Yyu2vl+400D390iN4PvV4ZgOe3tjeVauApAMeHY0FGuju6pg7DKFyXhJC/pC7J9M
qlyDAEyebHV9WJnEpRQxaFrnQ15lSklfJMctfptvN2/BbHRBb6R6bReZmdMXMGJMw67Wb36CQCsG
qifO5YfgmAi87liP/XUS+oI+q4z44xZjy+oeXIwvbLGmhE1KjZi+WOgH18Eh8LKtQP+WCGGbh0lC
ChJYghdV3zuxn9gHZatT24r2vlwlEeFDOjoUFkCnL6ltdR8jGpkHOkNjD6Muwx1MrOl4fdf5qgiv
BegzQeCCejv01hDNzAGEFdKEwqkXYxjQG5r40XAojD+1kbq59l5Nt5LQAvKDJgTAB0IYzGbx0UjV
MCPoBk9fKulnUvfbLBnLSzIXwH+/CF+1bUw1tWQ4ZtXZZCfW768v2Nb4/IxcjG8YQ1SMA656OB3R
8XQT4rg8Y/PvFzRtERE2tQ4WKMr8UvM754ne2mQeewAdzm0EQ4NtrgrKNg+NXhtRXRIgQA7wXZHd
rMwxPuLvQBWgdAT25nyJrDgqsiiLzECtnsqjuVU3v3xWZ8OLtv5UlpWep5IRFFX5ZOvSH8cid6Ck
8hHSONgd8a9v+PJGwgcDzwdY5OHnQ7/PZ0MZbQelDceA+vGvMt53uTc6GzJWDhUqkXg9D3KwcPeE
BzwDubRTG50cpOWXYdhpW9C0rfEFU41ViaVSCePHWlA2X1RtY8f5Gsy1iANHmNNXoPYPdhqXf3kp
CHfJqNkFeXHW5Kg6DUn1BErgP6gW/MuG6q7Vm/jOiV9u3BpUJYFLEhg4HDWwvAhbEyudNE6x2gZy
Q9xCd40qdmXrW9R9/As5wEEiOsP7NYrTq7R2kGwZBdcJCq3rzs+YX+qle74uZXHzMQvQQKvc2AXZ
quijhUNrsYwUwIrlB6R3Y8vXyluVF0Tw+nfOTsRhL8IbiSrNNlbA0h2grfbkJa0/xs64cRYWZ43L
QJoF/DVoiIA49vwskM6m6IylA3QbHrLm+O36Iq2MjupS9DHlYLElW7Zdg7NLGrMxQDF4t4/Y7n8a
XhM+Xuq6rqYThu/tB+XQklvNUFThXny9WOZB8lAzqw7DN9I+2hn67duL4ZFeBZM4r30Svp7SEnUE
pjoG3YNSHLvodH1xVg7obHjBQqSqGXahheHRAcG2H3XymNzK0QWUOlx70AYBqomaMLHThSklKKgs
mBwkdehmd6OzhURfmQMEAIOG24yLIOY7mmJQy36MZdSYhm4kae6QMa/rt2IVK8cUbTLxWACaqXNK
1fklMBwEEHCf5SAz/XLw7a0CmLVpXI7P5V8o3KGTnTIeMH4tP2fJl7zYT8mGZfjJrjJT6tgL5Or5
PiDNuKgDBIW4jaJibQrSqJ1OklyWe7VWqR/WXRRD19bnuLYPut2+423pP5g6ERgTvcxSN01VJUik
JPd0PVX0HdhFY1T526nr1DU5kTiiHvCk+VNcx8kHvFZncFNd7qW9Ci5Pv7V6886erG7fxWp+QGwP
7TbGgv5AATt9TvK+HIDinpona3BqV5GsyEvt3ghSTa2bu8wofcdifqONzPBMubcz38rHeh/W8rgj
YySd4Str+5Yq8QFN2Klfyn0cuxpgQnv0Xo5+qUPcn8PB+CHV3eAaACW6RO7aaVfWFgDWauTJykCP
k1NNxNVUojygplRym2pqSq+SdOstLmK60+Mkvq9S0nhVTOtzWYzTR6Rr3X0Ro047zabWsxMl9myp
lvcVOEY94FPZS2aTyKtoUbt2pnR7NAio3QZlNb/l3gJlSWHqwaCVU++C/ij0xrEwn9HMQ/md2vZA
vJKO7AzdL0eApBid4Uph6HzpyUD2zIp+NXpob4Grl4cRjz5uLqJyOPBwJuaHsZqo3pRdogeaDm4M
9D1MdqH5+7ruWV6ouQzxwPctqyoAbgIl8Z2nmN2sOTE8DzIhyAH6WLGe2tZKrSgGSwvMQbqrvQIY
0H/x/cCn8YJz9GITFZukF1XeRNi6CIaDrQYt2ZiBiUWe31bM4EIA//1CI3Qo8oqUwdCDyfgDViO3
IpHLUtT6bIWCVgUhdolSbbiLC7RbpwPTTkOmB6n90g8HLUTX8ndb3erdtHao0GEY8BquRhcgB7Oj
at/D/0V1Yu3G1R0BGJdUX6/vysKV4DQzvN8KCiFhdonIPZaia0hVDVowDZo/WZlbDE9MPyntV5L+
uS5q7QADXgngLbCuyLgLb3NdyH0jt70SaOx1kL50h+vDfyZTxP1HlyBYdojvw2ERnDqqDomihJ0S
tHRwnfFvyvoDckhenN459oda3xH20MuRJ9XWrizvh+YrylRcZla7KQ+U/KlvnnL2W5vQcHnD6Fnb
yX++DPz185M51a2tRQ5mnpAvbHJHoCO7DdN5bXF5MSsKdPHcgglrLoKaA8lIX6moiD/K4/305fri
fvp44uLCXMAFM03UhIqgDFluZRVPGs68JntWYbu5Sr0BtG3kSGntqSP1mfRo2WC5i/yu39PS3ivJ
nxBMElHxo8iPanWUtsyx5aRR+wy2bnC08t7uYijFMifbrOGMnWVSeW662Z5+edHn4wsqt1S6hNQE
44/sb69ZO11tdiM92U13s8cwFyTuHgs1vewhSMPTBN7oNJnc6xu4OhWsE6B6gG8sQDUxz+9HqJU8
63rxBURSL01ZnnrW/KiGLdzDmiheagjtCDKlBfFoC+crTNrCBBNR/2Q20aGukMCtHeqpavT1+rSW
N0vlFMn/lSWEDYowNSxCIStu3jXcZnR2Lbd87LVThogtII1oXsNZKudXK3X6Xg+T0DgzC+0em8bd
agy3NglQeSOLjguEzJtgPeQxQV8IvDfnWB9cGVq+DPsdLs/1pVqdBlChvAcSjFoRmidJwzilYM89
O6AZll0JzV6uC1idBn9G0KEIvTnEqJRJ9Do0mgnTaCl6Jsh+SurXVho27soSx4GOO4h//VeO4IRZ
amcDuikb58QOvYxDzTNlp7GXFtWndNd1rTfKhVtn75r97foMV5aQ1y7juCF2gEowYaMchcSoSDLl
M4vgObmOsr8+/soKzsYX9E0cNYPJBowvtZ7m+HrqJW/XJazczZkE/gUXNpKVpE4SNZDQV3vF/p4A
8PqbbBU7rC2TBkZMvBbo8oogy1xIF4KV1m57+WxZzzR+3qooXFslDdQESLiirhnW6nx4KTJZ3Gqd
fHY09JHqdiS0XbKVz1pkBRAUvhQiBNbCvpQaOcQckimHA/GLjoVnmV8UtifJsWYb27Kc0if7G6/n
h9CFdkZhUsTkNJyACd8l/SnSXJZtlDOsikCiA08AOJVtMeceG3msK2yaAEU6wH3r0mPSbiiA5eFC
SgOVf7xDD2KSoi0ZgRSh1FJjAi7U9JRqn0pPhnrOh1vbufEQyaUc/h0Xh7jC+ZrS1JwCBbxUH1O9
MY3l8eXNvDQw3oGEDvhw4fgmBQHdoFSBFYR5E/VRCHb9Dm6Nr84/nw12g9BFbQVptjMMsGNRfUtF
ruwE7DTkqzkfKocGzkUMTazGqUnCYFCm6GedhuE5s62fFAQEb1mH3qCpVqggPgGK081aadrz8mbX
Iep9GOenTpW9jkl/KgN9JUf79fr0lwdxdrPEZ6KqrE6RiwEqKGHPVm7+tHt2Z1fx7roYblPPDda5
GGEXxwo42X7EBZ66ey08JHUgJ4+qEwNduBXqWhUFJBwK0YHAAh/6fLUnVVIirUnls5n+HbO3Sc38
fugOSRTkJd2ISS13FtMygZUE3hd13OIrjlLFGiSMuXwGJ4Ofyz9DboLDulJ+Xl++dTmwrIGpQIWm
IyhZKwNLmGw28plGB8VKvILsYv1FIx/XxaweBm7A/78YQc2O+qi2alPL5zaKvUxKajc3JLdXoo3p
rMnhUDyT034DAcbv5IXKwCtFzIglytmyj5Hql5Pr/ItjfSmBf8GlBFQ5K4jlKefGAgY3P9YhgJcb
s+BfKZ7pSxmC4kML+ynPJshIddca/WyL/GV1laBdOfyed4kTPPRoRERVCalynvSf6DIJi93pNs7v
6hRAYslVK+JMYv4li/rC6eJcOZe0c7ujjcje9RO1JUA4UWoup0bW1Mq5N97afVNv0GEtK9x55cw/
E/j8/WKfdWpWTG0Z9rnO7xnyx02L51Sz+neLdUfTRr3wlB/CoXnLWssnEhrl6tZOBqFMaaa7VEfV
V5qjmwEZ/BhNh5s68WlabkCqVxcB4QBOlII1FvPPoNNPKqN0lHMX7+zIRx3Fv1jkf8YXdXiEDp5j
mJrKOVEOJDmxLY26+v3AyKD8A6H3RUdYZCVo1IUqvt/8ajevX69//Zpu0228j/gDg0t8Hc3JoWOV
Ryo3IE/T4HijeWj7eNf3nX9d0poViXLzT6Ym1NeLF0pta0OLahnaeiQny8l2Sm6cRt32ekVq3XFA
sbS9RRm/OrsLmcJrZGR2nYwpZCJB5krOacrvVY25VvXn+txWlcWFHMGMIaGZjZRN8nnMv4GvwjB+
RNG/iFqAGOyf9RMcrk6pGxw0yED06bHtx8dWQVKsRM4l3MJPfyakFsr1QhY/kxcXO0tbKxy7UT7L
Q+Lz7oLpg8V2iYm+BGO5m9BEJQLRZF69F8O3UoYP8HJ9Pdf2DR0tYT8gDIPopfDiNnI+aWDowXoa
sMmewcWPDrzdVlumtROJhjAwVpDExz+CFL2oDWSlMMs+fkzJc9U8St1rHb+CHGYn1xtuzZLfGsry
UpqgjAnTwmHoIQ0VnncGGlQkIJsZdObBhtkpcnliRncsktK3q8qT7enHMFC/YdFR1hS/zabvUWV7
DWMb6nFZlzH/LlGJj2XUxBrfaystXMf5o4Wn1EKUr3VleoxTx5UVsgu3arJXd/iftRftxNhWkyRk
uJmqPvplrH8ze8kvk3oXka3mkluihMvZABBr0hQXpxn3ef+l7P2CHbWtstbVx/Bif0UC0z4fJ4Yu
PfI5RFc9ogz70KRumRUPShW6Y4Tq4whVaMkYGDndNzT/Ug/m3cjAdkGyPYmqY4VSCBKnvhZRl5Ch
8lgWHa/fq7V4EXqWw+sFOzcIEkQ21z4pnZo4/MjTu6JA/0Jpr+intnoYK1TEZ+FDzGB75swdkAK9
LnvtHbsUzT2HC51ip+3/kXZdPXLjzPYXCZAoKr1K6jDJVo/tcXgRvN61qECJyuHX38Px3nU3W2hh
/MGAXwZQNcliscKpU6kN9ddPTbvL7zNtd/vzq5cZRGWvWXmgZhRTb6NeqyEcgMkqfnpw0jnv/TRD
Rb/7Zk7fGdvChqzIk+OkQFmLoADYBKl1Z8vJ88FrNS9DUiTe5dVe/ymmw2zuLeNjsgUylJZBscYI
piRfowlSOXCXXYpiRa57NuPYOXv+2biLn4F/pnTTZzfW0ak18BBQzf2kzfvbW7ryqkEulgcLgTqu
OocSHTSsiTnTT0NysLPQYoG5NZ18RSkuRCh3E4nTweoplqaNZWDUn4Gse7vaXUhQns1UHxon5zgn
BwxCYIABh9LwP4pQXsui1MaRzBAR5x/a9j59M0oW8y3lXCBoNS6Qo+KESJIkBc8KxNQZCYdlB0xM
+PaTBqsbAKCykfyqHt0NFutzz1xOZU2/5WMRAh34T7mJ0FtTKNdAuI4qBcbfqDnjrGFZx3NnOWne
vWcfai31FzT93V7LirkHE/NvIcppaCWsMIqiy8l1hK9VGMeBCdbGY55uGJytxci/nxmAohzLzMsp
FkN3rA08jh7GDREryRQ5AgU1byCkZd37UsSEAkzVUW85JcbdPN3D5RpeRuvNyVAwVwOuiTqFBGxc
JUObzmbOoC+n2Tg0zaEpD4D23D6SNX8S1Njo+XYAZQQjrLJXmW62eI7m+ZQRcoz1xE/z/n0PtM6Q
ObuhAt7cIAfe9j87s31wMhoMDQ86c+vIVqwNfgZwCshLgYlahabo3qC5tDbnkx1kRR7QpQpuL3RF
9y4EKLrHDDoAcuzMJwoMcrET9K+20H3evJWDEeoN7CBaS9CwCeiFsp1xm4gBlTjw7oN/0ffyDWuw
5iWAqRsxJyg6wK6rdgejkNyBAFCb4coMoL3NjrXJg8p5yE1tj1ZXfzbe2XHhN1akOz/evoPocQUq
BgAMvKuKyvcxyZG00M1Ta+8794cjGNL/e3OjhL9ysVA1Q30RJAEomaqMQAOQi0udG+YpKx5514TN
nIIc5mdZeQGqpn+wIklphtloNrI8it9PwIFszr1JT+74fom/2/37wgA6LNuCyKzpHlCewP0AVbKS
J2gIZUUxQU7W7qh131a+2fto5tjQ8bVLdCZHBcW2MymcAQ1Up9F956S13795oAG0+1yA4smh2AR8
lAkBen6PDttiC8J/TQ4mBYAgQqKGKbBEiieajgxke5VOTxUp9ENr9Y0vjD71UfHmj2aCPFG8tPWh
tqvvpB0NH6GjCFpgCXyPDVuFInlXFecO19jANZazyJCSvbTx3IrNimmjdaq6xxqDO8pHo9sI8dZF
4M2VRXu0ditWqe+6BKgDYZ3sVnwvaPLoehXIia3dbUVfVQxgaf9fjGKVxjxhS6dDTErBdeuO4fQH
+Uzs1W8J8gqcPbk8dbvUtivrVGBO8G4iH24vYMWlBx2i5G1DYfs6OEqNhaWlMOjJ7kIrfqApnJR9
lj9gFuMmnGb1TM5kKTo4txOeCjxSp7InfkECVwDnupUyWj2RMyGKbvV9M2ftq5Au+Ed/Ozob1wid
HhaY5+Ccqo6DnaG4PaQMBgdnbVbaI3Hmu9snsmrTzkQoC3BGopdaneKmssp9QG9tG9gaaKhbTCPz
BS2n/dvlOUj524A44/XTldcHeK3W7vUS8joaYoCbb9I+wKjAsH079h8bZmCGmyzcY2iFYuScWUya
JwQ9afVRZMfj7XWsHTyeNrwEiH3ADq5cxdy0C86NBCa08LXvfIs+ZE15zz+v3MOy6u05lccy0J2V
Y1b3o0s3YIIrMS+cxd8rUO6Hm/AYw9uwgqQ8AC9flagQHEtth8bsyp+2ht1tLUjRM8z04Am4goA5
Ey4y4O9GwwCw73D7UORHVEuP2TOmI8uVktHp0nqBIox2pZnRU5p/GDSMF0VrcGL9RcwX4UY5zMBt
cWt3B6V7IGYRwcsBH5fi0O/feCBUo0CeEEDwX+xBC9Mxw6DC3W1B8kPX6/otSNm8GNzuRU0gaEYv
3n2bTe97Bta4nBUvHNmM0K3NLV9nVb9BAQAWUUP+U+5p5bWjyKecnqYpctku7Td8tvXvU8SoSH6g
yUu5nVU+SRKrhZ4sdhCF740bW7amb6AlhAUgUsfV+4niee0WQpCTOe77co+SRF5shHVrx38uQrmj
BRvHAi1A5MQwwmEJJ3JfMfRFbCjZ2kaB8cEApwEG8qLIdqlk/ZKAupoQcsq7uvFTw1wCr6u3QIHK
WhCcYpoCuGhRjgWNHgLISyk5T6dqdjQn6mhn37FsbvyFLXFInfHFmzJ749V5TaidafQveXIAINaE
kqEK8E1Q1HR6lP0jxN7so2Wx5H1BeuPZ4abxM128LsTzYX3uamTml4qQxterOH0CEojn/tAazZ3o
U/fJTc0xzEBiflczvQ+Ehg5ndKv2AQBOE/pDcidgbTM+MmsxThNtEn9AtTZwvNj7UpfW4HPdKPxW
T7fyCor6va5PlrZNJPdgZNX4EcmRhNtd7kbpEPZtjV+/y52Pt63CugwgE+XIelRyrq4otWOQe7qR
2ztB4k17Xr/H4N0N/VNsz78rAU8xRpqAyF8l1Wj0uB/rOnMjc2n8kdFjnNB3yHHtWZ5qvuFoGw+r
Ghr/EohORuAekTABc8ulKi4unFuS9G6kV9q3ITXB4AH4fM5P80Jav+DsCV13vt5oyNLR58IrN661
cuGu5CvGNi/jXE+t0Y2mrr8f8uShs5yN7MLabcPIXTkeFLX9q667MemWxoCWRzEYS+41jzQfpqp3
EQ/l7p3JJrqxp6tLkmwZyEJhNrY6Oy0lA7pIGPUiA5XTfAkyQP5u6+KWBGXTCgE+kRo4usic9sTe
6W97LX6dCQIGcEGCDAWJhUudYNM0eSWrvGjgg6/Nvf/z9s9X02e/BGBylqRMBc2sOnFh1rSmGt0J
jVvlwU7u+59O+YA+utT1m3k3/hXPO1EhTxNqX28LVpywV7nArGLmnLQS6HS4XBhxF9JVtetGhf6O
xy/E+kiHyq9BSTdXX8blr35L9eRBqIYXASpS0XBZ0P+uGA2meRgUxjMvKlETS7L4kWj8vuIuyCia
efC7PLZ2WtwFt5e5ph7nUpXz85qS8VZLvGjixkc+91960WxlpVe3EghGyeUpc3aKR1HGNEs5Mu8R
RZ9fHmOGNs98bfnKu1NPn/sWFCjTj9vLWrPAKDmj0ofawXVCaHTSwamZBQtcPtD8YDd3mD/+P4lQ
c0F1145cIMUWJVn2l9cbHxrdW3wWO2/L1/1SRNT2kCFx0ZyhhpoWT6nI0U8VoYD5w7TEXTnkLECC
5x8j8wY/FlQ/3F7Zqia6wBfKqYVIjiuqL4CVgfoPbhQ78bTzhm4OPfRKgk0u44HedfoumWqwjtF4
q7C49qSZyOvi4mH6DaCUl5cuLup4JhNlp3i5a0gwsbCzDk1+5xR/YLaQkcSMM5n8B7ToUtAyANQ9
iIadCDA45gO1NtJOa9cKnRzoQUP3NkhSlctculbbFHPKTrR60IrQ2wraVt4p+P6gdMfgXSCXVDqw
TB+Rq6sTJxqG6ZAMOqo81q6cTt309gcRgbSFUB2GELk6RReGTmuMehjtKBaJXxnZnT4tdz19LIrw
ttKt7BgKJHCXcBhoplR3LLVqqld6Z0V9ZvvgvvbmrYzQik0A/66ky5O9G4apvIRNAuqrJSNWRK0x
qs3846g1H7uieruXIjkk0f0LorYVzDXN+24BtCfKxofGvCNv5JSR9kA6JigRIH4y8P+l6qa1wct2
Sq1oMMN8PlRbrKErt//i+4rqZkkuiIWh05E+7qpvvM13bZOB5QAIcWSf3C2s6dq5y0GMoFSTr6xa
50OxJV/czKMRPcTJscw3bNmrgirPKvADQA+4yD5c++LaUnGBnnQaGQvX303x4n3FtGj0kdN6uE8q
mBi02COJUyIkMHmpB2ge9Q5VtaQHt3fx4jdmeag9e3r0xlLfUPo1lUQPEwqDaAtFXl5uzllSF2NJ
a31xOholowvqPf1oJVUVOlq8NYJ2xbAC+4KGLGQ8gaRTY1Ve6JmI7ZJGJrjtIcRH2iJoEAIZ6cEh
W1WGNesEuj9cZdTVMaJeMeNg0ZoFnzmNiBaB2wAJ0sR36adNvus1VQVEDmUswDQwvUmx4q5btjRh
tRUR7wNDzzLRnxb9U04fK+2h33II187Kgl167eu3rhAhguWVXXuFFVnJOASaDuobK+3t0K4d/e1O
mXMuSrnigLbYpOI5TMj0gYpnz97yyFbVAV28khsTO6f6FOBNGdyxwaUbC7feUbBXhoXQ57vMAd5t
GCznkbHG3biKq0JBgoWAFewC13BbXvTuhORzBNanMC4SgKB3KXUfu/KZZRv+35pmANuIyd0Ukf7V
nAWLiLbMW9eKSlL+pEwEpYN+lsZ4oW73fR7Lj3ENtPbtF2xNQRAXuzAyLuj91FhOI908ehzaCFIL
4Ncigxwx7n7DYqyZSxt8ZVB3BKjo7Lm0GGXMy2SsLRq15TswTfj21ozD1VVQwGBsiSa7wl30yNeb
U+LQSJBQr/Y18VNvf3ujVuIBBwRS/4lQrF5mpI2zoEQd9ahkzFzztdQJh/bn4Lwbyu/Dkhy86ctt
kSpC8fXVlJcXqTQCJ0AlyBJp3/bcwzMAeEz3fpkGdp+iNeqAXjgaWqLC8BI7mfwlW/RgGTBOt3H7
9l1TzQS8Adk/whFTlCdha7N91YAiPkti5yDGNkeJnriFP7hu98bBaP/+ZrQfgtDXNq9m91BrMBsH
TceRO+00RIDm0UPWzPGHN9Jp/hKEzBCcVTS7XZVM6JCVY85gr5M688Gywn3QWW3NpVq7/sAA4KX3
sCBXdfCIXhHNqXsaLfrnmcDqOJ4/1H+RRviZsUUCsXpNfnFsylui+sco0/eOPi400pf3rnMHRsfb
+rT2fdBkIEpBAVB2LV1ew7ZgPNEInCRNpJ+afHxX6FvIurVH9FyENHFnvgFjk95pbUyjvCFoUxq0
PbNhLOHC7hLAHm+vR0VCv6oAbjZQnbLb4mr2pGlqRZwgGxwlbWIHFWgcTK17YFm5G3vzm1aYTymv
d6RMX/ql3Kh3ra4UZhNhJdwTnNflSsXCNWNsdMiuJB6lwbhYrYMDXVFj3Ftg8dl4HNZMHNKlmF4C
FkMYa+XwhEW7rhCLE2m64feJeRhn4mfedLi9p2s6gkvlvWbuUSSWfz87wLQqTaO1Wyey6yjWnorT
H3xezvBBot5ELCB39ezzU206rMDQ64jOhzostzg1XjHbquMMXrz/vq/skrG0Tk4zfL/gVmH5tMk4
SEtm+72bGTTzRRqbB9BIzdxPWVYf2ljPEOfy2B8dpgW1zotDQTjbO7kzBrkBWhnQWg1f7KbJTl41
Z0HblNNdNVfeMamRPDQ94X6tChbf3d4n+TvVdWCADPgaJB/cVQ9U4vAKDRuNG/UeD/IFfEDFSbAC
tcDknmZb/JVruizbGBHNYGIVvIHLUwEFlt60yexGojpS72V+SIsTMY+3l7SiwKgISeIDWXu6ct88
0RiGIKgv8OIDsJg+AbkV3arSbwlRVqIneY9xNYiKCOMHuhzmAXUMb2MlK3fEBY8knmTMuIIiS1fh
TInBsuySVnhOBDD0p9lrQ6tgW9M3NmSoibo4WYypWVwnmsr4Q9LNj26+fLp9ICunjmUAQAOuWFSV
1C5ZO7WSnjbYq4J9IuVL53zoypf0w20hq+vAcB8PSVRJvyMP7GyvNLvpMwC6sI7BB2/pG8n+5QuA
aiZiZTwDKCurWdoEhbnFHRo7mjEpbg4reyOTtOL1XXxfCWpqoxoFUhd2NIhqXzr8YWjH56nk4WDa
TyDh/O6S/CuA0xtipZqq1x+qheAX0bTsNr3cNaBaiJey2o3accfLUL/jX7TaB81hHG/4/ytKAFfj
P0mqnmVa5jKjaN3Iq7UTi+0PsSWOyWK+z8j8921V2BKlBNiOGWssR/9bBOPmF4UVLq7wUxDhpfNf
tyWtKN3FopRTM0oyaVUG6zlbIcD9oIm8/f3VlQANLyffYri6qtRzOdRmHcOU9Zl1XzsVWGt3fWc9
TYn2J4pwJkn+krPrM9mpqU/SaLbd97LE+FXvh0unsLYW32z/zrbKA6sbdyZOeT7dmFVpSQuYBBsg
N0dGDBu2c8VAozXl99YpBtrSYz57M4xOlR9nG3yRn4stJ2BrEcrlSbI5axDj4KEZn53uL0o3XKSN
Jag8/ngRBocxbJLwPoFkUk/Rz15s8WyomNdX3/Zso1S8Ga8bt2nnCvm9dkL0Jj5RDL8FROhxqIwP
utt9oG79j4i1g2mlO9o6TxUZdrfVfH2hsqgB7gH7ChFQjEnZuWRyIpF477LaOSRe8lWMW2CRLTHy
PM90PMmZSVttBljE6x9zj/wAJBtVX7JxlVbFoKn8FXmA9mFFLQyMIiGu1jtRmnyu0m8i+VmkGwWa
VbsAIInEGgAoqFLlZQyMIGxI3IhpT1ZV+7aV+W72kRQfbx/MGqgBaeffgpRblIu+G6kAviaem7Bu
p8AFm1Q7vJcNOmT+nPBT1zt+W5V389bY79VtBIIU6SkUvVBvuzwtm2GwqUhTNyrjp4XfpTTItprA
Vy/wmQhFIUhu2GnVQUSLURzDgdVvmxD062ohoMewFfglV2NpzAJMtwn45KI0dr6KbPhMzHj3JycE
n0RKAY+NCnizWiYME5TLUaJ/TRI2+Zqou6At08K30TTbgb6YOfN7Xml3w9LtpyV/uf0LVnURDjfW
J90ItSWkICnCCytzor72ayu0vxRAHGy1z6y4RwhOfgtRnvRY6KWjUQgZiS5YqA/iL/QClJ+rzhmf
NU/vv5dLMoK0t+3Q2xkvGzH4ap0E9gnTKJAWlq12l8pYAJFFMi6cyEBrLqvygzMYYRf3gUGaj0BY
HmY2/xBJ9rc5tXe2k6J9ZLh3+XAayHDPe/fn7T1fi9pAUuW9AmNwO+TdObNk45gsGDwV29Gi9eAc
Zt3wmFQpj/SsnZ9b5tFDQsB9/AdCAcYBsQeAW1dgFm1Oc33Scydyi/vUfHDrEJV2So/LFnvP2mHD
pqEFA6AWgGKVm5/lZVngR9gRgXvlp7bYFxbt/awcnpdh0XczqfaJ0R9Bw/L89iUCrAOLiiOW838v
9zXx3FRvlgQvRPmtoz9E+2T39d72jvOW471mes4lKZ5jtsS1Xc+aHeUc1LjB4oS3V2KsXUu0akFd
0dYGgjnlFdLjYlmK3rAjpxBcAFKcuqExN/WuSdHrsbD6BW9+7pNab3cj04t7wVnxOFqtOPXjMNx1
GZuPdWqKYNZme1cX9kaGZs2+n/1ANSCwWabZpMcpz2Z231VVYIHAV9h/YILPpSgnynIj1wBzRoUe
XZhdaG7lbVdXgUceFt5G0UF97IuW6jEz8diDX+9bS+N70K59ibutDOTahYeFB+0dGNaBalCWUQAq
aWs2PCTPqsBoJAIm5neNHf8wyvGL2Yg39tO8vlzn8hT1dDrP6rTJQNJx0cOYV+/AyLDh3a6FnlgM
ssPAaoNwU7FhiLI78Ne5NkBIQRaHbb0fbfTL+6R5MLfiqNVTOpMlL8uZvRxmM52tEvZSAOeM5i3b
qAOy5a6v3jgkteRYbziyal0XM8NjnqTIaGriroqZjylcxzrTfHMo7m5f7tXlAFaIvUM2DUW8y+Vw
DC6duTU6UWVOP8SMEvLifACoY+OENsSoLzv6oLKpbiDGoHNU0xR8I+4ODSQfb69m1RQ6IIWXWEKM
lpZ/PzuctMynJjUBqDLi6Z+kqB5JQTdQJ6vX50yEomt1V6KFvpYikByyAjffadpjM2G2wEYWakUH
cPgouQNNgfdLpXwa2DyNqI3ZkZ2l/oyzb/eoGdf00+0tW1kPxFCQWsi5C1cw9NTI47oVmY3IU79D
9oD6NnLoxtzvTdYdzUVsoOzWXhOp1A46tWUTnFpYrVmu95pbSTNKnin5LNiP5NEulrB2bPaMvm12
3xXM9Bev14OMGxHHjITYzirw4RX69z7X+R0Yl7eSlysaiiIvdAbJZGy4p6gOafpaSKbNiNgPWvwV
1PaBiRLgH2w2KPEkfhcJTE+5bSwzMwIUCmhNLYw/TszisOjFp6V0XnAK9xYKj7flye8pOTkXr/a/
8hx1Oouo3WrJBAxjksOFDN2+80UeZE4wu5mfDkGzbJiTlQuI+MpFaxvKS+DrVYI8jiR62jkTfBGM
EgK34IZTtfV5Zf+mLndKXcfnrf7LdK87f/J5FC4kG6nsmFNsu1tWQ6Nr+Dx3HrzqHcqzt49j9eef
fV/exTPzNMJdmtsY3y/uiLGv0/3tz6+dtglPF20sqP5etbVj9IiWwam1orbgnd/abpgu7VfQfuzK
cdiVlfaP4eZWoA1bntGaqToXrNwdb/SQ8CEzQCAiC8a8DwZLBJT8GN04vL3EtR0EckXySGB0xtVz
lZcjtYFusfDSv4ALxdt4pjY+rz5TY83LkdT4fKZjMnpq+/rb4aqItWSiF4YPpl2JR+yWdMPcj2ZE
HRBttYCWHqw53+rFXjsP2Ff0lAEWpl/lOzqWIPIQmhkRfiiW/VgfSXtEIfD2WaxKAW4f8G9AZK/U
zQDjtFEMFYkEEgOT6dy5HAPdJ60NUczaMs8rLh4S12jRwksIwjYVR5wBEQ3uoY5E7Wwm6AwY77np
fK776msD0LZf2F7iNwicby9x7UahNKsDRAHSAyBDLi8sz2ky0XwyAT0XDzVwmq5Ay4CZfZ8HbQz6
tPpiesjU94X3xubD1yIR0HayGw1TE6Hul5LReZbPdpuYkd73Hxn3HvKFb7zEay8eEnJgpQNT1/Uw
5TKd6oK5zIzK9qjNsx9rYc++3t7AtWOTWFPUzkG3cMUrOaQecAFeBZBTgqyCb4z8B/fq2CelXf4k
3ZQfi5ElYVyZ+u625NXV4SmHvuDduyrdluDdM4WOO2C00/BNuM304gobg5fIuGxchFVRr0Ar1KMx
gEF5lYrFnomj1TSK8+opdfkxN9h9XGUbmdo14wSkDfBcr2LUHD4K+FMjWAMx/FCXQb7FALW+DMDo
0YwDJhH1ihmZ01aTje8vzVM93/fxd9f49AeHglkxiNPQdQC08KVWu1qZthVqq9FQNS8Wpi57afx3
3bv/mxiVBXRBnSseG9vEOw7G14owbz/jxUfSgtkb4cDqpv1e0WvW++xJZ7beL6x0zUh0AbMYUkyg
+LA3FGzNR5cjdv7dtte6y5mQFunrVJ8TQKtTGzhBRKDakTsV3c1tnwc6B45nNDehV2tLQ44OYSFm
ImGuqmL8ljYuJD6dRjrfafTIkqcs30iprIoAFgkS8KADFHWpD6KfUzpxHfjlpfgyxvU7swBFe7bV
7bIlRr5kZ/tnGwlnVmXSaNZ4/TFPaRqiGV/7Oi5Gv9vQcIJvqS43GnqRwYFJ1a8oAidD56bJEity
0PHjY0TZAO7FtA1qxypAFphk1SNf5nlflXUF9ofYDoTAyI42HnJc7BmA57zLj52j8d2UGFbvj7pe
HNp+qgJS6e29Oxs1uPm60V+cPr23q/qUCcxjw0SefN+B6eWYoN1or+cmur2q3uc5+klm24B5b+wf
cWtWpW8tXRyMY2X7cEhk5/nYByN4Kf7ROAEMtdK/WZqufUHESHYam9vHdp7gDKOISPcxRacwEuiG
LxmUPlgxSCezlKUhLYfurrGqdK8P8VbSasX2Ab2PbUVxAugiNbDXcpLkiQMYoDB2c5iIjVNbcWXw
efQuyCEasH+KXWpGUQCBN1lR3T7q7FRVD21zTPlWI/HqKuC9SP51uBUqmDHHjGgHjadWVJiBPfkg
td1QvmvdA72exBMjAAD8VtHzoW4zzOBqrYiLd073aVn8Ln27hywzbUCryfoM+Akur1LdofbUtgDn
c/qBPA7Z230S0FYAFONJArerzuc5EZxMMbeijv1VjxilCJYcY9lYw8ppw5qilQFISGyV6ltVdTq1
tPMosFBeaJoc4xwbtNRqfgIi2jefyIUo5URYwmjtjcyKEi8o7KcGSQyyvy1i7XFAyhPwQRPLuUJ2
FZm3ZIWDZ7saukeZnhZVnIDvznpfDi7dl5a7UcFa0WIXCowioU5cjLdSVABzlZO216gZATf33XHm
PZBkb0/oX4hQtg0jc+JhKEy4poYRzob17E3GUaIYb2/dmnfqQZBrg/ZBMuVcKvMCCg6t7B0zmkb+
0hnifmmWg80p0P5MhF3S5z6o4jdq+qvbB9OJhCuYtqmacV20hORDipjC5s9ghLP6jb1b+T5GRsMK
YGUIW9SCXjFbVt5jLkw022i5xHizBtyUt/dt5QIhMpE1Ygx2ALeQUkKoprjXqglOj+16PxLS6R96
k4sdF2CppKNhvz1oRhUNFTzLQQB4NZdx7FoMth3QvOWYIIkmVlgPG2ZndUFnEuSenjkIo4ZxYGMB
CT2LMabXO/Yaxqj2S+D05ZabvXo+FF1oknRcEvZdyvK0ql+k+x1huFntaLvYeuNUKxk7wrf4T4Ia
KOT2jDwMJs9EcxZ/T2xgiqdRfHYnWLnbeiBvuuLrANmN2yPp0sDBodwfTFcamyKOzWjsxD9abGDW
CyjVfU6aLUlyU25JUg5IoKF1wWQcM9K+dNmOvrQZ9i7os1CUu2XeuKGry4LqwrbBxCGPeXlCrlOh
OWeBu03b7oVmmDzNMRF4djdea2fFVYQMUDtLqw1MnnKNKFkaUM2NJOomUGjNOgeImXILLaBtH6Wd
ZYUgwdIxv3gxn8207T9a+jT7Jpz+zrebbPJj26nlOOmk+ZsD3weURjzsidVNXwp3soMpa91HUzTt
ne1q1UfMgc8DI4nFB5xb/sAX2FaatlYwmzU7dkMMHph45nxPYlo+YNrE5PiOKJ3AYdQ+8qZr3lta
Uzx4SczCOT8uXX/XoMET8y7cIgTdwCEBmfxkBBjRPSVxWNruQ5bU9An+IJLcXDShDm6dZ2Z6aHzQ
9ObBcAfrZLVu8hN+sLuzvKzdN9m47LN6nEPd6q0XMcLx7e06DeBVOT/nSg57qTLiE9FrIaXttDNj
t9gDNJ0+T6lp3nsxacIOXLMbx7VmIzAlAOUYpB4x41I+Jmc2gtZLVqNzCd0SgLQ/10lYZrvw9n1a
FYE2BlDuyg7t19LJmYg2bhg1MfgwsuOdw2uATFOfZz8G8f22nLXbBCaR/+QoCu6AhYyhLcOKWPaJ
CRAL7xaxy7MxSCfhG6JDoWArf7d2p85FKrsH+AWmHYMBIfLGPcCH9rJPhv3tVa3vHuioZGO7bFW9
PKDaQkZr8gb4jjpCnrRG2ht0bsuYfdXoFvGV4nQhZJWlWXQfyHkpcijxpSw9FSbgOSk5wUHapYt9
5xVwJRFeBh1r9qZTB7fXpjwav+T9oolAQhA5oEt5Y5xodmUk5GTxgH0etsh4la379/MweUguIXRV
MUmw194yGzk5OXMSvzh8MndN1XB4JzPVAs8arY3LtLoe+ZgjQY00uOqkjItWGdRsCQYfPTriHTCH
t/dLUbdfC8JVxexc1Biv4sUGs+rLjuvkVBg8rFkUM5B4vJEb4pcQGG/wWwBaeNVR3zg90crRxq4J
y9cXOzRjfU/z92a74QCtHQ8arzFPQb7saN26PP12sL3ZTXH6/WAUQW7ln8gIIihiYBCjmRtbVDVr
yn0uTm7umRnCw2NnvJfirK/M/VTwfVzsy+GT6X15+ylJV0cSTEtOVOUBNMAYmyOBjqlD/Rdn/BYv
+ybdyDCtb91vEfINPltLTTDsbxkgwmnuUm8nljva3qEX//ZCFIP6qgnnC1HMgVG2bobuJ3LC9OVl
2icPTKA765DGvvkz3qqBrQqDUiNTgfaUKwAh0kWkM5EROfG6m+90+HcfMr11wCbLjTsLLFEAT9aj
HYIEP9P9OJ62AGGrewowM3gHZAZAvbzgaspjhmLPyUj6p7rJ/5raGMM8QPHuD5u8SWs3GbXY/4TJ
H3N2gPAfHGvWCli+Ztf8XWZH5K9uH96aLYIDBrg4KtcAIyrqjqa7pfKkbR2s5zR9Z1d3t7+/voLf
31dWUOSEV1zPyAkBld+Sv5vyOP/BMDzEYb9lKC86n7Ol9QbIaONlCiZr+QzNl6m84fP/thjlHR/6
pM8MG/cJoKsDOP19qg1hqoW3pWwdifLc1WzKJkEhBfYdAWzrHNG58idGFQ3fEoCKEpGajONAconB
dQwoVpg8aXrQPE39xjpWj/5MhrJbTtwITQNzB8aqfWPTvjOO/fDz9latikCRFxk5+U/FmYL8L8mN
CltFivsy/loheaGP8cYV2RKiWFHRkcLozBjrsN7rjedn046mW1WO1UM/W4liRLO+BnmZBSEgM3Ew
2uDtVNKmnPYF/1AyoOtq72Dc6kM2jZZ5auHBN99HfcvpuF6AqQOTgFZnZF0MQGAuTdWiE8yA0kD4
Pz0swvbLbqviviYATfCY0wGwHrLUyrWIjXlqtNyiJyvTd+6UB2wLnX5t2jH8R8bySE4j2e7ql0uo
pwkx6QTWelPMyWMyGp+AwsCgvqJ69pp0wwm89jMQ/GKWkoc8iIGedOXAk3jM7bzn9FR34ZJ/bRYY
kkBPvplmePuOrO0bbjJkAJCNVIVU77M3pG1m5qVNR0/xEzD3cblh4Nc/jwmewJiaaFBQ1jF1pB2s
DES+ev4woEu7/fAHPx8tAzpyRjh9NV/dlENsaalNT+0cFMOhI6fb37++3RLdgCkFmFQvKWMUN4w5
xQRiKGadkFLJiiNgL/nb31iIAIWDJCMxr5OeVoUJzDVmP58MPhkfReqN37QJTKq3F/Iadp2lieCH
gSQe1JVykg3wNZZyQbzSADtINxsnbfL8DiMXkCj9PiGPMcQv4HLx3YkfmvS+nd7PC8YCib+L/m3J
8ddfAF4HZMURdVwHocagicSimn5CoUw/VCnZ8DRXLiiQXf99X0UoLdWS9DphBgbpzPukbXdTyYBz
Rhoxfhvc4HUlIHYHMpSiXoX2ictLY4ml0aoSbxdt5927vp52tw9r5daAogRfx1gKAN4t5U0xaJlV
6ZibJ839Opz6remOq5/HpYdKA3F3hTwBKwk3ACUyTy4GwY4v9O0eF0g0fn9f7Tlok6J07MY1MdcR
WalHjHP030psIY8A1HMU6SZEyaBYV46gQUaDWcZonnLcyRQ9AVsR7PXNB9QRTR1IZsCu4PpfnrHe
TWYnK3onrdiDVRoInTQJ33rMEAHuFlAooIDrqqmFhMXFICgbMU7jU8xARtFtOEDXNwICsEPopkfx
E+Rkl2tweovRydGGk1lUezxSAerqrbYv3I37sCVH/v3sEREYcmygXjScErjxjYbCodjH1pGjeH97
x1YPBYUVTJACMfxVuaMzyP+RdmW7retK9osEULP0Ksl25sR25hdhD4lGUiRFjV/fSxvd6ERWW51u
XJyLAwSHZXEoFqtWrUXLHp2xUBxnkVTkT4u+SNNJ//z/zEwH6Mv3GKC2H2wQAu2ZsrYmuD9LXv32
zPLXeTNL0wYcG/LbaDYBIHG2xXRgY+yRN80+z/eumUEZjwa5PUS1/Ln2L56CCI4QzsNd4cx//yBb
jcpRrqn2trNjYG30L5xEBR7oJ5NfQ/56/rOWFmkCcOPStx0TmcDvxmpbFUgOamovxovU3ZfFhVmv
XCWLJiYkMjIk5BTOCxiEUTaiaPYpulU5OUyKTt4a8mHZyETQipIRcHIzL1wDw1gQy1J7JJbQpA9Y
h+2teIAlE2DSALvWVOc4AX2RVGtTzcJ+Lvkj2qUDRu5XOVSWdpkHWlM8gNCnf5IfzWWjl2Ds6OCN
iyuXW3d+ZW95KyNueyvR3mnUOhW7bPxvyhec5EqzwuVIzZT93hubwKWXXYbChRGZ3SPYG3787vpu
a/Z+jKWvOohy9nure/K8Zwl6R5E9nt/Jy1M3bTIkfqExOtvJMi2AuBCYuqR/17Ntn1/xMfTWGubX
rEx//+JtbD1heo4O272l9Ts9af9psbvGHalXSrmT2/oeAmLKsM/QWIra6gnGpksaP5WAo+8hERGg
NTIoh5UQbGk/f7UwWxS7536R+7LfS/NPX13F+aWw15rmFiJZ0LIhMkIxYzqWzmy+WKykVw4gGpb9
Szo8U+NqLJyN5aNOmORBQ18VfU0qFmrGlTRu0Lyy8pH/gIvzeQTQHo8lqGGgmjzz217ipXnrGh00
8vhr65pXOdOPQDDdj565MUcnHIR5bU8ZRgcyxKMj385vy//hBwAnjx5aQDTmyWFuQ0mxM7BjPHlg
xqfetpGkW6FdkubFyzcNv1D6jWX+OCuEeQcm6L+szvwhG9RQUwdWB5sHAoGRiIbsd2KvOJGl4/DV
zCyyE3nZ2PngdHvhvTrsDUQ9HDp07vb8HC6dha9Wpr9/OXTGUNkpmaz4bh6kPAvS9/MGlnwhcN3A
h06s1SepaEnHCtQlHTaJzHlI+jpKxnKn+d4mI8mb5iYv5+1NR+tkU+JxN90jgE/MfZUJPzWk8djt
YzH1G1/qYOVp+ku9MyID2K2y2py3tziBgKKBMXlib53fjj41c89Mkn7PX/P4yXJWQrDpOXryOV+G
n+2CMosNr60wPOEPrAFBchKl0FFCSSlQEwt0GxFtBa98uvGAOsHLFE1hyCWcvLpMmWZI3yYV+NKf
/M4Am9kmS8yQZ88/nbkpHQJuU+SpLBT6ZltPa1rWQHGD7avAGZLQxz/nDZxuvYk4FTkdA6Vy86RF
dkwN1ufjwPbp1tc3zqc/oB62KVfc4Kmvn6wgtYM010K/kWaW6Zi1sFLINAiAkwjWKsmnW+ybhfmD
vira0vYmC7q3LUHAsEZIvTi+5U/tRihTAiP43QektVk33B8xT/mBhuYaUm9xGXDPot1PR6/KPHc0
UnvsUrPD8O4Q0Ayo4PZN0yLdjyq8kc4v+dJimGB7n6SE0T86P/19V4JXMy0YdLyPLl4TbOOtNWie
OhgbwSOYcNCRjPLanOpAtrZbpG1X7UlWRHpzVY+vtsvxiGg2Gdtq4Ok9/0lL0/fF3jyLkDtNz/uy
rvbCaAO99IPKzo4W9fWAcHqRMLoWWCzNIXp+kIybvMBpa5iT+zazCNvnJHsx+hxhUh4O5Rrz8NKu
mzJgk9wo4JXW7Bq1cubRJnNx/EcWXA7pWj5x8TPwnkAUjkoo2nu+72qtHahHO43t0WkH/Lr7obOc
BX3crSm7LwRiU58yXuNgX8K/zMFgZm/ABaR5hSuuDBS/1MQlG4eAOAAeaReOc1nTx7HR8SPAN9Df
l2zz8x3y1f482rSypmEj7DsF/yUt/YbGuQoAfdgmkj1YzP8Z+A05J1zmFnY+HAaSqd50gXyNGfI4
9+ohqfdpCS5viSAL3B35yrZf2h5fjUzH4ouRsSmaOuthBET/IAmMD+fnbGF47AkdfW0Qn8DtMP39
y/D1YDYoRFO5t4MMlao1P7Q4PAY3pqQWOSknpH4px5gNHMKXSVC3L9VK6Ls4Pghtp1ICIEb+7PBI
Lc77XGL8mD/THcmfzs/OwtlBWhTXvwlOO+tEdSaOdTdpaM73fpNuHSI3hXPfrjm2pW/AhTBh+KdL
ei5yWna8FkiW8X2e/FKgT1f9SiCzZmD6+5c1Jm1tt4ie+N5wXoT16evH87M07fPvsdlUlfrvD5hm
8cv4ed2mna06vh/AtNvauz6GHt814a/nzSxcAFPzLJgXwMsMEPosBKw62lZqtKs9JTILemkJ9Eam
e5QXX+LWe9UStXI2Flffg5AmWJHg0uY3HMg7q1J5erW322pAyhqlHsjbXGu+XOOzWVohVFzRGAze
WdAHzTzXUHGBnhpD7LMmGh7Bnnt+5paGt0xsLRC7IOEyz/v6cVFSz8EpSTiQ+/1A+0PVpMXm/2dl
5g5ZOrRQZMI2q4h2VXQWlPfW8CELHwIRZpRCEMWijXrOwAcJQx0EfIbak/e+vurZjxMiqB18GX62
DKOAg0kzDA8JjRSc8LsfTxCULdB8AuKiKVs9O4egYERaR2D45N1q3kwtXVnmhf2KOxyhGChzgbSb
O8Oce5pIh7LZE8DXCWr2JXRb1vBbS0sAnR/omMElogI+K3u7GdFa0dFmT0FcUGxi9Oudn6UFb4L6
LXL5yCxMuenZIlRgVEsbO1b7wbnu+VXWXw+QNF6TF1iaK+Bupu4skLufMEj5qhZJrmGuhpEGCfuo
jQ8DGsDnP2Vprr4Y8WYeqwWgpXJazFVtv4qwYSuX38I3AO6FJ/dE84wVn+0nwIRT2RC93mvxLjfA
ULI///PXxp/+/sWv65x4tLIxPleQnXzszHDkKy52wadP7Wtod8dWck6WATTevt57hdrXWGGpD5Fl
vNYMFMyHpHk5/zULi+H7KGoDfToxa85BTKSWetMzLvevur8vh5W5Oh0dYAMoGQErA1zASQquqUHd
ZWTE2gPSXF/EaiXUXBge4RmuIAOxzoQ3mS3FaNg8Zb0JDw7yBpkHzuans4N8Nq4GqPmCBuCEoaIh
mtuj1gSASfJx1aZ/fz46ukaxSQ1UmVFk/v7zy1YoXc/RwTDclvUd2ip+PPyEU0JbKp66U8v/9+Et
s3Q7AYjx3i+NrcnGZ91d0z8/9UogEsVrF32v+I6TUkbO7DqzwGeFt02Q2qH0o1he2M1KpHZ64vD+
QwIZNXjYOO3pzFJFKLhC9p5KNqWzyV2yRW/Ijz0srOACxVRBU9mddyUKS/RerAkDIJYuqNxLDXql
w55YKxnPpSkz8OacGKwg4TIH/kPhwB38ZDT2lc4uiI2X4JiUd8ixkoBCufHHWwDpCGQjEOfoeA7M
bg3PS9JSi2tt7wZMvqTx8/nhFxYG6uDoUserFhId/zLwX1xh1qWe0AX39lmrnpoihhEz8HXt6byZ
hWP+zYzxfSNnYNwcqCu8PTWqQB+Dtl9ZkwUDUHQjyAH+E+6eN0c0jvKzUsdBtOQf49EoVn7/NMvf
XwI4IQD1oaHfwMU6DzRjcHY5rDLsPS3/JGrLX0l10xtbMm6z/vPHU4X1/icVhurxSVVZ9+o6K4QJ
JNaGJFd5d/Hz4cGdBJ8LjQ5k7Gdhzmib6dgSzdkzyLCgfrKWLV1aiK/jz2tGGckHomfuXj/KuEBj
WLMSeyycPoQ1k3QlDjvO+bSjv+zY1q995laJvmdgd+wqFRQpGgE5DbU14tiFT0EHEWLaqdMLZA6z
qcoLjdYDF2RfX+UtKKtXykxrw89mqjVEnmlFTfZF4MZBLlec4drwsyPHzUxOrCBkn9lRnobZmpbk
gudAWztAA5PO5ylpoMgbe8yTfNzT5gCGQqt47/OfOydc3cgqI/KfkvyzpR403gqtkoAc515Qo6HK
Ha6sfmUZFr8DbwpEmxCbPOFXTy1SjE6Z63sF5qqi3/e1Gbjt4/lTt2gETZ64/wAWQVHk+6blptdo
uYzJntP70f6IWxbaa7DDZRsg+8KygAbAnTbEl4PR5DVShDZggaCgTwoFho/7zlA/P31TngIhFUoh
OBizD+mpiPO4AO0aYZ+VcROnl7EGxNXT+ela2LvfrEw+4MunkMG1ZCVSsjftj4o8FPH2/PgL7hxK
wTpoHya+SyT5v4+fljnA4SUjAFEfrPxZqy99emlCBFfZImBr/UdLX2Mh8AHUEc/KkzJ6B0oJt2hK
so9be+N2/svQrG3ihUr5lLEFsN1F7RpvgVkgGrco7woqyd4gw2/ZGZuGgolojPlFiSJ2aosLr7c2
TuVsDHSnSdxmKxtjYfehiQH4PsDGEU/OsQJo1s2JZvnjXmpP9nBrppdle3l+1ZbmEdUEpPvRKDat
3fdVU1nMNZYY497J3RuzVXex3668pRYuFwAekLGa6hWnMGs91p1ElpMJiOVRM+A+C7rhfyH4tGgI
+WPglKbIe84AoLAKNhcdnD+pxgAd1lZAhj6CbkoWct4/n5+5pcVBaX56piAvACmr7zPnZQyvDOHg
Jquy0G6RQMmOcZZG562cvnkRUHyxMrtxvCrTbGnYZE81+5aCd0ixBtZ+aZnaOWTFRZx+0r/QG6hP
Awg8d94PqaRMZNan4z5vOCrleqhbdGNor+c/adEKaHQm3iHccyfHKoVmFi3dYa/HWhL46fgwdswJ
tCpZuYXmmoBTtoYgkflflk5qwCSDjG8xWdKNgNJj7L749NPOHuuaBqRBP1/6v0hTnG5DtHlArg0u
A/9/0lbQFBqxys4Y9l0ZNMVGNIFfBONa/XlpFqfehcnV4o0xf+THhtOj963HqcoksFgDHvoP/poK
7al3wKd8MTLzDnYjai7pMO61hoDEpbuxzXplgy9+x3S5IqED2MR8N2Rd3oxObQ9719/R8V4b7psf
amlO2wC1AJBNAjeB2HZeehsLdFnVeV0d7j1pBXiIrLjphVkCLTbyzDg20+tiNkt+rQFv7KfVwY5Z
4OlF8PP+JBSVdSBJcb9OGMnZRWRIO6d4BbNDU0YD26ZP5w/k0u//Mvw8SwuKZHhTF8OnxlMybp30
8f8wPpqbJxHYiTt15ikzcIfruafTwwh2NQM13WoFQr70AROZ3tS/hXSaO5+fhJZySCg9FEEdv1bV
j9/BAHiA/cVH7hEJu3lRfCSMu15PxMFgVoj+cMLW+hlPYydYmNhrkTLCW3t+CzOr15Ve6eJgN2FK
gsq/zvWA0BuWAwa7An8+nSzYAu5vKu3gYMzvLbPNOl4RJYF7vuHDtRjXOGWWDADShfIUsFDoDZsF
gkYKqF862uKQDkVEHRqkawju00sRfQkIy9DjAvQYkl/fr95GaWwkdBSHqPbvfD9qmtAJ9DUxlcXv
mOgowECA1MEcoUCJm9VJ5/ODRSGwMPohLo2fHgx8xxcL07b4EpL3XokqTw8LZcPCLiNRtwY3Pb2L
YAENLtBenvLMcwlXn7p2UfmEH0RxRStA0i7q5kp1mx9/B8oKk/oPGqhM9Lp9/45kAJZ1xDE/1Ipv
dS9g9trjYmEtgJkAQwyALxPQbuZi3TRPez/xBPh6nlj1UP84CoayI2hUQF2HYPjEg2txNeplloE4
LH7o85D93EFNypHoL8NyI+V4+lRVyvXLuDyoVESxbQZKuzi/BAsLbUD7GFeoDe123NnflwC892DL
VU55aKwt124deeUXUblGl7JgZcKu2Dh3E07Mny7zLxs2dvSy9LqWHbSgkB8fhf9nzXksWjBgAC0H
aDuap9KchleC8B4rYV5x71eaPaLHHy2HK9O14HCn/MeEQQRvOLKc3z+kQBa6txWuPM0ubvLOjrTO
ioTytz1BE3Yg6tfzy7Owf7/Zm01cmYq4lTnsQX5i41hqQ9YaAaYRvmdTgeDDQUdmDVnIE4mOluRj
X/QuO8RiC+3GwPICsSafsvQVUyOuC21gANDmfLlJpaeMxXp1aIZ3w/gY1xq9l74ByBzQWiMdMhUq
v6+KXrpuU3oGO7hHUwW+nLSHz6/DogW4QmQ6EdKAaei7hRIkWOCoFAh10PvjZVkIsZ5gzNdquUu7
ePK4/2nGnL3aRIFuKmnDTEU3FnvQ8iMagPQfJyNRvp/kRcCbhb5YZ2YEEifco6pgB+F/0GOz1om1
uNgoj+GNhjOPW+r7VMmydYFxINhQPiKSrtyUebly/y080PAJ6LfH1p2e7fPMFzGE5tW5zg4e0QLI
hdkQNkj4R57nG6oNQYrqT8dJwHu+MndL+2DqkYUPWOJJ8sqUyXq06YGPH6b/pItnY/g8v9UWghT4
ewRzgA0A5TjvXrfSrEloh6jXoX6oV+a7mxS70WZ/PWEEfrJGLrT0RdO5JATkh3hMzRLrlsIDp65j
emjRzWryKtCEvjH9/8O8Te1gU7oIKeR58FjlaQs5e1gR7Y3n7to+Mtb6o5fODvgo0egNlB72xSy4
65NSy12BO6ah10B2bDJBg7q7q7s1cMrCAiFPhDe6jv0HaunZjHWGxYB2HNKDov1ry/QIoWBAEi1w
VLvpO/flx/sBaUQAPxFi4NU+J0/3hQLDYMHKg0/3BPstfwL7YjDgHxI/nje1cHSBQbaRGcWzcXIO
349u0VMEyK2NYMB9cYLW+PllhlYRcIChmwdRwHwTxMMYg2BR0EP5mDXhKqXdQt4VmUJsLuD2QPMG
zczvPz+pRqyMRFicO78TN6R9vvMUDYt2qwh0Z7dxnW8qdhcbaxH/wtb7Znj6+5fwRjpuPUKamh96
rbtVThe5vXlT0fgSFC0rB2mu6YukxPSRIPecGrgR2prfbZEqLUHBhMjcBM9Ykt95xq3V3ub8jTb+
xvF+Of6jmfEodlTYrB2xhegHqViCvQG/DgbY2RFDR2eiS8fjB279VfLaN2/QhrFxh10sLpJVGYd/
acNZaIJ4YfIYeJpDEm12rUsBud0EVKmHpHoY+jrkXo/ELA+Tgoal/eEkF5bY1OhzMEDvxcWDb24q
/+38kfjXDz/7EcijwuFPyXTzNM/EhVtYRicPNgGdumjqABWqKE6zrZGYjyY1tk1tvqI0hv5TGlDo
ZrRavU3wIKCDoki7skjPwNwnzerX+Z924ofwRJ46nqfVQFfynPU3oV6bjjERx66/hwBUMOhbKTdW
uiPJjzNVMIA7yZ9oeiYU1cwxmD3vGikbfjQpDXc8KVZ29dKn4I0zlbGQ14UL+r6pHehQGqmnML4e
VMYQQV8vqv/U4lda/T4/aScubpoqgvcaFA4m7tCZ8y6LXJk9s+TRCcd+Q9Pt+eFPTgiea2BgxrLg
mE61v+8fYjNj0EfptEfb/CzYMet3RO467RDb4B+yVm6GhW8BQaSNdkzQReAJPc3qF7djNFonTaeS
R6gRauRKfzj/LUvD4+FsQcPRBWJrXkWqaRG3VpnKozQ/k43JPn8+PEpHwFShTgX695nTnHL3XuEY
8ohm7T9qLeBY+vFfR5/NDW+o07iZKY+C/godcyWzdxI0IZ/wdfRZjGvlKmlB+CyP7/lw0N675vnn
c4P8ERyOBcaXk8quVndli0KVOJbsTbE6bHTrxxt1amPGKwCJVSSJ5761Ap2MpmdY3NS/7XuEzc5N
Z/013ethvNDqH79rECXhUgYeDK9MpElmx0KzcDF6VS6PXYqEG1UhZVvbfYKw4U/nDXYAnQMQAjKd
wA5/PxHAuvhVmzTyqGebKtt0P80XT5/xZfhp0305cD2UP2pWYvimvsn4U/ljAq5pfBDFT+ybULad
p3O55edpEmN8oryor5J7IWio6zQkEFItTO/x/Gyd7mKAdhBBID0No8iafP+c0q+Vm4x9dwSuMdC7
j8R9droVvs/TczgxvAEsjoABz4w53Uw3JgXCyrw/dm4X2ZWMjB87QRhAMI4pw/gn/RNJXJepkzUd
NnJQp7ep9vPxURYGGeX0bAFZxsyRYOrE4JHCPqpt7YONGSQT51dh8nPfAgyoqOAOn067Q8B3OVuF
kRYl5KpS++gX73Z+zOjWJNu1noaFpcbZw0HHmxwdUvPIDVD3AfFNZh3rA4iSI1XTTfpjvkB8yFcb
s7xCq1yF3QYbWWZEWfcsoORxfqpOb1dYANsyqnJTTnf+xLOqpkFLKyxAJ56ad7hYtiX7IMMldA4K
sgZxWJgzvLbQMYXOsomnbvr7l9NOIMMOWIppHL2RXBQkAkOZppLd+U86XX0AcIFGQQFngpbOPSN4
vykzCo8cdf2jBx9818dh32ZIYzThjy3hSpneDtPb6ARc3GUAnSCXMhzVYPhaIDrZXhuxa7wXXeZH
CL/iH8cP6JUDNgSxO1586Dn/Pn/eGA+44JR1BJ953W7UWuvsv2zY95MD9BZUddDGAbeJs/PdgDTd
uK8qZh51X9mbRLPLkGalh1eBrG9HOiY9ivcchNNeypMImtfdpdVZbqBGXVyP0N685IxmB10KFSSd
zHZ4n7p3MSgnbkw6EG03OE5zrxNV3Jn9O0jFgMt1ICZnq21Jkm7DJBKBGeEuC2I7r+/J6Cab3iba
77os9EOeO/3PdwtqSsitgRQcb6J5x7UPtgXijNI8euBb8MvHAfJQ/bgb1IrXPn1lTsUrmJrUCAFI
mAfkfYF0a5NZ5rG1s8DsHhogLizv91B74HdIgqS/aZqdQS8dEVFAWM7vVDxgFq6NCe45tRiBxPGE
RVVA6yPuYsc8AqPxbHCf37KElBd9ZuUJEJrGIa6UuG8cg4bYw+ZOGgN4gjs0OAb+SHsa+j0ZjDD3
HbHrbVreCKV+1577mxTAd3K79NVGp4n7a9TT7Gl0KjQzuSnKwaFlxjG2ifnHsdD6BYydeSkKNqkc
+H0e5VLjm65h2s6XTn9I+6Y/aIPv/II6jyMgPOlqW6VzHZ1RyScX6bZxoRadZZgjIbQCo+sybBMX
yWNI6Fxmcf4714p0y5UjA98qyq2pp+Kj6PXmpgdN5jXzFBLy0sjeU4ZGnCAdBgO+WyFGKBNrO0o0
/Icitd8lVTZKpm72iu3sFAE4JY661z2XXV1FozsWL9R3q6jJ9HaLzze3cDx92OrxeJGVBQm8Ri82
PNYQ/qniCYQ6CVTGNLIxG+33OFieDFo1GmngJh791IY+DRoHfsoquHPHB/0p7kjxJEGGfaFzaYSe
3bhlmECLUY9SNLqZmybIdfHSFMp/7VDdraHikZOdzptfhWhfdJ/1gV4NxrXnY9ID5pMklIr3b1BT
c7E4lT2iMZnSp4FXyAMYmh9fDqZZh9TIoUSTdVYVeJLRMmLM9PZWY3SolqU0jAUFYqfQZfLgmtXw
JyPtBwQX6q3g9TsbkSMOUlNL9MAiKSpsZes9Q37sua+9F2McB4i9D5TslQt9RyBTQfeuDUlERubx
gLYJeC0dv69k2Gga++t4wKeVSZyEbR2zQ4Z85YXly8chS99tvd8nLE+NqINIRlaTD6V3Mogrp7+H
pEinotpr7Oq2hiDNrpPss4SvirdoagHVRd3aj07WiiaMORgRIl2ZIBVOWq/2Qq8fsiNwQ6/MUQwx
lgYps8HoDoXM3nXh7odc8TrQcvba6fxPnwo4/yK1QlaAgaazky6EhpwbZDz1tjV35KWvNQ5UFDJo
uZQ8T2kEwRDvWo1pJgJuCvCuJCYPCMRNNg7E0HdVPiZBayse6WiK/+RFzy+Lgj6VA1wFqQoLWsfJ
S1Nr5rPDjOpyGOq/wlF1Gzg8YVe8HLSwUfZ7k0DsPtJcs/YuaDbqf+F84qCSUHNHhKc2Bvit5R7u
GJyCAsRltGuguseLCrF+lkUlpHUi1DKfqY6GkAvwAicpqA6KxrqPCdA1Yy3HQNiqivrYLHDL+k7k
ltmnkwsWuXUOC5Vnl2D0EqzcAlUzYivZRmB05CYfTMICa7CEuKwHagWgOdRDJ+9EyBIB9ryygnCC
Dto5guapEOlVFZGh2BspHLWy+t+gUhY7p6RJ2MWWHfqGMI1tl6LmG9aD99cctZredIW8LaDzcMs6
BkmVuJJPBqU3Q67tS7fi2m5scWOFtUVaMKhmj3FfvuleDsfTZbY1RnbWvXIwlHVX0svyG7uVcGsN
K1o90HTwtNM8T+OgcBNxy02CVrvCL7onRmjSXSpbSy46myfHAdQhGvrkGo43iM2CQkvMHW7z5FIo
yrJNrrlNvMNWvS8k2akYyumNUby6BGQPiA9l5OAXhLXLqzAttKYJksTIbg2vTx9kHxdR17at2Ax2
d90RgdPHMk54xPre+2Mggtz2aUz+xHLblNsWbQsbEnc4AKAnuO9zy4gBWHMSkDkT705mBs2iorLl
iyfN4RFV8t+gQyfXVLUPrMRqaLpFXoHY87pAz+o09AtXJAG30ASfpjULxq7swxKguJvEhmpNCUWf
X42S8c5sPfoE7XGIwedv6Crjl54h7BujdMwbT1TlFsdZC1u7hXYu6PqCXCOQXDTNGAwHbNiOQA/e
aEWssWvTads+KOn4GxRaubYzUd0x/ora9cAoqSwjKrq+ixp4+6CEsE+ECroVNY4QwOYpeyTQqav8
oOssPzC98k8rzC4stRbOlaH16bLnqU5vi4ls5qahwKkNAG/UkSw1qwI3v536m4qC70MZBBeR4XQI
YnuwJGYcUgT1hdkMb9VQepFDwQrAjZFeJ6O8qbtUBaotgU7Vy98+AijwVaX3yh2NqG6lubFtKFGQ
Dp7V7lorqC2uveHi+BysLCOhqqom8oxBYoZbvH4C1hDO8elxpu9c3H9FNJZlX+yGgVHs0zSpAmtU
ZhqqJiuDlPlozLWrJzIIzgPXQ5bZVHEfAUx1kbtaOJZo/tYZAz0qfiIxKXZV2Zm7SjONTZYaXpg1
Xn5r9gUNyqbcTYrYsY51US1+GK7q5giEPnkwZMJCdK3jkFqtALFMDsLyQJSKPYNpt9zygRgbOyti
bNq4Pjp9DwbQmIt9B0zIhQla/BuAh5Nd2Y/Q2lLd54CpDHHj8tBDdfjBAfPFbkqpR9Q3u41pdS00
R424exMluP2Inj8AvRVvmJarN/jB7q0shiGCi66uKi+tDx6nFZyDa4kwdrviziiH8TVLy8q81Rq9
ewdbtxGMUpohYMU4b0qP36Skf/TasbcOnEJAiswI296IQ641xaVTYzp8t/lrmepAOh3BlSUAh9K8
o8dzc+s1qSPDrAcExES9DklLJ77QTVlHMU+rEFyrWWjFvnED6d48SBxWX8INs4DlXrUpMuk+4i4T
d51ZNFd2AbKZwsDpaIzKzUOo/5JdV1jNLjaK7tr34yTw0t4z8HhTY8A8Jm7RfG+9mW3+ogwvfe5U
XgV274nrEj4kMPIcrYo1AifuCpycHtHcgzcKn2+0tjeDJDfZ31oRN8JvxYUOYUwaDDH5m5Sod0ct
J4+W6uv+QnPaQt23lp7+qQ2EMq0pr6Rv7JVFsxvQo/oo8At/LHY6xEpkOFbyhmTuoXC6AlsZulyO
Ld8STz3wXFQXmk+z0CjSHeI1z+7BEdtv4Wh3sm7ay8LRrEjXeucS9IEqBDBfBJK0RrvNKjD3SX2c
sHq4ss2B1qHBwJ3Q2PQuGc1kE1up3PSa3uK/qCM/+SVrl4aN0OQGWwQUSI4ZZZznQe974w7X7ac5
6L873m1BKcLQR4EiWOHvrNyLRGz/TUxGgrGI0Y6CZtbAlRm6nXKKXHWWBn7e4SMcyCYj3zHe8jY7
8i79QBtwue15UaMcWL+YBYS/SsN5Gwc7uyqUfd+ZBnjSPP5JK+bd5Qlp/qJPi9xkXtw8jl4c7/SS
gdxC6/InlqhqQ2MyXCTc6fzNYJUkv4WAhQg06ifXBFMOnmC05HtuV+FNKhtbBWalIfQq0Aaz8bsB
+GsP15nNmgrBmwahnxp35SsfcNcFRJjp0QKL8hBqmTB/NZ0r34yifgcd8a8uceKQjmmNsC2Hjk73
GEPB+yCkQtSXwr3ckFq1PCoLpyRhnne9DD1cSH97b/R2YGRvfyFkkBFSmXYATUpUEXMlxSZNNLGx
43LY+IWRX4PcQd4btCMPtXKyrXC4jUVwiiLMk5r6Ac+G+KlQHHDW2KhL90Y1bmUEidWOY5S4mrHV
DPIZp6q9Lw32JB2HbuB28WAgmbjQmRODB6gCWK7VaPIrq5lChCodidmp/XRXwR2FHRAx75Ymq2s8
GkBgN2pp390wiwrjseQOYxegss341kFkCwb7ON8WpSiiIksfUW3+WxWI8So7D027GeDvILup+eOn
77cKLtyGr3Hx6wss/4YWXvECNKJ3M3Ij3/Q5mgAGnOajckbE75VQ75lhKwyrHkpd+IjrXYUH0NCE
rBbU2lQlBdciS/VHADY8tdOHPMsR9LE20a4LH2TSJW5uzWgQmqKUphohEDCObJt0BL1hjea8tVig
t7j07eTWVqizuEBfXpCsr6xL3up3KOO3IOVszSqkVkMuytw2m03qSSQ9kwHVQ3QvWHfCyTy05pV/
jNxGMAveyTvdzzoEg1161SZAlwU6srPPWlMll5kZJ13EDRC2aMwBSRg6YaorX1C4G/4fpJ3XjtzI
0q2fiAC9uSXLtlNVW0k3hKTpofeeT38+9v5xdhe7UERpD2YwMxDAqMyMjAyzYkUc+W+97pm2YMTs
A6g0eOTyjBYcScnWliz+0rUxEmnGwAFWe/OQ11VuV6VfgBEeAyfywmdRGgInLNOnRKxfMkpaN6qV
4995Y837blaO6yfJt0xMUqcnafGW6ulhzH0cMbExHL0Ruc9+5u8l3ottIOXmFj4TmcusmCuQ+ekN
XJ5i+Uhjl2ybqluk917nF8kDhC2PtS7+ZHhW1dy5Xq2aR1cUYdoaxYZphEX8J9GaZ1GJX+Si1NBX
tX3zRS1/MeNKym1BHsa3XG36h7Yo78zE01c8lBFab5k/22B8I4eQ+ilvYC6IO0/XhJ9hGoo2iSR6
HQKjkP1NYHTJowsl0pvu8evVLDN+t2ND4kFVjjCWa+thyF+zsAmcNOReJGb1XrWmxy3L3tSuTx1p
JBb0+yKzjULQtoUep06l0O/V9Jb4jN/74ptq8AZtv/ELAjv/ZtSkgge0MmI77t3swc3kvnGymAg2
pgtpHQNeuWsgHhM30ui5j5mZWumKyRxpvhvV5rFK9ai7C6KJkjXWCep8i/7FpnPfpXZ4j+rmti1C
WND15NdgjE8ZaYuIgClvk/vGN/8obqraSQGWeF34Dc9RJ0oNPI0m+DLTSCE5NKE9A7tQZxw4Iwfk
vVVnBp1jarHXMvG32Gu/VasJnSzFQGqJ+FuuaMiVMUU2A+Mzm9JrAgii99mzwq1fR/BZzmBKLjco
bv8t1FGwY83wnKE0RiKg0vfu6rRtbnJFaBQ76vI7d/QEGlc1IFah3GrSKvL0tz6nh0QKhkMf68aK
0J5QrwtCDIv1XIrum5AHgs2gdXU7BnHuDKMSMwDQ9DdZ6Db8tKA46l3aEsPnU6eNG5Y/YWCoV8GI
h018isH2h+yhNxXW0NF4Go1x+yx0Y/wrYqLcdxpf03YHAVv5LQRqb8s8Pa3TGerTCG3aSwFNx84g
sxc6si9Gd/DqaS955AXccL2sgWsyrcvGX1R+5GA996Pcd83KzQSj2KRZom/bpthoeSq+ERB3qwQA
4EMLVey6SrKKthNF+hVndTPsWo9ufWIn4K0eloJX0LKtWiycyrTGbd6b39l618YfoXfIxFEdRvE5
i9VuFwVE/0a7IxLcWEFt3Yil0TH1ww2ah7qOSvXOYj7tutEC+SaozNIBZ1Gu1K5+pWSg7HRB/mH5
RW/3mfXityxMiTSmJWt3big+dW6NAx55f4wq/4FLZqxHX7H2Xal+yy1gKr0RdU+559f1uizF2ClF
5sc6giimq0Jxg1VpEs/Ug/vbgL/N0YQYwko13iWxvJMLfZcJQ1I6uMiFbejjusCxsvR4p5TfTWVX
65UtDdq73Hvlpipy6VbxfSC5lCLeNTIfv3yjJv5ORa9Z6fHEoxyn3wg1X+XKi9ZR2yZ4nFW46Syj
sqOmiu/I3T4FQyH+GIQgv00Sw0hWnZv/koSx22JXg13pj/qDq6rdsSungac9FEuiET4n9fgn9DJt
28LZPtiV4od3IWyGL+HYZL/iSuufzdh6SQUx9oET6mTc4qBdRVwLJ6ola1/EQrIKYejKbFLO6h+X
R+QFGFIr7cYw/JPjIdx6vSLeBx4Z0b7rW1vExtyOZi5/q6VEJVeTCKLdqi78zKbw3ZK7gzqO0rZM
1W6dhXVw18kQSbu0INpBk/5r+sJ7qWWqbZnhkxFBbJfjKa/MQPztuinUui4YOncMjL2nJbp+00Nc
96qO5Lsqkjn7hqjL9jL1pW9KPVq1XmmajuZJ9Te1DEc4MrQcf8ASfNKniWE3UptDmB/mL0HqIdM3
3lpLbldtbEqPXafk70FTMErHxYJCGDGO33OehW2tENpuekLBY6nLxI+6nud/KiWCM7cqHkuplmGi
hrXaqUO/qx1JTp/TSO9veG2pausFJL5kMDci/5BuKsjJ5L97L8I46W3XHJtKLr5DoTRC+Fkma68U
rIfEaLxNOKbvUUm4GNJpazBRO+nJG1o/SQqEjlcn1dsI1PGb3sue55imO7JE3JcbXS4CkWk6rrHp
3KFzxCZk1oJsvg5VGbxbpEAP8Iu9kXzXd6M8KA4p4RGD4g/qenT1N4kcXjxiaHVGG8Ax6Ud/mlKu
nYFJuTFphTYMVl0uDI+RUkXvxgTECdwOo2h5ys+a4PNWGM3iH7eZ1EBUD/zuatWXlBycgozZSraa
dg1Ornh2LQJbqbUe5dZ3nVbNDFtWMi5nmnR2rAaq02OENrWaeb9CQECPMHrUj1JVjRt5rO9bvVMO
QDvDxu7kYAo2hEhFvZS+x+wSFRdtKW3TYCQHAowd2E1OhupmVChZqAw+PtA/at6rHZPkhkRj2jLG
47EuO2tchWJq2rEltDapZ26Tp8CTLQGS0p1CUqIFnMK5IhyUO9JU7qPFaY5+zHNVwtcalCejfRuN
davssu76Ci90PmB1IHahk0qd1S0jw8TbSCKFEvVKCnfeUpv+uVoGyKmpeizx1xyWqJHDUsg1KU+J
sGa6s7TEvHzm+xOmAlQTDS6MV53B5JJIdK2ossynWvuNWUURL5djzhzB5+/PEcJ6ZXQk3vh+nLfk
jHZquvfIwF0WsrAIZVbLIzs/mKR9TJAbdzwtwkLh7NzngRgxUwH8KR2R059/quXKZHuYraMb4Olv
3r2lERRfvw7/I+0NIL8Y1wtZ2unXzcFSBCVolCdAkcLeTHaX9+ZMjfjk87O9IaRT5crn82J+Zxn7
dtx3w9aIlkA6S6uY3QMylNQ9hFp5Ssc/Y/8c/L68iqXPz8rBcl7lHugJ5Smvd2S4lYUTPrtJ1Ovp
CAYboGuzM4ABL9WDXOPXixszsofcVt+zJTLec2ugY4LRTEzrppNlBglwc8mP8hAwSNLzSg6ZzWzX
63dponCZ+GAB/897joOwoiQNJ/STSk4yUNdJdm0bJ92bnwUYp7qqh9kY5hDJPTVKa3fmyhWXOgrO
bRKtJcxiUWhiR9apBKFoFTJPsvr0Sh7N1t2l8vC570N0M81cm5o/5iiQzjKjQMkb/anjPcSLNzph
4RCmPZgBCybAEj8f8PHXib5NpFJHVWvjqe0eRm8FH0m3LR+t9PobcSJmhiIUkjDyLBMxOaWDlRdf
D/iQAexqdHXRRfJlzk+RkQLx/czAadbuo36lJVuVknFJYuayzn59IMCwgB2hYYA2djpzTg+81iWl
TXKLeEMdg7tBS5+oUWjfcgYOLEj62vgDYA34is4lpPsCRT4VpUyBd2qK7pP0rTI0qHk9oBd/cvXF
CjJHyB2pIdWwQAfxVd8AsQBDoHsFwfK8u8xt9Mw0+tx98j1v6wrC5nh5+858n55qGhemeVxwy82M
ijGIXay7efBcZN1DKiU3inQ1LHJiXfyvhMl2fnr9sqS2Krgdg+eGklK9FvSrcZF8H2DZBDCDl9Kc
nUqkMROpUaLgOQyxiM5if9/ZHYLsXeeFBSw371izmrwRYwjxniQZJECyhd32L47gk4CZBldur+ZD
gYBc3FTPorygtl9/P84Z+GzAth/z4mefF9vaVTKyA0+09UU5rMJX23S+zwnAlzu5yfNOgEjyhDrr
XOEpMW5TaduZC/bw6wUHjfpx7SYiWEhrTvVHFmoGQEha9GyO+9R6DvVNOtxcewKnIma2MO0LTQQD
ED1rworWpmSJ0+XMEXz0n9Ljxvv95ZJ5sBZHWsrwOVXcJzeZd/UNsCQdnCggVzqovkDR2s6Pu2QU
wuf0jw+6ub1egegxB/WIgcD2GbPdiYpETorBip4VkoOynb1dv/mfPz+LIOS21Guj5fNJems296Wx
8PMn/Th9T6cW+f//8+dTjFWqKFGr8n2pcXKDkqxsk56kWugE5hJR4BldJUoE/A14bOLAmt21PtR1
P7aS9NnQX7KmtXvGm40L6/nqa04Us/+VMSnbJ3taJBWkKuCnnoV13gV2u5am1M366kM5ETJ7Fkw9
pfHfRUimMDgtvB3Tq981VgEHFY269MsBQp2totDcvgrT9BmDvh7V4caNm+1frOGTiNlhdJWrp64b
p8+v1XDfh1c/a0ydgv4HdhuNx2dulqK4LXuPAtdTEv2uM0eRF1CQZ2wG7Wdgsy02iv712THHGfiH
PnP1p15cBXuQAFdvzsnnZwccCXSyAvfXn9qg30AClkXDgp6eXQBUqdCQ4LeA/D094VgO9LEdOzao
BN9lMMymW5Aw/cbZzQYtwbvGVClSJ3NfPHQrieSTaTx15QZQjx5t3HZzeZvOXDb4eYgnSHF83OrT
RWSAGOSMAs8TpLaOGj5kwm3ulU589fwC6CDJzjDFE9bGqbPyVE4OdDiAGtJ88sL81r1JFr2kM1bw
RMDMiPuy75cDxcqn6F9QVHWw0QLHiOkVXbh0cyeZfguK4fBWEQtPsOh5d3wrqW6V94bwXBv4YzI1
VvlGaF4NWheaZj9awwpsC8lYf3f5pD66CD5pw9RIAroc2DBcWODZ55mutA4UyXN75XnoKa3Tlhmp
tkf998UaB2UbMGCaVG32GtRa9+4mcvPeZbp1m+ad+29i6clN6oqvOQMxNonsWragjDLVrBb0jSKA
JKyLCn6KIfbNR78umGHWyP43GHo7RrxDte8kN63i0GXSFR5l2P5FMFPKs3m1Zta8taUInG+lRgEQ
B+hqX1GrZ7RH1APPTawovgNe5z92lvZMW6e4urwx08l+3pdpFjJwQ/DaTCidkNWnqhX7TcbIkdA/
WvpvS9uFwXMS3KilZRdWZXfG0oyM2aWE6gZxNEpMaVPI0ebnX2UAKL2u8Bm+updKxqC+9sp1/s5/
RExPB2du0jk0uyyR1BW4bKZ3BKdnSk9peF3vwPR9A7PFdjHRd7qVpzuWSv44WJRaDwV4b0l9lpvr
bPuHAPzxaZQmaVOygqcC4jRtBLlSrUPSrcWN0V5n2z8+j0Nrko+VsL3a7K5LZm4MkqdZh7h9uGu1
v/jxNJiScoSrX/7CFNiLSiqJmWEdmO6RaW9dshAOzUzu9OuhciRljVmHKWse0Ie6ECqD33nHSrPd
8I+iO7Jll951Lv8XKbPn1bP6IO281jvGcboF5fPLKKPrPIT/E0HfIU4zyaL5vMhWdNsEtnvvqA/D
lmLmbQlW9/LdPr9X/xUxu9uJB3fV2CPCk28UYWVqjp9u66UcxJkrPdFwkRiEPoFG7FkK2FLavGjp
BD7EpWYPCmQ9++Lp8kJmzsK0V8SoUPDS7M6NmE+4lUy3Hku6jQ917ajljhLZ5e+f2SjGVpAex+kh
ipknyRMxMKOhFrlx2bsodGASbvJWdrorCY1YB7oLLYxE1zIbZc6uXh+bmgeu0zqMf+roW/zatFff
PgQwgFKiOZczmZOeAxROS80zzUPq3QX7Qr9aZ6eHe8oAU7HkGZ0plCRUZGpi2TzQSjLca+H+8jF8
0SRacElCfPQQMS5hXi3qNcF046CQD012q77L3a1kXmv7kEAnJg3jMH1NHTynprUUercUhko95KW/
UiuAA+N1+Q4FPeKI6ZmEvpSaznzoA+hN0y9DST0ksd0m+8RcUNWPD5w82Jww10yhrENWDu6D0yVo
rddWqZuPBz9uVqDm7dDf1j0wuOAmLQbAiA/B8NSJPzxtXbo7t1hQgTmTybRAzPpELyNBBCTPO9ta
el1KoKjjQdIe1VJe+a4GXcHtCBQIT+ZbWa6sf0dvQTO+GAD0jqCWoBkXWCHNc7roThLwjSFHOegp
gOTbqF4wMHMD8OEdKpTIYHqA0m5+ap5sYYyNVnkOtNvv2yy9i75fVu35Aj4EqNCts4wzSZi4qmpL
FBvlWWy9FS1WZSuv/jcJs5C5SmpJVn2WwGgtYev+xQJkWPwp0PDoTpNmTk/ATymcZJXE51VhG4T+
bsFrU84cAcwF0FOo0EWIX9gvlC6gcmIWyjOTTKE/d6PowTOk/EWqM+8gapA9CtrI8L7MDVcu5ImO
FuXaPbAkgAxtZ1QbQ2m0m1yO9MekyuotLZXyv3rX3btDnOxEuTOBcAjhqgiFfG+NlbQNNYGOMKMh
KSZVIKnNKt+0NdDaloYz4NV+7wwB5AAOkK/KzqNG/KdgFoPduJi/ccBxBZ+6xNB+xgai35RGMK9n
Kv5NHApq0uTDQYTJpblXqxvBv9aB5TLhnpElgtCZBMvMgrhpZymuKvaHWP5HUgIQ4O+XVXHeojnZ
CCRoRPfTG0Tm91RZZA8gjVd0PWa2tIO6o/fVGWu7q78J44H2xR9aqK+1HgB85e0uyz67fxMBESPB
dPpQZ08UKfpMzIK8PyiN9cqs5O/RoD8p5VLYNL/P0wpl3H/YbRn6gVNyusJkoNoKFe1wqAqx5aCC
ch9H8RLCZPrKzNYrGFkqCx80uvNoKbASoWpDYTh8gAxrXkXxnbkpjiYmQOEfL+/c2SV9EjZd0E+Z
Q90D9JfmHg9LBeAqWQHeWHq7pkL3l/VQCZicIPI+8/VIJdMfLUFDua0nMwbwqcfbpviRS51dyr6T
DJ6dVBtxaQTJ2W3EDYbeEaX80pvf0nUQQe8zHPymYnJYqz/3lLMiPXNcrdlWsbjwRs52UsWbp+0b
l5e55lMIN6v3C3k2tG0VKodBvpHLdy9dovpbEjB7DsnnKzXFfuUgdiv3Rh8Wzuns52n7h1gc9r0v
jf+truYJqHGFNoHiX2rx35osXl1WttmR/GeLaI2nhRvWsC81j7FIJEiCJflgWO5uMFe5aNAR9jKU
RyCeCyWiedLp/4RNhOUQ4qpUaU81O2uHsBPjRDnkcr22xpBSRb9huvWWMHknNe23UPXWqk4DpNTr
z5cXOvfX/iN8SkRiLwhbvyT96yrSg0xRDkoRlU5Vqre1b25lyQfclq/HCkysFNFJNpjCD7mnR8C3
vG3gwdiaeO3fbQXwDZLShJ3MizvdCtlvGn80CuWgRzdl3lOhpm/W+20p9cp1x5UsRSs/vwfJeXkX
Zlb5YxO4fFRI4UubEk6nYoUsAcYuDfIhMW/lce/VN1V7Xcj+RcTMfNFOkY9a18sHMXup7+Pgukfz
y+dnGzc2aV4oVidjQ74rxvcF7+fcjfu8P7PAUAOD3BoA6Q/yq9bXK5qYF+7bkoCZ+6aoDfMUagQk
/U4XaWrylgrJ0/5+su3/2SCm10zxG6w3c69CyiJLFWJdPuhho9P0m6jbepBa3iqBpm6zvhL69x95
GmEBQbvONLeZShWJMZbpKMuHtNJWpOS4LqLTLuUrz60K4mFSTcycpGw3O5jEU2EsJHF6CKTULqVH
07xP0p9RtGAllsTMjscdirFXBsS0Umlr8qNiPPS0Nkmev2ALz9ldSTeZXADbCoWRmaCsllPDD3L5
EObAZ4tkmzXSLjcbB4ZKLIGrbS9f/HN6N+XdQWkC9JGlmTxaDhLJytG7nnRKENqMs1lY0YIEefbY
JiUt3wNA/4PWPvX1i3YlpOtDz4D44oHhUuJWzvQM4vCg0FKFm5PWq14LHqpwqVgonTOPElvESAZC
enJcp+bRpfGT7rFKOgyBrtE6b3lrI8vEl7gvu1WW69ErgTH9ArmaP7dwPOzTXB6cUG7cVQLr0Lr0
g/IlLUTr3ivk4OXyEZ5TGTK5U9IEYuYvGOFybBWvC0fp4CvRFpfUXIlycy+7JU2GeXJbl+aVgNuP
Leex5IEiIOf/ZkojJHI0FDp5oF67KTaLROnnNIaC2kTXxFP0xQs1E1A8QunzBqaGXRm//WjJFp7b
MhDh/H7ok8hSzxyOxLBqOh1c+SD0hzD7KXmmk1e1Pao3TbdU5jy3ms+y5FPdGeioz3XRYzW+46bV
Lk6ihZDqvP/0aTmzmKrs0n5Iaf88lBOPqDBk2T3TU+kZAhm/ttpB3Ghwie6yEGQrjWTFmm7Cpblh
55aJOkA0THqGIujsmutNEQ6CP2iHSJR2/giBXvp8Wc/PXUJuIATQVC6YAzAd6qf4R5a455kyageK
O7aaPQr6IZKCBWv14e7Nn0nY/7C8iAKwN3tQqt4omEU/qgcJkslvdcoE2t7vRfCCwtjkMBY0fzyY
NHawp452Muiewzihm0i77xTVVewuVl2aUxLtwbMoEtly66pMtBzLws4GWva1NlG+VZWmrPus0R06
eisalhSgqK7kkZQMJP3PIBr+fvRb3sxhiILN0Ov691yMaU9JLIJLdchoZijkx7wNW9uT87KD48Z9
sLDdeQPHrbcV6m1siM27P+ThUR6Df2St9F79VErXWkubY5bTFWfGQ3yLuYvsbsy6DYOdWtviWuxE
N4x/Xz68c+pB8KjTbwrA+gtTnRI3Rp3lkX4I6xvTummWGiXOKQcTKMhQ8ZYxT2N2BcJWontT7TXG
e5qrshLWdGzsQyh+/mIZn8RMy/ykgzGc6nWgoYMi49LVVZtvLn9/aRnTn3/6/iiXkZfKfF+T79r2
QZOPjbpgLSYFPlVw8C4iqe//lGrmdH7QCdRdHCfqIVY8Y281Ah3sQ7NhzLxrx7XZ3wZTI2OZd9r6
2rUheKKlZ4iDDuRjdkQxXAxSlATaYRQJa+B+1sM1RveykK96dipkdkBjnJAdjRESllv4hr2l9P7S
92cHZAZ5olADQQH+bcunqHq6/PPn2Xse0+n3G1Qc+Te7NHtaNT0u2MBQO0hBu81E1emgXIJaDhe9
qu8S2j/lXhVtJWc2kNSmv4VRXlDBr64ukmlgNKEFhgXxS5wg0rYbdrp6EMt8rxAy2AO8krBjPblF
vaASX3eTdD5+OykYSlaUfk7VnRmXtTzmhnrQmSBTPLn6Qsz5dS2n35+9vUbW9YxdcdWDP9zxNyxF
qUyr7OryoS2tYqbYvjpCiDKtItEdRggYCyo9qdTphZ0WQfWUbADpTGO2iF4U+1HUWAQZWtIfdfri
L3WOnBUBQH2qr4KTmoNvkrCxugLFOgx0dwKx7OlsDoeVqPgL4cbZAwFYAjWgNaVNZ9dHyAljNA9B
lpurj0qsBZu2c8Nfo+d5z0U5pn9zNJTCAM/Aey/OvZKs0vs6GUrsqfus3Svdj784+U+fn+mvotVi
a/Z8XmLUyi1Ah7/4PH4I5KhTmm9ejlbBsWQabBqHTtxTVl8cGXNWccldg/OhZET8N7t+OkPmRINH
c7jJIGksvfe/+f3//f4k/9NrVslDKsIYxe7bRnxvZQsg1LNa++nnz5SpFmuZdnQ+376Zg62JUCkt
qOs5CRMYjlwcVXWooU8XgHNWuePI1cvNfS5tlTzaNnBRXb9Ln4XMPM7QHTSIURCip7eFE/ULqauz
a6AuaEIGDihHn32ekbSub8Ikc1DMb3J2V8kODcl/sQJ9gqhNDNTIOt0mEXqVqu9Mjfhjj0+7NMns
7AqIBeGBxTRZX5poJJKwg57rB7gFhuAlyB7G3vmLFZD8xcqCzqDmdroC6AC0QVJxT6FrazdqbZbr
riuzBdfrnPXD8QHZxZtH1uXLfbOY8YD7ehC8sbQF1b/v22nkQnPnm0tDfM/KmiibKfJB2TvPqSv9
oIYKKOGD0ML8AHonuQkkt9xCgjFNxFR85XjtFjJ4nbIiaVJQsKCrT7ewCyIlDuFhO9TVPjB3S4/s
VyXg8yQTaa3DXTDnSiD5qq8mfqYeejjszBTCHQ/Wi3GpcjP5V6eP7YkYaxbGBokYVeaY4zEIcW1s
wbknB6WT0tfeT+UDgNTIA0ZaB/sxy4d/jbS/cjDqhwNIbxrDMrixHMtME6tEAJ6SCMrBJY8Dy2pa
LaHOvlp9lvhJwsyfaIUWFIJnKAcfbtFdLO//Qg8+fX6m5C7Eqf9ZQEgvF0O04nRceBYnTfpyRp8k
zJ6VLJdCA5YhhZyl78TFRqoIpnfqLwNI2F+sBafIZPInej0vFOZDFvlpS6ykWb/NvS/9vPz5M3lF
joIkDFl5ut++FvKSkDSaFRO1ys9N/VqQ21C3LekN3Uuotg7w7IyQQhrMB8ztVto0um8/hNdnaPkV
FgEhhglO5HliJRm0AdaelsDsT6riXD5eXuU5fYOkHCgSzVPgd2ZXyrOKIHGbVDv0IlPp3qB6+ovv
8/ZQBGAwNR2rp4Yn6iojrHg8Dh15V7taor8/Ey8D1mMMMkMu8ZHm2P6smAjvjNE9BGR2YuU3JMc/
LU2ESANG2HYp/3/GzIHimYD305Z9AVIJZarFclRYB69wV7m7hSoYuhHher1mq6gvTO8prs1sy8Qh
VwVz1MyDYrcFZYXu+mwg8DqQSJhrkmkEkqdnUvgSXdaZkByT4vXPUDxfPvEzm0QT/RQfA2EG7T1z
aerAg4Q3HdIjFEMwzaTKT6tdEHFGaU9EzOLwLElCT+sQoW0EXoByAYV4xoTRi0pYN5UtiE5mB2DW
aZJT1UmOZtDufZfmFOnA4EnS+444bi7v1pKsmb2P+8ANMrFNjoK/DqAITBzg0v49ZA2X5ZzLXZws
amb5pa5TBamuk2OT/eFKwbsL/3txHwzejQ6xhRfTgdgyg6sPK0iprex6OwCgiEszJRkBts8ckKQf
BmgNq+Ro0D8OOdnCkZ1f3qfvz7SuV8Mky+tymqS30dwX2bzTinst2yUQUNX+Pldhe71Xr2w+nfyB
aTopukINFa9gpogEJyb8TEly9LubfG0UCzHUWeWwcEUB/ExB5nTVPoVolhQojRymyTEUIP4ZqVA8
w463E3UInK8E7X8sRScIh04YQP2XXv8Sutrciz2MQg97Esx9/tKcijOGgVeUfBLuJxDoOQiyLGEa
CBhxfdR9GOHr+5KUiaD+uKzn54QQFk/lAWVqjZ+peSyWbdcGSnz0WyeUnChYjUtP2pKImfnMA60c
wkSLj00br8LuxaxuS0oQl9fxNUKQ9M/rmB19VIhpUiSsw41XGhSJ4UqrNjjXl6WcU7DPUqZf8UnB
CjPpIxe21mMHb2cW/VPBeu/Jf4Jwq5sLB3P2hn6WNbMA4mAVuRAgC17fncc4PUGSVoVn2EObv/sN
FM5m80v2ipVnDQchhrf/f1vrzEIYeeJbaqjHx6GCi5N0TVnf5eXWK3ZquGDUzx6eisdGkxMGbx4O
gcKPfbnj8Hq1guLxgb7rTtpo+oKYM88gqLz/L2buuyUUPCQqBCiizwBZut5qeQGLd1bVQWLSOIkL
+gUmEsjMWfALmT3rf9YK5Dvmb1lcMHJnN+uTjOnPP+mgklh1VLtSfEz9VWA4ISW1xpGWHogzKzFg
OGAsHb7JtJiZlKrIvDaJ42MLntCAszodny3/6mwOLvQnITPLwFMhinQTxMcse4iCf3r5JmsPl7X4
TDn5VMbMMKRkNAEy4I7k9VY37kTI46klSxsYQA0LfuUfVfgXbyvLAoInsn3kh2f+UBkraRkVOXpG
JVRrvmfuTe3dphQpG/23bvyoRaYUrkR/fXmp0+M5iyRPxM5co3Aa++t6iK2AP41oOKXQ3pEHu2vW
8A/Cob1gIc5oIqEEnusUvvKCzHQk0qxIIs/OcId4hY1wu204Orq0sKwzIcuJlJmS1GYeVO6gR0fy
9/KwN9R91f0qrXwVhIJdjb8vb+JZvaesC4ULhdcvYIrW0MsiYxLNMZX/lcQXKXvosoU6zpKI2Tml
XSbFDCeJjhmjHYI/YbIW+z+XV3FWFT6tYnYyYHWqJIYs80jIAVX2TzV8tQRGw7b/aOlbHNJfvGCU
ltY0O6R+MFvG04TxkW7MdZ7/qqp9Ki41pp8VAkkDKJqptPOFT0tq28E1e6yrdpu625bSYWr8zUI+
yZgtJKF3BpriEesKu3huMyMlFZ3Lh3NuGYSqRBc057GQ6fA+GfBUigLI/sXo2PuPcUqrx1N3JVXA
5JyCW4ELh4onnt0ceFt3g1xISRMdLQbKBHu52GXtN7e/HjqFGFrc6cuaIvy5vy1EXgvGpY2OWusU
7S4RH/9ipz59f/bUwWysaVEzfb9/a/0fQvbOpIH/TcTMy2JuSqd1IQNqoG0OmwemqMjK7n8TMXOk
9Kqu4yzpouNYrT1Lgph4XwdLtviMUpHqV0jHk3T/WhtU9EFKQJMUx9SsNtIgrnLztpCXAAnnpHz0
QtPOA7h8/rIxSlb3XK0qjlJ9U0jMl2Os0MIFPPOo4Ad+ICsUnRzVzHS1AtyCUl6VqG67UtRdVMfr
MvjHH7aXT+WsHItKKjD9CYY1O3hf6IoelvDyyFgqqJ0t2wyaVepBiix8vyzp3KZNHYVUYphUZ8gz
e09dNYHkWyyPRRqt8vBXAOy+TmX7spRzjo75Wcxs44o+ZVBI3bEgKV/5IdS8emb3Qut4yjoaml3i
m3ZXKPZQvF2WvLS+mckcSmjIB2EsIQRmbKP+ME1iSZcS8WeFqFSPJw4aovuZ0TQKzdOzkeMq2/6m
Dbrt2L+45fX+KHE2tTlyLsbUHXhqmdW6zukjqstj9iqKZF2OLgPYLm/WtBkzJ41eMfK6U9oA92Km
duBGFKs3UO8uGvaWxpwupVjwL5ZEzOwN3pLSBBYipET+o3r9PzLYu8urOHMaVP0sSu08YYBOZ7o2
BnKTmLlfMFIt3pVV8iAPxUY1l9JFH+no2W6dyJmpVhzLoA2JqGBGiIYbgOb/lK1hrJQsUe4iI5D2
gFVkBxSbMY3RYqKXa5j3tWq8K62oHQtP1Ha537UvDN/NmEwFSaJZqOG60413IYcSWrEGbVWKeXur
jkm8L1XvPWxI6o2q8MzgKZVpCSEjE3rzNWhbbKoBn74YKluhMKxdbgnu85iJ8r3p+fGrKqWBo1cW
lN/aQIPLIAeO0hSpYxSua0sl84JCqbGc1Bqzna+n5abwU8aDeaa6G5Ji3KSt1js4Bt6O6TPKiiJD
ZrcWo0iyMKr2YyKLjt9J6qulxlAXMibhGRxiRVAjNm9tkTIRT9ebteeXFn9qid98IS9uTYnZAZUp
eW/MEdRXqjowuUelzQpw9fSfXqjG04RoP7sxzTq6oZ9Gs0vfar6VmZreMA6F8XJ1nNu9MY2n6GX6
cSNddIyhDFZDyiwiLy6sldSoS93zZww0NxBuy+m2kBifRVFSUfcZgyOzo5H9aKNv1djbBVHTkqu8
JGZmnfs80PMo8bLpdU6YGxnd+4Dds83lC/ORR5trMmEMvhJIRS7M7N4PUGYKaEl2TNTR2Llq1DnM
6FGYQpGGtqb0jLTT4BiXixRwblsEtinTsdoHunRT62V9DOsk2CkMBbtLCnF0Gl8cb3u9jtZjWyiP
daKETp8rqhMMInhHpWG+9P8j7cyW40aSLv1EMMMOxC2AXLklSVEUdQOTShL2fcfTzwf9M3+RYBrT
WHNTbW3Vnc4IRHj4cvycoE3dwm7Gp7E1BBTnw+yoVcWXrMofZRv97rs83g2j6DaSbGdeAIuNC+9F
5ckGYmslypZPdImgOM9UpERImRxFHe51v52cPK9tp8n68ELqvOzCepde+5XF77wKjU1kIWeRc9+r
+HceoK+ROjKKJOVwCMWliGlxg+9sWUvuynzaUud4ayuwGkWGd7+8V0GRmNN9JT1rNHlTTTvE4lqJ
L7wtZ7wyzSlmDzWLWWs4MN+aKwWUsDT8ivu4JtJUotu4rTYXDtmZFcFvC5yAuqHyHvg2p6aJolx5
P1QzRPd6jAQrcmTef7CCiMLC+sHdXL9gcR0V8Oj7xX19iINrtur/7+dXr9fUhEE5RhI/b/y4vsg0
fO6201ahFQmqekla3n6FMFKkTu6a8h62GoPyWYEAQJvXTuFL19QgL2zVueNsQv68wB9oUa7zI50n
hpH+EGtFTEVmn9SQd8lEFbELT+mFN/m8MQt01zKe864ao0e51qR1Wt7n1SFNnwyC/0AwQFHVTmNf
EiA/F23y/P9rbfUyS/YIk6iJtQEhtNCfnUDyWvvFru4D87HKXgIZobTsx8dn49yVpXNEp3ehgX9X
nFHCoenaQRT3en7q4v5Qdyhx6JLbjvto3GXo9X1s71yY8+oJWseDk69aszL5+X0zBxtpuh59UBqX
hpMvGFnDMtqgbjuYYvL7sJGv9AARPEm5qVA0uXA+Vg4ItBGII3pJ4JqA4ryrTScxnzM0R/2Lpv4R
PwLt66f2avl5WuRgcXR4KN9/m7L1baa1fO0LjOGOjtDQOB5Jqz82oqxOwP9YYQGGSquZnGr1QGSz
Rb1YBPoXa7K8It35zTex61Ey178jv4fIq1Z4ye9Fz9b0sumXqZDXf++hwZf6C35q3Z/5nz+FdgWI
WWot71B2qmh8plyLhZKtuKmrdDPo4YmxYETdjCs5nG81H22zqHO1QtmoRXHBt6w82Tvzq7gFLbGu
iyPM9w2yiYkz5iepvArAcVzY8sUlvnontSXKJ9dfZvIAcFF5e+sy56YThg9Ty21kj3eSbqJVDH3h
UCZbLa2IpePkrrKjb6O0UZrkJOuXsHJ/Zyrf/gG0VwV4SaboeG/W9bJk0GClRmf+Tu0QdCk6obiq
hCZxUJRfCIbSG8CuxSGME32RtlcPnJ0WbUbYVhL46g1539lp4AY9TEFtbHhxFpRIBI5iY9L73CNk
e4ltdD2Fz5YtLKC2uRwO/P66ME5PNRnNSAvvmlYyNtGoVA9RPU5eHwvYQYnSb6dSyb2mZiQwDk20
B7RhWyJxSSbyK8q75JNnBUYzrsqyd1BEKcC/3n5CLZZ5GLI0uh8CNT/AT9HeWEpkuGmH8OgcmZfU
IdZn86+9heIMrmx5cddv7Qm5QYCXN+8+DD0k4GvzXkOXVjt8fDLXDm1tZXUDYrWc5qLDiqL8EvTG
hfk5978QwTFb/u8yVllu3adjk0cYqEngIutJ6R/qS/yI79zIYgTMkioWmhJiqtW3geWIhC0fg/to
mK4S4MC6pO0sCRHPsuvuRsSxFcP3/Mg/QbDjNLn99PEuLr//5nb9tU/FGx2BxZOtFtm2doSyGLR9
kHN6QaTtGuuunL59bOTcgUCP5H+NLJ/yVVxv0VDRFNTI7wHRg6SJGdJC1EO6ly4hnc6uBh4e2PsM
bt668N0Zg0ATU4T3dcWobVT8Mk0EzkV/4R1aP0N/P9oyAQi7DIHI+oIr+TgUxFvhfRxFmdOF/b7p
UM2LlMcyHZCY0P5UyiU/KP6iY95+KuxSElXgnscTyqtP1TOGrSElPJ+kGdLcxk+mP5OeWQEiVEqN
NhyMHz6JXIZo8e2c5JUnxWnqFYZo3YSQ2JnNridLbEanNf15U/YCnXK00Zw5R7i4U2Alc9KyqfY9
aDgSobx7DDoNoa8urfdRptqbYGj0W0oIyr02dprXpr19U4x2v0+V4KtWNsNzpmvjrwYoaOBK1pBu
oFSPH8wwyTbNWOmeBZ2cqxgD1Dt2/rPsFES8NHkuM68rujxykjHz97Mos60UtMWhikZzH+h177Sd
OXutOWRXIpqmTSUjim01CRrMVaxvurCW7sIFqICkoUJ9qESULyzLm24uxG7mbds2FEuOfo80HwLw
JULPhu7qgpqGkskDUCQbmZm+RXVW9SUFvXbTfrDrrLsf5Dq6Ezpykroe/Cls6Cwso07v0tFo3QLv
7fqyRBUkKeAXRkf0JtMSfVMiN+yNmjF4VdL3GxrBPwCwx65uZIpX25PikZsUThFm/rUVmPItObb8
0GT6dYCfLNE5nPIRrVM/20QigaYlr4ODGbTTXoMblOda2QYmc3RlbP8yjGymGVpHjmVbgZfGkbyJ
ZYMtHWJpI7om+ZYjIOoFXZK6o5HLXHM4nh3dHC3luo2iByg2NNTVR/8+jsVPrUiG/ZT0Zc/+NwIF
P27UXtK70GmN8EVMNVRa41B+U8hoByTO9aBz63p+merYaNxcsbM7yZYGT6PY+pNB3Eb3BlsV3yM7
kF/Utm020lBL5ECTZT2pk5r/9K1M+YKca3EtZxzFShW/azlvn2cNOXH255HTMW38rP2dSaP0OCNL
euKQRE92Vuj2odU7ddGErSlwGZHtcBDVYo/n/sPcsfkwNEjuRYFAuNKemJrLzd7t0ZXbx22q3Ody
bJeOQEGTHmnT/IzKqHdlpr+h4FCHH34jsnso3yTPh0k4QGgvRO5+TK0brRoeI0qU+6KQFIQk9Q4q
nVKa2ZwmciD4Cw5jltW3UdnqG6WFSStcTspkWAXKiNOp1IuefY7+SbQp/p4HdncXaqCvcjbjKSYY
Mw8+qsDbQSvNx8ln7x1TDYN7C2nyW0nJgy9pVX5XAeo8N6X6kvgoHU4D1cten1HtG6Rmi17pt1ka
jS0fabxjb8WzxpSii/6D4qGH2npaNhVbZBVsr0jkF3TsDMOb2gZphYjhaxg4+UcNsTTC4eKrjhIw
spBZ7kEB0GysUW6+B1zPkpGMLLjRq7ZjoTYIQhtNzemnFf/sQbUHfu702u8gNWbHKJPEU4as4yOX
/A8N1HRNMM87JYsb1x5E782mX3hGK+JtC9SKeqmKLqocKVutr6uDVggdydXQemr0WKYV4AduGkwB
swWUvybOHAPgPhqEwSi7c9VUThZZiJp3g4SaqAmOCUlf5JKiIdrpiVY9N70u/UTGsIcxAdXCzCp7
V41S6coMlzZDagNeR5zS4SLLbmTEmas2HeIuVaQ3j1bKVLbqR/YuS+vCrTtr/MMAvHxVQ5n6syui
9IAuuIEGasGshZpkSCSi8LbH+8huYYSDl8q98hW59qZwp6JtrstkTH4aEl0KJ4K81dXiet6J2uyP
WlwZu3KQrM2QKv2z2iWQCY52qXhSjyB1MA32Xs1b3U3HUH0m87CdOKmTL2rWRrs6IjnqzT686oFr
349+V+LDJYRK4bBaCtPybZfExjaVpOYBHc3pPk6bzutamzJCPpteZyfFqZda8ygpttiTs84b1MuT
b4hMZ/t4mhSEGI3caVPZupqiojiaDeKOftIijRgqdnrVZrp+XUxp7Elye28oTO7HvrgPJMX30KX7
hcZD5ERD3jh6mj4TFWVOEUgwU/lm6zG3EG1lCSCSJPL5NhnayJFstO2TquJ1QC/6pqnQg2ZaqXfU
lCmDok1kp9b9fNOkRYkOMpK9x7pS+Zv4o677uO22UZt0N7OKhK1cMCWlocmxqdJ2cvVJKrzQmPR9
EMjK1s8DsRkhpXSrQOm+8/SmmymMo808wrxqSSUqlJEUb8qEM90XukkrwYAC0tRhYZfSBBFmRdxU
fZe6Zp0Ll0Kn72htWDNkFtQPJdQmu0bDrtXVxtb25dwRQTJ+zdvU8qqhRfcTHOotYujAl7pYPiTC
b3el1JSb0OrGo2ijYZNmvbmt0S7dNrj/Q53IoyvViXnQIXd/7LJucKVGQRZcBjRolRyeJrHUjRX2
pjdnkFBKE7O77lDCWzlqTeAFLfDGxG/16xS+sL2a8A/DtxBMDpE2FkWTObS1FxnapD6aYlQ2MS3O
hyaGU0xrqvKhLtLykNVz91TVo+Ypk63f143CH53X6YbZnfZH0k3ItttT5Qilh17WaIdd3qlB7cXs
lqOKAJKHFHHOpBT5IVV9zbO0oroqFzVobRJo3XKKudNR+6iPOnAaE+xnX6MkrEZiQFpeyhzUbX8V
htY46ADEjqpwzsakUK64sz6dDEXdllYS7ixkc52ptec9VJvcMt8OvDhvNXekPeNoc6of2lyCyICq
gH4kbZoGJ4wRjdca8zGJg/I4opOMOrXMoTXn0Ev9otiUnWwey0DrtxBpWI7dq9kN8qIBvaLS8qTC
yCD+J7YKLeoF2ljCExjkL0kOI4fPMPaB3oi/rShjbwdb7xxZTm1nys3GTQ0oPKbSEJtyRHs9r8x/
7Ln/p7ZG66XvfQW+wQif16nyru4pQNYm4hdTVPr7FkjcVUxP4qaRwminJV3xNZkl31WNrt0laa65
WSNq0KZR7Mlw1W4Nuah3OeSm14QFnMGpp7dME2JbF73YUAu574JQQC5n0fVKq9rYRX6BXkFh6pU3
La9N3PZ8U5oKDhUc/WHUIW3RE0muXUWgLqz3UepWag/FoJmMG79pon2O1uNpRgJ6XzRdc5vNFHek
ujVvuUjTZoyD4K5oEvm2zovQQ9ZA2saKNOyYk59gm4oly8lSOfZgTy63MZjJ1us6q3uc1OA3ACzG
X4y7iihzo3Th8GwyvDC5xSzV3zVrak5K1SW/9LJNvonZDDZGjOLrIIf/JEqiOL40pG7iz0v/Rmhu
0xPQMtxBKGD0YtvWvrxBxyNkpKaxPGO2xw2dm9H1s7re9KWObq9kwtBTDfpeKF27SSWFQ8d4BUq3
xctUgBIJR5Hd2foce1oeIuPA/LQTmKXtjNA1bwK9kDahMkUb0whCGbhsqRo7PZ8o/NeDXT7k/eg7
ehg8BzO4v6Bta3Svy9DY6GTmp1CPewD/VZweYxHDBwgllbSjLtB5sV5rR6MWza0IrF9DnQxOWXDo
db8Mt2M3EpoOgb33xcC7k/EORmlhbqa4bw8UHTu0CJVwawVF/qKpqXWNckL7xWql9Ng0xXwypSAy
naSZm+KqDmZ6StBLV26MXC9BN/Wku2bEIYQqQ7EdjXreFGpM6ZS0iHcYyalhEvWB0KxwZr9MtyGV
8Ot87O2nTkn90oXksDuOCCfHTuvLQ+Xkih/9Tvu8O+mSlT2mtEeu6MDNnl5ojLm3oVmCXBqsnV+0
0lbUE57BiBDwnTXbm1Vl2KdFFe4LMTSenljfW47BjV+W7U08+NnXsTLj6z5EDTvJFmbqqY+eQjrI
WyRWC6+bbc3Rqkr+YqtldFIDCSC1EYXkQ1W3y/qJT5hl1Zc+rSDCmZG0FyUhei46i3KVIY5hO+eb
IiifpaZuNnlsZtd53JVXyNm0N6HWB3t0Pqs7I63HR8usgoNcx5wSdKcPlRH/4f8Ve+GgdcAxuJZG
OPU7gW7ggXyrOlVlRVRfKzbFPH3wNyForlM6FZIjDVa80VRQpJlOjpGFwfCk+Ya6NWtDvhPc6S+t
bBabMPQzL48HcMhy1jvFWPVXcjLn28nsp4dIz9oHPaGOrc264uRD12zrxHft2D4wYf01oXLvdTHV
vEAdEjfO8v5WHUmWGjyhK+t5s1XVVN8qojVcrZGHXWj0ioeS+28/qVGnN/vqWNSRcluoiF2nMgLS
pjw59TzAAxjZ7bWmhO2PNEcHWI4q7aaActpJrVzxkqEyeabH5BjKRYJOdlh6ySzvQkVybAHsDyKS
+Tgwfr5p/bg6SgKpbc3wayeYg/YBEQIV4iJd9UYmaK402xfbtIwR2J4H+1pBFxWYjxBU+iJe9Lpo
voAN+BVHrX0na3g4U6Af3C5cKBFo9MMURPYPtVYyyj9+56lt3d6ZWa5fKbloj1Yn/zYhRHLVrlaO
8aiNToMKsUNJOt3OBipDIZoOriDwc4y6mDZm14HFZUp+I42jsgsMuXOi1I7/6GoHLZ4WSHeVmcTH
qOiybRIMsguzbLhpYF1z8N5IM0PwtouMBrFruSUAFajmQC1VnwrFYF5w0m265CUDvVGCKrwI00Nv
wGQ+2mHp+EMZOkYUlC8tFFobefD9w6z2mTvL6XwU6pT8oDRubu1aGa/nevgzxUn6pGsSe2kkXwfR
SNui8//pmiZ7rLW4PLWpj4DOqKqnQrV6h1A02PSqme8IwgNXBp4IcZE6eHFYaFAYQgZPzw1BG7OS
jl0Q9bBc8Wlv4dD1XZpHrZcq+W2oDMrBZ+4bQN4k3ektVQkz1gtgpWVx0+vxcJ9F0vhktMrj3Gao
B5VyJh59od+BLJGeJBEhFJ6kReRUsQhPuloR/AdyelVoonBj3f8j8qS7ghpnPNLOzw86z5UbhSMR
g5TMnSurc/7VD9KHMpysYxLHNCLzuHTzSAam1dSB60dGeaVVirzrc9l2q9Lut1noJ+AGjK/Uy+39
HKX5n6SfDGee2iXFCtNNYgQ9qVdd3ZmtkjDhIGbDYch4fjCp4h/MToldIlx5B0vAnzpNxL5Xq4Tx
KIZxx6jRAA3O1jaTlOuwHDLXDkr5VGn9sm3WdGiFJLxIS35kWRLtUpKtbVynHUUELXFThWpTnktE
2GRcxpGq3/hUjOa49WeZDHKMs2+JJNXPPrCGo8l92EWaCEgJU4lZ2qB0osQPPLuqqGX1mYLAuT/f
9pI1OmFhFA9VRIWfTNW/StAp3WTlKO311korZ0AVmmDCCrdyUBe8+mnrwG0kNjmE1k7QVb8B91VO
yrXeS9QNNm0tCccaa2kzl2V5T3w8OxI1exAmnKJAGJAK1KNyY3djeh1mdXShWfa+dE0lTzCCK1AD
BBO4quTV42Aas7DnU6ccTPV6vgg3eVfUhV2HWiG/rBAOaKueTd4EjUlReT613e0YH0L18eN67rm/
/9Xv66sp6AFOeluJ+H1xl/rueGnM6n0VV1gCVQsmlRFTeweSGy2bd2305xPCxpQHj5q8neJLY2nn
1vDayFLjfVWTbozMGMweI0noJpLzSSZPSulv17D6BIK2SjO2/LxFnbEAi/by+U8gFtJ+xqWYmVqz
eE5WxUwE1aZT1nw/NdqPT/8645ngFkASLPLbq4K9Xw+tVAPuPkm1+h2AjEPF6wLW58z+/+15ABvn
sL7nySZoTsoGKhdfzu6g9YcrfdL+fLyMMwcJG/CPMUBL6rHuXcIKLzT6acZJEXdKc6pzKhNfPjbx
vrUhFkVkDXqxpYGy1inv9IIhORlaIxBwTqNaj0baU5BPv1s56KWPbb1vO2ALggUMoryOubdHdqKw
WM0l5ANtOu6TrD/Ofgd+WfmiNsE/8tRRfrykEHH2K9E6hElrGUM2VyblUhrtWIfLoUDZMz2Gwa+P
l7Rcg1VPQyzzuotIEbTla0Q59ADEMLlvndT819zusmhyqJ06IxdfVqj6XEJ9rYEry71kKoIpQDAk
0CyvBaSMUog0D2XzlPeWsoFY1KAbUh8N39wNRbhJop4Sbf5l1CRIP8FOfrzcc9u5+LW/HBzwfi7/
/pXToYrbSlDHm6epld1pOMbmJ8U0/2d9rywsV+KVhZ43PRxi1TwFaKJlHEnry8dLOHfgF4Ffnhdm
0xlMfmugIEC2KR5xIlBOobEy6LRtyuWZ/SSxwyLsAXkf20VzlFFAa/lLXi1lUoj1B6tDGYCSWTg5
EnXbj9fyvlO/mACTDz3NIhO4Pn4xHJVyW9XqaaY/FpCU5ad8ISAtj3PJYHzWPEtt9k329V0j8l1I
/U4ff3/8N7w7EkC+cePg9WgCa8Y6FkjkyiBrZYbXoiCahNn1rDUXxlLPmmDQCC4Oa5mlW21kSf5F
6UCbTkNT/pFr/2hl9u7jVbw7FcsqXplYwRvRMYuDtFanU9L+UHLFyfK7MU+d0Nh+bOfSUlavNjmH
bRc+dnIEFEQJplq/4GTPWSB8xtmhWMjo1GolIf3eeAwjLCyVv0AHhUtV9oKR924IXAF00OhkA9Xk
nV371anSK8Ssh1PdWEGOkh0AomqsbbJ80TROHobVPo2L9Goa4dguzMhmmj3/+fFmriCDywUDraXA
3QEsTGXg8e0FyyTwtlaXIl9D3QMGU0DHBL567GhKA7v9JSjRWXNYgdkG3tx3IUvcUMrsTG04GWix
asW3sWuclJp90z3rl4Ys370ry9KQprOh1+Jgri+2VWvQjxTjcBpH+atqBNvaNCG7pzFFmDEBuR5y
LzLTf5TZvuBTzloGroTiG9Er+gRvN3XQtbL2FWU4daCyhs6Ca1lxzfzga9dKf98MuetLl5C/7wID
VgvMyOLMwrD4DnAD3ZFJG8keSESL2cun7NbMSjcsKq+wW9OZcGabTFUvMVScM2sgVYCXRlaFY/R2
qXrTdJKoxXiCtp6K9y5UA6YsVLfj6ea/FuXnJlv+nleOKx8UVBF508qPpWIsqGFrnFeEbTOKgJdm
Dt7Fi+wjOBiaa4t4Im30twvS0sLIu77g7pNU20DOc+S00/bTUcBihr7agsZkmnUdlnIFwFaozXia
dcsbZ+NOSerDx1f7jBfDBP4LvDkpwhqlHU4SLY26H09JWXT3k03hmHwkePzYyrkDYJEdwPqFrC+E
NW/3KxN+bRhSMZ44krQ890a99M+OZde5nbEf+5ePzZ15ZMCc/2tu5fzbbuqnyK/GkxKC2xh/2+qX
SZjbOf7nYzvnrvAyBIYxUOLv+Lc7uRRhYOTjiXLWg+GXOOHpJS71r1ajOGoUuaK3bhHMCS64jrOv
AvcJZTqkKd8PoBVpn6LqHE+nqAgdxZeoBFUbw2iozv2qxFNBbBpoP/VLSLpzx94CB7bwTwGtXeP1
JEkYbRMpCB7OTwpZi1H/KaVfH+/puVDrr3z5Qp52ZuzZlCPalcM8ngL5zsADq6B1pPSu8003shpH
me/NfK/JN6H6RxoOn0cL4orxyvxT5+VBBP7tUdWHAl6GSFZPVY56C4XeIAr3Hy/xzJ17Y2Ll+e22
WmrVs3qys8YZs52kXoCdnXlA3xhY+b9ah3neCFmDEtMp0rZhdxhKICnxS6deCA3OrgW4L6/nIiG5
llKRZ8QlYxqBJ8v8x/R/XNKau/Dzax0VMNyzPeUpP++UKrMR6aXyy5kjbTGdiFvC/xHjryCoUa/T
tYoUKlQ1wqTV1ClPFaigYzIoxoVXSVl+600Oay8ESksMj+SMzDjk26M1FU0+K4U8IxgsHCV60bXr
WYq2YfFVD3/B3kOLrNrboNn0CyWUM+73jWH1reHYSLRgNLr5VMfBI6Klm1B79odTqzbeHO279EIa
cc49YQ8eTw4GerNrrGop5RpxajMjbRb8NBP5Z6mWG7pXtBvCAJLtfCdH1j+zX11rkDNccI5njgxD
TbhlcODLoPsq2OggA7CzDl09FS3u0kkuvC0Xfn5NDtTnSTSFcLifqBo4RbVp7T+f9g6ga+Et5qjw
Uq5h7EETNbE9dNMpC6Sv3SgTcQf2JRqsMy/XayPaqjDb9nIsw36O+KCPAcQpH/LEeKJq/wvKV5eL
8iIhSefAirP7eHXn7ptiMkfHLQDmu85i65rmgeLHCPU230xi7HZHA/VjE2defwbO/jWxfMFX5QC9
Mc2xb7L5FFme/qNWNlm9b4wLZ/zsMUBTDMdBaZ4o862RhplprZkxos2eMbn5pX06v4h/f391Zf1J
kksjQFB5QP5V7KD9Hdq9eqlqd/5r/GtFW62itacu77GiVRtZc6Jv2qV1nLXwN4AljUXrd3UbC3OC
hSr8m+8jSZra4fdUbW6V+pM6G0vIby3y2fqSLkMFsjrQdhg2+lxN08kgjxvV9jagdw3ZXvM5HpD/
a4ecDVy1Rbq4imTRMgLP1yGxahQ3OSjpBgbL/+LA7H9NrKJXEdRWUKWYCAA2NQykG/GFS3j2cBE2
MnKiQhq4nm6UwDkUTWxShCF8zAcViI7p+eVxUC9Nxp27JjhiSql8EtKM5S95dRcTpgamSdJpnlA+
BWp3YavOna7XP7/6GilJq8iAsaJ/aHnq7x4Arv4fvAnxLs5qkcx6x10zNZIWTXEhn8LKi5AZOoA4
MS/l5We3idYAVUaYL9+zVvTSHBcNfTJ7BpIkt6UT28bT590ilTf0yyjHUm5Y7ZWd+j6Y90A+2daw
ETHKCn7hRELZ2Jdo+s6thpd/YcAlQyE9evvRQctSgJAmWlq13e+UVGVonHrjhcG6c1Z0Gc0qClIc
5XXkJluSYUoR0dTQbKUNeKPPbxffQjEg3KX3up6FQnfVkP3ZmE+TBlA0qFz4kDddsTfbC2HhuTP8
dxgSDrgz8+Vqkxt6OPjjiZa+0yc/clA9eXYh5bhgZO0ewRs3WlcuRorALavnXqcocqlccdYIadOi
sI2S2PqEEavnPaHKyBep3Uz6gy2mph8//i5nP/vCJsVUDd26dW9LpV4XC5vajg0o+NjMpbrzg+7P
x0aWu7CO1Pka/2tkdYL9yvK72iTRzRJKj9VLDuig1F74MqL4L6bon0KPwujduwRk0PtMzBYw/3ic
CkeV6yshKfd9Md+UsflUg3n+eGln9w/6TOpWYJyh2H17Ocu01iEd1KeTbJSOrZAYahec8rnXBeWe
/2dhPaicUAVs0DCeTsLaxZI3pzcLDvBSAKacPW3U9hScALG2tnomfQgny1Zn43IGeogsbgZzctK0
eQ7qtL3yu0pzZxomVI4z+5vUMb2ZAYFwsnG0d53omKnpvdjKugtv67lcy4A4HzwCtRloHd/ub1+k
SiJ1tAXKrP6ZKdGNUXYhM05t5La0wxyRyf2uyrPP5+HWa7OrEzsF5QDKJpxOtTG4QBE3F5XYlXMn
x2A0lEvH6jiub1dmiagTIXM1rMwfqHgCTssnO9sSbJtX8qQ0V1IfiVuQ7oxWIC7NqLGUbeIsqQ4V
HLU7xLsrV+r0+EJGdu4gLFwGdNWXPH7diDFmvwhznR2Ph6vwWwcvySXGzLMWUBtljA/mTCp9b1ce
hcyvRcxdnhQwp4ldg+t9KppLaJZz9wYaPAj/4MiT3zGaVTbA8V7go9NR8fK5PVLsbWB0SS9pa10y
tDorgZ3nbR9jyJ8AbsiFBzbqbsxGRi6F/vyxuzl3HZgFJ1Sm4rEI0L/duiEKZvw1LcVckm7UYdoU
QtrpEUAXhb5ROsTPshx9/9jmufUt30kjBFnY5lcuLkCgwLdr5h9T/67Q7+1UdgbmQS5WYZccbP1K
vLKzflRlMcVqPRG1JWPuFQweNSDSxCg5cvLVSq+0ggoLFz4+9ql8KNtLrCHntva1+VUKmk3wRQGi
m08gVZvJrefnojkqhpepDrr1H2/pubvPe8hm8rYrxrrhESVjFZmdSqJYI/hV6q1D5hhdeDjOLogk
DkpcgD7v6J3tGJ4VEfDdyL36nSZJ87VWBb7ray3loyS1NrE+JI9NFk7ex8s7a5nAZVET5h/rXpyW
MlWnG2xl3exrWAFq+gaz+iVS9K1AHukSeeiZ8IJInwKMTTvsvRJvvYxSdyjbnwzpnuQ+m7ZlvQip
mbLz8brOOC4CYyIxdFx4ktdPsd6aIzO2sXxiyMGd619MPbTh149tnDkaNt0pOnsw1S1aW29veCMr
UzKBPj4V8xd/3hrD4T/8PsxLS6hPJrmWui6LIFP6sVJOjXDHCdH2C3t09u9/9furv1+u5yDvtFQ5
qSJ2EwX2sE8jCJErIOHiCzCLyeT+chxeJcEy9Y8snTT5JIeJo3ozWNbPbxEMCpBIQM6/NE3eGijt
ZsgyFIpP9s0Ua47EoNPHBpYfWHk6jury07z9oC2Xc/ZqBa3cp42v9+pJTxPL60R28GOD6dzuShuN
fW20iVsPAmmYJPn2seUzvtyGEhN9RjpstKxXS+vyRM6lBR45M34wuOZXSWz6/OG/GAFXZgk4b+DC
fbs8LfERVxpD+ZTKXeTA1nLofNl3QzE/mVq2+w/GVAqHdNLQPV2fBn0QsJKALDt1jfkAN8vjMjno
SFl8N9nThYWd8Ws0wf+1tfz7V99NaphkVceEnL//nqbflfrehLg2eurE10w0Fw7JOWdDKxTYISAs
FHBWUZJm5baFZut86hnqJ1SDbIeENgwvvBLn7iutOdCsUCpAkraKKFTmQSx/prmQa60rBIPkny/t
UlQQtMNZBP5sddjrQGf2vTSpHzMfYFzFY3dho86v4F8DK4+jmTOwglabT3q1NYdj+/vjA3buO5DY
4WnYIktd0z+M9WC1k09LK36Z5KONqNonBaGXIijPIa8XZ5gW9Lr4LawhnGNBP8nOfpW5Y6SXHNr7
B1IjxuAcUWHnP9c+X1H9NEZQzbozIkYFgmMgviGo42rh6I3xhYru+6+BLQPWESrHVKzW9xFu39JQ
osm8K5RjdBX5nz5Nb39+dQWjAUqNOefn82u7cMWlmOlMuxyMFF5/AVrSbFv/+aKcTKa8W+OOkZ6w
hjRivuuCwOmqg2IcSlX2zPaXssxKS1cKc6TK+OWzp+2t/dX6BNRWTMsNxp0knipmmevo+H9IO6/d
urGlWz8RAeZwS66oREm2ZbtvCEfmnPn056P32X9LXMQi5N0XjYaNZq2ZatasGjVGm25pjFxuaYzM
8pGkYcEvLZM+ndVn5RQzSCl8Llu6MVM7Np6uD+QP1OvtJTejKunHAo9FpLGEguUTYIuIENglN18e
qi7Ve3B9ivYhaMPoM7NMt2uePltj3by0hawQiBZhYAuJ5DlTUtB431j17SAb1QPAWqqPkxeFn1uh
NY+NOrS3ahj4j03Wpucp8tOj5lfxsVCAuIkjiAMaw+XmRCiC9KGWjcPNQOx48kk02DV4iPPYNck3
CD/9JypPA7V8U/ocT4Pw2R818WCMQfHYBZDKtNWU2J6e0KzgT7GdRVLsGCksaH3cStmRi6ejpW0q
HqI86oAyq8qnIbI+NHnzO+wF2RYCMaFLbgqb6UAeLDhX4+h/zdHku61Gsz2behmCdepK/fcAluxX
Io/C7vpKrK32fBPz4iaXeHHnGxkdVmKqsdqlm9AkSu/2Fp3S2qF/ZWL5dFNqr8oCWONd69DGtEsd
ro9gzX+RjzC1uXNHuQgo8pyZHFpfd0WxP4TCaSp/FWljq96NT+fhdVvrQ/nX1uIADmWjJn6FrbEz
j774C7TDu29cIP10B+EluXZpg34bRUi5nyklN78rdYdir/mn6wO4DPFmJsA5efOH+kmU337e8AvS
hb5kutLwoeUJVGozyuekbmVxViZKh2OTCFY2cZfLhGEdhX4pSJ3phuI/3W1mfnn/MBgHzcZEymAs
l0GkqQpF4Fu6Kym1+TSYE3QdWil8nBKlf9A6ev6u2/vDB//WX6nwppHr5qjQJ7AEOnht63dTUmWg
pMryqS/Gs2TSEL2vwniCssgUoWrKvppiEe/7Ka4fjAbipCjLAttrKhiSQ9IFtVlbH3JclLk3dVRF
x0rNmHzTcJRCjr9pAPqeZqYDJxfy9uP1AVwe89mja6C8Zh0CZA3frrufSE0npFPqwhEgap1NicKu
3l1cURGwxq9DeQ/wdBnZB8TaKk2ckWuIpTMBlKv1AfKI3fWRXO6s2Qq5GOKhlXAlq4JcjlojcoXu
VrICp5/e7xKxQMQ40zmiYbm8AGGFHgdVzGJXSWHXNujzF1u7H36/fxxwcvIQQhmVGG8RwQ/5qFG8
yxN3DJ38adxkJmNBFxuWA/Lv5+dpfPUaiaSmD3qNz3va1yncC80d3BlPZXOMmqP0TgJ9zgXi8eQj
aJ0lY3Wx8lRTjFEc2F1yltwbNHTn/cN7ZwtBP4N8M2VbqByXaEiUAYzIbPLaLeRdLRzzLeHs2XG/
nS6+zxPEAooIRHd5PkJVDEJLiWpXkuvovhPN4KOIjPFNrOnVnep1/VkRRMMegn6rf+xyP8+W53I9
vP3mhahkoBZynTRl7TY/u8SOPv3FvL36+uLCEscYMo6oqt0yggi/OXd/kQ+hFEKfCeEDsgD8++1G
s2CjLyNcnjvAUTDakbIVj65NEC5rVn8HRHGpeuZLaiapLP1YPQjenahsrsD8il0svjzLmtDQhF7t
BYGt1MrwLJi+7DbY2vtZrzleBfuSIyYpmgL+1IYfeeflDv27qlMIvDIcq+lKXt3eGKItMGjCt9yz
KqcRvcrhZH9ix0h20vkdckiB3h4E6qhPcSebuyAPzAOSzAIEECPaiwn0STBKfvD7RnswPU04RUEG
cg82w+nTYOmjbku57J9q+kIK6OOM+iDm0XTby2X/KW24w3s97IGW1IIhOHUljrusKox3v6xmp4s8
Eh16EFIuwxKZs6BnaSC78HGXCuyK7w6s3n5/EZeEVdHXtT4vwfghVT+r2rfr5+AySHz7/YW3bToJ
CVLEY90+CcXHvmrqewnEBAyLYqfQrB7I4UMmieW73dYsgMzBINWNGPLSbYllILdjM5aP7XQ2oo/m
O2VFcLxvv7+YttKsWq9o+X5Hu66E+xg24sUVeCkWONbEMHO2aZkdgPl96IeuKIE3PyegM7QBojyo
G2DvTYT7Mkh2ffl1zNLd9fVaxKkzIJP6B0kP4EzgSpexhA5viSVg776fnqCFgyTqNlM/S1sA+IXb
/2NmfjUQawNtoYb81nmNkZCYg+F193puQPFEX1k6pl+MIf4hxtRdeit9mVrV29jsa4Ob4WDm7NM4
UIvolZejYglRN903gef0vjtp//i8HKc0fq8hNLJhVgahCRDpUtUMgjtLL3sIfFTrTs0+ec2XjAeY
8fWda4UVhBXRxaU1g1lc3ACSN6ZGrGuh23VfBqiJxAoyJtOATHArAXMxcbOlOV3IaERAFYvlimJU
IwPVC91IU26kJDiqhLNtkt8kurmx8Re3DozsMMloXMegxNTLa7nttKnXYRJyx/TWOBTThj9dxON/
Pg+eghzI3GyEGMFi48mF7KWCFbiVkB1KI/44pvJer6cNMPoyY/UfOxYIZ+oh8iWT8WCJRa0OM1uq
ku6U4qBmv33lQxjfe+1zqBMMfigyLm66QqPhGQbPjQ24cLv/3zx0BaAzYBRYFvOJ2GBXFJvQLXsD
w+UH+EH+aWEFQuPjZoqiDS+/OqtEh/81Ny/qq6B3GqIiCbQ6dGMZIu0shtX2SzAdr2/3tZ0x4zn/
a2Sx3UV16FMNUik362vbUG6seuM8rYyCXafw3ONtu1JSD/JRUntGAfrVsVLJSdWXND+/exQYmUFw
Jvq7Fw5WgJilVQQzdKXkq6e/ZO9feFpUyIzDdrKSKWXfiWWTJpFbiKWxF0BJ3ma+2n2zCl3/E/M8
W2a/BbdanTgZvwCcjJh0GYr2qelPPeRi7miJjmyWzmidg2ALMrzihHjr8OCZISpwcSwyNDp5hmLw
J9YftflWfcqGl6geac/dWKGLu4nLDytY4tzyGF3sM5VoKwk1I3abWIoOozmIh6bwrJ3Yq5+QMyNo
kSxoTKJC29jgy96Z+dQCpsLBgjuaX3aLYEmAvVNPuyhxFbBNkqAewSgdhNz8Z5Drc5cXv2gwvI/h
flbL7E7ewgNeruIMZp0F2TgCePqFaxRHJTFbEiau+FQPNHoih3V4795/Y2FZqc9kMVULHQvQJmrP
TVlm34ZY7rY2yupAYM+AdAz3S5b7rTei/8dTAsnP3WE4ZD+H9pduPr1/IMw9cG+yn/JFw3rXWkk5
VVnhqjSoQ7SnVjux6Iv9dSsr+wFsD0gR+EzJr160IiqDDGetVBWumCQPnggtmByALXpRok+kj+/I
vu0CSUd5zNr1zVYkeOFuIQaBBI5/5uTuBcZv7HW6tSJpcuu6s851BIOyBdPmRu5qXotXT0Baft9a
WdwcQpT7UmpOk4uGbThCEAvHYzqa+zI9o2iiomTA5Xl9Wi/8CCZNUK/U3Wa+oGXvUTn50B3BMO4a
0ELeZUo2uengQY2ZwGtoKVW0sVlW7YFGn+MZai7LkrFlZfUUVd7kDlUawiir7Y0svbOK6EebbiXp
Lrb+PLZXthbTaeU0pXlWILpCMbmmUh+7anjWpy0Z6nUzXJGIzyBPuoSlC4VfKSjfTS5kjVDpV0iM
DLzpyqrfCCxW5g5MDMkNjWfJfAjeHmUVSMw00ifkKhCDFZ/j6kFpvtVRsLu+JST5chuCXmFDAMqi
prxs4VDKJi5baJ5cMZefDWgFp3jaW9PtLDsISagTdUiU0Nel3QWCV5+6Mmn3ZgeL9PXfcXH1kFZH
TFada3TM6vKKE0BHq0maCu7USrbo7/18D6e3LXgfsrizIWG5bm5lGTFHqIAqPFoKy5NAjk2Ah4VR
h1Cfmjey9wns7v9kYglksMpQ0FSvFYhHHoT4i6wfa3Xjvl5xVK9HoSz2SAKZs6ZWveAmyaHPDnG8
URnamCVl3juvglszzDmzFbPUzbqZgKotyEDl/uX6RK0tPUEN2QoLSANdOG+tqGKeCqlgem6j/AjM
BCLgx745S8KtNUJ47W/1Rq5NGjpsqAFx4VPFWzyFsyiQFd+SPbefvtIfw9HtNqZNWju7r03MI341
b6PQFa0cYQLogXmnp8pL3Gc3faQFrpAU6akeZ0btJq+gIgEnArs1wk3t+A201Q7CBsfzlOcc4jh7
Mtti48CvranE2IHY0Bl9QQI0k2mqvud5bjLd5sYdzOW2AcPF9SVdmwD8/Z9yIg1Cy9x2XCXqWI+i
6Y6kGs4fvVul2khzEdIwiYv7E8Tg/9m46NQNcpj3Qc258mBK7gg5sJN14ugUPQnn2oS/IB2KH0Vk
wMBqKv2XXC/zfT0oxrnT9WLHa+urFMFQEUb+z5qwcCfVEvlXP9cdrbQgD0+17ibHxI0cpcWphNX4
7Gcdqg9xV0FfDQ3pURDrHMkCTrjfxZRsTLHVoa33g7MWcq+WCmocY9pVNvlb6YR+aunIKn1AUHL/
Y3S6tB/aLtshcqfv6lK0E13pd3VrCjs1VOlKckoJSULxudd1ALld7vgVxNnFZNHrkFQPcI0L9ujn
6J7BfW1HXS8/KKEKsbIs1XYhKYWdtkN110dSeif3Rn8Sh1A8Rpae34UNLPaIaAn3QhZ+KTOjpt3Z
HNIvdTc0IhygSb5LfGls7HqshCN8c82+U0AFNjFQhMiXlJPCU+Fz6gfK0dJkZQdguLnpKy+8yXI9
uZdaoblB/yOyRdjcbmtDrN0gMCRH6uAqGFu6HkPBeAnCRLnxesPbj7KR3ahTHZ1iS6uObSqizxWU
9UNAdmdXK6F+yNN6Ll5ZnhN6GjzhJbzTcoosQAYfuOPFnbKvdCU79CC8Do0hDLvJRBQFJuj+Lm8C
yNoViJ79VopPg+wV+yFu5fMUkNBu2tw6p8kg70ZLDZyxGIAiVa0G/7Yx3hUjRMM11+SdZ8YQQam9
fhQnsf1oCkJh65HhuZUReYeevJRbGyjfaehKIKJTlGjgqdJOFQXzoGoeYnDomKMbUNkV4hsOBCbi
p+tH7yL/MZMPSAiM6nQuU1Wcz/8r35PoVlmHZqW7A8peAOV3sTceBcO76zz0O5JY2rq5VxwKBjnj
4Ku5SJe1S0lq/KGZGt2NkFyBW/WjKoj3g6X9vj6uVTNkLynEkZG7zGsXY8S7xNNdWYUxWZDkL62s
NMdc1orTdUurzou4AHoDrqULoFCiBmHXeLrp0gTpGNRpoFVPd4CUX6JW/nzd1trdR5l/Rr6CHAbv
+Ha1QlMriPR8z7WGzLRxpbdAcO9BlyBkYubHeEQlJXm3tiqxFqxDZHsoE5AUXly4RRK2cQedkSv/
g+RNtr8+pFW//Orri6ChUhC2FnK+rueJI0fRTms3MpkrW5z5ooxNFw0jWG5xuCES6IwHz5XS5MZX
giOE8bvMgkI0IGgVQn1jQ6yNiLco6RdFI2ZYPmNoqI0meqpZpCn91RbBvorCvxjSrJZJ/xU32kWb
4Ei6qu2U3nOz0HMaVbwz8tg2pJ+l1uwDwdq4PFfOkgkQDrAbMRcZ4cWuQ2XUi9J8JkOVpx0qYg+x
Fh2SadzYCVtmFmFQFPVdMnaT5U6GG8olxdozcdlGqLG2GV6PZZHyQPK6N9sRI1Lq5v05LWxluCv6
nVxvAHLWjuorQ+YCmFy00YTCAIaU9tgbT33+TBMxbYaKPRW/a20jjb4xd8sy3qRDvBvWI9Y665Mi
RMdGH289LrPrh3XVDGXoWZx45nNZ5N1q9JxkIxksdwQDFD2myk4QNh4pa+6U5giQ4+R+yegsvE3Q
t4VqTjIjodenEz10JG7MPHJk6fn6WFYSKtTr/2CWZ+q2Zd3Q00p6Rg3fcgX5rul/h8RZSnhTeXsL
lbNU3MfdFo55y+I89Fd3reyhFuYBCnOtujwUeeEYxdOg/dNa1PHyUyAXu56Gk+ujXN2Gr0a5OLt6
Tyxbjdgs1dSJs5Tw6kW3YrtFLK+Gg6cf1I3nzOoCkgybW4DgkdMXe2SEEV/0EXlwicAmKd75KJD1
3tco/HF9ZKt25i6mOQlLM+HCXYCA9WMKVJYr1/pMh0enzj++VR+8ZuMkr/nz+fZgN0KPLi8RiZLQ
xYIiepZbVKKN5A6k8BtTdpm/nFGCXE0GeEGqocu9aGhqokC7p7uQdblZqR5TU/9Y9gPLpKGMNO4t
00oAUASlXYbB0YqUn9cnc+VgU/AgDjSBsRB/L06dEPc+sPcUuOJo1Hba+eiKTVG/M0sEu66bWvHA
mKJJDFwZXRVLiHoc1yIKZ7Hu6sLnaTj5PS+JWD+F8nc6CjcmdnVYOCqaEmQosLVFcNGLZVzno6y7
ddTYhqccrNE49OXfxLS01dB0RT2Cp9liy9PVUxe5GegusoluLcqdrSi+euhQ0jlenzywLJfvWDaK
Au8e1OHmxVZRrDYWQw2EfWV6oPIEo3XkwZPs0K+cygRa2jnF8CxQKwjKal/qIOt0C15soSp+0Wye
fw5j2jdtuamkU2YBsiy1tIqcSlKfSnQ9bgkqh4NQ5uFOj9Le8ZO+QOFDow1SU3Ntx6/6NcZSf19L
VffBRw5lF49Bdu7LtjjTGq3TNVzpR131rbughFNE1braAdfkBeiWZOWDL1jKo+wFrZP56ejooYHM
NtQaR09uAhdBnXg/9o2/l1E2JhbMu72fTp3jA2J5TitPP5dZpduVqHa7IgeFpGt55kxqO937Uf89
S/kFZmj4N/2sTllzJT4jZeWdehXdFoX0mFNI4WT3fmUdi1JU7puuNu/Csvvo9+JwHHLuNF+LzFsT
HOcx8L3cQcZruPWTuCH49Xv5c+SfJvUQASPIpfJWIzsT4hbabB8qQsfj1DRuCgpiJxAb3TESs5FW
i0l0R0Mdn1Ia4z5ScZFvaxhF9gK9X3YkIzmnDigWpGhr/so8BhRXynQTZGhsIK2a3JQ9U2XElvUx
rhqSP2NSHxNURw5mif6P0RXSmf9CbSxufactwnaXKA3qZ7Xi2zzmfFsxaxRIfUW3owbZoE6l/xhS
oXhH81TrcHjQV82jZidNZfe7HQwB2S4EjUQlNG9SoPH3XampN2WV9A/6gPSBXyrGXVlVieOpkXCK
AZO9xIHYsLGUYbDDzpQ+ZeikbbjilduMiqMGQhhMisWRfnuD9ppZqGmta64XTPss+SS0v7qh2Hlx
bBf99wLBt43jtgDezVWXNwYXV7YSoHAlmHQGdJVbpV8H5XvmPUABqSlPpDvtWkS4fdyo9Kw5rdeD
XFzZRG2IeqKo6abTCVmWSrM1/XB9XCtX2qwVOXdUUdgGrvJ2HkPgyTr5BYPYB5FEHsheseGo1gah
8VTgO+SjLhBEsS8rEyIuhtspPyVP2RsT8q/6Vu/ckoXiz/oA+aPmN/N+gPN8O5BBbrlUoX5140wT
Dl5X5KeqgJZBaPPvQ9uqt5anKJ8TVY+cEZJMR+vFapdUUXaYYqPYMYL6KUqRWLo+v6ujB6dLJQZJ
EhAGb3+W1seISXrMr2ZCp9c5JV662WIcWDMCvZloMrvkp5cZTaFNkL+pO831y9/drLu4s8pf18ex
tk9em1iEBUWRNAo62Jqr3dUItIbDFv5r3miLrCy4G0YwC8zLF92VfeS1CYTaGoXb/KuOco/j5bR1
e6H4olU1EXnk764PaW3WkPXg9QwgDFqW+X59FYQXsZZkSAmyY0rjNxg4/w4SIYTL4nwLC6aueSsN
NR0CK9IPF43YPrnkOJgm0/XNqERSbeoPbVd+FttEdqC8/FmPebrz5NTYm2WvOGYZxccGqTa7C2Wk
6izVf9BbLbWpckTOFObhoZIm4S4kUKTmJQ/7boytA6JK4lkw6fQ2yookfYSG3DBYg5OHqXTOC4jZ
yVbqt75e60crHHw0EMXsJZyCYq8LQntQ/ZOYwkALt21j7Vp4mk4iLy7SovHw1ERDeiaZOpCUHNQ9
t4p46EQDZEVgClwDHXdxPVS2WSlbzndj+pZdWfogK2Pi0QlEP+EO4bzPfQfpmg5bOIChYzV2jpTB
wfYX24OmbwjuZ5T9EtaZK7ne9L6K0W68G4v8BYjdRz+yjA07aydLe2Vn8XqxfLEcskkz3Z6swBiG
tjpZG5fXygOJntl/h7LY6bKVmGFGEtStixc5uUXIdq+oHwLCsf9pypasvLQX+5laMRS/fGl1iegE
yumNttw/IfTSUbwazPKBUqoSbZF4ErfISRGG2cdEFxAdqB/aOvwZZ/oHRlvaUameYiW8h+TC1tCp
HhFD+5vBci+AH4BDYflSE+ps5L1Zm24nJI5QAH2L6h2KEPvrZpao5v9cbDOhN5QgNK0sKVY0iFfj
ROjR/kMP1cvKG0jm7U5ST+qofK009SfK4Kd86s/GFJ6v217zkDMp4Aw7Juu3LHY3YqZ0RZLM6+kI
ogNJv/r8NxbA+0INACpiGX7IVT6luVWYrp49iOjFpdFzVm/Q/qwdMGIPneQAPTl04L3186IHTQXB
reFWnh10h8bfmKUl49ifFXptYHGCNcEqKrMZyVWWD5HwNTVbux5OmnEnxnRJ7Fsyfb116tvObrX7
trgf4sZu+5/XZ3J1n7z+FYtDXqaCgKIawxTTB3FACjkwHUHdx/k3vTWdLPgleccu+H3d6sbcLoXc
4kEGbMUt4BppTr+C/lInW3oY6wMDsD3zOQKoXr6pyzSAYSSIDDcaYrcsx1sTDXg00QpXq7wvMAF8
49n9AdHcH5Fsbszqny2+9DZz5ciYC1U63bRvN09giF6tSTnxcauUooNcIG3Tk1efzVZtT3qJgoxu
+tmnJBw9tw54s7ZTk+11sSFRiRCzLRTCjxr6Qwc4SrcLfS84SZ1sHMxpQLx9RDC8sORv41jp1JEt
a99a6KgEpSi+dEjz7n1g/4cYRKXtZUqVIlUI+Pr6Giqrx5zCCFBGgDwXMi6ZWYNZCgzDlWMcZftb
r4Xsrut1+WTIhXTIoWpz2lwPULXNid2byjwUqZzz1h4t9rOQPhkkxo5p0HZPfenpFDAnQ/gqxqG2
j5D4qJ3RSy2bQoV38gmPcCS6iMyuVx0lsg0OwErBAc9Q3vBIV++sFIlfeE6tR89r0b8WSuWu1Cik
JvpYvljVhnv4c2Esl3imrgMvNXeGLb2c3zRa3CY1yVjo6uXS+l6N0pdJA8jc5M9GE1Of9J5Es3FJ
fTxJQgUoTXmwpAnJ5mQiDaJ8ScX43ChRZ5dqeReYv4MuBKiubJ2E1cNGOpU4nDifis/bvThEyNRX
BCBuOOV7RWv3unK6vhXWd8K/FuZf8CokDhsUoDWJ1wp8Nzs4LnfCLE+fvY+h9T/+EmpLJh3mhguQ
hxYEAlhv2XDNovwop/nNZMgbJtadxr82lk+iopfkCuE+w81b4SZpdXKm+vTLLBqUFeLOVaVoPwzC
TdZl+ykIv16fxrV4CxW2/w7QWjyW1Ea10ohD7g6qj+DGF0N/ysmsQVjyv9lZJDXhtfZGKWGQpel0
gW00Dyj2yOZGimDtZTbXz3m784aBoOLtpjDqQEiEMjPd9gV+iJ1Obbu0FS3bRRvBwOr+fmVontZX
uw90uN61IOPdSXUU1mlLnWfr+4tAIKj0ugsbvv+lhVIV/MtGmL32/Vnsglc+L0ptCWjwzInupjiH
sKDyWju1modGiP8i6qRtCVwMCCxqsIutJalDoPgxJzSrd2L67H9ptkivVkcxiyQhoEpBeUlzNJMV
BHqnGGTKZVvPu9QWOjn8m6mivoHwE979gqQZSEw9dyJipMtOk9JAp7e7fjZWhzE3HZLyp5ax5CKS
4yCU09jimeDnB6X+5vnmxhjWzsUcT86wmflpvwi4xFIMszIPLNcXT5b8nTh6H8U3ajWdYn/Dna35
5Vem/ni7VycjGBUhpspFtdWnFxQ+ztZulA9/MWFU6UB5zx76IsyyxNzM8tiCEgERC99DYnKLSmd1
TWA0JhMHMPkCP2LV+uhLGkwbgUhirrKncKuwumVBfutC4mgyksrnsVSkTo249oYrXF0HMplU/yg3
XlBTBFPbx6lHHodEy9D9qsKTXB6vL8PqroJFi7YPeoMuMCpegbS4nnqYKEV4BxPIB7M+EXdSmotO
VbXy0ZBj6S/ufcaE753L3xfk2Z3WQOWS8KaOR1iAtNu8ux229Esu5o6qG5J6c3w50xcs0bq4AU2s
Vat4pJ6y66zGyZrmCCBmY4ku5m82Qw8ziJh5RMuWnC4qPFONw/LR0xF5aV0zeFKtm2o0HPWdSqbk
mQHZY4VKH6x9ZInebjZD92AI1JLycTSprshKfM4ChKBp/QgS/+n6tpjfkG+C1NkWLpnEKI24F3gv
/jwoQmCLj+jNSsADUophNnRUHT0L4UbO+uIQ/bFFugGsDwQ/y5w1dfuyU/24fDSbT2IJj5vyF2s0
08T918D8A165symIZAESrPJxqIWdCTdK9FUVDxpkSMp7T9NiKIvYBSbcXPREpk37EPe7guphfvBa
tBo+Xl+etV1Hw8XchwCekV6ZtyMqvW5M/TEoH32lSuymF09h4u10P0OiT761pmDD3hwKXWwH3sN0
AkF/euFJBT1IxLxjXIHyIxN/SGIOEvW75P+4PqyLXUe4BxXAnOKCtv2irw8KKea3LBLkbc07A1lW
cTrVXvKh99pjkAi30eYbh/B/OTRsIqwtUyvi0Q9u5O1U0lCH3CTje0RGVTpI0O07ea2op1w30mPZ
+fpegJbXCVoPTczRSOCwqPLPZup1t33URzuhnaybQLHCg5r6067jscnbW60dxUqigzyN0PiKHX9r
dY4+ZGgB1cln6t0NoGHeoZFvdnYUCspOVCL5QwcwaF9PNcTGiJrvO7Uvb4BCiI4Bx7LdDqN0HHVS
31MTZHfjJAh79P3ahyaidT0RE2Ef5Zo7No3sBGz0Ij7UUuLUZmNXyYd8uJP6+LnKjfPngGeIfjYN
9CSehbOQ9E+6IJ/DTk72SmBM+2IiEMMTFbYBp6vTylrqhGKRgCHLk10c8HtBK0c74MOeYyZ5aw81
2qFRMYJUkRPJCdKcFmDBVI7RSAm5m3rQYUKz43Wt7yD9LA51N7WMyJedsKk0p6SX6ShH/sc4m3TI
yhA6zZva3BWt1zui5P8yUBHflaiw7UFtZnaRKoKTtoFnN6FXHeB8pxg+8BdaK0S7OphDbqVSbLDN
lT3oaXLKResX3Qo0QaWjelCGwgN+rwbnPtKLQ+V76k6JFdkuYbSyw0Qaj0WfVAdRpaoHB4bsDFoQ
OmLXBUehDNHbzKbkVLSTx+OEEVL9kJ1YTyCK5Cd/AdUawECIAmIFy/8hVBQ6lyQD3ABx+2fIxiNC
Eqobx9pqqr046N2tVQcFR0tX7Cia1FM0VvWeDiS6BPIkCh/rUvkxDpr41Wy05lyCWnQCJL/tgRrX
xv2sXvgXOtRmem16rTkZvMbeHorJSwqvk7rsMairO21GbQTWU9F9rTX9jpyxHeXCU6Ert0b0UBjH
ZEqPjdc8j+VRFKed3Cf7NETigMySIXj3aWXtImjqS/BYWdCzhUJ7AgGABDP9BqJtDl/b9GcvQdei
Ds6Ee8luis7ftxT+BOnejx/8XsPBJRDXfaTws/dKVw40W62PId0Thao9S0O9MQWrM0CRelY/o1V7
ib3KxiSspmjIHuvip9I0TsrL3Zu++8GDkG/Vmy5ClXm2X9la3E9G45dsjT5DaYmeYdEeORIoTl73
rfNH3rjwhZHF1RQIqhdBPsWAtM9G8qHeorrY+v58hby6ZMVGCnFzfD8FK9aG36ytO2/LwLxirwzo
QVp7cs+KBDilyS7a3fUJurjjFhO02PNQjqm+0TGAoSJIeAZypFcfa21jX22t9SKIowSsV+jCZo+t
4TnFjOwRRWi7vl8fy4aV5QOuyGDoSAXGEpdOXT535Yu3Jea4MV1/kIWvlkNptF43JkyUvyXTjvM7
od3OBW0ZWbyvTCPOtWRkzRPPDpWDFLpJhSzg/zhbixBgSsE3Wn2bPQqto0Wk+kGAO9cX5LJo83Z3
LQVKS4sWyIDy92MEgmwfq0LmENkgsFWYCpyHNeJOBhwjqSGClh0EbSc2XL55liT7rK6/lXH6QwrM
L9ZgbDmGecddOAbwOKhUQ0hJkPz2XGXSaAFTqVnI1PjkV48KulyD+pX4optJNqLAUfqNROLq9pwF
g0n4yLBGLsLXsZ1gdvPj7FGnXCUfwu6Y/NqY73nNFqOiG5/uGCSlaSJZVvq6sjQbedDjR2Msz2Zz
K/uH3r8DyuBk4UnMs0NdfdGqT310l7a3+tBudC6sOSsEuWf450z6eFHNN/sMPRo5ffSMx1YJ4R/f
6ifYsrBYtjYeAm/qpvQxUSBbdgDAXZ/Bre8vHBVxnkd2nu+LUbebJgGqteN1C2uH+9UcLcv3g5k3
oHzE9NGXbwKLwCsAqSkqu1xpNlz72n57bWmx32q00waF/NxjAKg4l/W9qsEdLPcbU7Y+IFIOBvc5
JfrFDRWJZql1MPU/tvWh7J58DW07eiU3XMmqFWjP6UH+ozW0GIzYpk0s+EbyGFH5kvNv0Afk4s92
fL6+Oqvr/6c+xQHVwEu/dQujkfVNnFq8xb4IkdNttQesfn6mCgJJTAbwT9fsq+tD9fy6noyCufI/
RNkD3nNjMdbW/HUIu1gMUe2lyvIawgXr2Jv7kVi62tjAqyYQFILFhFaAi4QM6nOylwVS9tgHDqTq
yF3k4l/s3JlsnACUFOlFHgYyFrMwLMIF33uY0qcCCIa8keJfW4nXJhaOhC7akWzvHOuHuxjB9i2S
ytVZYqeC7Qd1cZHeSfMpaFXLzx4LPaYfo7BV2k4gc95Y79VhUMXD2dKZdpGAb0q1jQ0hyh5DM9gX
w1nRs42D94diYnGn0Fvyr4nFkahbn9uzDbNHcm80Qlf6eDZrVbUruWlB2fEwVMbsU59xXpqp6OEB
GtKTNsJZIkd0YpsjMuiTFPxjxJllTxrpobIORKdI/ASUnVQ4YzmEe/IR+t7oW2RmTG/cGb0Kn4HJ
W8mTQKy//5C/HtF8i746hYMaqCHWs8e8Ym1qt603+gVXF59CNz0KyJpcFC0o1CdDbJjpY6R9a8aY
As9ZlLfYhNaX/v+MLKPdrhSnmix5StoolmxdkOiOV7fIEtaNWDp6evCd0AbxdqqyqiWeQOGNjGhn
u2KzdXnM///l5vr3+4tjGHleExU1MRGvYz87DubB+3+kXdmO2zq2/SIBkqjxVZ5rsipJZXoRqpIc
ap5FUfr6u1jdfWPTggnXQSPAAaqhbZKbm3tcaz0Od8aPj5z4XzHSs66TaKwGimUMxVuUPtj+P9e/
f4nTIhxd9K78d5/k8cMyq8YGbLVFmEXVfVJE68yaNzNJPxWNsbZ5vnEj0NpHmIcwZ76JHeTBrGpz
/Ucsa93f3yA9kS4ZeoB/RvCNmqMTp8EUvYxoZ70uZFEhfAKGBtAsgjRX/IiTuxNRbW4npyxDO0J2
D4kIYt883iP28kSEcAVORGDE2oRpbstQR3KLgwAmcu9g4xQLWdytEymSZrtpzECiiIWAiX3VlsUK
9Ik7yrf/brsk/TbBDxGZcY3tmtdwXMCEd/37S27R6V5Jiu0D4qiLnKoMS/4t83OkTu/86ksWK+6P
QozcG1wCp6EeXSwjQyqIV4BWomlgmW+cfCCCOFmPLekw6hlaM1pYT0sinEby0Mzar+tbpjh4eUgt
iTCK0dVYS2sIYju4qy3acFLv1mryuxb/DTClR6aAmMIcEWAa1eOMNqbc/GIkz9eXsnwsf2WIy3py
U5xs7Ek0N2XITDFp9KiBaI7m08YC/PN1ScvX/q8k6donvUMx54HVRPOPVNe+9TNyuv9OhFjsyWKo
67eTNkBENc2jmJ/71FcqJsXls/8bgpuSDH3G1LaBS98VG/47brc9/8CFxKwDoG8ASuuh3+9cQlRy
WmUmFDgzdhHmAAEj7ZcbmqtwkpaOHiOd4J8ALBNKR5L5qv0RbBelh5WgajIMxap3WFABDCVRtIIv
nfypIMmCNZbWD3btwILpD60Lwi9QQd1+8KcSpC3jExIRYwUJvn2HYZTc+cBNPPm+HHFHrT6apYnv
9+4v3fxGmvuW7a8vQWyC7MacipDMlpkAZQjFKFyPassKZLUa/6GDvR+0H4gyV83w+7q8xUMxEFag
Rx/MMJ50V2bULpiL2lzI2DdbgBqVin7NJb8M7ismaQT14AVPns96LSn8ogK9aRtUNnqaX2OWrQf/
rUR36vXFLG4earrAkwduH/hHz6/MOBpeltoIKE33Ht39dhJor3RHXk3zI6p8Ikjs6omFIUlagxsK
gkAiDP9IyVq/uBBQhIgAHD2X8nQcqjPN7FdOERqkWkcEgOh1WJZvkzuutHGv3cj9iUk0dPcA1Acw
K+j1QMvH+XJQs86MqvSR30G9j764uULJFnXg5PuSkmWFQxJgkcCfROVKW8FF4v42a46gtLmuAEtW
+XQhki2zhpEA2BYLqZIpqOgnXSuB3KHot1AJEYd3cvhm4vkapgeLsJ3aF8a6p3yyV4ahCpiEsbqw
BC7QBTDviSzshX9sVrrRkAK5+yndZiizVr/1uQCidxXEwPTq7HIzZZHCgi4+BidCpZOKnbRtTSYy
y34YT8V6omtwm61t0q0/cFIYIQEUCegzLwBJWt9nERMa3htPdoei4C4ZFJd0cS1AjQclFdiA0RFx
fk7cAhlarRtFWKIwEPkPbdMHSXH0vC/XlyIu+8VBnciR9AEDAPCUqqkIa231LVPh+C1/HYgLYNzB
1ZQnGnQ6RYNHB3y9MR64NX3RvEnhKi8qNHpT/ydCOvQxcWejiXvE/9/N+LPdP6SO4ihUEqSj0NnU
2ECWQ1AL3js7ZMODp5owXxaBVaDpCk2ech8KaJsSq9JYETL/TU+/jmyX9N8+ctB/RYijOrn4+VhU
kWaMRTgad1nxWjNFsmfpxmPeydIdH00AF3glgrIPwynwW6dePzjdGADuaO0bXyf7n2p8iZsne/hI
1HcqUnoxkULWerCfI+tHmwejadfAxltzz7hruYovaOmAxNAzZoJMZDPl9jtagSfMdWc4Z5i/n5pX
AggL1DxvPyK0vevoSULf3QUwtke6yekqbKHA2NBr50A9QOd8QAaqYmiHAzHrBdOoQ4chy6MmD8EC
Pe+U3XZLFx4k5Zi20MUMqGz3+wLt2z2q9aHtf7GHo6m47EufFxkXjAdiTAoO2bkSs8JjbChxTzoB
nBlkqrqB6vuSMdF4nac5hTW08y0Ak9EudNvuAyQclCMotAoaNdAFSYEXvEiji52xf8SYQ+B6bxVT
EQzK74YsQboTJOWjZ9S8f8zGvV4/Of5L+5ApkfDlfYIUBFtw7XAIaKyXG9655k8+GZP+sRmNo1nT
7RTRLwYpd3n2WtDPXpyGuUDixV3UtK82+YF2L5ACYLbr+n5eJBzFDxFYC/gxKCNdzIvkSVcZ3PWG
x6jxnwvdf+1LjENkSWQFQ5buQOp94Ja1L1K6cxv9jcRZHNizMygyELLxe/8ZKGUTRBwu0AqlXQeB
YYMWHvwMg7Kt7/o71lnxup/GF17HaF3KUPb37CIOyOwpoQVEVHX6hOMyAPMBY7MYHQRSsDymQUmE
bmoytI8zepV3ERuKO7crH9vZA3pLEu00R/uKwQTvsZ66O3Cm/2wJ+2PR9rfBhxdgLpUBwEo/615S
BIAF0J8io2+3Leqzm2gaP+W1AdAWYyzRqTev20Q7xBjaj4HdX7nzHXAUn/CcrdwuWucDWuwjXu4G
pxf/Aa7Ryb/HHF8VJLX7xyNoHwPf1HpI0Gfu0WQ7g6IhQaMly1B66hq61VP94Jt4KvThc2G68Upz
8zdqDNn6utpcqi+cEXhWaKHF6BSQSM7NiD9EM/FAW/nYfS3oHaGKDgfpDmIQROCDg+ETXeZieE7S
hjKdGsp63zrahE3rnjTkCYC60w7seeVDzIfmRrP1H4EgVADdEMioLtyH2UfHZGO71tHM1w54CKxM
29y0Y+8SBFOmoCS2UDSSDG+GaI/SubGOdUyeAbj7aUYPy3URMhzZf2TgWYIEYuiYCzk/FQY4wajp
bXIE8s8c5CCU+VUVpb0b0xJgQaCXvrezMdnHcWP+yKwsXtsRqFKoZ6uA0d6HG09uFH4JukfQZw/E
DoTiAIg+/yVR5oFsw2+7MGFaUJl4CDgaR6N0E/NvQBea6c6IvjPnZ1QDOJjuRy9dGelnj72gMzcw
3GKVd+5qtP7hOT8UYxvUzaOlwiYQXuf5b8Q4ABpMcOOBD2/KGbYYYCJ5TW2ASlfg14uD1h/WFdqH
fUBm3H74EAUjg/3wxTGdb0cHeLhuJpZxJM4hd54NVfXrvctIWgtgcDwQoAMH7jJMABROheJAaxxb
PSvu9BSc9PbA2HPk9MaGOTmZgqErEgCR80rfdxgXvksnz9h2FTVBKj7ZD/bs99s2NcgTL6Z2U9kx
/UIdN9nWTQ+A9uuaKtZ7/nPP1EOe9+y8ivXO0Hdh3WFieI30LEax/50IKZMW56SoHTQRhUP+rUpC
0qRAfXr5dzKk++aCZzduCZZhl89m9bMgfcDK7XUZUi7ovzcJgLTIBIG2wZbCS22aUjY0aRfqRTw+
TYWuHdMB7cGDP+ardK7QSc60l6nI2/11wZdnBAQGcEbYgKszwO0hX+Fu6kgLFKajZeOduZvm7aSa
/pFekXd7heEBHeM/giFcDtFRtPetvHPIERzmVbxGp/j1JcjOjRDw7t2g6UC0Y8tmqMnHqa0Nlx3j
KOq2KAU1LyTv4U/4VZ19IllsfsH0wq9pek+3cmMX16x/Sh0wVASVH7GD4vdIjob4Peh3QbMyBtKw
aNn71gFWPnaNNh5TKxvQm6+jPdFjyCK2FffA0Q6KTdNv47UX+8NnZG21YOw7O6ARWJ8Ve7NwvGc/
RXLU7YwWZqNn/Di3B83fUvJAbpzgfV8t6EYIRlEwHnLR4JNOGCMYW4iYyicyIRvL3q7v54KbAOP9
/wJkuqVsBkA96JT50f7sY5DB2rvzyh8V92BBSc+ESIbExEDEyIG9eNT8IG2DVNVEsnQQp4uQjIgD
1MTOzEp+9PSfRRI68a6sPl3fJ3FVz80tKPKwTYiKxU2QR53jqJ99Y9T7Y5tPoxVkdVGM4AzQy98N
5iN+OR3czrb25xV3K3MGlv10YxcTVAEjhIDtQtwvylny9C2ZxzhOejIc+WgOK59STF27T9EMoMnr
S73czTNBcjPLNM+znUXmcNSMNSbvpnzLVR2El34DPEA0rCF+w4IuKma2VYAZwMv6I0iJGdgoClAe
bXvreVBRyyz4c+eSJNtfj3NfzSTpj7751Zg3dnzf8Rez3NrxzgPcQ+MgyXUHOh3FHl5q/LlYyfJr
wPsrOhtiU2LPhyJ27LupGAaFMVyQAkB8APQCD928nFzXjTixmNEMxwgd43MKion1dVW4tA7OmQDJ
whVg0ZjbvBuOU6Y1q6zW2CphZfGiFdm4zSLCttflXd4yuPcGwHhx0cB9KIf0nqcZWZb1WNBL9GIU
K2/aAfimXCGob0dFrnBh8wA6jAZQH8So+gXQTQLiTW12M/NYIV3b7GL/9r1DFQ0TrAgm8ITK6dQa
g9OVa9Xmcewe0hQB+crottPb9Q1buKtgdgcaKIYWwdEjpwS1yqBziXfyOOn7Jr0vzLWb3pZ5Fnbn
VIT8QnRUrzB0FRnHLEecsUrMwLAUt0WxCld6H6au6FE7gwjC77OfLD20qmB7QcJ7aR4uEkY7L1pA
vbzUKtKAxS3DSPa6zDG5bGJu1UED/s0HAjZmRG2CIUyERedhCsAvNT/NJgwpt/VhNs17RoskSNGm
pdizBRMKQaDdA7fgAvDyYINzPGpBSpslfOPNL50ercykfLQwnMT9zfVVCSt5/voh6EIyGND0GCa4
cGTjKO7GivhV6KQp8F3+saNn3n93hkNSRQBH8RRruzytM3FyixMbgPdTNBA3zD+d/FBVLFCiw6tk
SDo3TyXPbVNDVV17zMu9NX6Oybfru3ZpYc6XYZ7rAse4Zgk0+CrU7MPoTcBIe/t3AqQcT+oYTW8a
YBmaWLrr+i0GvxUvzOUDAAsmkg8WbAzKHJI6zyYDpn2B4M/lI8YC7XhPKRkDWrvbCCx0inNf2LAz
adJjbfUR71jbJGHijBvXS59iG7On1/dsQZUFSxSQzRCRORdNQWzAmC5N3DhEbbbyQtY9Y+AKI49N
9zzRm42Bi0l15JIwvwlOBxmIb8Dc1NDEbhIC+iJwnbu2poGrMm1LmyZMgODGAbCrDDNhsXjorJYl
YU8On+1of327Fq4JUpN/vy7psG50WZca+DogbZ4nFE6NSgPNaKQa9lk6FqSQdRdYP5YBrJHzu1Im
U1fx0UhCI97xFJjjh7RMg0y7b6d16yq6kFTCpLsfN4wMbqcjUrB+AE5ex2wR6HxXGQXko/0n6mJF
VnF5E/8uTtrEuvLHSnOwuIw56wiY5CnSc4kKM2dZEeBVE/jWyMRLd7Xo3JQ6JrQtd9rspU6bFq26
g6HQ6SUpmMpGp5sOFKALhIQEfH0x8LOT0OafB77y3e/XFU71fcnlnMH7VZRJAoYVU382ix99bn69
LmHpNE5XIO2TXhFQ24GJOqTFQU/3tb5LKoVvKT4hvZeCeQHgLwjVADEjGWaXJQ0vGA687b/05b0A
aS8sgEslmD3pOoVFW96xv8LE30+K6p6tIYJPoM26M66nyltNv65v2NJ1OV2N2NATAWgEdkeamEkY
aZ/Bu0hTHoCwNkCb3RoRCLgNbpsHgseJygXq94DmATkzAsRzeSYw3krEn3EY3U0/cpWlWdqu069L
CmbqPSg4chaHRLOCp7pRObNLZ3/6fUm9+rmYRsPHr08G+ErDBlnNTH9l9Hh71uN8m8SxnRzLbJWF
VwtBx1H7BQ7w/PX6sas2SophU610k9TC90swZQA6ZHP980vXECk8IFACY++SOcStSnsiXh6Hc+eu
STytSxArYkxjd13M0nEgiEWeAVRAcGUkZRonSj3K4jhMvZ3v3xn6J2KMO80kK57+vi5q4Z6gboCi
NDQXcApyurdC2TuOyETDsgYdYjRup96803n3YtTl3iX6ocjaG0cnxF1BvRWEHkiIioqVtDwjKvWm
8X0aanStvXndzqb766taUANb1BLF8J9wMqTHMis89J8iCxAaNn0pyMHQZ0WEuSBBzJHi4QLwLDpC
pBsJYJJRQ+sRDcGISe98rjDGl4oGv0iABgldQ4+WdCFNnniaY2lDWBtOoFHerDwPnCdmoTBb4mee
G33IQVs++qfQDnwB22sVhTOabsvCKvPIU8FLtkYeu0ERugJmu8lGhbz3RNylQCgAJn3RjeJJboU9
60xvOWVh4npBRNDVaGy8/lfiPvT1saV8o/UYyza2t+oDAkDAGKLHCl3JKMWem518wANq2SMLS3fe
t1UJrtJic13EQtZOyHBsEXmARVCujXvm5CZTwlmYlywAdSs6LFZGva9Qxc/LfgWgfpD+eOBedcG8
rSm8tfeaibyvgiIEmOpo6r7gYfM9C7OcyLUCDsx55Em8zlpvbTglYALSOyceqsBvq6AhZDOVOg8o
BvMCgF1sgMIWuHX9p04s/N/1ddMwhYVZUmU0YiIVLUqViMXP917rJgyz2k0fUl1gD9mpfR/Hnhd0
UesrdmFJm0XpGRkyxP1wJ89FpR4BQrDrdmGKefgYrGnzNjfWbPp+/agv7z5mGWHCQOCOijuoB87F
xB5IMLTU7EIQAB2q3PhkaLnC21/aNMd8L6eDM82Uswmxy1od3WA9wvCNAfAK1mVBrhr4W1rHqRBp
HV7stshh5X3o5w/MfBwUp3GZGBVlRJwDAERx4S8OHuA2KE6bA2Y/vWCI//A8Bpjka2W5u0Z/NvKw
9VSB8uKKTkRK7kUxu/6E5t8hJLUBuCjjS0GGD5iS01VJHgam+6MqybEqfX407LuyVeyaYgmOFFTW
0WBFTorv0/JPQX7V5kd+P7KuuI3oNrzgEupxSTtLz1jIvHGV5tm6ZApLuLgCnDfSu/CHQbR7fj3y
XLcbZ3IHgLY8+yCIUTTiX3osoP2CDwFsUrzxuuwcGV3rWnFDBuT1kn1hgd25HRCBs4cij15ikr5m
Bllfv/CLrxZcFTDQwLATIhuWhALZsSt8yMx2Pv+ex0+GCSJuagVjQjdJ/yNr2r2lQkpY2khByQSE
X1f8T9pIIAXFBjq7BjRVHuNXPj1fX5Xq8+LvJ754DBDxdPBn3M98nfavWafoOV2yYfCNBMwD8r1w
MM6/32PyzCMzLqPZfk2GErwKPKhV7FuLR3MqRXIoAC08GJOBTYq8KX/NNcs6FBG1vzRNqz1Vs1Gu
HIcDB2mOfyTAijuCpaZQtK0tbST6glFhReDsXkClW6VTzz16I8PMYkG+tTVVn8/yTv6/ALlvBrNa
lUtzawgrZ52aa9PbfUjXTtYgo6FrLk10znGrrD7ZmED8rP/crm2nAqRzQrIviTPATWCK7s1+i8hH
Pg8yTryWyO8gcDpXNkDU9hpYo2E294aJl99T5XmXfAvhvQCjRkCXmJIb49pZYqB7F5cx/kEnuim8
bOeYB6JiOlhUJhD2Eh8wMiiVSO+LMzqG3QywnjqY6+70+gPWEw2j//s8kZ4XYs7/tZ66V9wNY77r
wN3rZOZGr6cnapvHGBAaHzh5gvY0GxQ1yJVKIv28RIdaCePp75OugFOmevUvw2XkxQV8go7GeRT+
xPU5MWT6XEVt7gC0OHP11cie0/YwNM1BH6JgLj/SwwamDZTKEC9hOZIedPU8aizqmtCvrM1YM7RK
84eyVmVkluwasvB/G8AkPTBrX7OdPulCt0hX4EmyagwCgy48N4PUCt1+m9XhHN/u2QKMBe6NJ7zO
iyxWnDdtadgQapVojAQR5u/rqrBwidA17KI1CKPNNqpz5yc1Mjw55mDWYZp3q6T52YHhkmtblvxL
OZJG9NTwRmqQOrSsre4AU/MB4AxGoghmxVekmAsooaB8Ev1ml/i+NbGjomnGOmxBF1gf8hkYm5vr
G7bg7CDDgKYTcC+9476db5iGqae2i6DaoFUJbOOTVx0ztubt17g6JKqewwXTcyZM8jeiVM/12YMw
awpAlZWZCkOwdE9PFyOdvjUlGU0GfN+on/3ix9Tsafe7M2MUMBTh05KeoXsBkw0IBIWbeL5tfose
hsjXu5DEr26CoXPUy1Kw4ba/rh/P0o7hzfcQ6KC7+0KfzZpzb+RdF0a9FmBw4sbRdni5qFYAkc/X
kS9D76y0Y1mhW3Plp1PIvpvGfVIdbv75yMKhYVvEAmC/lN7kDIo3lk41hflD7Px0rW8f+Px7Shxt
1iD7lExl0sOvrVOfhzT51iQAlJk/IgDPpA2UJDRkyW45RybGM2aTh8wCu5u24Z3SDAszK91xgNUA
0dcDyjpy/JIZ9owccFSdgwTZ4BvbxGo/N1H3jWAsjzMXUyIMNA/tQzQB6Y8l93rp/Z6Q2PI4IoNq
3qeZvzJz5y4p2t+15YRVym534k9/n8ztFVMdhOcxYaGFXJpe14GqJWhBxZE3AyIFqs+iXiN58Vbv
OpzXEwtdzQ0y9Kz2meIUhRrIW4wUqnBv0dZ0kU5Jm6oYh1ZjoTPPxmqym8/eUOwbzO26MQZrp46v
r+vlgnV4x2nGNBky0PAXz61DZ5pl7gN1N4zaAYhkw/w2eo27StrswLvxn+vClvbvPbcqeG1RVpcU
iIIYOxscZHLdoJ0e/Eph6RbeIJTrBa8BRvg9Ir+oJLLr1Oq8IZzrTQkSUG1tqTIeS9tlmroYH0Qr
Jy7a+XYRUvdeYeQsnCbj6MbF8wAQbT7nn8C+rXjuFkU54GnxkY1G0kh6gdJO8zpnLliYWun3Zk7W
fZp/8bi37wclWveC1mFyAlCKvovavWxaKdKS0aTPDFDVebABdW5w/dyXHDgihmwhBM1syBqcb5tv
wQBEwziGWWUZgT6Mj1xvHg1C901szgdMZGyZkT3ZKdlNefEBswCWOBfPLTpG8HacC8+qfAT/0cBD
y3x27E+qAeIlrUMdACVDeMCY3ZMse+6meluM0xh2IIip4lfdOkapogSydHEw+YB5T1hxvLCS2rEW
3J2I4VlIe2f9piGdff2AlnTt9PvS41fPyF35Or5vtulhxpR62WevY8a++KgVXxe1uBR0w/uofGEg
yJVEVfWQ03lOx9DWXlm2N+Pd9e8vHgcS0aJihMEN+ZFKIoPrGKXEDQUUentPEkASfkChRK77vyLk
d0aL29YHfTEqKD6Qu2LQHCicw6XjQNep7mP8Gd2bcldoNWmGxntnAjDc1iueJvNpHPb6/vaNAuwc
aiToBgFegDiok0iRZs7AeT9M4WA+m81zl+xaVfPR0lnDyoOJA9sFkAvpcTHaqakSu5tCLXnRVgP/
fH0FS2UmhE+wx/8ZtZPTn5x0OpvzRg9ntym+j2hBXeeWS3c0aUig93O5Qd57uutngG2OrKzXRdk2
zy33DcX9WVgoSKLQwAX6HnSKyVM8ZU0mULybc2hMyLEBnbRoFa/Bgu91JkEyYnzoRg+00nPYtNuu
XVHtc2Q8ZHBxwNuWPYwq1NiFaTp02p6sSHqqYw39cBjznUNGu1U/fdMLsnXtJy+LAjveRnEMFpNP
tJ+2A6hNGrJJ4m5FnSjQ7R1lfFfmYaWrOg4WrgWiGIFli2IpRqYkS+uC7csChQheRLN6KNxq3zvf
mwjkYjz/el2zls4TXjraC/H2gqpIkgS90u3CipCga9nKLjZWMijM4IKZwlIwdY3ML3BN5Nc99gkG
LzFzHlLNWzXmY6496W11u1oC0AgxDRrlwVgsd5SNpIOz1KG+wdPXPKjY95t36ezzkk6C28JN3Txh
6Cuiq24HjhGFHVw4BoCACAIp4XJf9H60nHE7qfw+7MCOsjWmf/l5oW8nFtBNJ5I0NT5P4ynQjwy0
JLdv0Onvl9Qor53ErfOoD5PZC6Yfc6oqkC1okYD4QNcoAD9cAAmdr0C3kKIaeTxiZApYv0Fa3vdc
kdBfFAFqMmTzXbynckJx4qQapwxBX1snuxJ2dR431Qcy1qjWwz8E7IGDvnvpoQCJvJvYCeVhY69A
8aKaCl/So9PPS+4T7a0cQDLaGBp0XZWrj1wz1I5NQK2iqH9BspczdwAsXgYHs6/XBv4p/I2lI0Ci
HcgMwMQRfHfnp+zG1YxGMZuHJVsBFKErVvPtw/8i4kS0ARg0kcGRRLCYR5k7zkhP2EYAPF3V8NvC
CTgInAFrIUwR+mzOl8A8ag3M6Xlo8tUAyrlYoaXC1EhxM4beUG8CUYKAoxbyT64yQkIn5SCdDyP6
CHbOoCbtiiSPXnWfYqgq44py3sJLdCZO2i7ki2feRdGIi71601/BvVE7t9sOjKABAMfCsaP3TdLZ
nLVMt2eI6PMt2JHil+umacGfwOdx2zCs5SMukt73npUYfC0bHDg3tHskDt19FnvdH3OuQXdteBrI
pcAQd0/nytnMWRPfHNEgzYZ4BtIJYkI5Vs8AIBeBGZaFY/JHNwJu394mei5AOqJiAEs2GM+QDHqe
zPuYH67v36VC4/OgnBXZezxOco2wNAx4nxnCGHdEZcX6ZtoKjRa/71yjzwVIcdLACnuMPCRmrHbL
2aZNj9zcfWQNDjx00R94kZMckxgUJ63HwPHzRLWjvb7++aUVgJ4FcZKAVcPs+fmd1Cy7HwtWsbCw
kgfOMNoOdz1B3ozfnPdBTkGoMkC0XZgZ6aq0LRpU7bYbwkKvNm6R7HT845MqIbNw5GDqBAoOAkuY
GldyF/ypS0orNvqwPzqY0DJ1VXJJJUB6zQFDppdWTiBgdNejFwUxUSjVe1AnaRX8BCS44VeBjFF2
GBjt43bwISKt4s1kP9f2l7z7xx6/F9NeB00ABQvM1GerGthYw9Sup6jd5Le33cBjQbeKgWyt6IaQ
HgMkoEpt8mrvCHzqwPOalWMrKrsLqicQ8NDd+G7fZKfFdIeOD0PvAlaKBGRoN2VlfrLzUqHhCweG
tNY74B4eNky9nmu4DooFq84b91jYwL8sQIUIvKLrl2hRBFLtqKwJBEe5v86KvC6O/NQ7FmCHrQqy
ynVF5W5JAhJzMGMYcEIzn3R7SOKPumYkvpjlFmMhKkw/1fclQ+ZqVWT7LPWP1rTq83X37fYNOv35
0hkkOhjXph6fH+sVLwAw5amq3IsLcAENbACHGl1P4u8nvkVD+7HOgQ1zbMFjWRTo31PNgqokSG9V
206gPDAhIS6f568Is69v0aVzhDdWIHsJHxIZXmmLGrPuSi8C73fcpo+TpWVBk/gMNBfOr8Qb9q2v
HQzrI2s6FSrtGnqMMXfcgp2bN+kqB/9oqZoMWLrkpxKkXeszs518GxLmfEvTVdIdktvdVtRgxJgh
GMDRRyvfDR6nWdehhH+ciB7Y4Kz1b0404FwELjDcPCAeyuDTPqngHQ2RexxXFf/S08/XT/7STz3/
vPSi1PY42ybD50tgj6R8H9vAMjpkqnnfBf3FcBxG/gW6BtgspCueUELy0Sqio15hhvnJLl+vL0P1
fUmBq7lEHyuye8eZrPxmS26PDxHRoMMYqR4kdi6686xyxks0t9HR5Z/SoEifr//8BUU9+7y0PSlF
FqNk+DwQWsAM681rcrs3eiZB2qCc2bk1D5CA2Yhhk98+MoD9gduAXAOUFfNi5xaQIVOWlm4f4Z3T
gwOACBWP3IKaopwKL1GM3IGlUHqCvETTAfbfarB/ZRuU1F4XQP3vegLa3FnhLC7KQg+BeE1Ri5Tx
kAwnyYFENsLd9d+64YdNPjPzh6Zqh1nSWDza/5MiJzTMVHPHroAUkAqtHeajHP2BI8d7hEsH245I
RLKvHHMTCRnG6Lh2imHlgWD2utIur+Dv9yXrOtWxrYMBOgICShzQezJ/4IEABx0CKPQNCfWSIlCM
E4GZBlMSx1J79eLXZH399y9dupPPyyxCVmd10ZjBdBv8PrffqP1magpvemmLUNVAXhL90GiJkLao
y/u6I6yOjnlcbY1ZfwTC75frqxAGWvLXUbkEZgM6yLFVjvgJJ76HmbuNWca+f2wyTAXNLl0VjrGx
K3/ngo8S6IKF4tiXrgeeIeQUEfPjn3Qq3B5sygysydCsVTdmgUcywLeETaxwOxdX9leQXBuaC54P
DAzaRy35ZI7PcdWtCchstdE/apHKwC+vyrffET0wQSatynS0arIMKDPpN86G7fP5fnJ/Xz+qJW2A
D40Csy7MihzuNhEdog5pRrgjKTI2QQ2Ex+sSFrYMg/VwR0Sa9HJcYYgI6GLyyjkS7yVt9g0Q2uL4
e6olga1i1lxYDESBIVJA0rmO3EJcDZlH25I5x+HRMz/bw4/rK1k4D1RPsVVoS3MAhiXfnMbTaNqm
LsBNjXVS/CrK6s4bQ5/VipflXY2kC+QI8yIQTd9n0aQL5PYk9+rROXJWTUE5p/dZXN4NjrOOM/7G
x1E/YF9fTHtcj065uX2ZGOpEDs9z0cAqs9TSMp+AZB27R8bLu9jax09+taWFf7sdArU90s/C/brM
D6NH2mqHCmIGYwfS80Ghdot7ePp9cZonRsgeOTIsEU6rNctNxnd2dxj1UJ/uqqYOaFEHbNhHKuSS
Bft9tihxGU6Ezp1TpVGLRWlHx/+KNrLx6/XDWbhNZwIkpwb5MK4xAgF8mFZ6hrZVJKdicOehvRH/
/eW6tIUL5QBaF3VL2FYM4kouTuq0UWw4uFBacnS0n02iyncuLQfYERYKBaDeuEA1L0uw4WKeUgNQ
mhPU0YtNx8C2+dbIy22WNdvry1k6nVNpkkpkaeT1CCq1IzWNIcgpxstpdg/4WMW2LcmBR4iWUlBA
wjmXtq0o40jPI1s71u18GOruIcGgeZarqutLm4fuUozn4Y3FjI6UqmyAQz7TFssxkzyIMDd6RBpk
BPZ0nygM0oIeoNsbKS44DIjH5U4ozRmzvLM0wNdYDbJtq8xXmNaFHQMiGiBrMJCNXmkZPH/wczep
rMI/0nxt+0E5bYxpd/3wl9ZwKkI6fLdsTDupS2R0nmMHyMoK3Vr4PABrxAQ+6kSXOCj63GjWUHne
Ech/h7aqN0WhIrAR7730KqBch0IXXCs0q8unMMP15CxGQONb2sq3XmrnuXK2xMf418+oe+qUYxlL
azoVKP5+Ys2Saua+RSCw/96BqxVvgEKvFo4dhAwwTWgdJaANF38/EUAR6Nd6XwImARAl2t7PAo18
vvnY0XkPzDKU18C4LDtRbEzHciQEY/53s4u+j/31zy/cQSDgwc+Fx4EuW7kjAlFfMdPeoCFvS7Ia
eg903nxfs98aqcXA3PzlurylIxFZfDFcBOAC2bQ0Bu84WobicPTu+So1Dx/4vKDHEH2BuIiS5UJR
OOHW0Mah6/7hfRr4ip+/dOD47v9/3zw/8CkqCsqiOg6zmk0rZ6rXScQ2em91iohAJYicC6pK4Ec0
BRaCwmCfr4p81amInhZAijE+hCybjbbaBZJfc3a8xO0A8lFxuu3c+qHImv3AybrwzIe8dPMA5bA1
RpGaoETxIjZA/wSIbhVy6nsmVLYLJ79DDkpSSgcys4iGlqt1x45kdrWpifns+xGwinM726DoUN9b
HE6419vfc+r09zPQa4O6nczfeqPCD14yVKc/SNKiJqNz5lbYGDxeW72Jgz7/AuxkSkNTgF2h1X+c
FYHZexf2xSaILmqwYSzwFFfwJkvXwcXwcfJAv/iJ9qLANZrPHMP+gVWzbueOVb0yPLAtDJlfg0M+
cVfzMLCgaQu+1ru6WSd0SNYIaK11mib5PQpL7da3VENalycGBGeg9L1zVqA7whcbeGL32sinRGun
6Bj1dYu+CMN4jmL3D4iQyl03tf42afMWxNe0Wutu+w/Tyh8YWKP72Z3sY0Vi/nLTtccgHDLsoqoF
Pw88z3KPmuP0Qwq3C0Hs9H+kXVlzs7qy/UVUMQ+vgIfESRwn35gX6hsBCYHEjH79XWTfc68tU6ay
zxn2S2rTltRq9bB69Va3nyf/dPv7agXvXcBcpXHBrjEX0JXrqHODt2bWBEeQ7tZGNOBE7DsxRdR+
ta1YfNerLWpebR7p5ka2K3U1xWZeCZ//frbbfjuBTNxqgyOppPgZCGATBPHXTKdSr7iSorxlzPYr
izhYopNhAov0QqN7DuS+LJ4M4oZBtvKuqfHNP/IcRE9gGYIDrUajAyrj6JAe/KObmCKSdpCF83sR
Z47XxjWtjdAvmuZQBrLZGabw75hO6xVzrrx+V79B8amK3G38vO/8o9P2kUlkFgo7iPrMDAU1T4Uj
4tt6pFj1/5UHW4sWWgTZKrttX4EQQeOFf7RFg2YJEeZJEtfptOKWLO8tcPG4FkDxXcU9rW7MBQjI
GdMSPbUTEKJ1dWgBfwwRfD13lfejqsa3NnEiu2Ermzqr45kl+2eRZ8KVN1Jv0VhRBbl/xMScR+Qb
7gKy1u+uPl3vMuAWQWsQNqDvTbmPFENdS1p77tHRn4OyimVyP4wnE7yulQwHtjG7YZOYQWS46Q7e
TXT7GGe1UFcIhh1zHpOFPKQaVsJCN7oYIZ319daS7C8m/26lk2CKmXi+LWrxKM9lKbtJ3SnQqz5w
j7VsBKh39V2b2p/MUn5qW4Ic8Vjdcd5tvVHfydb6IEveP/s8swoha4+1qu4aeFiTFml195iNh+az
1a6UBZZUJTj7vLI4PSlqSTJ83hY03Dr4x+3du75vIPiGeQFAHMdkq9xiAl8fknHwjhX/XbboGWJ7
R/tzW8b1GiADvvPMkYPknQruqCennTwPOQYaEufOtFcc9Gtdu/y8kjBxJ7NK0fWA9GOmfS/N9ikV
1YNmNgfhfrC4gcOGKNQ0cCBoGcLEqct3hljSNEU6uUdMZAkJuHLo79tbdW1uISBAOyyCfRc9Y/Pf
zx4yDZltp7Q79+iyXZrB2Mq3Ec9mzw+Wv2ZqF4/lTJayb6KSOQHwxj2aZbqtGKbyfpDe+Z/tOpOg
OEFZU7dj5mI1pDllXlyiGNQEjx0QV273xzc3t/duaT3G3NOBcQZwEtVqnSw8pDRH4h57YjyIJNjJ
4dNtCeipvLJrqAViSAKeB9Dz4IW6PJ8U+KCxtUHF51a68LYgZCv3zORd3OK1bqK5THGXYvzWBnPh
60+D12cxGUV6h4LMGPZBKp9HTTh3uijQy1TybJv61P5KcjK+VmU77WDBhq+drzkvpVXQfW8kxZ5b
bh9KGSSR0BuCKWUUVNwJyj4bijm0G+q102tTNjjDJLN3QC8mD6IVGNviFagolBib5YOk4Gg1mb8B
FyLZWj0dQqnT7J4WtM4ib+zoPfH673Xt/vUg/dAYhf7cgu51y0wabIwi+C6F3u7qgvRxVlP+oHW2
3AKcax+6Sjh9mIge3h1y2cdidNOjwxoaYXRXEQnkFzAVgfwcJ/BjIWYwopRbXWyLRHsKpnJ4oEFO
N7Xf9geDU74F7MeOZT5UsYvG6leL2EUoClTwqxFkEWaeZZsgIdZ28kz+knQZizC12vuSaG61TUjL
9mkn6FaIZjhwQVwM4hnNO+HZ37gzZtEc54dTJdOTpyd9pKVmGxkNsmt+bbCDJvSf6WBk4IzUXrO+
k38QRdzWoaUbDtoz5HbAGujB7F5qkNe6uW0PSCckvbMNCnpAOSKkpv3Zn5pdafQr78eSfUeCF08I
QHUoMCkK23qN4QxgWHz2smzLtHKbNOmh8Na65xbFgNQLCT4UFK7gYGkLJjRdughQR+RdqzJ7wOEf
h879WA7u3aKApGT2h8FNcUXyRBKCplAH98/DlL4kBIHWyvEsPSb2XNUEwAaocDVO6voq0bO6SZ9J
0oaVLkPPTyOOyc7rcybnx+LSR4ItAYdHABYPlIBUzyGokhFdDG36bBJjj4bGHW7ugfs8RgwXakSP
Uag/1a79g7bsMSn0lZhp6cjOxSueRYdhqfmYjzBlk/8dcJwvTtbuht5c2dAlqwzWF9RtQZGFkpPy
ZPYkY5ZXJcmx8qtfgN6ysDWSjxWa3rUC7UqQgkzj9QibusVkxy5okCZHj79pkbAu1pIPS4b/TMS7
E3r2MBsds+HHdNqxdwGpTzlwahWj+7QNPpuiO7m1F3fNdOeOMG+asyJ9SSkB2Zj9AVQDroCplEjf
QcdOchy9YkuKHxwj2YrpB5Er+7goBz3HyHk5SJ6or1veglxKZxJwnXIKafM50IG29V7s8tttG7ik
E++QRRQ1ZpSqonp8KniD/i8kR4qNRR8/PpkbcQfGoiG4g0G67hrBvc57hETJsWMvfliyl9s/X+3v
nPUN35/xD8DSuFfFEsx3CfwyybUjjLkJjeitqNQwaVPWZfrYWWB/0RvgMbOsbfYY2WzE5YD+eJRG
1sAkCxuJRsAZIYv35LoZY5Cy6UqTQiub2Ht0xpUozpxdQMVEoRgEBPHcETiPz7l8rCq7HkBqbiXH
qc34xsxdGVUAzUYOCtbwf43i2zSUZWyWwt8hgcqjuk/Ijue6gzc2yX63cDK2I005ZqgCbsmNrthZ
XH7369SPqZHAM6B0ClmlpZuCd3/zwDnkvfOno539KBuzi3uSs8hzpg/Stf1zhCh4IceADbyiVbGF
UeZE9wHzQBI3ya1NWngnvaz2t1Vl8YDwmMACAq1wNRUCXirIvFpoigXY/NyIKFYEmAuGacbP/keC
ykI6pLwYCi3Tjmj7iUsqwtE24StZ3jOTDvBX5aFrtBAV8phKY2eDtKx3/MM0BPvULe9cp4vQN77z
x+HR8JsNZfneYPmKHi08NaD1hVuAeR8oBl1h2xwhMA4OZcyeP7p+jOFCoZhWHJ0FvwoDXMFKMfcR
oCKr2JSidoaZVlQ7Tt1Lon8uiyI2dRHKwNmyacUALF0LsJkBeQvyL0S2SpTmUntwyrxIn3OOUxW/
NH+Gbey6fDdpZuS2dx9XIkyvQgkY/B4oDSm3kHSlaFDN0Y7j9ETIXvy+/flFFUJwPncVI7Q1VEcE
Cb6q6U2AAofRMQ5a4upR5lhNRDgpQyKBGWJtYJ5kVZOHxPPbnS29Ik7b5Bui2DSWnZVsGKC2r25S
JL/GwjMizkCzOGCE/dYSvXewa7EGIV7SKRTfZ68CwKarofUCvqU5FNiU1v+cumlkmUVYJ2ujgRde
xJls7T9S1AK8M2mU8hx1fh2jsLqIvHXDgZCVDNaiENQYAZic8+fq+bYY8osZvCWMROMEMUJMFrc5
pv8mNQPxtqjTFXdi6aogzQCjjpzP7LRfWnVZpAOioEo7ai4BHCwLh+BvQZ9alHE6feWqLMuawR9g
ioH/olwVy8pY0FRYmzYHal0aGgyjfKWLt0ALvX4Nsbt0M8EA8H/i5r+fuWmFXZncKbA0STCb09gF
ExiKgi+tecprM6zX8HuL4lAWnsnfQLyjAqmswQhIw2fHs9yhFdHwQxqEO9vJQn2tmXdhI+F1eEhA
IfiZ03WXK3O6PquFAd+sy4a9luZvfWLtwG+/qcGQwYs1OPLCw3UuTlX8eshZlfkjXn4ZyvapY99u
G5217ys6WHgN8yaQvh4l6OUzYNvD299Xq4XzA4//AChqovkZXCKz/TjTBK/VrcYoOyygsX+bXpxi
kuHO6eGcbGCmQTyeD3j6Bnejs+DVJOJNZz3Y+wo4G94X4O8eBOf7BNNPbv+uBY3BzwKkHHYWhR21
IdidRlPPK3hUMtn2WhsW4l7ru5Bm2X5MMZiwXuvXXdSbM4HKPhiYUQy0sZ4cfa1/RFfKfYmB4xrm
affTFEvNWHnq1cLnP/s+J8LRsQBGNhWoi1bBpKQS+O+pd6bQK7tHQLS3eoOBa68gt4+sadhZSb/n
0t5RE+ee8jU+jsU9nue2zp3E10nUSWsz39bmMCZPADp56sZdz7cuZnUGX4vy9faBzvdOcZGhZoC3
IY4HvanqItccmFg6x2aY2RrbhbPxjYd0/A1GkDCBHWB+lLgrYZq9eKaw3DN0FFholdbF6H196iq0
VWTuSzVSNHkDrYquBIn+eK89eeM3DLjU7CzEv7vpuyDsmxK0znnUGFWklU1EWQpKKMR48pF6ehwA
k1cb9hPx3V017tu6jhhaWhrHDMdkrw1mROyDJw65PuGtQAd2e6wwpE1Pdr7zRBBzp8NTnv/AkDCH
3rnmDy34Ojl3Utxl4xDf3m6VAOZdv6BeMLmot2ADFH1usgHBRp8nx3R8a/oNm47oGAcLnQwN+cud
gMgx9iZoITTnqRxIWNEMeZRpYwYgth700NVJ2Hr+/vavemcWVrVg/kmgWnDhqKlZDsysm1yDGcHR
TR9Hs43H7msAj58adSTAQjNhEthkbLk8VPzNMvEmTV1oi++aLiPHkRub/EwbEdk5j+R46ls/BmF1
1EyY9PI3IWCks+NErGVmrAUXCvzs8GGhtcC3qG55mwivI8QJjhS/piR8k0FlRPq3HGRsGvfa8KW0
WwR8X1v+WDFvQ61Nj/wNqLEsfctszB4tLLA+vDkYQpkkB0xY2BX1k/Q+gXG3t49NdWqCL4O9l+Nb
3xZ3bvmbiRGpXX/PsxUXeaHciU61uWMcac55goXyPPq+LNusSWzUqY2wz5605p7Rw1SfHKg84V9a
8cfO71DooGIt97nwlM1c0yb4I/A2YHTJ5UvT1Jik3ae+jTL9c8cf+em2bi2cEujZ4ZoDh4TUjKrw
Nnhyso4L50hc+zEYsx0oh3eD/GBD73yvIGZewJyQxEyey1V4DXKVXNTO0TdJ3CYPrbGGBF7cpzMJ
89/PXuQx7WSPwYWYi2efUqcJyQfnYr4vAd0oaFqEFMBQVNNguyWYwxznaPYsDD20it8+iaUFzLwK
OAjEBFfpMasE23SD7PSRNWG7Z7/+u68r21PXTWChNdw5cvGpNJ/8Zq0mv/AsIrONhBvyOfNeKdsT
dJPVp6Vwj7y3H+2xO5IR/Roj/0TMJJ68dD86q207S8qL1AfI3FxwaVwlkLzBHIyeQHl70uBRbLz6
terHdFP29hpVzJUoXHwAruZ0FV5+5Jov1Yu4SILkoitOunVfl1/cfiu7FXKQNRHmpQjTrbS+56I4
ZeXU33WmhbpVlxXHyvTXYAVXTzxWg/TlnF9A68QVD4pMq5KkGUTpQxqLod3phHhh4FaA2hHrd5eW
u9vqdxWEzgIDOExI0cyzshXtMAbhWCCxpieaf83ceyP7UeMC5Wv5qqV1gc8Y8Gk8OeA+mv9+ZgRS
hvlYXRfQE1Ab9bbN2Jb7zQGdML8Qtu2d1vt7e1lLR2aBKQ1ZcySfrjBUQlpDmgQuPTWT24Z6Rj81
qX3kpv3Ragq2byYrRGyGIY8YPX+5rsJkiLalpKcCEOe6gcP5S7Rfb6/l6gIrMhT1I2me2STR6QkR
4m/bTr9Ky70H8gG19faXmVZP6G1aowpblmmDKxE6AY5P5XGTqHtM1WhTvKN52GSv7sDj1npDIcTu
D36zVh1dPC60d/2vOLU/VSumPuOORU9Dn8YMsaHeiyj9N0phz41qIO0GZlz1n3uNprQr6uJUmDQq
R+/kTMFJDmtpz6UrBUgNoLd4jubJoJc6gdHMiWERzk+08bIXO5XOVyKyXd99yhOY3NvKsSgM6Fig
rVDuRSvPpbDJKdMC6YHqNNV1XNkoTVX5XTCwcNLWOmSXRIEuFwUB8CSh+qCIKmxu5R1r+KlrYI2G
LxPGpzXyF0KF20ta0j0gk8AtC5t+PcaBOWj3wxC/6iSK1NhqFFPiMT9k6xPjt2uSV3itD8CVtysb
efXK45aBLQ3vJAhOwa6uGMJMI43uEUhtzQdDewhWEgBrn58398wAcooxO7lI+UmEA4kB5Ly9Z0sX
6PzXK/bVJVWjmRV+vf9WCcRt/Ri5K6ZubQXzsZ2tgDh10bnzCmS+0Zqt9V9ukHpriF2zmuHznb7X
MMNpd3uD5n/9IlLD8QYe0hPzDFjAlJUN0oHu6EEFx0+YRbOr2P04bDn7RqqXctw75k5MawIXbgse
PEQnwF/Dew/m7Tzbrq4erbIjdXnCRE2AddtUe/BoPYVBZWpxOmFW0O0FLsqbSaXxGKEkrlqdscao
FdGNkBdsySvKn3/KNfT/e8yhbCLeOvgmLmASKEgom+hMRu6C0r48MZcRYGdGokUD7lQEkJLvYdhG
pm1INURaEXxuMcGwdvJjQTHmPQIIaBDPpoOqIc8N0BQHZvepknI8dH5G09DsU/6KIzRkOPmFdQc5
Y+hiHG3Ie6Y/cMvJYy5cfcPLvA5d/Ct3SWkPodt0+SHNSBKN9UCfG+GmYZtaiYc22p58LesMx1yh
G9COCyRMQWMP7qWRYhZUMRaIv9Ngn+m6fEAkp90BcpfEOB+CZjVWGltrsJC4BvYkRB0iIaEp2Nvg
d8ZRF8abXyXfea5NzZawFuDDnOqbQUMbPKAjmDofMg8cNhbx/xpWn3yxNN0MgzFFtzwi/k8ub+hL
wW1y0o0swIwvN0feSGb1HTGsCYM3U+Me/XrJj4CaZh92KQkijeZmVNilc88Kb4jdxqhDg2sMo0En
Kx4qOjyBEcjDvgz1im4tXH3gElENmXOYqLapV9/rx8JCYIUHs3v4wxpjpYi3oLvoIAdEF4V7C8ql
eFFO65eMOjY7pTYmcco3gz7mw32/SgK0YCWRocTlR9UcHoAaCpFhJiVp8/JUTJg5TR84mMu7ZqXM
srBZePwRiszsmyZw/JcXPzOsZNB5zU4su0tevbWpakufd3AKc9kOMalaNaomRzaG0IqTl34eQH9s
cWtz25IsSkAwYAKOvpDYCDjXcw3UJ6dcRE73xV0ro658Xy1dc5aD37/H9+1gE2yQe/yvfr5KkpQG
NHH0CZ/3DkB9tyS+/fnZxik2EO2G6Gm2ZrjYlQ1spiKtMfuiOGGqXNTw7s6yjvDNYerudG0NibG0
VefClIvnD4XDaFAVp8k4+DAn5uvtxSxdvBlOh/wAevWR5LjUVZuy0fUBJTi16aaiTdiRKmRGXG1v
i1m4dyDTQZcQnG+Qo6sxOlpbLZR9GK6ETGPLKI927eyT0Xz7N2IAzsFIB8y3VJ8nOIhCc+ycnTKr
O6HIEA6DuefOtLKaBVdiJpCcKY4DgCtVbGWKvhtm6Wl9mjBN0Ay6jTuQjW08ZvLokjZM+iFMipUU
xIIizEcEHx/5WgywVLwjgqFflBtVfcqeNVZu6uqDA2dhFd+HMgFnhkPC5E5FE5hHat+rKnGyOBJ1
obNWL1m4NqCcB7EnOJtwaSzFxIM226K0NfnJMWP28jJ+qcd4jZ97QZtBZYBKKThJYL0CZQ2YYGgU
pEgwwaqYXnu+mXICLKrmh5J+3ERCEkgKodX4pxoKeaVhCzJiNSPjUYf/n25r8tJxo3sG5GUYiQDc
mrJbU4MjKnUCFcuKaIrHaW2rFgWg59wEigKEBupx6xosPHDR9QmFIBGD1if++ALwniNQhPnCu64s
oDCqwBtYjQ3yzH3XZlvLuLstYemwzyUoz2zrCQNDinuEI2kRpp4Zw2naaP3P6oNscu83Y6bqmSeI
IsujXvcsl1M9jbY4pT9Etg/4ijVZOokAfjtqMTOOWld8ak/rU31yXXFqqi+TiExvrdVnTYByK8hA
eZdZEGCznaHvkhU2x4XPo96KxA1afDxUQpSsgN0JZrtC45jYUf+1Gnj1ZrlW+Lx+cuH5Y6T3XAaB
/VCUyS+4BExp4CerAyYbSLfww6p08X1FlRqMqM3aAt8fsuaOasNnJG+2bpLvkd77+GlfiFJ2yxob
JIcyiJrqUB9C4/PtlSw8tBefnw/rLOisOmlWmMvDT169h91LUJYaPm76kDG2LRAsznwV6nlrec2y
Ng2qk+1WKLMD0oPRqzy6vY6Fy428KvCnaF3G4A81/ci8TqvcpMKJ2GIjm+atwbTIrmWbhLOPv6xI
/MxtpwCNICeo3D9j9DKgeX1+IvRB7ju6EtosnsjZ55Xb56JJ3gS9Ez7f0DtP3zTGZsAws9vbtXAH
L9ageAeGy/oRSXB+KtnWL7bD/r/6vMpdh2hgEAXx+MktI1qF2hpwY+m0kSsBTwhcnBmgdqm1Jnrl
aVZBpUTZ509jY/7RclD/tjTV72xQ4aw8rvOWKx48/A+Q2UOPAbtTNbhqpn60EGmehqI0HmXrZZEJ
6r+QTZ0XGXis4oTm/lth5eYaTk1ZKezXPJfWhyVDPRH1OOX6t4TgrgwzsYQ/nJxieClkfkwdGgcB
/5jiXYlSTIHRpy7V0Aj7LDwL+Y8fGQbmJHTlniqK9y5k5vAFZf8cTr9DDc7sjTdJPR0aQG6a0oyc
Yl+Va405axLmHT2ToCWjk3AMHjj2QDBPG+J/+ZBuX61A0b22piQrXHxf/8NI7PQfuzpXn1eu/6S7
rC1rfL5MQKcb2XzlaVxSqPMDUG6+2xBdZ76RHAf30BTTrrWTiJJTYRcr6jTvw9ml+WchuKHIyiM9
ji6Ly3MoE8KZ6aOfx0keteBuMEiMTBjYAI6J3a1o1aIsaBTyG5aPxk7lPc6tUQc/rQ1gsps9Bhnm
ePITb+fUqbExvRX7v7iDqFEjmEdchajhcmEo6+oBqFS0Y0XGDSdsw+3ka1Zpv4dU7G7r2qIolGgA
LEbH0hVBZ94L1ABsYPJYk0dW+mA2ACilD0W+VhNfEzT//ezSDE4ODmQJQWZxn5tlWLR3ldNGo7eS
6lIet3elQO0Y0eJ7Tl1t9+d2O9hBD9Cf1LI7zshjOjn7ZkpXjkhtvLmSoyjE0KGjIwkA6vTG4FNG
8x9DjmmnnRlsLCYfNeRFK6/ZVo21bXXQAFhrqNUlhcS5wRsBAQ3iPcUBTR2tKMFEDH4uZI5LPoQa
p+GgfX5vtH29rSTvr6l6086FKYut3LGtzMkF0q10u22Bgi+ofrzfnPjdPRCU+U7w1o0skeuRZhkY
K1vW6bgP6tl8QaOQSm+rcEAGY+OhRf53nnlfNfS4+om71YVsHtBCzMJgKswHxwABfg0az21baE7Y
6x7DRupINacomjuyDWIGfqGQ8jJ9cSlN0M9cBwc2AaQWsLIPA5BNRiVtkn2tJx1IkezkKSuRq04m
IzgEKfvB6VgfJIafxLKVZDeMth/RkQ53orSrp8ntm01StmbkMzd5rGnxd+zybZd3HQsdxI+RTtz+
SWsbtBjRyQsbE5zVU9m0dybgjTpGv9nI5LLiQCTak7JgsiL0Hznb1CVIaNkp29M+/zYjQ2OwreAH
u/InqJSQnc8ntM6Uub6VIFgBUHLI0N7AMFrbGoe/Tu6vARiv3jEkvoAQROEUE9AAt9IvryQ3MycN
GKPPRR9azqm0P1Y+A7ICXNi6g6wUSPbwHM9X9ezKs0pmpaQBfbZ3ojtKuhLlXVmU+fOgknXRurzA
F8GbTKB6YRbPtfPDrqJhG5iIkD7dVv3rez5LmWczYvYr0BSqZ1bQAYw3E6TMbIT160hilxyKFG11
saYZ4dCiOqRFrbXWFbZ0OMjXI4gFoRxKA8r9xhwqw6GDhFxcj09D/TH3/P1sMAgGKMWZVuxqmlVS
lOjzqIfimaQYfbfN85+3923h58MKIxeFg8dvVXVrSp1W+laePyfdi/1diI8Vfueff/F5ZXfQqQdE
bYDPg3+A2HmcjV18ewFX78ilBNW+Vqxsjbmb7dlN7Pum1l/HgZDQqasVx2JRDlLDqMwAJg5w2uUl
MTHksCltlj/rTR03/p+2f8jXuELWZMxvyflFJL1XyqJC+DLWod2XoQt0L+1XXt7FIweAFwsBXAwp
vEspvHbzwTBI/iwEaH20T/paB+PVhYeuAk4CaCPy6TNm5lKAAKydEA2Nkn2PIP+0jfoPZutntdIx
jQmAC0QO12NArATPSNfCDPva89C/cf6HdStv6cIuXYiY/352FpqPmRyNIbVjUUSgP+L0o969sgTF
6NoTuO5zB9/XXsdD9XGLPjczoz0Y6fJrip6W2NpkBQl60PKsC0Fz8qj59coGGVfHPK8AcEMU9O0F
SJRMGhO08bBL9siGUHhZucUzk9z7HXDeMh1AhI8iVAg+fx5VjExbgGHrHQUqMXIMnv/SeWvEVs6C
jSPnll5NBGuzX6+cL+UnKiGU1ZdmCUxi+twH4pcgTbsR3XTyNITuoo7ysluJdBaV5mxLlIDA1cdE
GjQH10SebWw/i/Lh121zt7giB90MSPADaKQ+cyYHbxTPNDBJu19BYhW17OBgFKTkL8H47baoxcV4
8AiQTENhxFQWg46/nEl/AO0ImT4XzH4V2rC9LWLB4M1N8f8RoRLNE3BAOJ0LZhMnewjKL5obFfm/
2bAzEcoLlCeiJkOlQwV8GrLmd5d1sdc/F/m33PbCf7EcPA+oIs0JqavSTut2id6CCaQySGSU9+b0
t03+3paxqABnMhS7xDEl2LGqLsUbocVs6kNj+FnVPGz6w2itQTkXz2cuiQJODEOiOjcmRuLCZ8AV
1yYnTs23gZlboSf/YtsMtJWinxXwXjgjl6bWmnKfgdMI1tzQdul459Adiui72/u2tJRzIdalEDkj
YWe7iNFXaQSyrp9NPv7Qx7WukjUxyvFoeS+5LpAS4P7niT5X8on9Cy9hvo0AiAGMCodauZc9snMm
H0GP3vOeRJPW7Y2xR1fuKpB3yQCATlEHyzceEYTql1tmW+mImixm2bi70flSGisl96X3A73Lc5Ye
bb5gYb78PB80cEx1MGX9FDyhML9Pc+s+n7JYH+zoXxw+Ssd40dF1e8W+AWPqjn3izj3Z393sd+Lt
s3El0bB48CASQ6AGAN0VgCDDWI42M2u8hnSX5LFtblK++RerAPeVgSnYwKerlV0hDBtlV0s7Npxk
d1Najzu3H5Nd2Yi15Oz8MF4kEuC1g60M7zWcLAC3lNtSgNzBbKvJOBrd9EoD5oRdlX6TZf4Ki/2n
lkisgaWErRiCRakzWwHG0IAmRc2nlSg5S4e2xhFVx02q70g5ho74QpKNkAeJBtzb+7lgSk1k1MEx
MfPPAo5xqYCOn6RaXwX6Man+pqUX1uj9HAAbtLyDAFPUbWHzrbzaUSCgMd4TBbArWo9Enya3I6Vx
pOWQHDwLabwp74ttbQhAGjWymUrP2djMzUObgCLhtvQF7UR9ZE6IYl8RIitXeSwyQBxTYhx7owWd
7re6fkkybWWJKq3m7JaDWwF9VHONYubSudzQlPAsyBvDQEPYKZNm2A33ZqWHab8l6KZONnCiA/rz
9sretV7ZWCAFkLqADwo+G7WO0CZIqhUF+oXsiorN6FVgwrK0bJOLVt8zvbHijhmfqWR1H3o1eG/7
ti0jKdvmj1/7Y+zmlfEU8KwOA+6hrVpHr5xZZ/X33mra17KuZWiJiT4OAgOr8UqZL6ZAe7KRwrPW
JwZFFWN+qif3+zgJth+90Yx0veu3SIeBh4ZPfRFXRV5t3FrPtpqk46YRGNceFkGfRiNMyTGRmvva
1R64Xgy+Nndpwcxe7M/897NAJm0tPWvsFs2AhhU3xjYDpJXBPQk+bmMRTFr470w5gqr+pZyis4Nq
rA3Q/vr7yjhUiAay7e2zXljKhQjFnedwiVlRQQQSOhbmdIz32XSn/f4XQnBJABrA+AFs/+U6iOSU
DnnvH336aht7IqKKQjWylcuyYA9QNP5/MYqjAOYM2ekFxACmFyNbalh/siEexZFzsBuJ7361kopR
+13n23khUbEBhalpVVO1Pii0gki2fuQRzN9K8k0bVGHCDua0BQ9VaBo/R7bp3Lvb27pggWzwxICK
AsFiAA253NZReCk3NbAni9w5jMI9JHnzafDX6K2WbBCaBg1QJc5kO1e0glk92dTTMJGXiioKxk0i
mlDL8I5oFbDfP0x6X9pOiEnq/2J5Z2LNy+UxKklNh9o/etWnvt6RLArW5owv7uCZCEUxc5lreScF
5uem1S9roj/7Md+MbC2IWbpk5xuoKCa6dCrPSLGB1vi1KvZiTpbru2ENKby0GrTdIrAEEdl1C7SX
Y5Qrn0zvCEbokJsvff6pAM/m7VNZWgv4iWA0kO+6jpZ1mHEvGzEYye6tTTkFEdh4QTT0o8k3twXZ
i5LQs2qgiQLIAFW9ncrqSqKnmH7asHY7Et+LuJT9Z4sFmE7t5vU3z861bWKAD6Ed82HrJEm6J6UI
dlPDMrQJBEa2TTTNuh/yUqDtnAMdaHlkw50MVKt1Ud67Oeh2Bs02I2la03fHrdCpI7geYjDXEHdj
426J8B2CasxQgq3BIfVL20v3DykqcRidwt8iRKTbhtvIUHjEiZsu8R8ydCLEjp/XW1J545MhSX43
BQRvExokntoJ0/kwtLQKQcCngXq881euzsLWwQ6i223uPXGu6B5TL7PTIrEwr9mR8BL+0lZsbe1Q
o3Bz+5CWBCFRD7AOfNvrPh7itKLqDCd/Zukxs/5q3d929CJ7WmOKX5OjPFNm7UEZJBZkGT/L4r7K
f9U92rbWppnMF1FxfN69SVBIvGOqFHugd3XKbGnkz4M5xQk4Niq2NkVkcSUmvEbgBGb+VMWqSaOo
dZdOGVjLoFCuzvc+KT9bnrbX+Nps6gXnH87b/98gZddsWWtS03BXxfDZrnd281CD5rZr7rk8DWtY
uoWFzbPFwKiL/lYX9ddLc13RcXDh3s3Ez+gaYXtW/YCeh4PxclvlFs4INFaABsDnnxtHFI8YuNCa
kMYG+7dTRZnxhjLeiolbkjD3pcyzhtDHqR4Rc8DHMXWpf8wiNJZjpMRalLRkqOeeFEC70Sp/RZHA
kg7AEBA7HQXmc9CY0L3ub2/v0tJpnIuY/37moloB5Zo9i2iMExq6PD0Cg0n67baQxY0CDTuYgNFa
d5XNcAoy2ZLoGP3nvGjJM1l7Aa5vI7rgZyDa/L8r93cwc7x0fQP1teBo0Cfwfq+c9EK4ejEfRvGg
+rr1COA1oGXy+4j3/W9Y07uq8UMrQzRR83blVNbkKReyRfNc19hAaGhF92TV9q5Mu31qohKfBPdV
266UpZb0DIwo6ELERDlgyxVzRnTS/A9pV9YbN85sf5EA7RJfJfVqO5Gd1fMiTBJHu0hJ1Prr71Eu
8KWbJpqwZ4DJSwJVkyySxapT5zjg4gBKiHyctJdxuJ/Ht+do7EsTm4tc+Fmm9aNX65t0GXmwjKeK
P1FfAaqSedmG9NiS5jgwxaSWXeTQGwOJ1Md8bv8pNJQifS8/3vZkWeUFjZroVEDuHHMl1jwBNu/X
Bm2FH0d/NQK7RtPfEXVCNwuKpjhqHT33FVwjLw6JUYZsISdX47vBS75VlX24/WOkA0ZB4k/yFr3k
QjZyaix9tGgFRERmZKAEqr71vYozT+YaaFcDNZuLEwj33fW6aRxckHZjwhMdrQsoa/ftYM+BmopM
agg6yEgUA6mDh+y1oYzPzM/BEv6Re/XDYFh7o6w+uKvqHQusqOS08C8MCfcCOl2M9A/4kYxWftey
wt2bfg4ypCn5huTuutcBJym0znqYLa3dr4uVnPiAvpQ1cdx9A5mEne+0fbQaYxsMrMR72HZ+WkDM
HKqlTc/N6kFgIAFaRzOTeoc+C3uX5WjPWhIyIpnXbcRLzCXPzkS9uGpIHWU9BdwG0fSh8vR8x5ah
CzpedVFr5n1Ygf0WYBlAeBoyjncVeMBPhJOZBp0PwIWXUDcCpLMLx3xx9g2jzRm9tGRvowViP7dz
FViD0wTaDEX3nrjuoaQ4INOin456ttGUOPoKPnsPYes4lYe5y51jYRhJ6OrA7kw9159sD+nuFXVE
8EAHHtOXD3qSmifLWb/U+Fcf+pE0u9Vb10Nf28+eW/1YS9vbm7Pm3qVVcW/r9aHCC3dXODSFMGLL
ztM0V6HVTk2A/l094GuKqv5SaHfpWi1h5ad24A/p8qS3iLwZuvfCjhVJ5Hor/gI57V2ToZw0mBn9
4jRZFw0G1aPBpdUBKrZ2qFFrDsE8yT9A4Nw92Nrg7gZfT4/OTOco7xwSuCP7TEp/MoIVjr9DBqU2
w4kPbojKFeBTPUN6P83TBw+kolGbz2swQ/gpqKz1pV28FZe+geZharZQS+140JR4PACIOXwYG6rv
7HmposXKqp0JetW7fsoNyG4PI35k8s/QueaXpBiNM+m8iYRLqY3/8iY1nAjc1NDcrJIvhJdNYCBy
39dk+F2P4xyA56H+nQ7av9CraB7WCo8XTpr8aVi0IuiHaQqB9fTw/mXeznAYefLJPjPOU/JpbnwS
Z1rtHlaHJ/iti3fHGmeI0rSFkiQB2CtCH4JzXzZ5/VBDHiAcB0aCpWccjNE1+5KZXhuvfgVnhCs1
pxm7Bs0Qs44ERo4nigHNSE/r0C/tjp6x13MdWntd+WxX/LfXdfUHfxiscOsb+G23qb+36zQ9OKY9
3ZPCQkNvZ7P9bFMWVRx85pXt9R+rFpKHmpmyPTh1x3PeVMCxAwzX7NBArkUebuK73pncM6plGOhc
51GlVy9TlwyHccryR63I87Dp+/SL6U4GD0gxonCbpqN+8mi5HGrWtYGVGtnZKDRyNHXuhN6aZac6
MfwD7Y0Z9MfTuGtZZwOg2yfh2kzZKbd6dhjX3+Nghhn8FkSwbmTZ7I0UVlvaCE376DGC6OeWlxfO
RG/1ks5c+yLu7B3wIrYibpIcuVefF05CfQApgJ50BV4xCVT1CjAK6ifT0hX3suTAvTIjXCFJNvZ8
SnkR92vgJ/+wfJ+xfZIoYkyVFSGGyResFknaIl61s8NOmv2Z9jtwI9++clVTJoQxhp15jBOsSI4e
btYCZWDf90QR/cnShRtZA15Hm8oT+iKv70LaA0yKrrMiXhhaIwOt8X+ZOdJnlbMuDwNF/hUbpkz3
pLbrsBhqPbJnUkR1WqqgV5IQ4+qXCC5COnC9QwSmiL0kspadpiuGqvq+4Bs8y4BW8vQiNpedGy0q
BgRJHI1uJ6Bw0Daypa+F5ZqmUjOLCcs19491+WCCbLyMrfzEUxWTqnQgF5Y2x7mIb+1mNXCtjUVs
ay9ABqzNv7cdT/X9zf0vvt/VmgttaWwi0jVQorTtElqNqqZGSWIc04ValYuSDh6dwmovozYk/YjV
rkGyMc9hpv1Yh2S3dQz0Kfgs6l+9SqZZskIb/NHxcESCO01sGdOn0ZtcSiE44lJEOWxog77J9vjH
v2nC791u/HV7IiXnBAJmtCuBqghbS8wWgtfQ6tKuB93sTI5WCz0BOvdH0LMi8DFVSRzJqsEYOo4B
P9+mVDiU6GL51CQAhWdphIuHqbqFpN9H+RQAYmiFotv12iuGrjCbIkcfSW0PO7MzHvulUWU5JEce
JMC3ZyEqS6iwC57tNaXfkT6HHlx10PNDU+y06e0FiisTgnOjwaLUnAUmBrr3GzMwUy1o3tzTg0yn
h5cbXgQ+RK5FLucKcbJhZTl2EBh4z12heENLlgILvDWjbOoecOXrpRhNvPWW0sHe8UM3UiodyT4P
aAw4if5QubjCQanpxspqf8XFAzrLyUPFdPl8e2NILRiYFxPIEIxh+/uLE6Y2tMzNQBUUg8oSMmP+
sP9v3xf8aDYY73Hw5LH3rbD3s6bwIclBAnAwcthwVJAti7AJlnag/cgB4GUOOefkazn/KNY55B5K
z/znO4ZyYUuYKsTzzibjmsfzfrE/6W9k4d/CPnTp4s5yoIyHDLM4U74GBpmFFvEIlRP0f+BPO6d7
ZLeiRnXkS6ftwpbgtnljuWzCEy226joL57T4vo5gaK65W6G9snECVtjfbs+e5EBBv+gGotnyCa8Q
QZq+pBZfoMuQNflBT+6XnJ7z5Pm2EZk3b3rOYJLEsQWnuPbmxLMWfURQFNvkg1MHlaqHapsXoQIA
JhF0huDqAhxazAOZJLcK5KGKOOnQ2o43JNd/GglEWsnboVpXhoSND/Jsf+ukxwIZv3z/e6PZQdJ9
dqgCPivxgyszwk1VNx0kdsBdEYPHiaKDh/UeOmuzwEkfe1MRy0gc4MqWsH00n2VlaZhFPLDYSg4j
i/PpcHv5pSYAA/3TiogdJCRQbYg52SbD8pf5d27vCkSXusKNpR4AiBbEbDduFLGLzllqt8FrALu0
rBYryOoi+5xZRfbU9rketRbT355CRdHpb0VIWCJzafOyw5qgF8kkAWnTBPlFLYlMJ1l3t6dP9gIB
zbgPpZZNveJV5UGripQ72ZjFiGAigoAsp+uL32tnE+LETpb9Nnt9N6PqEiQe2Y2J/lLayXvGe/Eb
hKOpAeUf1FUw3tEY3bADL14PDjAkC97xzL4a7LY3Lm6+tV8LP6F6Fje5xnb9+q/V+yppGsl5RECT
hvtpE9eDuWsbTV/VfOV2FnegnwqBALm9YKrPC1vKg1JFmiYuqoV+ZODy/vGOzyNmAuoVHv+q9x4I
4RxKlB2WQiMTGvjye2MG9P22EcmGIpAI+J8RYQxDA8WUaRqyWG9jy/o3c62DadahoWLPkpwNuBQ2
9R4f6KxXFI9QUqidfrNDvNPCD0jiIC+kgnLIFgTgTaw0YH/IaguD8XKfNLwt0U9k/QZCINUVnX2y
QSAVA/0sVO/MV4po00BYXxU+FrzZ0SoidFepDgHpEC5MCC6bNfVa8QomSLtL08iLbi+3fASImbfW
PUAPhF2HnJ/JUnA9xQy6RrVjBAvf1VSRFdoeQMI1DfHWv0aEe4Dq1VBMLmINJACcPtbzs6bda+xY
Vv8O7Q8+KoBeqjFtP+fiJOFl26dFCnNU/5xkeeAZB8dSpNPky/K/IYmRDXgw61JHaTuu3FPpHTTF
sihmTASS1tra+HTEskBdLFq0+bjk87HVh51fDQ+9XT91Ezhd0kVxgG0LcWOhxDoTawGp7ucSZrV/
UmsIiiQmZlw002Hu2wBA4f/kfKbg22RaBlevMYnpoh2oBlUtm5kJ+iQHxbNQ4RHmtpoXHjENyYzr
E4Zc+ivJHl3IjIC69vZgZAfnhZOL7wUvNY2uMzKkidNdnh9b9kDaoFUhBaR+B7j+VmUHRbaIYwaf
ee56M14lWp0fkhKyE+9onSNg3v2fBeHCNzQLdQZguWKPsmB6RrdIcHuiVEMQjhx36Urf1+BkvPzY
HMc3itxt7zb8fttFYXgDVDnCWndegyy3qwEVZNtBPj+2y7cmeXucfmVj87cLfwLDbc1nHzQ7BqFh
M76szud+2Osr+q1/356sbTJe7ciL0QirYXl9OqFahxfBtONrFzBwDZjGCHkWHvXZur9tTb40f+dO
WBpScNdKe8yd5h1dI5jfyO7+am2EiwAgYqcyNB9PduO+SH74xVda+sFY/rw9jG1SXk2aA+wBbh0g
bl3hXGmHwW+9dUY+uybxlNE7mptBq61hUdqKV5TUFJR/ty53YG3FjFDapq3jjSSP19oFKGUx+T0U
X4eDPTRT7NeTpjihpSuEPnUQfAHs9CrXWFJuFzpq9LGfQc6m3lg07Ub1rJYawYN9U4cmIBAT3GCu
0HGPLFoe2+2PImmQBVREstLz+MKA4AdobKZu0Zl5nKfekfrAKhP3k5Olu9t+IB8HGsWgbrq9EAU/
yKuqA6EKTppi2uuoojan//b9zf7FMdDlq02XBNdK+bVFyVLFRCP9+aBch5aJiRKkWAjoIVGRd32N
AlT5zeYHRGbv+PkX3xeSGjMqmyXX8HYu1zAdHzGO//Z9YfrNuWeun7VF7E8RqXeq15Z060HMbWNV
AqZeZKxdndGj4ARCKnn9ZTpLODcAgbnfmlVXzJPUWxHj4x0BuSecJ9fLTHorZbhzcCMablAD8QG4
SehMU3R7umTj2aTFkI3D3QXG/WszbJinpKwnpH49f0tk1WChWR1wbKtEzP7IMYjnIxRXkP4Bbybg
n4KlTV/DTGccWl02HrKk+az16MYataIOEgMACwrd6TIboyY7TNUaDWQJ2tp7KJP5QFv74GXfb49c
5ujg+t/Az0h841y4HnmaIvnZ+CjbLdPxmb+Rge/PpXP5dcHNrabtxjHBbcC/W0tkqZq+ZN5x+XnB
y+1FY11aLkgNZvumj5bmo8Wfb8+PzDNQPYVCDupXJgglrudn9Zd6mlqEG6S0A/bZuxtqUPar4JXb
oSt6BVrzCASG0CvwirWipPrMuYf9lKRlMDgfOJpEy+NEnxghoFBQVbSki35hTrgDOrebF/DHFbGR
f8Hb0+BPtydtm5RXw9nkkiwXJcZXpD4kc90yT/w0XnXrozVMS5QlQLr31nRm3I4I0p5pMjwPo8rf
ZCEbOMpwMGETI72xOczFrTBpulYQA+SBuF339TRHFjX3s+kdTZN/6iaiOJ1U5oTTaTXr2WcNzGXA
b7Np3peuFqG0FDrQeQSY7x2nFJhNAIeGGBVqPNuyXoyuHFmejGueAa5SPLdWCZBqiaKIFjhDozAl
21kAIYJ8c6NZR+vWtalc6yaHj30Wl240tgdQYAFudNtJFCb+NFNdjEZnkCjmHlJqrHk26Nc+/TmT
X7dNbBMi+uHGyEQAUAdeVTxseenUDoGwULy0d2X/PSNfb39fNgRUnZG92Xhg0NlxPUtzntWp7+Rl
3LR4GtjznW08MV+FQJWNApUc3UamDiopolQ8vAwJIr8sYyf50aTf5+VwexSq7wunaMO0Av4Kii+7
2wOhVHaKNLbsCL38/Zv9i4WuoIieWNADiHvyCQBGPfut6z9dFWGtahTbWl1YQf+nn/KsKeOp/7jc
O1wxCNkJfTkIYaunQ1nUqBBiEPweMtZBW7xUFCDS4Q5NKUxTPdRVcyZ4lraw0TM5zM1DOJUBTZ6c
5aDMaKisCPeAbvuLkfDNs2zoW/bPmQ3OeXrwyq//zcOE08T1hqzLe4zGZ7+7tUGj+/NtA3+yyeJO
v1ge8TCBVhHrbFqVcemRIx/vSnKnJSct+ULzX4U+h2PzxLufFjkNkMcxtPOo2kSKqRSJ4w0vXzlI
/Ms4YeEyR2l2TFf0aZ9uj1Pq5BD0xHGGy9UWJUiyyjMhb0wB4XIONjAvis/L7jMwfP7v80IwWPek
a03gQmO0JBXOvnzpyl1iHPJMsVyvhwFIH5h3AXraeK5E3H62kKoeV9SO8aYObCQ3x+D2PL1eDTT7
ovrsgNkFdAe6cKThvAE9ts+rGJ2ewZR/B/lSp5/nSqVC+/oCAB8z6MZgCNC3V9EhXQpU6DwQ8DH2
PC5PnXU2HcXBIzMBvW4wYSDLgbSjcHragFtOejfmcQP5dQraTFVvtmwxLg0IB+dkL41FQWAd05oH
AD1wZXedxMKm8gcal81tXXE1CsMf+ZrVdXy3sC/d9Pn2WksmCDgRFEuAe8ErUWQmQVp2Iq2mYa0r
yOZAPXCEEChpVDXS1xcAHAq8NxArBCXJq2qNm7buWjpZhWr3Y53sgPh+rHLIRByzuj/b/M3v92tr
wsmsNW7ndD6slUfnQ67q/5csiAUFpg2AArQ5KPGv78rZJPXcpjmLtcIP5iefT4r9pzIg/Hy0UQDU
yGHALyJQFs7D7vaaS/b31QDI9QAabfb0leH7Dfs+O+epDvl8LpxPb7cCHVE0awKiiP5QYWfkxcxb
Qos2RtzCjqN16tJjyY63jcimCs9uHIb4AwGesBasMxKD5BChc3625Kttfrn9ecnuwM//+3lhJYYp
1+lsuCxm1RjSPqyHyE/W8B1GXETZPjgqAdcXsEaep605ROFY7A3nLiPBgGbQfFEk/qUjAS8Q+O//
X473es2pl0P7hZo09iBrcizzany282L4Yk8tiW6PR7YmoIYyXWCmgV0VO3Rr1jpOkZcspuVdbGpv
rogBWHLx9c25LyLV2l0r1ynxde6cu5wFls6CblIUSWU7BKBbIOjRowc2CmGHlEaV0ZphSWg6A+55
WpaYok1mVSyKZKZQ28cc4fQFpkCUWHC0JfE8sDbEtv7Imrh8+0JcfV4ISDRcvFpf4fMJ9geLVceU
xKUAHkBuEV2TkGwV0wUgxfG8drYoUB1o+WmBiXdQSIzIanBFZCW15ICqFxnTzZQQkDh6UTtWsdIY
PheUIE43xjycQAty23G3Vb0OgzeIzV8z23JduFaCKHRMLJgp2de2mwFnJIHpfEz0O02LLY2H0/Lz
tkXpwMhWrcAD20Zv87XFtm8gEbraWPq5DmYrWuhHrVacw1Inu7AhTB4fcYbVm428+wV++Ij7L7cH
IdksWzYM2B4d9LGvKru+5jZlNa1pbLL7dX3SmuGQD/SoTyqZdNlILg0JW9+rC18DIBREbWFeomFu
VgW+kuVwNuFrsKeh3RwxxPVyjF7F0Mq6kdOaz7q359bJVkGhJJMFkUVgoJAyxvEiHo7gPoc2Fh+1
jyb5ZBfgbXd/QNQqWN8o2IPcMQLeCzvCXKHpk9RDDzu2OwW0em5VlHavXzswYAFSjlbpjTRTuBqb
NF+AgkpT4Cxa7BQ/ZKkZ9L0RAuIXWN3bGUCuzQknMqqHSdkw8OKW5bfOeSDJrs8Oja04MSUcRNs7
ATWrDUgATgbBAzjtbb01M3B0GuD679DDWu8NSF1w9mX2vntgJS+bzwmbFSePxLNhFsHkxsEFzKKw
R0uAfpDeZWmM7tH6eS7+4+c38xcH22oONWlJCSbVsg9zc2uIVZzQ22oLR+fVALaddWGhd/SSkA4c
imiaqyKXHrT8m56hv3mXhLdPG+keddAqgaZG1BRE5DSimLKocrCBVrX+ZGgkO4HxsD8ZzTuKpPCF
C0vC4Wx5FI2qmyCJ34FeK6yYIpKRLjoOGgeUFuDnEBFsFmgYB2cCRWv3U58POVP4smyi8GREAtpH
zvsVreUydTSzS5CFz+n4zDndlRa5g+e/PYbBlfzXjHAO8Hqy+TpunOSa+Tzm9qdleM/uAEBJxy2J
4BVkgdfOlXhO3w0Nz+OU3i3dcT7c9ijZSWYSBN8IjpHsEIO9frAKSi0H+F1v43M0o64gUUHPNMtP
hqW4jaWr8teYyNpv65SRhnpAqUKeMkudb5D6CMbJfrk9JplvIaVugswCwbInns5gKDBo5cHMyM8v
ha7Y7fKvY75wyQCuJPZ0QTvWQm8z0MiLG/Xjg/Z2ZYCNvPbv94XLy5x5g3cXENU2fyJedwAzRwja
AsWpKFuKSyvC27FJHb+1dYzCoZ/3WvbN9RQGZI4F9lvXBOMH+rpelYH0fBx7iq3hmej37sD3ndRP
XJ9PBdF2mQYt9bcvOghsHGRykFZDpHS9T6aGMMuD0nWMcC34MOApefv7svFA7Qtf3uQxXxWE9Fqv
7BztCfHMz+744IMDHt0kJMp/3bYjWxgcilsgvl0qIorHGdbKHswWdvy6CNwhO5oae/AdFVWuzI0d
B4lO5KSQoxDVrTSw73Rzi/li9+XoB/ngKiZMbsB1HPAQ4OgSaWopGWu0YM/gR+sySF7vxkJFjywL
J5Gg2Fi+tkeECBRac7/wFn/G2dVpUTElwWA/DlMWgYRAMRa5JcR60IJBcCxietLe8HufL4j3oJbj
1cEYlGBsmF3F9a4yY1778GpXZep7MJNOqDsA+9QC2k37/uDPX297meS1hyoAXt0IlQFcEVE4zABm
Zl75FsAG3Do609427tHJ5g548YdJp7jtJTI3CCYu7Am3GE1AMw1GijReECg3AKpY3R5dsU2Q7yuQ
pUU5YH70HRmGK6NC2Ky7bVZkgGLGVhWyKtKYwitkW9UDYf7GugPZX/EmMMD+ZRkUSgOEPOTjEjXt
Xea3/9HI5jMXweWoL25RgQMiXtvPo9dB7OnkLarHv2yvIo0IdDJ62H1EAtdGLGLOU+nhcUndZz4+
LfbxtrtJZ4p46CxFjgHaHoJjD8QyKYEkVTxY+cdhXk4bznKE/sltM5LWK6QwdBzRYH7H88wVJktb
zNbnDMCAgWl9kPLknLbJ3tLKeHXmcFm2ap4d0nEIIOURDskUudXbGdWuf4Nws7pm7hTUaaFaTva+
freMqgKv7Ca6HKSwlzLbyUlnbQ1F011BnzW72XurG0GhJLBV6p0yx/AN6A9v8qEIEYUn4TAzj02J
hzCdH1eouSpiKZlfgKARMprgrnkNadtuWx+5rTRujPpxmt0HzZweezRL3PYL6SjwEgAJl44sl739
jIs91K4Iyw2ADiE+sfT7stC832bn5KqXpuxQBU0a3mZIbbzOx0PQZAZ5AmLpzkbIRo1Dw06kyoIU
DGeZM0UO/TQ4qjhLdmdcGhW8QeNmzU1uZLG/UWc1GeB/z22WhJmu8gXZYiHTtQ0Qx8QrheK+Thrw
mQDYM/n0IdNQMiM0D3My/Hz7al3YIUJJAA3e62CN6DGDlEuUzkaUqagfpNcRAW0CUukG+NLEyolj
aHNi9msWz7p7x1b2Kan9j82gBfqYxmAI+Jz0LbCiblyWQ6QV7e72CKUzicw3ghdsKoD2rv1R98cl
0ctkW7PsA2qP8Zikh8S33nNBgavT21CIKLCIxyG6n2dgYKcsttiCMtfvmb94TJWYlAwGXg3SA2C+
UDIX7w5apKNtdhW6KkzIlzraae2ng1bOiqNC4ucw40K9GOEeSEOFYzUFA1ZtmZizfPZQzJ7BHuSG
qfaYDr/evDhgUwFFELTx7K00f704I8umnHIoppldcUpH68ANJzR7V1FlkZxJCLqBAQAByaaPLJip
DRucDuDUiDX/mGYHVWleuip/Py9SAprZXHBzwfOLaWCdWzj4HH+OpvH24ORyEGIfdwN8a5qX0Mnr
nR6RCYFQNnjbGlUMJMtMgp0fNKVQvABUQrSjdeBTm5F1jYvhG9GqfTsmYWWzqHDWYAS3olF+Msw2
sPPH274guWqv7ApxS0rJ5Dgci+SgkS6jGfjnviT01Kygs8tU14fMIywMDswL8PRXL0xIdK9aO07a
R5R7/qnqJuzz6cvbxwOAKzqs8CcaqYVNNHB3Ml0b6m0G/94N3U4H4I38AK480ipFk61kv3poR9te
zEiQeeJ+bb2OAhveplCARJTvQ+4r2a0DOuzWd5SQt0PUBegTTALor7vesHZqIxdPkcqol35XrsZx
AJiGtM7u9tz9yUMLad4rO8JN27h8YDS1gDpdtIdEc8K2q/ez3h/y9gkEMwfLqEI7GcIRDV4oOx17
n4UzVbUBbOfCrV8hnBu8gJIWyABxO3IrsDkN6xIV8/muXL+RZApKHXxT69PtoW8ju2FTxI4VvVED
coXAxnN7ZAo+pH4RzgN/GDrz4NApdrkiUSjZCh6iDBAO4XB8LQQ4NUXLG4b2aXhYVLI+6lUPYIUF
cUhDW1ijxQmCmfwBIObA5S/vmDPAGgBTAwcsXj7XXrmUFpuQ5UljowEXY7RAcMWISPm5nQ7TO4Be
KAb8tbUN9iK+ZROBOqEFsbhk2aXWnVd9smdFpltyEsIE0qmQVkIwIdaGZhOlh4w4eIZOd0axr8oH
sKrbHz1VEUq6Lhd2hGnTBiO1k63MaZHHlUH04MftZVGNQ5gqCI9TcKrh+12+88xj54ag/R1fyNsp
lbaeD/y/QctQ1BIeTq3WaZCeqvGycb306C/JVzbbX/LR5sG0cPtUgBtQcRnLhoYnDnQccUVisQST
k974zJsRwBKnST/4C0mjDGfWRnrbhsW4kj2ZSvr79nxK4gwP9wmB1C+4o15FS11vmz00YWAUEnWs
+4HS4o8kVdwlUiNIICGVj5gdf1z7d29A/wWUsGms9z840YJi/gK2JcX0yTwPlERbXxqSX7i2ro04
zczdfsHzJin6YHZYoHo/SdcHD9qNmgphshjENL7XawAYZjENvPkuJ3d2i0rLt7fHlciyAGwIUmuA
RcS3hUfRlkGLBm8L/bnozln79oYjJAP+GhCJVXHY2NOq10g/uL9yb5fWoVWC5iYwq3B2otveJV0T
HJ4otGNE4Ou4XpOhrHoy8BQvau2s7Xz/dPvzMr9ClzbOd9S/Xhe/OJQnhqb1tY+tC2KchaEfBqxE
98OUqNqmZNHQhSWx8gWpcounFBX8rWVv7R/HmocQuw0q5+3oTw+NzSC7Q+ULDfVieLDoiTsuuAr8
FPpPYPP377LVaBRxsSwguLAi3p61U5Gh3vI2nl89m9b4gQ7O0bSdT2npHxF7hqT89falclFM2pJQ
Pp5Mwu5sTd52i7sJwPBDnfEgNUPLVsydbJHQRYfMoYWqyCvRcnelJYBewD+YwxoY+ofaQDzl9YFv
7G4PRmYIVQTURf5oIoqxwahVUzFTGEocdk5omgSZrR3AWxuldH1HYQzX9pbqgFNAPEQ4PFPijmA+
QNsoNcwQUnDe2+lbtzLrXwPbaC+iD4L2BWfU0dw+OeCHBuvz+I5jABbAqGUDbQ6VAiEjtLI00Whq
o/O1AIG23gQK55KsB2ACQPNtOi5o5RVGkDor5/644dizpQo4tig1vdBLx5eu//f20suesgBVbi8j
uDMqyMIGrdeiHBIXdcRkTO79jr447RBm4LlHs+MxTdd47IozYfaO01H1XN++LcTxl7bFU8it5txO
KWyvKLdY830NnN+k33Ft2jXOc9vloTUpTgrJCQ6TSCFvrW5bBvbaOSqkD0haIfXa5uDIXw6zXoS3
Z1RyiIODEb6BtDvmVNxMfTORmSQdOvU8J0TQE9iTE1VEVS+VmkGzxia6iWhHzCGjJjjnerkizWW5
Z2MwQt9PjplNFHG2bL5QvUDGfdPchFDu9XwBoOFSbWP6tLxjn4JWXhHlSE5u3HVgofmTeHr1LKnb
kfXwShREyjp02kMyHsETNrp+QEEcUzueYnUkQY+PpCDe53jPoRFa2LpW3fZ631glnqs0XIoSFW1w
r5hHL0uPnbe77QrSzYVeka0jHWW5V/SYlCddW5C2jHWaBhqkyLKKBNlo4FiaAhNM+2SAiMpL7aie
R3+a3cWthdLwluwgqKmK2xpJSS/rTfQQAmvm3QH0VAVZ19l3vJrnAOmeOnIt5qMcRWmYIL8IGYuh
DEZnWs6+W4N4zm3uk7wruoBnXvEESpIezc4u2bXUf8m8hZ2HyZ53DPGrImCUOfYG9d7Y1nDKihFD
Y/qD4/esxK1Xfqb2AiyTjWuCqoBMsvwJGsT+Z0gMGtySsgUsX2XcumQOqJ6f+ja/9/CSpJAGHo/I
iN53UxPN0OQwUrrXnOrUQ8Xtto/INhhQVEiKb9Ry6Fe73mBu06Yj6HhqsBbww5Rpx+wdBUAwAf+1
YF5b8GY2rIMHCxUNev1uUEnXyBYMERDCSR//4VV0/X2ra60K262Oh3o9d9VnH3QQqfnzHdOE54MN
VDm4M0ReLGaYZW35SR0740bCE1UqnIvsIAKp9/8MCHdu3tpWxkoYAAplP1TDblogwYHd8ht1m/PU
6XWw1FoW3R6WrEKM7AKaIDfFJhTphPNoBga59QtSgXuWhlZBwtQF31T54uRNwL0zNJvJ+NF1q73X
/soB9bltXrZ0l9YF5xuqsXGcxEPDGbtPOrKrrXTv9yqwxRYLi2cRqK5RxUCSFwpu26+4CMiAe/Qh
fZDWyKH0ASiNjtAwPSVZC56QyjxNyAuUW+Xb9s+rOX5rFvPOn4sHOqQvt0crC6t8f8NIb42hOBqv
fweHnPFQlw0ctUWTsE06ttNSznbgQhuCLLWoYmtLZheiHxufLKBTuN+2ebkYt9bUFu8JbVDmbUJg
98LcezLGz28eFI53ZDw28WYc3MLuJnpTz8uMC7QvADgCTi/gLvRooZEdQGfyti3JWXVlSxgQNJed
Okn8MjbqvU2C0gxvf1+yBzEMsGxsOVao/QmxqDWg0c6Z0SpYWE+54ewSds+r3231MNT/QGhTYc2Q
hJ+X5sRYIBk6gKQTmPPNRwNKme3JAJlrVj04OgSs54d8gZLKv8wfgmX5xNOnZZ6jBrK+079j8rtx
9xr5fXv80vn9O34xSWcN1jqi1beK53G/Phrj6fbnFdP75yy68EfbguJPp5UVKEW0kKyP3Ici0+NI
n9Lka6X/c9uYhB4IEePFYARn8RqjH12Sw1qOPvL1e5feseUfXXth/l2f8EBL7iraBwk3Q1p8rPgJ
5ZmgsRXxvmwPXv6KbcovxtwaCF9wtVex1n8aWFClwaqizpAcKxjolhJyt5Kzt037hYnFcyFR22PV
SmfYOau2d/TqWBLzI9B7x9uTKh/NX1PCBhkgceXoNUzp1V1d9OEC+RMVTZAkQkayATBJ1K9QcBaT
m4CQsbxxcFozH2pm7j9k8qPlvgr79Pn2YGTejjgcH7TRcAfc+vW8lbOHC83H1VcVewZxrN3tz8uW
5fLzwsGY2Zx3poVxtMUxryLdB+MpQAeH21ZkKwK4EK5vfeu6EiuYcArCLW6WMcsivTpNHZSeFfen
yoTgXxXpV0YpTNDcjqr0gW6x/DsEUJFjQucAEOToVNLF7je9dRd7Mjw8GILcu0+rd1wdG6YKNy8e
Q0j9XC+25hcD2lAXBNtsCOYPoLNRPCSls4Q3A7CPeEW+aoC0h75wWn3CsyGtoaekh9V4b7uK00QW
riFGRFsint2oBIodY7phjkuTYpYY8+8HIz9RHdhrZw0ZpAOQRwvNVoPmbmoERdt86twmNKEvedvl
ZI4NegBIKYHh0MX+uZ7K1p4om6a6gubCoO8hkObsoGBQH8saKmj/R9qXLcfJNNs+ERGMBdwCPUpq
tSRLsn1DePjMVAwFVEHV05+F/73/rxtxmrB3+MIXiuikpqyszJVr9URUL39hD1E3gJh4noCq49qe
sP3KbhtanjPMqERmZifSzyhU3bZiLN1OABr818w07As3OrVpWP4IaoV8cO+HkgReUp5okW4q271L
Qeeip0VUIT2UuupoNeZBVGCrt8U3p8+/9CY98azZNBZ5IMz7tPJtkyuaRbDo3EG3NhrRQNE5z/ZO
KTJTlzE9I+v7g7C+R+SKzlcOjZJjUoDzQxR2ETBdQlPHyO9Jx3bgwxYru29x4S++YnaXGXqsTOgm
wmFKqPu+Kb2GdmcXdPbrXw0X23tqhMWqzw5riuu5sZhDz5bMHzSt2unU2FkpLu28aiCumZ7IaD+3
rnwsyuqVyLVAZXmg/7U/R9zRVIK7JYF9f3yxxufECvQWCiYrO27JY6CwhlvOnc7S3HVndclYbxcV
RslCqz9V6GfWs+3tuVwzMnPenQ1JRp1m1Vk436t+r4kfylxxrUsX9sThijoxYC0f6qysk76bJKQ8
myi36+xean6ok3Gv0SNrycp4lqCKgJL+a212rYJJbbRZ5ZZnN/2K0g7apdIQSfJAWOg2z9MwaUEv
XB5t+wHNtSsrtuQiLm1b1y6iYXajlyZs59wJSvtF+GkIgtmA4PB1+StqcyuXylIC72q0syPnIgeg
p61XnqEAvB07kHbqL8ZYbTh/8qYWcbYxbKg58jVp26Vt4xDTn6iFdLQnz3Iqoq0Tl6oeORs0dXjW
UdJvBl+D6i5tHCT8sWeQuZkYO66nc2jcrpEJPC5T7Yty/LuyMo69TlDNGt1DFq9hKRb3zqXBadQX
Lr4Da3M9gBj8zNttxgIQxior6rxdVoAMNRDmEyX7fg0POo1i7runq3oqd6Iffl6AtojiA3gEALbW
wmJXm5vbB3zx54E1mK4nw/zQiuNTO+lMgraiGmxgZfPAuv1tA0tbYQI1/k5NIdk/WyVKer9XGTCN
wnkW9UHrnuN8JaJYGsNvLwhCRwMJkskfX6xLX/dj7lkQuDCru1K8u9lKBLt0bhGoTHfJbyXMWaQf
j5lZpwJDqEAmVntO1HDtCQkadDuos9WKTanK59uz9ruFY77slzZnfiqnYJ1jGWCzIHLf0qoIwcKz
SyZd4a7YFKDgTZDl5iWN0OG0rVm6jUkWISWMRDDeOl51ZlSFGf7m9fV92af3oCA5VE4TYTRh2qc/
c7vYZCa/60GTppUs8ngPGXn/zordA7PJRi9VdHtMizvBgjcgeFmjL2a2TEBpK/DtTi2F4sDrjVvv
yj/nogZzBLKreLbAIwAxdL0TEMHmjpc16O7lETI8Glk5LYsu4MLAvHRqovMqEYDononjBY51kCCg
dXq6JdoTdTdd99RrP1qQm+ne2uwtbsJ/hzbP/lnQXEITARDIXAMHPgta91MynpvuHNd9SNdYRxeP
1IW12fYr44GYiQkUetmLlz6VkSiKtSfPYorlcjJn9yEZAUz0SxQzY1Lsq44EonWCgrRBltkHAk49
VqnPgD+82ibb5qX3RB10GjlWmI7gDhzI2+39uTbm6e8XbkQUqBd5U23VzcBa2aOupFbu48UTcDGr
098vLNRjLNCNgUNtdEMg473qn601cPfaPpmdMtJrmelyrFxeizC2P0kQ1SX0IAuxLeofhr8S06xN
2uym74readwYB0LjdxZUMnK2kohbKgXiTOPVDT6Y31Xv60lLctD6KiiLnxPo2Iv2c5x/QjJBj0+j
8VSJk+c8a6oLWPEqmveSsoDWGxvq2LbVB1TsavrZqL/3I2S7V0rLxjSTH1z0xYfNnE0m3TJhEh9W
kJOo88gDZD5pz7o8mJ2MGgug9vrMze+q+alX3wTbpvGvvDtU4svtffv/OUf/O0MgdLyeIXT+V0ZG
4fWoMkKmkdMIeF+QGdXWQVyiej3owNWT2G2kjf1O9V1o43PBO703Yv0IXqeftz9ocWIgaOUAnIfq
/vxlIiRUzBqJRuJO8sDqD2g12A9Qh+uclYt/8TxdGJrOwsV5UgO3lTGiIcc25bFCXbqr2ju+KhGw
dKSAlUQHOUjIAM6ZHdsx1+I0pbj/peOE6KzryBA2ThJAzAmUlsmOxmsN0ot769Lk7BQrmSatauHt
aSfCjG997+uIPHTvPxWZHo46+jSKNBq7z2O2RbdQaGrjhgynrka47a9JMCw+IyDu5YBaGTirDygK
w9cs2kw9SZV6l80OWpZBOex58+iILBDNN7v/PBbn25toybFc2pzNADFTaojJsTh+tm+CVKX72wYW
V/ViUDPPVdVdbKgCg3KGZoN2r7BqvvhEC1TXR4b9wpPdbXtLzxWEkCCXt1BM/MBQ2nc8H12JXdQ2
2U6wMRpiBwWa4YFMbSOFuTK85fn7r7l5pGKZIue2iR0ErrEG2HKxMpyls+eC2B3nG2gh8INcn72q
AOO/q8PpmMD3OmLnoAs4q7a352z5HFxYmYUI2Ms258A1nBuB6od8tsldVRY7MNCM7Uslnu38MTbv
IX8auM2nBhy2cfc89tuyPNz+kMXNcvEd02xfeBpwYZha3OM7hLov3/w8FF2gW5vWuyfu2pjXZnbm
bjqum0Oew1aaftPok3B+wn9m2edCNlAHfGPOuZc7kn/12E64TTA13tprzIiLgS6UtbDCSHYDdD+b
eNVXSqtBjnS2qie9f9VlF+b9Ps+dAFTCoR9DUM61A0Ke8rVzuQRswaN+anQCoMRC/fl6rj3VqAxE
dmhAogPb9LbhPfdCfs2dpgzQWv8PIYxu9NSItw7pcwCl81+ZNNsXnlXfh7xbS6IsLj12OaoKkwLy
HOHiDiNoFaemtdZuNyzRzymELTW8wrK22NK2iLhYe/0tkGgbmIJ/bc4OF7xw6zcuGvQA3zwB6LQR
hbmhVbvxdLnVehHZZf7Yld23MY/3ep1FcJVR02f3wjKjv9j5F58yWw3iCbMappeALd0A5NphNmn9
tQHJ6Gbw9nrzftve4u6/sDc7aYYmKk2YcJN6B7+P/nKo5/ySLv1228zaqs4OmSfSQc/5FLe2+8ry
I8rfmh4eLGZhoqPQhr122+AUDc6jxcslnd1nTsV6MPvDH2dJ9RKz6mc5joc0roNKgvTXbuyQV2KD
wsnKPbBoF0lw3UK3L8KXWfLC06yBQtAE+aOUPxi0u6/05gsEDjYlLe50rTpkhYpc8Rf9ij6e+KaF
3BJkQOaoqtoF7tKo0F9s+sU+U/WBAbPXAyvTOM7KzC7umAtT01Jf+OY6NerYTnFYLCo3wtCeDcUj
kZcrYKNpgT4sILpZXEdHp+eHOlI59pnNdJgpqj7osjsTUIpy066hfBbv7Qszs31SSW42mg8zZtx/
KzT7V167KyNZ3hL/jmSKVC4nzEriclDwaKBafEit9N5sOA006QgA7NAgSNt3VchNLSEbevsQLA0O
Y0NzkwkWK6Duri0nYPcUQweZIKctQoh2BDFbCUuWLPj2lPoBOBaqtzN3NTQ8N4QNwK9bHfpTk/8f
f37mnfxWy5GcwM9r5VeZfYvXQD2Lnz+RbQKHgcfGvDjaDxo+XwFSjkbwU5a0TzhCK/HF0nFBrf+/
JmZDQF8btbgBgLftRZkTliJM12ZpaYNdmviwzHWfcYcjauvjOx+sXm4joM4tH0vJQ8Mu/sE1+qgl
bXh7dy2dUEhdTkVYUC2C4u96d9WJStoqVcgnZcjKqX5jWfzNpskJ4OaVSfxoCrlyYOLQPQFIGf5d
m6qg1QHiaKjSYQsC95h9ZYhEuth9qmuPRLeHtRCLTYl5hNmWBR5Zc16117JS+fmkpQS+7VCpn4A/
BErmgVbvuuFdNxocI+R6SLbJtbWX6OJAwZdIEAj6k3rP9UBd3ivTjhsIK5EB/aPAMYf60Fg7RGit
ERDw2axZ/Lg/MVoU66FnB0CgOa8djQPw0o2JRz0btFeQQkMJt0CiZyV1sDiuiSPdcwFdRSfP9bji
QcUMkhEgO5NQL+VOu6GGfaTcvzflGrHax+OAEV3Ymp04QjTlOy3uwsLNwY2v3RWlGQnpb5s2jrKy
3Og9e2pLsdLmuThE3L3TjoFm0XzbqII0BEwPaJDkdtRWI/pVkyHws/5YMOj33d6kS6sGvTTiAAaM
7Ps856PisXHqCrw5ZvPTl0Bx4qS72kos89E7gjIJ6YffJIj6h94Us40NlnZILDlSjUhqMRTe2Bof
1JIRc4LVT1IW2IOz29E1uRzsHgFT7b2g0yJwyjXOgaW5urQwC1iGwSlid+IqUaDFqWpU7xH9ZbG1
+fMlgUQZwLsE/MMfJNgSM0Y7BEflUMVHph0qEozDisdddE2XNqY9eBFKgJwr0dseUa2s82D0ITHx
VrYyIvku5kMwmE9xf5JjFxj2p9uDm+boOhpDBHExuNkqgdbRoMrCsyS32k1T2kGqf0nRcNqoAmVM
AQKCtX2xvGr/Tuds1bTeSFrhwGKTOZ942e6YoFEOirSVk7SQ87ge2uwaS90OOG8JQ2W5Y8knPa9C
v94b5q80/d7SImL0brDf0EAY2NaxBCW3zUVo8YObvtye4yUHcjHHcxxLDUk4yKChXOHqbRrog/Ns
VvxYtHTLmXm4bWtlPf3ZPZOxxPNRW0eW3z8Z8h7pfV8vghg5T6K+uGvtr2v71jev923WicSuHTz/
lP9YZP/oZouGImzY5geHglhcgQOkmrD9P4zh6fZAV03Pbp4M8iamOUyzyiK9fgdWOmv+Gfyz8HCj
x18s9QDljYAM9P/mDuZwCQOtQkWqYch+vynFU2McRr4ytunQ3TiU8247lv3voURU9FbY5iFp032e
QkOb04i72spJWfbU/z2R/sz5KH+0YtvDTArjF3i7Ayk+316rpYv78gDMnIyXak7ut/CgmkWCVAMz
Ug+iWpH1oKFI7zrNO3G7Pw/8L3CakwvAAxopOIxvDtgb2zrXSoroxPLSXWGkgTLKXSdEOFR1qJpt
YR5pkkV9uc2tO29YqWwtLiMYAkwwUCDbP0c2K8PonLGEA/L10xhHJC7CWr4Q7ZMEMPT2DC+bmsp7
ztRDOYfqVUneCNHgpTCAOM4M+zqqk11KImethrHoX8Bg+T+G5r7MdjN9zCdkQAxCF+OtqUUwARDL
5N60f7n18+1hLVRMsIAX5mbujDllXjjVpHfpv9AKuLayhkT5K2mOuvWzcx/KfD+wlWf9oru+sDnz
aUmNfv8aWTOQ0Lo75t2bzAm6/sHxV+LKxWN3YWfmwKSV6in0hFHFdpABfGPjz9uTt7ZUk/2LmMLO
8TZmJsbRju2GN2ZgMXfjCj+SoJVpzTpKW9S0b9tcvNwvxjT9/cJmIn2vqqA0fnbIPoVOOg1LK7pt
YnVPzNxVxWyuZyXmzVHqsfKyKKmcp87KjiARjEq8JRtd36EEvjdGuWJ70ZGBOgkV9Al4M39TVWiT
1cG9CEdWdaFb3SfABUEoJn2Jc7H14u/1n0tEYf+jfAcuZJSA0Th3PZ/AP5sp0EsZeDOMbV3634Yy
j5Cn++f2nE5b4cOFg1rB1AYLhaV5EQqkfLbwKngqmjfh4H9r3BXo15qB2TgaoxaKJLg0e618Hwco
n5Pk++0xLG73izFMn3Cx9TwtH7qyggnHkYGVPXvK2yWCBXX/ZORv9rgWXy66iQt7s62eF65Kuhpz
xkxklz6lgxYM/nZdYH1x6pCKA5UzQS1onjlIY9FnzQgWiJyHkFeKvd3teVs8she/P3N3mt7nEnqV
AER5YTI8Q5VqLeJfGgGyLlOAMfEhzBmguhQMmb50MYKMbGoUWPQu+vMxXFqYjYFLjaeF9HArgbXC
x0Bsq9mhrHnbytIli7ZVHb0xnj8hxq93mOKNm/eVhksWXB9myzdy+KIlXaBsKyy6lUB+edL+NTZ9
zMV2rvFqz80OxtCGv22zR81bkxxctIA0AFpxkbn5ABjvWeO31CMI+3I/KDlQfm1we8LWLMyWpclo
X7LRyc6ffPWau2+3f33pAAIDAHJXFM99kBxcz1DsghM1ASb23AW1tpdDiILquNaDsORVQBNpIiOD
+suHPLiyBYG0PHirsvKfpoRzzLIQdItBgRNfJYGVr8A1FveYhxITMg1oJ5ufdp8lQ+YOsCexsWL2
tTHsMPc+14a9k+TL7QlcXB6kxyeZw6kaMwuuagCinbFCGogZn3vgfX7e/vnF9UGbNdLv0HCBcMT1
+rDY0igt8PNkcDZaP0bKdkFunoVsWLG0tEhgTUCMb040vPMwn6FqbXIdEYEpnLAb8jDXHqr6rmmH
qQh5StPiLzY2pKHQzq3b0KmY02pw6QkGwkvktqpIBFQPb8+cuTggpOd+CztMMjvXU+fXNI7LOi/O
ueQ62gsoqtaJQp7YclDbHAcVNRmY5lB6fTcAav8qKvASpE7MNlRBXLtMhAohd2/shi4fNhrI1wL0
4TbgHpHDY0aaIVAJemBj3/hp17JGo1zTRCBHRheR5o8oFVt6RDXufRFNrFZ2+Oy+sZGCRxYc/yEF
7wLAPPOibLD6WCv5cOIsCyv91NpfbcVWZnAWqP02glwtst+TBin0ia4n0APIgdO8lqe81RrcbBDM
lq3eUqAtzOGY9rX2Xth28myRkt3ZoGRZC4SXzhaqv2RSsphg2rPooMl77hCQEJ+1FFIpOvTXcArW
yoCzqYSgHAihL4zMprIeqcYUxTaB/2NFHnhIGA/WX1xEl0ZmF5F02wx8GDCiBZW3Hdc6ZxcnCu9J
AALxpvxQGLEqH2z+aVuANoR0R505EDBRWr4Sfy75ItsDldYkT+YiG329H2zZ2gngk+g71fOjTrWg
FNUGjVKBauwV37C4KCDsQhMWarPgkbo25XpdMjipk591u5H7kdAaTLyxG+huk+1v+4nf6bV53A54
I84S+KcJmJOvbVnUJQXVbPSA9mhDchTOeTm61qNjV9CUSL3BCzyrGoEyjPmmUzESyGPnfcZUf9Fl
X4W6sOuoA/vSwdWEjb0jVKA7jYUssN+ecOe2kaVroPzp2+EzzSAem7WtPKKXuw0SVI9/xFIXMait
WvuR0f6LLmR654+ijJDYsTcezdCvaXPvwUMhKlSp555LRDUhkfVn8GWMz61eqZ1j8c9IQH2Tuiye
jQS9njnAVHfSI8WmR/sR6J/wuJPFd12yZNerfCLlAY6tkgoJPnN8EWmbQ82Ym/ej68RBr2dOAL2i
E2jAyX6oXSfohxpnn5ZZ0Av6Rffl1xRELyEwJGqbFm/l+MlTTzUwkmBb2YFyTW6LlkP6pVJBGudD
NACjBZnTToC2SYZ14oRxDY0w1/B2jV+WEevQ62nVFjqzbSQ9a4vWYWf23tED2C1kqMNt86Zmf+MA
gAEAdBC95x85d3hNFS8EnrwKPB9mW4bKfq/FisNeCkkujUyX1WUkyqnZ0STNARzXQ2glv5nU36gS
wjJDssWKr5yfBRj2pPkGBVsTKE90U83s0R5j7Wmfn3OzF0GVxcPZT7X6UBM/vquxqUMjlePG1Uz/
zuB6+tIx1NLCRh+HB/Tjkq3FcnockSLY9Qm1VrJDS8cbpWqClxgyex+ON7HQeyN9lp9HX4VUr6NM
R0NR8bpysjGn84PtI2+IZjXIKn5gX6BV3OR2iwdNZhM6NZQNnxAa/qCeqoO2t8ljUnKxM3DD3BNS
OSu352yM0+0JfW1En4A7gU5m3v6Dw9d58ZD0J06qPXflS+u74QDapZWlXvL9wHJN40SKFo/A653V
UK+w+57QsyHf0ZUXr0ziUhR18fNz6C41UHZRKX5eZkc2HgETdp2taDZW9qPK/mJbeADpO2i/xarN
HyPdWOugUUI3PiXxOXGTBwJqbU7XMFpL9xgq4ECDAfiMUz+7jHleJwb3e7RkT7j5Cr3EdpTWzlbj
K1fL7/LsfAdeWpqdQgJ9Z9Q9OSyR5DHngx5wzTzE0F91ZBYCER0VHQ38bthbrtoMfn9KTeudpGNo
yWbf0zLSBjMahrWbfLY3f8c8YF2YWggRQSIGv94zqal38RAP9Ny6P2z7q8//cdb0mpYc3qWJWVhV
WYZkTS4pmPu/9d1L4j+azTYunhOw9t0+5muDmU0yBXloajIMxrFl4JeHfpy6l1dO8/KewYRNkQ/a
f2ZBQqcysLdWHdhikDaPRxG6yPBk7gF1yRVLs6j7f9bmX0uzqFsjepvFNSyhoUQPQVjShnmmrKMZ
59k2tnA/ZTWUbpMGt6MuUW29PZsL6waoM+Jh8MggYTofKDipGlCBl9OrCRBvp/TuVZwf4srZs5y8
V7a2uW1vgTkKxF7IBoOkCrwU8JTXezG2QDLri2QEwgzyccV4R9J3zTW2eXcCGEaLy02XfmZ+G7js
12APYaYfm/aHZ73gxRBgGtHunD0a3hql4Ue/h0gQgjR4Ck+v4XndCbJ6WpoksTxVxrsomg1hn2Vm
ATj2j+rsY+M/356Gj9OO6Z7ecy5uxInj+XoWRkYKTbN1eWqy56H8zsovFLzbpVFEuvHttqmPG+zK
lDN7F4Mwu62JVPJUlDEQOFs/3xRAGHvuK0/OTEbg7Ltt8OMNhbse/eLIMIHzA+XW67EZVDNTKEyo
U2ltcxGlK7fG4s8j0AVDLOp2H7JLDZWWlA5VpzahUW38suKX29+/UCXHALyJxwklSKQrZotDIfmG
nKwmT3x8tHto7pgHTb633qnot519Lu1/6PAknX7FsS0O7F+zv2s4FzFjo4AKaIpcnYBzI/5z+hd4
OhBiA5IFhCLAfB+UlEXm0LTJgd4v+ja02V2WTa2KO619W5nA3zf39UV4bWnmowmRPM2KHA0yFZqU
LdT/t86gf7eS1nstoQAK/oKafG49Nz+UtLEPhU2aiINk8GsVq/a76zI0GTv4PH10u22PZjf0nVhy
W+rdG16KzglYLTAgZAXZANbuviZx8rPgrsPDTDnxD+XrEkTMY7f1KOOfrcz9lPPaDJuOVLvEscWn
0hjzcZPkfvbY1qb5KxsS0e0JngN3aD5hr5poWdhwAt2/Ifbus7IZn1lZtsgGaf1T6mlvqVv4T9DS
KDc+rfUdlSOSQ0lVpKchIe0OFV+nCKCpYG3cEoxHocg8cRBdATJqkmp4YnKgF6mZJIEAFHdniQK9
DVyDnERiW9umi/ldmY7NITccvBuZUEebDMnBrnEP5KpPdxo2DEjn0S7fgQJhKygzo6Q347OBqB5l
FfQhmbZE1Nt3XWhaWeIH3NG9z0NVao9p3koWOIMjvg/eQI+62not/xX77TcbyOsh0/YqtyIXTC/P
aU7au04XT6nW27tqZPyQk3rcpDWgT2hO0fGSYzIUjd2HLiiVHmPRtCeOYuAXx8y0nzXaWLbZmIsX
29e0O+UzFUqrd78yMpVnsr58dFrZ7goic6ywoWRoSCf92nLDe6pxP4LyKvupwLa57RTyhh6xs23Z
sG5j+qm7VZlTh74bD0dUfaDMZ5Xxfkj9Bo9YaBoA7gLcYW2OoWEU+QENOwS/MoiwHc3vvPYqkA5I
FSnHSyMEZn2oVUCLhK96ZoSFNhbPeu+Wr6puvefCrPOHFBxWQY2K013lJsajiCk4OOK2BA4EIkyN
kTTvrOR8Jz3qhhQ89DuXxs6DYSXoXkEbBMjokVuQZgfNSkhno3ve7QPDoe6ROpX1TZeW9svoEUf5
OUgQCJpcD21Z8I2o9WqXcR2TPZSQzfCGfIMUHZQUZN1vXc0Qkel0/EDi2jhqFm93bgLS2izGa1yT
BgtZF4vQzHNzR2yGoKL0nBW//zFmuj70M7dpx1rjtm2RP6Kta2v6n1m288EhH/s/brsXd+FGQ5If
bBvoCrUnqvfrCwbJtWQsqjF7HK2UfGOOm5eQTXK6Y2wRjjOANBW3Y2/j6r3a4yIhgRpMP2oIa4+u
UfjBWBYaBL+/IscYOlAheRjbvAxN/qWxdUjauv2GZ2jAH1SvzmmpD9+9DjvGJNm26wczhFCKGTJ9
sB8rvJR2UBMeN/mAxtycl13EWlo/9HFvPaNOxHaaqeKtiCEQMppqOGdc06Kmo+/S79p95iAzotm5
GwkuwOMKmuhdXjb8O+9ptS2J/0NWUPlLGHKtrsr8sPZj60EyJKVa39uaDu+edamGjed7DFjOgogX
ZhV0b+GlummL/lfZWVAnaUFcYEmd7wQpW0QBWpuGJcWGGEH7ApyDjpdIbInA7bL+V58ZdqDnYtjF
HZSB0gK6qox22WNp8CasupQ9DZVcy9/Pds9/3s9Q5UYUinsXOIHrRdUwfteXvD8xP20CXtd3iAW3
lQnRE711V3ifZjvot7FJvAXZxokQeR71+nnhlwoV/JNbOtHoaA8gqz5Dn7IMY88r0GpmbiHB89Os
tZVwe+GOx5nVkTFHqwCKLvPYKKup5ggjfYSXq0HLho66CoxkKwcEUzW/fdF8C99gQo7wQxHJjBNg
5aVKH80hsgS4NTcqj1Dgz3l029DiaC4MTX+/iFjiLNcUvCcMicfYzoKqXIldl0Ix5OgAr0BZB039
c0bNKjUkdEq19JFZ6pTK9JXyQYDne/ilsuEpTh1kbM0HtHTcd+nwT8PG15URTtHxbC6RZMFM2pPL
QUXzeogQYcpt0C/GJ1fVMgtSUvq7DuQDr45ZWgGD8kdE+o7uRe7IqOMuu29L2m2GZoAU6MjyL2jf
Nx4gPR1vKEQcQ0Wa5LU23DLyBXZAC6HZbRzr/r6NPbXFBfEL3TPsgfm0OyR90rRA6hh0WzhMPFdU
kacUfS2h0VF5P6RoPDXReBeRzB0jpLSRqlV+MX6RWJWnWAr3CUSkya+49epPiY5I6vbkzFFF/zlG
eL/YUL/A03GeiyqM2Oml6Xcn23/RtT0itiBrqyjWCihHRqn23g4JXM5KbnX2VPuPVRtMmID5oE/3
QyGxYNRNPL2DqEsTIegQeByDhqDSkN6hjr+r3TLdjfEaInnhyUam1CrQ8xOn1Lztpiu9TgBBlT1S
y32o4xTyJbH5Jl129Cu6S9L4aWV2p5fwbOsR0L9NEjZoSEF+8XrrFSMrq0p34Ssat74nWT/eM2S4
NoPDzY2qnPyIWdAFfKXpP1o98e+4SrUjysrxmqDWtMtvfYo5+xSOjiZDkPRxIoKoy+7oW82zssY/
rjhBMtNFGQgQDhcvu7l35E7uisJJH13DCHFTBR15ZRKF12Hl+b3kuC4Nzd4nrGCahGxr+sj99xyE
RhRQ09urt2TBmWTLIbMHHaJ58UwyvyG1x5GqMMZAc3TIAq14+dkxQOLIR2MUDp4Npmg4p9lk+cqv
u1zHflQaIkhPgdWvClpNC1D7ikB7H5pryhhLFsGhCagsOm3QzzvzhaVEVjrrGiwP9dw7PPzde+Xo
amNUzD+lDcHNqdMufVG9uSYbtHQRgKVRR6oEbG5Tpup6B1IpCt2LlXUyDSZ3+WCZryX4vp5dU5UH
nwHhRVBvgUAWabZJjis1ZZm/NZWR/PrjhUXJFUgiJJR/s0Zef4jhSWtIuLRODaXHrKyPa1nkhZ0z
iTtNjWggRka69tqAyaqiSGTinqp7w3ms1pqj135+voiDNmadBaKeXhwp3aPmeXt+FlzF1edPcd5F
TFALmxpA+bkn5H8r8RNE792a5ra5cCkDn4BdjwMGjzfH+gN6ZxuyzMipcWkRgw5Ac8HClEEADgwB
g8s2LhQJnqb8o9yxDMBu1GOboxYD2di1yTOkPAM0O1rbQrj1U64Z+kagEPatYJX8wjIEVgHCTiTs
DWcNADmb/f/cXTg9PgD2OvpEZ7Nf+LkaNIa7S8g2SAvyAijG99sLMDMx+YWryZktAIhFc1qgAe/k
us/FoW3/DIGNEUD3HnsTKB5INQGEcL2+XgVQQGxz48QL6IPl3T0e8O+3RzDbQpMJB/3TAAsh92Z9
gCZJqzakL0v35KUmD/xeS9/0NB7wABN8xdRssiZTgHEikJhEzyZZ6uvRgD9AGxBWCaQYEr8MaGrz
75mGxMofjwjeC23JDuju8WCd+WphouCNt6EAfgdIozoLuXhPjT9/Qv1+Ukwx0USpPt9cGUPSwank
cIpHa0NBXcfTDdHve77WcDltoYtw4PesoWJn4wE+NQfPQZ1G28eDrvrhZBi8OjQQUd6kLXj0Oi/9
YuDoRX8+e5fmZrPHaheNwATmGMsDZASiUSUb2/l528rHNyHmDI8zJEZRkfzQe2nyyuWm7g0nMUzy
42TnyZNtD0Gef+uA9PTtFvi4Ynvb6MJWR2iHF+ikiA4hhFkg4oJTZazaEUbHNhjNM2lZkFkrAfPS
JneBWQV9GArwqE1fb3Ics97qAGA72ZkbqLe4+8Om0t/74dLA7BQRybiNPT6c9DeI1Qf21jbWpA+n
NZ5vuUsT0xgvrhUI7UhKFUwkex0MYNrPUMVIxK34zqWNDWgiyINRTYLw2CyFVem9F9ccVpQINH83
QhBmS/5qtqbcFRDEAJFaszVPXJd3Q1qIU9r5W9QyAom3hE3+ub2zFh5nwINAd86b0gxgpp2dGtJ7
LSsMdHZXHQ7mNkOLoUBiNAWk565wQKT2JtdoxpY22qXJ2cgyDWhfK6nFST5Y9Wao9reHtPbzs9UZ
8BBnpoeJ65KnXj1CLP3Pfx8Y9YnxGD4aaIHrPdZ4tWmg/ZWfGq8P0qkgsUaovHTcJ6EsG6hbrMy8
EN+C0SgBtpuf0vzVTEhExdeSfv6LUUzltwmAiH08O4yqcKXtOAU/dQHC9NBu1nJYi4MgKJChAoci
2fya6Ye4A5O4Lk6liZT7ofC3fbX7izFcmJjFMLwlrpFzQ5z67ijkvv+zGBX+aqrqIWOBfxNmfDZF
jdALL28JP/l9fWz67oF0z8DU/ekYDMhoQ1QGwTwqofM7f0TTw/8j7cuaI9WVbn8REYAYX6FG21Uu
7LZ7eCHcbjcCMYhJCH79Xfjc+E4VRRThPjv2jv3gCLIkpaRU5sq1tLyR8sibO5Tykd25/f3rExHf
/2QfRwRsgDDg0lu1rmdtC8zi0QD/lrD+tqiR0OEuNMQ6NdKFouusMRvXo4uWKqQjxr+fHb8ORG1j
Ncrk0dXyfdYfXHSp9WrsqY3pqfU/zNyoloH7EIEyWpIvjXGAW10c9f0xeuNk5zgLEzdzMgJbDJDz
KNSDbeJMvq8PJE9Zpcgj6mEnoregVHK4D1qQJ3Rmg0a2cl8Mxp4VEd01pHu5vWzXuwcJWW3UpkUB
DPXxySEmRRUZLWnbY6vprylXv6FB5oPU4cIgr8/KCzNTHJdhVQP6e7r22GX2X7UHqxIyRbdHMm7C
yysZJiB3hHw2usaRkLtcJqaVooFwTHuMhl8NcTbIeYBZpF6BRGX1D5aQ7kCsjpzKldx6VDu1ojm8
PTLS39uliHxhlj6tEAqmsl7oQJ6iuMbTYcQqWqjxqy7ugnEFz3w9dENeElvWR150xQaWOl/Nyiro
tMi+dztdrltL9Q32CAxw4lVOHt0llslRba3Ycw8h3jXVY9fj3BrWRWsZXihEs789IzP78eI3jmtz
9huNodDSXIj6WKXqmlHw/aZdfjeAK8fQ8u99xte37c2tNTrpkOABD9BIIXppD+k/R6BIWx+jUi88
PVJ2einWaEo8NOki59B4ck0dC+xGyLePsrkgfr00VrVmrpYFr4+a/jF0H7HywyYvoj9pINjNkU++
U5myNytkz8s/kiy8b+dm9tz4uLHOZrbSFcWlbVkf67xG0Uzv3kq7e5FMdf0ht3ZELPWRToWRPv3N
htghcr3ILEEu+NKiZKO2HKnrY6rm9Vh+1HYliSF8rCNHkMk2uecpSR5bHewQcWVGvlsBOmVWWuvj
7jEXVnrufEJqBbG2aoypxcmubso0SwUdmmPVoTOi5sojE+mHpEu4tzmPOrcziRWhwIzUl4rCY14e
tDZZKaniJyn1m/yLfPL/mV/E8whVxiLStIbkRCl3wrACMpcq0W+QxdQeYwn9c3uHzM4bKgPAWFp4
6k8BZJaoB2n1WnNs3PLU5/3O5nId13SBO2qK9P4cjYNqwHjpA0M37dKpq4bQVCeouQxiWLtdPqxD
DViksFGIlyPqX0UAQ/gR4ek3kafZujfsYQU8i4ZeAm56pa6BuShHUJK16hdhk+OPA3ERABjICUCW
bnolADwsmz5m9TEHjQhqJB6J7hT9Tpjfb0/2zO0GJBNeNiCFJiryUJdbpjZRAo8F7Aj1u8w+tCpf
uNvmYoQLC5MYoUdjdNKlGUCJcsPR+2VDvlvEGcC7z5WGPpHuFW93z9IH//bIZo6fC7uTsy/LUKHP
LNit+WtpRL5TgwNjV7OnJHz9uiXQXowkt4jrro/0MM/dejzoTPYGbQ8qjyL/qPGGH55uG5pbrDND
08a8Vg8NsGO2uKt06GI/LMlELX1+4guuWtPECDEOCRiI4QpgIZbyXbPecD6EiTeg6JFlRBkvBX7s
cbfbRYheQbbJmtdBz1fwFJ9pyaa3F6Zu5lBBQwG2k4uT65r3UzdDBYretAYPb9av28Jo1iM7xUNE
oJxye5XmTIHsxRwhERAampY30S6fuoWGzLTrsgebGjsaPlTmwuW6ZGQyj3nW6RDt7upj2AxQkfle
228x2qJuj2RuC52PZLKFLLtGa76D2Ig6+2hEWVg7Q38xyTfDXf1vlkbXPIsVSrCWNjzFcAa6im0f
L+3a9KP6kDQLp/6cj58PaZzXM0OCDMDUqgNK3mF/r0bmk83I79tjmbmPQZ/33/Uf/35mQqbQJyYK
Zs3CWyjKf8dE83WA8pbYOWaHYtvIfyDFD4OT+EJvSpuWKbYSS3rzLrJMdSWVoVjfHs2cDyB9h8ZF
IJHHctDlaDKGxhsrHuPVNHOfRIVqTsXUAmgs4qyaOC/vGjFU328bnZvCc6MT76ZdQmWYYwtp6QMQ
KpQAdPGg5C+3rcwMDX1GNrLUwKRAVnISileUORH0Hdtj3BdDoA+l3Klp4ewd8EWthNM3QeK2S91N
c0GqjbgGCAi0nGJOJ5tKqNhJvQb3GJTAqt8q27qv4m4NFSgfHWfb0hIrkx5CmhzCUK6qYeG9M3Nw
gI4d5QawSeOymnpN0boABidNdaxJ7nWRAZm1V32pa3dmZmEE/+JWNNBeNRkjNBnUMiuz6kg19y6O
AJHj1UMrIdCX3nGxGGKMPjh55oBI4BNkjj4A1BsvfdSIuyZjUVIdqywJzDRUPT2pIBDK3sx6hLYz
FnuRMF4yUXmVRX2Zlcnmti/NbMYxB4EeBNS+jKvGPJHSsOozt0QxO/nllj/jrl1qtxzj+KtR/tfE
tP0ADxSQQ9V2eWTaDnnVQ9JbEOp51ofE41bzZBj/4ClQzBiXENw8ELW9nFWSoqM0MozyGOf8zWrl
i2jrZ0UifLs9dTObHXsP30cYPgIxJqvXSlOvhsYqj1pi4JV2yNpvbRNY8c/bZuZWCNkVhLlAPSBj
PDmWhYvuIDuqymMYNObBWdIWnhsF3nhj+AcIyZXL93nbYSVKzJay7sp7Id5qG7DwhdN4ZvcCyADw
HF6V6JCcZlTQr87VHrC4Y5aad7VS+0MLLSAmF8zMuNrIaTJCtACIgcrw5dIDSs3yMo1UFNPkB6fG
z7Bx/zSt85BlSuj1yOt4Gv7k316ha6tjmRpFIwDh7GuYVmw3bi95rx5N8CKvhnZwVqWueFZkQB+C
RX4fohVa65eyb9eOMZpFAh45GQ0o6BEjcXZfp3LoSiVP1SPXVsaL0La3R/U5WZf79vL7kxsUD0vc
3xzfBx1o6oFGGEr0kLFdtTI9QgtwzTJj23bNux4XP/CieauqYcMVJGm0IfeVtA5Xg2ZuZO8ch1bx
XKqDbsw4JSHZJY4MuHCxV/T6kA6lWKmkfQGz8zcZRb4e8W3hiLWml88s5wBOCbTFRXIdIg/XAMdP
Wuu1Ai893toxaunNa15ZO9aZvqUQX2u0eybEFjfnQgZ8CjrB2xZNJSO3N1KDOCmndRU3t5zEYh0m
nFP2ODCnveuKWj/kUhO7iOraE2Q/Y+GhsaB4dA31XVGa6rmPmGt5VrsNrcPwq6MtT1dK7LCDG1r5
yuLOe8Ur5Eybtl/YDdcO8vkzR6Z7G5WaaVpJMdrCBiTUOvQOOm1+RKvbDgLO9quT3UIJCNBE5GTR
S2+P1+mZB9ol62lf1OYhd6zML2NnbSb9j7odfKJ1a0i4xJ5WRqsyRA01Jxt0Gd6ZFQFzZJnvwWP5
hlYHr5YNoMlVGCi2s5dGssvzao/PrQqIjais8EGHgNCtb8DPCD6k3GHtqpd4gFdO9Kg2DbtDOyF0
YVLjQ++d+6jQUeHWq1PLo4csdYOyqKJ7WVSHlhbIGsfl2irQN5LE24T07d+IlEC0h0m9qiBI7XEb
RMV52G0ld77nSZMATiSPVOadx7R6rWjpvT4GHzEpiddRSOe27lDvyxhaY1ln6J5w0m4tISm+ihlb
6bby1+GJL9Ge48Q52nYKyF8qpWcLUM+AySj2WB83mxD54tILafpTOtaDyJvvsemuutzZG7x8NLX6
YCbJihD61DR0L0N1bzTufQgC/Tip70BU/B091ntqWDv0D4Git10N9bBiXbrRLP2QyXqXFOU3O6z2
gxk9DDTdFMhNDc3PotBWXW2uha0coCyDc7lz12bHIfzZ74re/qZZ4VNKBerGbqWu2GA9RJWKLGTZ
vRm5+r0g3Qr50qOV6euyc9Hgkh5z1tF9pgggzx251ik8wdHXNDZ/Q/LqTo2a1s/dJPLzwY082ad0
U2hRjJaE+DiQBBnHLnmKZb0ijfFbyU17Y0B7aAWsPmhauvwXiezqroyTrdVC1A35LIuj+4f0K9am
xtaMsr1hZ2juAMGmjzYtgJGd8C2JaXWXVq62sksVCBK7WznAe3toO6N+G/FfsgFhmBWaC3jWmS0I
2jMAlcF+hmTdtJEwywutq5kwD4bi/tKK4jsVC5v8s1x0eUxb5yY+MxdnmxAvmbSpZWseVLdWj6Gh
R6A87PTvvVLkvY8eNZxNJllp6iZEArtfPYpK36txoq6r7C9RnW0OdlwFbMfyoyxXDZzqULQ1qqKk
tI6ZWqF/x1rlpBdraH4PKzDFD68s0eoHBkWZhTvnOhhBYtMEQIXgrMVjY5ISjkOqAhqhyYNlcb+W
xxrqUhV/diK6MGvXJ9elockTCnhp027IgKBt2BXKBypj9OuZjnMTgEldHo6t2QkFT2h5iCGbkHzj
5aZsvpxMuTQxuaF5jp5DPk4Xy9YD1CaVX+pSeOhMkJa49OBeSJmreLCPTSuTmUK7Cg8BCTYPVmXn
wEkP1VZ32uccmE6NEt9FSxJxW7Ya1KHbuFqsb3Q+NKtKVd71ul9z0q5CRrN1BNXxQQjwybjWeDnu
hcKeFCv/0cpqhSa1bj/INMUJG9GHpIG6dS+bcs1rdDeyoXyR0L7eW0riV6HyUy150CkqmsC7p2wg
gdLnYH4zHuKuYwepiwx6bP2T5eZr0RpbHRdAy40fIUt/uRn9nkaZ6aHHSvO1qkLQ4Mq3PBG/TK15
0FV+6A1tFQt+sFO+j7rBZ9QlngNum76Jf6F4g1DGNB9iFPc2fRQV6ODUHxqwTLPa+Kb2Ju6y0jcE
8dWq2hhUINEF7BgV2j225i5OhmctJabXJe4DErPPt6/k6/crFgtAACimAQV6lX2nqYM2plhYB7MR
ES6zknu87Z9aPX4qVMULLWvhDXQd+o7Qc9ToTJTp0DQ/SXiwnhWZYIN2cIccjCuUOuFdn8vmuWMu
9EjRX4ydRfvmkNd9sbk9WGv8+OXJhzPaQhc9EjwzmEpHR/nCbsPuQEHV9lCSqnyxsybbt01JfIHs
0hY9dfQFNU1llPOwfqcAXt0B4APq0UgldxA9qEYBUucV/bvmQxU3DILVPDU806Zo8pFlzD105MXP
fZ7KNYvM30WlR89tX3Dm67yOTjJRxRNe+ObaTCOQNKAEo77qnKjvdQjeQ0M0uIaxD8BWPACRCda/
n6FqNhu3sN0XJ9RxAPVKjjRb2T3YQx0+GDUX96VD44OixOUKKeZm12ugIBZt2ICTQIvv21qC7Utn
9qkWYf8tDK3uReQcJzbi4A9Nr9EvDc/0Y/TLhl5JLSUDhb8V+UkoKjCJSrIFO/RSznU8ByaLgQMC
eSGc3SD4mVYNWWJ0eCU74kDq5kel03VpCt8pySrHKZGZ5Wbowqd4kdd4xgFB8To+XFXQmlw9LJ3a
VpxYj7tDARBPG/8t4hfa7FOKMiKaIArzbcHnrkeJJzL8DRlFPGinlUS8VxzhtH2Pe2Pdto8i24MC
3Vg616+jBpSCxw4YNLji5J2CxEpblDxy8v6QlEGfP34dfgjIiwmRKgNC6Ng9k8RFBwnxplRxbWRu
l0G72FA8rY2+qxbkbr4+Xbii0MaAojbg1ZMLClysmS0jIg+afHb0DZxO2vfdEhxtJmoAnO6/ViaH
ELxC4924l2wSe9BG3KbkZzOm/c2X28OZiRouDE0mTilBl1uoMKQWf/GAAFmmqn7/30yMrnEWzUnd
kSbTYYK5fiQPteEr3ULr6/UlgeUfn7Aj6P26A7VhRqg12ThdNY43KEjSt7LxayAN4q+Hc2hOMmEH
qWr9it6Ja7IdmkITB2ba4k+cqcOWQSjqMU6IvgYNC/D2t2dvxhPGbihUoPF2wk04Dv1s9tKiqIyW
W+IAnk60d7OdgWHlQC6Eckl6fGYWAR4DbltHStrUnPGnnJlSzcHoM9x0B1Fb+n5o42Gbc17+yagr
n0mjJr4tO/SL3h7gzMmA3pExWweIEg7ZyQBJKFlbKqk4mEZVrqteVTfC7pWFdZvxcxPYS+ifji2d
VxzHJqlaMHRycdC6qj+VsmfI50Taum/JEjTjEzc0uTdQcRzlw5GwA5psEl8yVYvQpMPEgQ4iOYrM
KDwN1DiPrVXWJ8oH8s76ZjjYthkdq2FQ3hLKYggKWx3gZln+sxmc+C7Erb3mIR38vAEGTUnb5MkV
Lp7jhRYikQQxF5IPg2dlpt76UZOl6xT6F55MKTgyZAMG8rIoN1KkzqqrhugBF37rc7dRPVyc3Y7K
+r3hhgDaUcGeaYty3ctiK1WJ16bgIDgmOUgfcU97vSXXFQXXX+ewGFGIjDzg/XyemNHGkCZqF6nt
7mPS4OQdqL7SS8XctzkkbqzESL+jp/hDk4354crB8mveNOvG0No7XevCdUybcpvkJXtU8xa8ci1q
JR9AwSuH1Gn01CNaAp4Rq6q7oEnCLl/Ic865BVwChM4WMKBX+SSeRfqgorvkYDRqeOiKov7FQO/y
oDVFv5Brm4kmkFZHig3AdRt53ImfD1XICRWsO9RKm28Gy3QeWSjCx1KBNCSYmsg6bIr0wdbT8APP
UPoPIx0paMG4C2wEqk2Xm5vVTAHytuoOjta/Vy36vK0E2lJRugQ4nzlFLh68k3G2WkoJuIbkgYYe
enadaOWIoE8exZKW9dXJSOALCFiAO0UPCGK0yxGlMgFzp5KwIFIVDfKE7ZOW9aCLSN8MAM1uH1JX
fvJpy9TRKo23wRUs1Mmp3ULblQXAVx6ARf8WG9nKJvmf22au5m5iZpIsYNLpQX5bsMC0Qo9GOlir
kYSMlDVjINJyN7etLQ1qck6BtEWRIIhlAbe0FUUuilM06li//hcr10kD9LVnaZGxQBH3DnhCq8di
ifni9kCAiLv0BHT2/n8TdrXTu239R1+6ha9i8ouFQfx6aYFXWQXKHCwMpD4fJNV+Zk6JvJEZEC18
tKPuudb1hXmbd28UhsHhhljzM1N9dhtbFAi/xJUsqAC7hWhRsaEWese3t1fn6vYdBwaqg5HCHBHN
NHAmxOoUp1RZ4Co/2Mkpvt/+/Owg0JmByAU0yLjhL+ctrM3WLShngeA6KEjQWRGp5k62/dap8v3/
ZmuyRjJvnMzqaxbYBG3iO3S5gW6+HBaQ1LNb9GxEk3O0pA7v0wwjskM3wVNUrprKeBCDswcV3b0A
J91CfDQ7hWgRJ3iEQglyihLI8HzvVdDCBRS9zSzIeO9XtgKM+ML9NOsJ0FCAwyHPgvjlcqnQ4dhY
epmlgSP3WrxLv3r/jI6Gzgc8MgELwCPt8vM2s4Yypc7ozm+q8kT4u0he/8EBAOjAWwBkRVck2CHn
dZvGGEED/mNzn6SeyHYo3N22MjtPUJIHqQPiVRSiLgdSRCQV0bgeTRZ9ZCgaFor5ftvE7JIDI45E
pTOSc0w8WQljN4a0aRowUEwDfIUoT/Po0kt25kwbU6Ggjh+RIZD7uRxImuuhqrRhEmhtucdoda9v
msorIUtYS+dg58prnwxLPD5XYRA6Qs+tjmM/O9aKIk0tO4pYYJjiWITxHQ4P3zDb5zof/upSeVN4
uylot1C1mLkigKhF75KFdldk1yaDzTly12AZZoHj3FeceXV0b0Eg4fa6zRqxTHQTIM0xhpSXY4sk
Ao/M0VlQku0wHBX3GC+9P2e8z0BqGsVneB+yNpPjhzdtmnO0JQdp6tc+iLZuj2Dp85NdCs0uzvQQ
nx9ir4/uyiWl9Lnv/ye7qQHOAraAyxlqBO3T3AA0qCEogPr5Qh5g6fOT+KnlwGFIC5+PsnWavEh7
Sc1hZmca4MsZpRaQj77qdYwcPdTdxIgD4I48B/IvtU53PSDUshwWnGnWlD1ezUhsGEh/X05VnEle
6uBHC2yDemWOx7/+V8XTSy4KpM4dBGiKwL5AaIuiyCQODFkC9n3axkFrFgFJrR0o5nwGLjfP4Mp/
6spd/Xrb0ea2Cnb2J+xgzN1M9uOQEoH3M48DPUnBoK7fd3X10qFv+LaZOYcYwUy2huDjWhdB0wvu
GHESB0MZRMORfH27jF21QDKPvnCVVRBDrPO81WWgVxvnZ9ysb//6KUEMVh1ZrbPvTw6UzOlKu1QG
GeBBzUxzw42jBFVf5Xhadifcb1H1Y8hiH2oDtw3PBDloYwHTGlJc0CyZPhYzYJu6hJEuyFDdMrv3
lNxnyh69zzxaCNpmfA9Z25EgDyiqawIqOxMkV6OoC4YiUNr7PkEfx/ALYIey/65Cyfn2uGa8DtbA
vYYTGtHUNDNDoMHZC4WIIHPpQUmsU52bL3GzVMCe8Tr4NGokeJsiqTW9v2VpDqYiGoFDWqAR/tVt
F4LQJQOTs8F1G70vUQkK0C/WFhtjWFj/mXm6GMBo/+ySrlF/N43x+072O1JWUgX5zJ/bSzGz8Bcm
JgdAEoLEzQZnKYbwTe3iFU8bHDVHS03X4C/lubowpBmXvrA3iTvAXUk705ICDx1ktPQcZd/ewy/Y
sOZUOQvGxvm5yAACcTvqaNmIOYCBnaYmYrft0kLjIkiqZ3OriW9fn7vzz09eVW2rGmFm4/N96gGw
kDQrF53xULyi2zL7cdvWnCsgHfwpL4T/TQ/qyDWz2ikLERAwozQQOBlekTNb2Jczd51jfeozjTBH
oHcv/Q0ZQgNUJHobAJchChQZDROZQMAbnW57ezhzK4NHCEgycbVeK00oDktQEY/agIKfIjbeh4V7
beH705XnOeRzZJS2QXOqtRX7MmsMHOvs55PJRHVomWFgUGwDYu7j5H6Qd/UXVW/HO8dFgI7oFTKT
KEBOQrS6lmAHjtImiLU73C0p2RVgPa8XVvy6IfnTjGuBzmPsSJ4iD3uWZpqW6U3gIAeddBIadz/y
8DfYB7v0hVXeK90Jy7NP9ENxfAp+Y803o91tZ7h2O7zjkPyFwIzu6MiNXrodr12A4gfaBAZ+QwqW
agoA2VtRfDkqBVuCOvJvEKC3cTBcmsFvAEFq5NbYrjbYNZFj+yLLOtbs0sLELaTOC6jCwAJYZpMG
agKr2xN17dUjeRuBFoaOZvWrqpeS22WhQq8piF8BLZLF2+3PX58x+Dzm5tMXroMAvUwrwdWkQTC4
M2K/gFiw+Oq+x6MT7Moj2nVsCJpmUUTS9KGJOtPJ2roCEFuxlPa+mqLRgIsHJkjEUEGbnpM8jFQ1
NVh4Sh8AysT98sUpmnx+4qplmWe9MPF5NFFobe0lyp/IXIjFloYw3fltDGhGmISnsCVoxWYeaKFv
j2LOAuoP2PRjj8/VKrikjhQSte6p6N/AZZ3RJUalK0/CNJ0bGKOOs8DFKlw7093GPYVVoW6qGmAm
9FMZDxxAj4XZmjOFU9IG4zIAw1j8S1M5USSYewoX5AQHDcDMUkv9rl9IW8xNGJQNULEEKQpOqsmy
9yjPGFHJlVNsg/cM5DHFfZorS8w0c0NBehYaJiZGcsWuIzJIWXeyjAKnlYHhRvd2R7ag413dXv05
M2MhGxwhMIYj63LGYhdp9C4GmT+SgSdXdMdEBY39omjV1akOH4AB00QtmaCzavwZZz7AdW4raGwN
TwRy507egQ09PgJRAcjiEnnTuCMu4jyYQuMYqrzQdgTr9sTd0io1QsHcKMhBavucuunfQgAPVEqo
+Dh0bB8LXecf9tC5zclrnQxan3WC0mBl1O+kfr+9RnMOhwQtzmLg3+0rHmKjK3sgsqooSHrprF1h
W6shysP1bStzSwSxWdyJLnomr+ROgKnsWYPyd+Dqf+v+ree/uPpL5r+/bAUpVLRpYYMCWTDtZkp7
s00aJ6WBY6MCH/pNo3uGWayaZClXM67zxA8uLI2zeuZyQEowqaoJDWo0GNtVFgjQYntopP2dm/Em
0e3njOt//mF0Ogq5yNro18CQLk4svQ/he70OYByS3eA/U/tDbMcLDnfdJjlmTs8sTbycO4NW65Ud
BY1k+oq4oOFNiMXXtaGYz7Gid17doyMAzFCDn0A18r7gA2RA0pJA+CyG1uo/DNyEwC9ayB3shMkx
Ap77PKMq6NIK1/TL/EkZco8YP4n797admeMKorQgnTRACYai+eQ6hGCFrkmziQI0DEQ+iTNtq7st
QP4c7Q23TY179sp/zkxNZriB+rYreB8FQy9OSt/nUJxM0WnVhF5aQRMmc71h6MCstkR8Ouu40CgF
ngyH5VW7ZpbwXu8MRQGffhZ5Q8z/Ioc+JjcfQUP/CmmuX05YfZk4dPQn4KFRugfS6KpBEwTy6Jk3
eBSg5WSbdXwNJqJVaGdfP2RgBukzvC9ARDOFb/KCZEZp0ShIZY+CUF9rRwbc6bot+95nWewshJhz
iziWOVFh0BEH6hO/LDTQ6FhoRsFx49Z3GR6hGwsNxkfRHhRoaZTrXOOoGJZS7G57z5yj4gIa4coj
H+ZUcjAXQ67TVIsCkodbCqoSrwRLE1SNFyZ03g5yAJ9mIDFxecqFDusQROPE0c0NijdV+7tZGsrM
xYCB/NfE+Pezg3SE41oGi2hQVgATRe+1fXDNB+Z+uz1jM7fchZnJ1m6Qg1AkV7BUVKkBmWJvAOYs
HJuzswWoyOeKmGTKPZE6aoduIQenptOsB/tQDeY6a5dgPbMjObMyyRCXaIxqew1rQgrg2thQpfvc
MZaO3KWxTFwbTeQDF32IsUQu83oCbukCT2bQZC248vxwoM+M0x2l7mmC1hAiQvJ0XH/pBp2K3Bl4
Qm6v/dxYIFaC7j7dguDBNAotUVgdQIMTnhxEip5W59madv2jLSFqe9vS3GAAR0VFfRzLFebZsjlA
73aOJ2FEnzPDQkOHvnDmzA4GkDJwhqMqeBVS0xbnjdIU4SmrendVG/2fjvTRvQsoxAI8YG5n4nEw
sqXh9XYFQ2BhaeQ6p+GprlOI8uiVuUWPm49YlPtWushnODcwRBJAvTqoQVwBuiuZQsa5wuFdyU2T
lZ5lQY3ky/XaMT17ZmRcwLPTZjCUhvTleEO4HrOOrDowsXCzz40DwlkjE8FYIZpeQkQWUADTYpyZ
4dp6C9nG/LjtZEsGJqFDj5cWkI1RFLQs1/0sRBOTIS3pmW3urP83U5OXB0C5zAwLjEXFYWmnW8P8
UIv9P9jAvoQWAYhUrlRdsy439aJEQEJxW6MztQ7qf0hzjPHO/5mY3DFcEDMbuKWcQleFuhXyTdFC
eWZur5xbmFwvVlRpeiQxiIFtZKdBv4+v8zD3iVw4LudCjnNDk8UfnGHQ9RKLn0FFi91xcXTTu5p4
huPFKf79hwMN/SgIAUHURgBvvtwvOXFQfFYwrswrSjBEyaUMwdyJOSKmEWLgTAMx5qUBPVSqoexr
GCj+aPx9qRo8t1dw6oNFfsw/XUWEXWsKA9cwMgNcWYWDfkyblwIS8bddeJz0aTCPhk+UbpFYxjNl
MogWK97EcY6YOueZ8MJUtbaRTWq/75Ua/kD7bRqLrvJ452Rf5VTCiQb8Cc5MxKGjjsrlBJpMTRvN
SpWTgXbDQSs8M1lwudk5xMsd3Ns6kMzTYJMluOm6iiknbltZALXr8C5NCrLL6jBdODvnthEI+QF/
hFrxqGh2ORiriXku+KCcTGmuOvWHgYRKzH5i/y6s2KzbOcjgAGfhgntvsmJ1UwxOmcDtCF3bEHdd
Qg8vfX+yb2ox0CqLGuXkRg8Q9bDLl9set/T9yXlDuIkYwB63TQcFLjDJOz9vG9BmffpshiYHTRXW
blOPFmLH1zJPi73kVXlHm+q79vmfUCDV5VV/CffQIAI+jCX92lm3Q8cNQSgAFuVPpMTZVQ12iZ6g
8xKHdrumqY/eF20JTz5jAslPB2gEpA/R2z5J6EJWR4J2gDqnvtVXCgQ7oczzWHR/bk/luBaT0+HC
yiRg73LU13pDsU8FJa+Zm20KGZ1iFzWPKOs+wJ+04Nuz9hB3AHM5Ug1P2/VL1Q6bCqpNpxBSo25b
7EzBvBy5Kl9WZK83qLTeHuCMM+IBbKJ4qIKtCP9c7loTnQw5pZVzspPurXezldqX32+bmFspAEaA
40NgDUTf5JSLaiNuwRZsn5rhqNNn0j+azQL6em7axr5PBNUAplyhryAtD+KbPHFPllIkXp5qR4XW
0muN7LtpowOYGMlC5PNZbZx6xrnJcWLPXLzWSRlCis2FaHq3BdkMRH2LNc2cYwcQpkajjZI4W5o0
r62oH9VBrjuePlk9esv1dG/Sat/zpdflNUckCCJRpgE7MoTEr8keakkH4kZ4X0Af6pkrcdBlbJ2I
7K4Jh5UU/EOL8OPKHJqMlCzslJkzB+RDiJvBjYbgeXrTSJgKgbBwT6RNG5DfhA2oclK+pVXEwdFW
Fg+cJr+T1F1iIbqGXY2jxpd1RAkOuLInFw+khkAHGyruSctb42FAEnMn60w9xGhsehClmWwLyehD
W0n+lMlKXTdAuu21rPm47efXRfLxhzhIJSGtBJ7fKaBUWnbcxBWqflZMTJD91eCIA4n8AxrBtV1s
MygtlCnzrC5sH6uaVg95Bb68vKyMbxBEKVZRkeR+yGW5xTsokh6tlPIAskr24/YPnV2qs9852ZCt
xgnp4tA9Ad1BfQrxHK9AiP3S9F3o88ai265WzZVLi6W1mjsKzmdosmm0skPGoI3DE6S0Vw69S61+
BaXG28ObCUQulmH8EWc7U9IutFIJIxm4HsD74mwK4Q/2wqth/KlX+x+ONQIFEMZNcx/MNlulo5F7
qoixcUW1kfFSSnR+tv7PxBSd0gH4kiP2dU7dwF4zALzRlxh03WIIPGcHgjPIfUCaBwXZyYTlnaNY
VkPdk4ieohpJT2lsovbj9qrMzRfOf0IwWygETMs7id4a6aDhvMwTFADQXCzdp9sW5tb93MLEuayh
VvWQwUIxgOZvV1q/s3dCFu7Lub1jEfDQgy8RbCRTSivbzXOzSl3npBa2XxUAcIBWp/0z6BBhp4Vv
x+vbg5pdG6SK0MQEoTltyumduEYYJp3qnlKIraytVHAEO5W7p2g4WHgvfi7B1KWBh/8/W/rlxsmQ
neKV1rknaTgfJgWjRW0dDLc/FBlE4KkZdHX8ZoW61xXqrgY/VC/0k4RQ8e0hz64jOIeBx7TG1pDx
72f7V0Bst6/7Hp6Cbt/KM8BW8s4qtNOjMyl7H9BiunCXLxmcxEBJUhmDaw5wnJeBpJBWf4tVr9zd
HtVnmHM1u2DkRrnBgu9M6XjyCOweSczcU93a3R5dHK8D1zVw88n0IFha/D/SvrNHVl7Z+hchkTFf
gQ6T6Ql7z8wXtCPBYLIJv/4ub73vfbrdqFHPPTpJZ3Sotl22y1Wr1tqoLZ2CpratNzvKjZu8mNG0
OOeVz9GpEKYJZ8GcEkgPz0W/M6u62bZGz32LuYPvAgG6HWgSBSWvdSgRA2qK+kOyMoilOAvhBdLj
eCxrZ3xrWadMXTM7UUiNbGfYe8vaWyrawNGbkfMvHOPHtsROPHIDbUhrdAi4wNCUTvVMtDza91Oc
/CZJ2fkVr6OVnb10QEF4C8k/vF/RkySFEUrJtSzViygch632WdHrsSH/EIx46QOAYMnxkaVUOYNa
KhLZ9M4ONRpedq+lsi+Y+IGgEDh9VOql9xBpR41XhRmFShpPL3bZ0fvJIRm66hzTN5rkB5/B/6dM
lhMSh5Gfk6KCRq1QNX5wisz5ymSCIhgKN0jd4y1zunhdHLG5Fml7IwlUy4fW/eXhLh3DCPbRoQai
VUBRpRBmJmXWWXWCxKNSftbR8I1VbNOVo9c66FxsiuovmBC/YhO1ZfRko+J0Bkd3uM66qoNDDsp9
0gS9+b2qC1/heBf+qNVkJYO/dPBDOV3QliBv48jv2wpVjtiJsNWMOZz1XxkSBehVWhnSos8fGZFO
fLW0lbS1SBSqHfXKpPDWcvZLBkBJhS2FrJCAXp36AcuGzuhBwhROG824IeXKJK19Xvz96Izotb5C
TIRNlYzGX5I6T6ioBZc9bWkdjkcg/n5koh6GLCpimJi0Jxds4cPO7Ff27toopAvPcWkyVxomqX1U
+UuTrHx+bQTS9Rb3Rpo5ToyDTVVv4zb6nJn6CDWYlWTmmhnpvE4i1lpgfYrClO0iI4h6HzqMX1gL
nCio0GjAAcrlGbdlBou544YTCYiy5wQ1tJVYYHEtjkxIo2DoqezaFiYSvIIMoGRWhrAUa6C0hAvG
BbsaSkyn7lRQOxtHznGIqLsoRvZ/28yf9Rpp3qIViMSjexK4G0RSp1aMrHCZo9a4DHo/eSpMr30p
1hTsFt/dwFL+rxHpwuxxFnKgBKOwYewxMSsQORkPIDd+QezceTVBjN/PxZ9+HoO4b/280p4vu8NS
NHL0A+RLZhSJ1K7BDygYkj5xfTcy635gxksejwF6db9QVweFBegyUCIGO6SMqMhoO1IbVNwhWH/R
E6+AZVZZcY9F9zNAPAJDyP654u9Hpw110b5RxniaN4mzzS30I9lrApBLVyd6B5EgwvUCGJHkgbOe
AkyBF1rYpHaOjERmvAnq763qdNpt3IPuDdnCLOA12m8vr5dwCDkCxszhTsP7CZw3kmUjd7IiITjn
GM/eUXU7mJkRVCO6x2i5gdqy7ivO7LE2WzmZFncDiOHAfwopREC+Tye1Bc+m4fQzKvt04vtcMRAm
IK7ejbaigs6xbbaXx7loD414QmUTDC6yfLoGNlSEkkjDpZBfSP8m7mMevzbV22UrS94PdiRUQRAh
CA3y01E5CFfzfNBJCNTbRkPoM5RPQ/mW1Uj4ayvB64otORPBkX7PlMxAWrr/mcdvg+5VyBRByHWo
Py6PamkDHI1K9k49VgebD7DE9UAj/prk19rn9dNJo0NjKx2e9WFGfgz1+9UdpsgAQk4AjzvcUIgQ
pXNXoTmylJGNjA31YurxNRb75Z//3/elNedgd5x1Bd/X2HvECi/N1opfS7f4fyNAOuh0gmKNxMNQ
ERLa5aNh76xoo0Y3l5d48eI4tiGdA83oGHhHihyKGt+UVAv0tLvFs+mtLZVn4g53mlk8a5TbQdnp
7ypbo1IQsySfQ8f2JSdoWgNlV9ycIaRzIFD7Vsw7t3E8zh+rOvGS4TBMvy8P+d+1fmYSGXn05CE9
jAzY6bRGOA3SjuUkVNQ65buqQetcXM7pc99E5m8Xz84nLeNIDlegIH7onGnetU2UPegJ7b24St75
NNA9GgLqJxt57A2vsvmpSKBzkuTJ9xKEsjultBtkaoZxpR9q4TRDjRXy4IIKEjeG5NMF6U17ikw8
GwckvIrHTYl/c9bwdwuejcKx6NAQDcxneTV1ygyNJ5oTQukyfif5SoFowa2RlUct0sVQsDulGHhu
7AnELKgWVnH1YqXpj8lSW69Vi/3lhV4YBlgt/1tn8fej+7tpS3TkzRkJLVDzV16/pqm6eBCjdR25
G/REIgNz+n1eu00dO7H4fr1FbXI3RIY3lzuzKAOQXH0hGgGn7v9ak5YeT2hAPDglIS1uM3oDVqsv
zBbYMTTR9I91Eat2NFtJadQazxkJa9e4iZr2jRvk12UTC96LEvF/JsTfj0y0ELBsaicloQnpDTX/
hcSWb0Z33fh62c6Cg0GGAA4MIAm4C+TCbdxnZWLVGAqKxZmf25ayazI2bipXyVfOz0UfQCMBlDrh
AGhnOR1SZuAaQOGIhHrVPlR9sUUy5BY6Os/zlN/w8WrOKXGnEbDNCYyKCbmFU3Oxohh5ArJGZHpv
mmxVCHsx6ww2W4hE2KjmnzHaWkqjWmnXIB7tJ/pnQrnWL53Czb1RHZSd1rn67YwyyAyAMRywRrfr
nlHgTLw60yYvaSvFA8mPuhLxLK4n0MCCgk/oV0gbOVfK1uY2Ksqzbm6jbtzaVdAoz5edZvG0cEEv
CNpi0YYoXYSKE2dt1uZu6JDee+yqNYGghe/jBhcgGaSt0DQrhQuF2fFabRBMqZ8ZMD9rvANLFzlo
rkAVjHPVQlpYco2qZHqrzS6uBm18sqBnaoBnz86zgKTKawIJcM8pIHXh8OeaGfflvEassFTwBnQL
jKsoK+kOSHZOfVMHu2VdlTbgGTbxHOPByDO/7V5oIWDPfFtbnZ8wx1edw+WFWzhVTuxKEcSsj3Gl
QNo+LJ3pp1tO75VG9qMJ6qdOCEhcNnYu+2KiWQCXI3TBhOCofExWNC5iLXfYIQKuICBFmuyqKcU2
Se1J8cZoQq8/Lcmm7tWPjNMCB5x9UJMsDwSm3dMYU27qVkuCgpEXOAoNjD6G3G0xd3c87t8csB+s
/OaFdPTpb5bOXU0vWksrLHaozGrHeuW72yV3Ua19h8rGtjG4z5rJc81xTwrrPotKpAr0lXPy3PtP
f4J0V0JsiUK+AdOmzh+KcmugLejywqwZkK5Hiyejmogx9t8stIrTlc+fH0H4/agZqGjjxn+TK6Zo
yy26ClraB4HetOaHqnjuYecLYzgyIsZ4dD82Gcm7VIWRrPAn20+m4PL31wYhXVZpWZVtLgZhEojP
BGjt0bOVeTq/D0/nSXK1sp8IQYmUHYrhM+tvzH9NQ/dmUm51Ze39uHBbnRqTnAqM0bgtGwPjmT5b
5S6yKhQ3vrER6jtAp7pPqlVuW/MvV50tVKmyeHt5Os8PnlPzkstB18nM1QjmBwvn3T7PQDIYzMNK
Wn3RCuJl3PyoVKEEceoUYEOJ6nwg7DCjd1D3tWqHV4jlbC6PZdE1DAQVoK5AGUeOyQHZiXXIxrBD
W2x0bevW27JducUXd+iRCWm65rkkZk9sdkicN8o/XGfl+0sTBfQhhKahf4ZQQbpgE1q1daK15cFK
n8xxZ/jziLBvpQVmyb/BQ4FiF4AT0ASSVsNNoCcHZi4cpeSJz3cRGkiz8htSSiMvVraSmI/TZ6qG
UAxhD0o2aC6Xl8TsdYOZ1C0Pzuh6cRmDS+g1Hm7b6VfZ7Qtr5VH275efmUOsDPUuyIie9WzWc0rn
2IQ351HHgYuqdO5nwFfs8dvwMh/VGao4PYXqPUu2owEhavTTDWhCHG0vUpR87yoEVIsZrhQyFMmt
DezZllok9/EEzH0lqUDG1kOs5bUFo+CLZs/xJstcB+w76ERV2/rVymq6MdvupzXl/SsIp5xXZiP7
yUCDfzNqUNRNrRaqM3VJyqCP3eFXk2adz5Bb3012hG60jpdeU83stdCHdo1+8dx/AXxH3yxwddiH
Z4JvyFNM8dT0asjGb1HxUcRr8M/zPXhqQDr+y1Qj1ZzCAJl2SLwFqeKjFHj1HSCM4CJDfRodXDIu
TidZMdudq4aTycBI1Pmz8my2K0bOtyISyrrIuCIORUencXpmAZVnd7rS1wesim9Aco69te5bZJYr
W+R8SQB8EOkQEB9BmUh+fal6l3AFTnAoiV/Y/sRXvn++IqffF+M8upDnyumg9obv65ArIlt33Ljs
auiawG4IKUwUZEVe/NTEaGWMKm6UHpLOCdrO9ZJy5VxcGoQQ8EaVDnvbklHFhV2piVmz9FCTOwil
MRbQYiUttWZCOtp5rFC0wRfpgfe+XvrU2sTXpydwMx2NQjrdJ4epnZFgFDYEbYpNUa247JIrHX3/
n/LV0VKXKVC4pZ2DnjL/GxeF567R9a3MkXyPj85kN26MAUzpd7v6y5vGV9dIYtZsSE8hUldo/s9h
o699Fb0yxq25FkMuYK3FQmDLodxhIr8mfsPRRE3ZlFRKrSQHB4hUVav8kQLe95Cxmz56KwwIMwIb
7372yZ/e/q24f1i6T/otbdrttRHL6e+Q9qZr8DZiWpQcZj3o9S1JAvv6DkTcuiLh4kJ+RLDRnQ5V
ifgwVR0oMAlA2vaORy9Ntrt+FMcmpO3vNJw7lCYp3hXItUKsag9JicsmFg7jk1FICxYlkD1RGphI
nXet2Chs79S+ba0MZGn/HA9EWg7cBlqsFDHmKtq0w75Wv7DcCEoQm+LSOpdbTYWabkyN5FCqN3W2
qdiu1TaXJ2pxCEcmpLUwMtLxNtfh2aiYM5+sUd4sft9BdIq4kTiqKblTq2i07lI7OcS2h2Jnu/ZG
XVzoo+9Lv981qr7kCb7fu49x4WXskYCKOP3KQhxZkdyJ9eBlaSIrgUT5Vs/uKE58cnVGB/vuyITk
S8PU2U1TOFiId2L5hPhudsuGFSPiwjiNd0+NSI/HgeRs7hhma0jYtoa2C0Xyklg/enPTOwdbDfPy
+Qv+dTQs6Za0IH6QIHeXHMZpGzmbbO1oXvMv6YrkBlA/9ii+b/jECG26csuvfF8m41NS5gLWhe8D
z9r+ydeYgNY+Lz2tjC5zmibDgsy6V7/bP/9Pk29JV6NOO4PgrE0OXXcL/Tm+ln9a3HyCJA89LwJS
LLlTN7TEmYwpOaB71AI3S/qY9h4zvn9hFEdWJBdCB6wz6A1OQUp8q9hHbnD5+2Lznm2Ko+9LLtSC
TqCMHRVsTPMND7PiZlyrmq/Mkxxn9aUeme2AEQzqLZnReo3C/J8qer96HGjjhTw3UrUivJZ8qe4o
uqIgH37oSnRQ+BXwJd0KkGXBXYELQqobAgA4y4m0FBPvUrNKeqBeoavoOr9rdVw5aRemCghiMAbh
86gsybhaMNWqFI8HAYI2goneudmLM+yLvl4JEMQvlRb9xI4Y6VFEpxkK4UyglXPlE9zMvuIedLcM
bDcFN/sn1Msvr43YCZfMSReITuJRd2OYU433IgujZDcVH9S8hwL31c83tCz84/9DXuNccDCq62Ke
aKSGlr2H4qXDHrt+ZcOce4EwgbQZcgILSSc7xqsBcl9aCAYJJzY3XbIWIa5YkAFTM8mztvhnIf1w
bX9YS8udb3l0GiHqQTMogOrAUkur3zWpwiBaD4oVe9tT67kqpj0A+LtrVx1mUPcSbLGC9VHakVA8
U+eZdhqqQ2wfFd1OaarfWlRvhsl+qtt+Ze8sjoqgxx56XQLGII1qrkBcNQH6FUJ6/NZKI48w1VPV
X5cHdb5zkExBgRk8k1j/s7cQECBoPEwQKzTJeJfVw3PrNDkyZPOvAeLh0Jh7Icn1aU7Y1EVTAQhx
8W9SFJkk3G2yIVdDtagSb6YFOoWd30Y97BuDXq0wiN6L42yRZIwaRmOhmK6FbnvTzU+IkC5P4JJz
H31frhlmzFaABcQORYHXY4GD7scvGLAF9Q4aMs7hhpbNLS1FZi2k5kua/spR+bhsYMnRAN7UsfnB
wg/uldPtAwLS2mhBXBwmaWp7JErsHSDANVp/DHvFpxcnSySfoUWH+qocYgD9XmlcwWKYdgtp9sm3
1hrq1ixIdxq04vR4rgn8Wa1ekqx8sbR8LY36D3F5ev7Dp1wL5XxQogORKc2YoUKXG7g/zJidxZ6Z
4YpJ1Pu6bt+UxPAcbTb9uGn/lHNdQS06BZd1uY8qzWszxbPranN5/c4vWfTqaYAJ6QRQcFVu1dHT
nqv9iN45y/Drb4oG7vGwnr+wckAgIhoBG/w5S6w6TQ4Umy0tzIyk2EPUFWTwFegsLg9lafXAlgaM
OR4ZoIGR4ILUHWKutqoWpqB7il9xp/8fDUhnOKkizkX/LfgJ7tPx7it79fj366dbqTGtGK2FsxbO
kTckwZqg2tr0SH5Xz9zipYrPK86eVzeluhKbL3oSWG1B0Qv+JUNGVPfVyGjRm1pYmT6UOVv3ydXu
9evzLPDXIyvSJEV14ao6M3Ai1xnorNPg72UnWgALAEMCZmZEloK74KyMplgZgppUDVPwNWgvzKa7
xAoT/VFPy/tm7jyriwKej+DZfOJrasRLawTEIdS0dTBHAB946gJlN1dNUpM5JIQFacyC/eXRncee
QksbTWNCT1tHnfP0+zEtyyrX5jmkI0CgHuhMGt9SaP9tRAS05brKbixj4isR75Jn4LjWRBSKXgUZ
+sMyrW/RHqWGA3NjqI7k84PVorxWdkAmoprYrxQpl+yhUixUicDCgPLa6SjBEJwYTdziVtXsXdGR
fctucnubRSuzubRax3YkX5wmtbDKqRbjit5n2uybcvp2/YIRlHiwWIBmnUVYNRSiZ1eb5jCayp2V
ZA+WCqlbk48PuW5BcDu/PomGKTsyKOb26DGUJ1qWEBUGWftu8dvSroNqeuWQRLw8sKW5g4SDJfRs
BXWJfBrpSlQPwK6HOlALveur85rgxaIFILVNAR0AZlD8/WgkxjxVqChOSGSllWeB/EO7vjyGwAaC
3nj8Qu/ojHYhrdI0hngs1h9MhpERQgzVy+jPyxO1EGAdG5FvtSnvGidLYKQctNFDEL6pCgcICH2t
1X3ZEEJqHA1oZJXJzzN7jGgh6rtut2+V31F31wyvl8eysCS4mYWWufgnSONPl4SCOjd1FGqEhfke
u3/y65NQBK84cIDiNYcOG3njl1o3N4qiz2FWPjTtO693NLH8Ynq+PIyFmUK4pCMKBboa153ku7yu
tXJSlDlMW492T/Z7ZV3dJomBgH0RDDogZEPgdDpRbRNbE5JRc2gAX58Ww0M3Rpu6WSNfWRoIkO64
5ATpGy6FUzOV1phkIrjrZuVBnVvfmTO/qVbqrwuLDsgzkGOogYASSX5glyObDeiS4wgrH9XpMf9z
/WIAc4nHB3wKnfLSVNmKC9JfkmGbV8kWCPGwqNy3OVJXzvrFqfpH1A9YtQVjp1M1DY5Cxn6Aa3F9
Nyl8S6vuPU3oSjl8KfwAlRzQ1ODBwl6U8wROQ2hjsxjnr+tCBVtXoEudpzeAhWxpi1bGLkv2LNZu
7GoGZU/5q9Ehttdn8cvlWV0IFASjHUIEtP+JBtHT4Y52MgEDlM1hzsftkCePilV86zP7uxFBTMKZ
3i+bW0DvojcUeoV4GoE1icgS52CVUKOcd3NoDZm+RQdy9rtvXL5PEe4FCYivN5MLABi65PL3poe0
QBmZ4EEEOPsrZ4jQgMWTGTqTSG2djjxuSKNCgW0OY8imNpAVBFM+CNao72Qrm3wBMSyI6EFXqYKx
EkB94XNHN9RkFUnd5tYc6nbZPyQx/U6VEbojM+2TXW6X5SP6A+1btTFbv0MnV9ArzheevNj4eFID
N4Y2UvksA7tH5RS9Nodjm2wMUkFec025cyEcOzEhXcRsyBhrDVAHICXg2SNYXJSgiamfxWuIyKWj
Rjw/0BULWUDglE8nNJndMYKK/By6hg/Oqvx6WmYwigHi/W9jAGQu+QYdZmTC5mlCYxCP0ba+EieL
60/KDGADIOqH5gQUk+SEt5vhjcz1dAq1vALs7DPN1U2tvRRx7I/xM8gxLm+6pXXBNSPmCfrdgO2d
zpY+O4nLomYK73Tn+9ZX4u/Xfx96YOglEEU/UIqefr+vTRQYaTeF3T7uAjt5BG1qmmwvG1lYctFV
jhtG8K2dUY3gETc6NZ+sEFLn0WvWvH3l89ib4qpHHCbPkRn3tkI7K2TFJ4NwGmoClw0srDl+/38G
xN+PzgBmtEqTMxjAUbBrdFC7Rjxwyatu8c0Y1z7X4+CyxcUZQxcSKEuIqNfppxYTSoZJTXMLSdtN
Gu+Klet+4aJEjg68LxrGhT4qaca6gTesheR9CInbFPvkwLIvDODYgjRllFfcbq3WCdn8m6IalBrO
yqKsjUG6/fo01lsMwgn7aKNpG7UJ2pW9sWwB8FYHNOXAVIpFOlp2IzKsUnQfhkl7i9RsSe/1yL+8
zgvbGwvxnwnxE45MKKxWBXUVpgn42UIRp6FJP9nbZStL3nRsRfyKIytWTvS5mTGQVN2D2Ftfg1sI
d5HORDDOoK8HPKSI603p+65dMsBacye0kh92eUvGXZX+MD+a+XoAHMolKFcgUSHqGXJaFnyNbkEY
mEHn/KNV/rjV9UmJk+9LK17VvWbjvHXCiHB/UDct0Jpot62mFbz88oT9Nw5p2dHvr6ecYxyDtuPm
PkoCk26jn26/ubzwi+4l2pwMW+gwyqkkNDoqExI+dqhYP3PFb8kTNf3sK951ZEQ6q+qo15lJIhuc
QOR7Uuh7J+p/XB6HmI9zB/tvHNJjLpt0NTUGxQ7xDPuoOd3GjE9oZFojXF/aKLgNwX9uARiMzvzT
jTKWcU6w5ui6Lr2pDuIouHocrlgHoZGHiFJ+oNSzm2rjxEHn5e6s4qb/jd7EyxYWRoB6GwrxovIG
lRop+tHNlneDYVthD6b4X+n17IIEMTdolPEvkEjIeH+7Vl3Wcgs3YQXkfVb7ICU1+Ou1Y3BhATcf
zhLoyMljsAcEQuaY6WE7+pPhufzm8vfPvQnpZzCvgtIEbQtnwIvZtuISjKsoo6DzFtiFTanTXZzY
V29ymLEd0e2oIdKVi6AEjQBloyl6OI0AeChb2zkU2n1Hd7q6sgPPt/mpJeEUR+d70tkqLRtYUsYX
t74tgATXgNbMrwdhnNoRE3tkp7IzpSjBWBFq9uCbxlNf517VhaPBgqa5766H4aCBBQV5hNngTzsj
2CNuY8Y5dfQQZFTwgsSz4gfuaJ4+P192iPNNc2JITrGUUwU5H2EoIvpm7D8bIO0uWzg/8IG/AVmq
INAB5Ed26SGxGfpuayusoIU1mxTiX9nws+roNuX0pz4P75ftLYwIwCKkbsUrRWA/TldKqeOI99o4
hs7g/M5tHDVOdjXSTpwx/wgQARU9exhrRmm2WW6OYWY9J1szWVmThU2KLn8hDYDULV7gkq91VVvp
SYzPO99pf98kD+C6+MIcHVmQohbL6YuxiIwxjCj1+u5lWgvulhZBsBfhnMd/4Dw7XQQ1IU5q6GwK
s3QSNMkej43rjzJUbP4zIQXBRUzsEd2eU4iGdr+bgwH5wXxYCVIXEj9IPYAMA03hCHfPxG/jcjJ0
3sObeHtjRD4zPFbv7HgXKz62ozVtejuw14ocC7OH+hq4+oErEzwJYksdHTYxbwradB1S3frgk7ZH
b/L1kwcLSKSj7I0Uj7xJIhOacb1Rolkq/kmgFz7WAae7y062kD8C0xKSt6AqEPlPop8OI8+NKO85
ajVV9TBZ05aiB0xlNqglbuL+IS5vc17cVOXVgSysot6B9L3QCZHzuUj0kmTUkWRvQaqWzPzXUJsb
lZmfkJtZyZAtbFRMHyo4oEvBcS2TnOmpVWhqXyLp6u4Z/zMIKv1vlydxyRWOTUg7NaMVmnf6GvnW
TgmgUvfQtnTFFxZNoMaFLAUod5FoO12mWim0miopcpsZjz1edo+6OqzYEPv9NIrFooC7AeJnyBvD
6U5tJGww5rHFMJTB3YKw4qmoiW8X/DOvoyDScu6lbb1yjC6OC8UDpEXQD3O2damS4ZnPsDpGF3sW
MpS/Ly/NwurDmZA4MhCd4ykhnXGgUeCpXUVTWKYPak29EXIKPL3+qgHdBT6OsFYQ3UlGhmgktI2R
0stnJcigmFmsPZQWpunEgrQ0UzsrGddgAStCPvq1Nlnxf5dWHmhCwT2LlA40iyUHrtC/ozcgHwxB
+XJbFqnpZRDvYd30WGf6I4lr26Oa6aXuWqJnaVxob0QuFK1QQqbu1OXqEbzOSc96hFCDD/VaH3Kc
lx1A/PSzoeFBAXSuCoZAOZVkRPZk9lPSh0o3eFZ7Pym7cfAMd8XM0h1kQJsORyiCDXSGSk+zUgUf
sqbAjlENN325VUE1rir7pru1ybzXuiSgjO1iMqMDcqXteHGIiNtw0WIezzLKqFfNSmzQPmTpmzJT
P+9vpx7Itvx6cBQwJUeGpLtiMjqRMM/7cLaNzKell+X1WulkySPAn4R/ICI9h86gPJQ6WZUPEDv4
rlBA2Vb26tJkIeSEfBhCHqBopYM013tQnVCU+OqCbDucpVpv3xgxCeZ85WhbiKmBOEcRyBQ0Y2dS
VXGsWkNRMB4O7fMcDxta/YgVFC+ieJtWH5e9fOmYwyMEAFq8fgWO4HQfmWZhm6yD9+mJs7fHrvSL
rPwNRuyVcGHhikDp4j87kgfMLdeG3sz6MP1rx+1D88v47Ibyof61EtIteQESdVCiAK8mgnfpRO3K
rMiNauxCyoPOM+uV3bo0XegXBgMNbjvolUk1noGmBWdt24f9lIcjGu6iunl2yBp2fmkUQHXAzVSc
PcjbnK6KDaCCPhQ29gtNgj+xttaHvnRsI6kJaTI4Mwqs8qqXaQ5W+agPVRaW2V+Tf0cAr/X3FRq+
sk9nTaFqaevAlVEnR3rTPWvlJIrRsDzHORNBU4MlH031q5hROF5LFyxwkoBL+MiQmNej0NqF8irR
W2GoeDTaLDDZeD/P0d6wq7fa6D017p5MWm5B8858M/+dxXaARV7xwYUyOn6GUP8RbKSIIaTLqVUh
Pd6puJyYXj9YXfcwpAxVXFCsWjZYBbqgK4rvqkrvW85cD7DRfUqM18sbe3HOcVahGCI4qeSNXQ2a
25Q9NhzkRrwi3xOw2zvvZUSCy3b+fUi+JyFnDlwCoFvIx0q+xO3cGpUIJ4g1OMEYs7tyGl+rgaPF
shk8dbKDIjODlH0nXfxz7DuvtAoHqQ7mNyr5BeXWQC/Hx56gpKnRXWXkT06hbVp1ja5gaesC94N+
BFPoGshBas9ilNxTTAjEf8v6nqLNnNDrgWUu2MWArUbxCYGDDJ1BFte1ANqcQlN9YNpO+3F5shfO
BaSNULYBqAw0lHK8WCZ63JuVPoZp2XrVd2u6HmSMByOON1yigGiC7u10A81DokcWw+8vaerXyIcB
Mnl5CAtHj2mImq/7L8Uid7AXKo0rtR7GUMkN3yEF0tGHbvplWK+J+jOa7kj9ctng4pwdGRQb5ehM
iKvSpSTCG79W7pVW90jx/hUDSOri4MG6n9VubCCPnFgdQ8vcNG4wfsFx8QoFqhmRLhBMjjSA2mys
aXRtHsaO6z0S/S25ntRYPELhuSDZwrv6jLJR70jp1CoPjSZ7V2Z3280g9nYBjKRlm3jcWlNPWTic
jg3+yy0crYlpphT6YBoPnVwFu82W16lfpS9qd/0T/sSOdDZBxNhpmxx2KHEf1IncNkn/mrjX01yf
zN+/++BoOFAK0hkbZqwQ2I57/dFuXhn/GNdoopY82dJQnkCwLBBC0ubUbTAs9S0iUJ56s3Ufta+X
HXnhhEQPDVjsBeu/SmQwWzkPGWh/+zE0J+61OiAsgH60KwHn0iDAGo9HLzjIEd5IgaBtTv9vO7I5
9Vr6XF6vhAGJVzQEIR2tIydBpMvXTapGzYdmCPsE4WWbrASyS7//+PNSgNkQAwSnczuE9RjMjk/X
Ikzx86Tr9OTni/PzyJfUFDi7ecD3CWSMOi9iO027rSqIJgaXV3vFkCuHsk1paxm6gUOjDZoc7M8H
d/JzCxnQlVfmsiH03riCd/gsEmGksxRIFQ2hDRZ/10z92J486jyrM5hN+xX3WvJhSMTg5QQmLffs
7TSUCv73dMTqzx8VfSHqfWWuHCpLN9iRCXni0LXQji7hQzi36Q5camOHzkMQQt/l1b1tp2CC31xe
qaXT8tigdIo1zNRaOsOgzX8U+d2Q3pf1R752CSzPHACXIAuCzrQMNlImxwRWVh1CxcWljPYlM1Gg
DtCt3P+L+weXzf83I+0f1LijHFhguF0ZzK25c5W1bOTi+qDPA/koNJ+jS/x0BxUA3o9NjAOgbtTh
jnJeP7jdkPuR3rA7Z3Q0ZNlUvnfayd0ndLL2l1draR4R/CM1CXT2OUepNVHk90d0VZbRi6beGmPA
1xo310xIEUFbosUXAF011MqPicaB5r64aJW4PI6lhfqHZgSgEcJLcl7KHmtmF62OIoLz0Qa9uhLK
LtUPgOxFL62YpXNqRRINU1TNPZq3gdCzaq/tvrH+fsp/TVbmlfYPkzDPSdfAVcK95OMVtV5QDaNi
eY4Hr01z7IkxamGvfXDSbCpt2Fb6ncuCqNF8QWF3eRaXlgqMwKqD7hnoYMh5ytJIJjvXZzXsQJnn
4/bLH0fb5E9zpawpgeni6jwbG1IsuL4BnXbk/i1Q3KAqBGXzkPBp27ZPqXpAeWGLVLZvNUGnzX6O
g94YWq9BMltRt456ayv7ediwIvJM7ScUWjv2S+3RrURv6ppvLs+FtrQz0XSD+QB9ryirnO5MUrkT
awy0Rs3mLuocv4y0J6O3fTzTwYJ7b6Y79NYiEgal4Q/LvKH1AYeFb44IQ4wD5zcIgIIqX0uRL+gR
QmYGlNt4UAE9gcDh9Ge1DosoydENhKyBWdy7KfE6da8qw6EofyosO9j9prZKr3Dux/ohLX/O0Aez
R+5VcwOBJ/e27ytPaeINyZ6GPjuQVvPjdliBNi4vL6ZPwC7QKiu/6FvKIs40LG+dfXNJ4k3zo9o9
z3W91fCYrghSd9HGHf8W1tZk94VxWzGogSV4/LNA15pNk9u+5YygzIw8VAUOdna4vL4Lvi5aLEQd
AD6Id/bpPEYNGcaoQK8Fb9vpeSr1+D5mRr2x2bSGoFjYxsivoM1IhMLA7ktLlsVcsZoWS1YpbXVP
22Lajhmfbq2Jtz6Zq/aV0L56bhRXubk8yEXL/zhBkSwVyiang7R0amkZajrhQEB9ZquBNj220yNr
4u0A9o65ufYYRl4e2UaAq9AXgFNLTPpRPMg0mplVVnRQsL/Tp7u/l0dzFlrg61BoFn6PChS21unX
p1kxB5VqqN+UluuzniYe8MC9b81RugcBarzSYXLmIpI9+eYaaqUd3KELB/BrjnmiQ9IdCAhkA1em
7SzoFIZEZQrZL2xuOQgQwFDaDWMfajW3/daOyR3AJIZHlPRN58m0w3yv4aIWJ1MQ86GFBhWjs7Pe
zfvCsM0u1Mb71tQ8JbubS0i5rMCvzi5mMbQjM8JDjzwCEUzH9RFmDGYFqkm9ZPy47BULq4SiIXaX
SAPBOSQfb20DEmXa3ITOnHzr5zp/Zv9D3Zctx21k2/5Kh9/hg3m4cbofMNRAssjiIJHiC0IDhQSQ
E4BMJBJff1fZPt1iiUe8frwRtsNSDVkActh77bXXkqtXBFntPf16pDduGVrAfDCRkXICrj9bxymL
wa1sOUaq488Q0LpxWLavDa1mqt8TsXzjqkI0GoDdh/AIpPezq+Lt6iXNEA3o/7sV+pbSvZs8/Ppy
3hniHNdA/yqMvQSG8JyLqYHBvHdt3usvfnMMHwWiGAv3hDe9fvwM9VTSDrU8Tm1igM2wGUEMpdes
XpN3FtEbTwdbAszRUJtEI/P5PPCbwWZKyBHF42pN99G6m+bdQr/8+qa9sVRBTkC39ImKjsD5bA6w
WgIQjLvxmM0sYrlQ3rLTzuDnHqCbS6EI3cV6bd8hkvwM0v9xRp00clG5Bi57FozUluk2aHBxdL5A
m4isL2Vyk3hYrzfwtdTqqW9v6mHP0ncW1xvLFw3ViNFwPzHnz1GWVVNjHV+Mx1j1/b6D0VuRJul7
KcLP4TV0NbCEUb8+dT4iqnk9TYaELYuJV3FstHqgnv84+14xB01ZQycd9Jq+JFqW3hDZIiPuOyny
z3PUBzkMIscAqSKkk2dLzauhqwnTEnZsurns3QaaIm7+9+Wf0P38wyjnqy0MmBgad2XHjLsfDHC3
ek2rX8/N0w99FVKfDXG22EgUQ5zQeOwYs+9W3GlUxqEvA+PTg26eJTkmf5sRdDbgKcb/YXMnMoCr
GfXZkQRF5iW5473Hdf15/uGuYblhWqDF1z3fP9ZMDlOqMIL4Pl7Sd1bVe19+9vM7lfK0t/jy3r+0
XjnXd79+Hj/vSK9//NmiheL/AisLPA8nvRgebLxj3S6Uu18P8ubsjQFYpWgWBzPw7IBt4sxpoilg
xy65aMYrSy7j6B0ywRv36YTjotfDPTGo09N1/vCYJ55x+J8SdnQhRZnP3TvT9u2vR/0Y1CJwi84Z
2mMnYHvp9Oy4eOXoJ/lK3oNxft60sa+cZEL/GuH0C364AObPMxiGjB2pH28Wiq2FkZ3skq0X11fW
snee+1sXBJIxil+gmyMgPtvNSKtjAVNddlQizU3QF71X/Pqh/1w7xiYJ2PiUl0KL7aeI0a1FauBI
iyvq68sla5+alV3VkYZgt3vpKKdQMd2Gnr4gnlN561Isgzi0sXoniTpNrrMd59XPOLuxQcKnTPQu
O67R3Bdtu9yApVpNQm0TSAOC4v/Sjus7R9LPstJ/XDtaSxFTQLrkJ+kCqBSnzjSzYzQnxyWjOzK1
V3A+2IwQmbUrq+DwcliIzb1MlsG0Fv3SoWbd3RBI6bpjXw3oj85//UDeWIVegDZvnF4gyv90hmid
TfHqu/To2RFEjiOcBUoq3yt4vrHBYxR4IKaRdxKCP5tYKhGOsUlCQYG6siksJW5Id0d4XMixz5W5
G/uPv76sNwdERgKlqFPf8zn1Au0+zsrmjsEr+CaZp5zYzYC6XksOY5jkk3SBJPR/f0ODUn8AYDeE
FMJP3TmOI9a5U9gOgmGnaWW9Bn3l78ATbz6u/4xx3mrQCCQ/KsZ1EcB3KcEI7XO7vucA9cYoJ01J
ME3Rc3ACbF5vOykstvyYJfzY8MdleOzZh97/8OsH9MZW82qIswXYrmHSeybiR+3uXvxs++tvf+8C
Tq//sG8qLKbaHXEBxL+CqdoujD47nX5nL3vjlHx1CWeni5j9zgsGDKK8R+WybQAXMENs0bwnSvze
QGerZxjHccEZx4+RzklQNqAt9nsWvDd9T0/1bE98dT1nB3LYxsHacwwTr7ro+28JZbmMSF6TDeD2
KqFfkgHYIQ+L1AxbHtM8Zltu6mIVN5l2Coro171y2ZrHztWw0rITn5DcFGZO8izrd7Y3VeoP+QJh
Zb732QY2rA+rZzdrVsEfJc/8FwiV5Lx/pJOFIwoHpFUOiVc21i07mJCl0Td3/tjzJu+7O+t+WQBs
KOGDQfEhIwfXe+/0fWOOYqkB2TiV7MGkOJtF7bz4NWVcnjgNsS+qKereuedvj3CSC/VPzfnnYKOI
LJdx1Muj7y2FSdGT+B7x9Y2VgGv4zwhnoWKD/nIrklYehfcw19t2eYyc6teL7b2LONsttJqTLB2p
PHrpF9+/Gnn56+9/Y/q/uoTT+D8s5lmNrnR7fL9xD9SAo7u366Z5z17+NLvPZv+rUc4ethtHegl9
PIokiC8BbOVNvUUslMdy4zimyvSXX1/Vm+NBjTFF3g/v9fNCoNe71HF9X6BjgBWygXWhOLrxRpq6
9J3L5m8rAkSgcON0QisRJHTAVnt9EyMgJqEytTgua3AZTp8o+9sl+9MI4BpAJBR+uqAgvh7B+gHS
0EZKJPVXXZKr9yhwb06zH77/7AqUdRW6bgVWY/QU0i+ifyf4fXOanSQyT5owyKfPtvOA6nUZRh8T
AI5BQt+1/kc6oNjwHpn/vXHOdvNsDru2rz15rOFU0SZ6O+jLOoVF1DvJz5sTLIZoBh43QrvzMpDT
TT0Ed2J57OMc1Z9p3XEvl92jI4r1vbbhN3eZH8Y6W6Iea4OsEbh3tU03Esafeu7385T+/WD1JJ75
70s6W6N8lSxtfVySU29TGeULL1X3l0b/f31d/k/zIo5/rvnpX/+NP38V0o5tQ9TZH//1/MLHlv/3
6TP/fs/rT/zr0H4dxSS+q/N3vfoQvvivgcvP6vOrP1Rctcre6pfR3r1Mmqo/BsBPPL3z//XFf7z8
8S0PVr7887evQnN1+ramFfy3v17af/vnbyfHpf/68ev/eu36M8PHCjGpz/+4a79+Pv/My+dJ/fM3
J/V/B9KOQ+oPnflTU+hv/zAvf76U/I7mkJPCLRifKBX99g8uRkX++Zvn/Y4PoKXrRBEClfJkRjAJ
fXop+h0yXsGJOYD6GkRX0t/+56e9ejj/eVj/4Bo4ScvVdPreV/s2VBPRJoAWPIB8AOsBJpzNibVB
4aqf06SyS+o9kCkN9mM8ZSXxpDlyPbfbOW6zK+FHtBisWz9ylGpuOdK7hx9u2l+/7NUvwRX9cIKA
AQxJUQBx2GVdVIVRmnu9AcLeVLsUvKuNAecHDEh3VpURdLxwFANdMWNWlAOh/vUIBfHKcWJSUhE6
eYBegC/9OL3XdAA9pPNfdApakGOf+mxxy88BwlgMdCKD8iuVIXRcUyiERMss9tw23iXKOt/ICJHT
BeFlU6Sx9bbLAkvElMxJpefavVojqL5HNYxi7BoET37tRNthXNhmbb3cak43mihFy5axDCbyzbKZ
Yuvm0Aq5gxXu19qfmkrQWV+hYzk91CMj12Ky7gXKr6qAXBRLczG243HSi3OXEMGvfZZEl5mWoGR5
0nY5BSX6e7CE0PjsdX1Jo54fTpg9Nmh6KYyatgaqkkXrML01QfiVKZSyZ9E/44cEOyci9ht0vjgI
ds5ayCmEZlTS3IWUAntowo9UxcOmDdjy+YT3bxZyTWmqisENviZO/ynu3GtD5Aczq2QzwD6p8Hl7
6AWhT2knxwL1Gzjd1IrkyYIbnE1edDW6TZC73mArM43TYR2itQzQgraBTOH0gRveFylEEPZTL6J8
ol6wz+y65O0SQquA+7LPvT64yYwIv8Krp60iucQ6t91XdPstMrep497UGlVz43UO7h/E2tbcd+0L
X1EKMcwlNBdzD48qCAjoIiHxGH6mZmjpBdbSleORtt6NmVdA6QpEKoFiA9AFZ/4oI/cpTvD4ZDNA
TIZMcPCJ2RfHjhfBRL5DlPFZDERVPQ1InnWo3TcKvNJZivGyQzvVzmoI2i4x/ZqldVei+3vIM2H2
0i42T+dIHXgYqK2OINU527DLo8hcul1GPvhtCqgpRHNmt1JVziiCwar9S5fVsJz33D3xISbdKmcA
JuXThySDCnlPhitCiYSXlP3WsSauQIYP88U449Z3UCMeY/LidXInLH/qpxVt/12tdlKCjD71ndrV
fXTfLELnIR12iePC/Q486YKa5CZYhU9zJ02Hvatct+oXeVfr0QfPPnCLQIwoiFNrl41O62zToBh5
bOrG7uyqsw8oZuORDk56tUrXafNhqtuLGpa3NyLuQSkPFGdFahN56Y1TfOSUz1dcmfE0k0cD5c+k
j6JC+/B7hhZcjH6xbDLkRPdPy9aHSxfnp2jR1/Zzi+aGW2eIt050moNrDy/4w9SIwKtM0sf1ZZzN
ktyIOTZd0bLYAW1uktxfc7CCsiWHIF+Q5kQOi3frimhZIW47WrFJogU/JzSSdrlO+xtTbxboVj/x
VewRrT64rYxK9Ga16AfVdWEVrfMebMpijVYXbyXyIghNdGc7RFLNKvjGH3yH5c4wyiIU/meaZN5n
7MD9cYwIFXnNEnc/w86RIHm20TOMOpwXlyT6Nku1++DMDT8EMFTQeV0nwzdH1HBV8fth46AXJqcj
iLTIEchBedALHJYFGjJmqqsudcW+rltSJlSt28BQhpr7Ar31FLKHjxatP7lZ3OmDbeNsm0KK0Pfg
6+WbNvneK2zapeuZ6ZPg83BP+KTaYpxZfGlG2XY59AvNddbNZDuj7NXn4A/AzjLiNueu4NtlgOd0
ZDHRIPhl3ByN9v0dxwzDnobpemRLpD6SfnJovs6k5RsdOd0e4mR1/3HNTJw+dIHH0u3ipaNaAfVE
o3xZ02Gpc247r75uw7DbZNlkMbTq4grN1S7F/iSjg+RuVqC1TcUfE+F6D3XCr3xbhzd9W/NjGplx
zMemS/OwD70n669VO4jQFCMf9VdDPV2AChLsu4Cb0nQuBWlJzVshMwn9eNuZslsiU3UaBJzUbcN9
IBNQNLnuGGb7IjZDVi8Xug5WnhuhvQdaCzCfhnmyUw4PeiRV7ohOgSZqnoOlztCiYtMV+wSvr4Y+
oR/SdK7bQrdwhy246LqvNonu2xFNJ/lq0uUIx9bliCkDcQdFsisuJJFwMyPOWE2T9B6A1nsPTos3
ZSmN9qaexmKYsWG4TYdutabX9yQdzQ7saXbfWEbv/dhBrSM1e4L7f9DoSOU59EXHQ4Oeg6oF56tq
sOcWpqMUepWa4SHy5nMkdLtdxhkTfF7ZXRzPcxkMQcjReZmkV1kX7KUJ3DYPIGj2MK5D8MkCHtcF
WzJP3bfOABl1zzabRszQs9eDggwCEVCnzIMxlIeEhPGjxD605LEW3WHGLYaGH23Q35VE08OgWDOX
g27rO/zfsDUjYUXL++zKCNnfBuh3z2Eq6esiM2N8CycwT+dUOaMHsQKeVs0g1xseD0lO5jBAUcEJ
aBX3Ab1zeFP5qew/RIJFzS6yAtvAvKgHZkHPCudgg0no7m2bCiz9mVUZ9Wqsl9mIuXCM1g927HoU
Jsf1ls8CKjwgvW5ZTNcr5knn4yQZ/HJ9d+vUocIKrqMLz4Ai14Q9SLfwZyhtLYJPvhKmcDUQPFE7
AzYHwh+msRs+NYMbHwhz5dGmdL7unDHbxE2ot9iWM9xTrLsG+scbi2OjzUH0mP0ixG/PracPvO4C
7Fpt9zTGWX+nCSIx4Zqxataxvlz7VN27fk+7ItauS3IJhc49ETqAUEWnDQq5yTTkXhrKT9m0pFe1
GR5c3snPbQiG2rAAZ8ZiSD+jQoejzoG3yHHuERqWcIUaNgt0+XbWkOZD7PF5xVv9+DYYB23ylVr2
2K2LR4qYsugiImAvzjUkM9Y5ETj7Y5WOZTwB3MSBSsaLaELQjEpBMH1TcIIqexVXQzL2m9Dp6uO4
hunGyGgqgHHx28yl8nBqTv1G+sxxyz/WoL9STBYg8X0+hRHPrSLrrsNxddnVuitTQG87nw60CAZv
KS2Z6cXSZvLTHxtE07b6qgNF9tMK9+6Sqqy+lt7AAkRwLlZa3fN2b9F1HRaYWaKq3cWN824O3eZi
NYEOD66g/sOoWFpOc+s/UD2FbZvjzi5ZmXVpoO5hDK6+QewMW0EcG2wzqVqO66Kn9gORNp4QiZAk
3M1OjLUWNIyULB0x4RdVL9uJ1YjqYo5Wrj+O5cGfgGnO05B956TJrjKRTt/45GZa5EETeg995+Le
eka44NCPoyfKIPFmeF8NqubFOtFu2UCq0x7HCfiGTD3zhJbvtHDnpj4SFrMMqTayjShQ8lOABoZD
nXmzKsIBSjR//CUiDUzILgrw37iWQYDVYuQnkkXjXAodpW3hdBEuQIQW+1s2IFogi4y/koj13+Og
D/cL5fhYGLNwnzIAfJVZvOXoOrH8hKqwfJqMg/mZJd3qlZ6K8VI8y092nd3jjMh/K5cBg7c0HQql
h+zkOoJz6J7NzFyOYl6nKnSxMTVW42/TUDfHrBunP29/k83ZTRgNf+ZOf6W+r9K6f+fT5zn3/5pQ
v0rCHwTDP/8f5NwoAf2QP55y+ldJ96UdG7si8X6VqP/xoT+z7tT9HQrFJ3kxmKODyBsiufsz6Y6z
30HkAdP5lEWDyHMiAP+VdYcBXgIpHwLvUDr886W/su4g+x3uyKDLgdKK9lwXSfzfSLtR1XqNL6Hr
IwGoBK41xoOSdXreYmQd3ksZh2Q3jSNfQCJfEUfU1NlC0M/fBXLCdhLT0Lle1Kp3fTCafZK0UdWJ
wdkZAN8IpGb6jUrfuaHN1B69ur/HCbWOhQydoVLd4O0V9U2Qz7FWh67rx+/Dsno070evLiNOw5d5
phPLo5k5G61Z+NBzRNbI9gjMDxngvC1bgo9DalHwE7Juj8nCOc2nCKbqeVZzSNSHWf3VGzLnogNR
XUJCBScQvtCpbzjzsDbiCOW12R1zJpqd603pRoMGlghiDUhUkf+IYDB88WATsEWczjeuz8TeX7Jl
j5MATlkxcbtqnZL4lpEE52CLcAvGn9MjaSGHFLVu+pTG5vucyVHn7QxVYDQKhKrsg8blpdYueYgS
Ti9cEbgCtVI0WzEWl2OCoDtYyI0l6I/KQpw1ZbPyXajUlxb15LyhckXrB4QtxqBrNwnO4HCKuw2U
vK7cAJrXODcrgkb7HO3Zj8r5Og3sJk0XJx8iqp8dCgXnTsPGNZVMFdo0z5PTR9ftevDCXTPGLwbi
SsXQeXdoMHiWSfckVZ3gTGcEdaEpjwnyjEYDKPA5dPKWNK5WPjQ5j5YFqdb4xWSyIDrOhywZgEsK
+qltJ0R4Y+psU9IeIhmMVYTkvufscoyFuk/6wX4Mld73WVRx3+Z1s+5iFuAuGuxZdkdjEBbctL0g
iAUuOG++GYN8ssvaAugBXAKGZ6/rKmL77URTFKk61RSONTBhEgAJaPoi0OvbBuOt9iexUyerVJkV
3hCmOTClKHcZC4sgqLHNw0GuN+QJ+mMfwV9qKST6MA1zwtJd7QZVTGoPCofM7OFkBc8yNBzqnUsm
pzIxwpBlhMZ00a+d/1Wia4PkTp3ZHDxNTIFbR8UO0vNg2/mT3mdZC/6pP+WhVm0JPEmXzIJo3vkU
EwJBDdnWEUsfJpe21TqDhwJA7G71Cdt404wbNpjuKyU4eSMjVeEOnXOZ4YjcIGuEMF49tsGliYB3
x0GDRvIgrYDdzZvOUdLPe0bmigfRwYzhfWx8+wQEbIFEywKdZA7tLjFtatC39lHdKnTNYomtOHU/
6iZgjyq6AwBTb5NRdduGxtn9TFedx+jotjimAfxIvFIhJR/2QdgHYe6wtMcTmccPa7wgUtCsDF3O
C495dKNiqS/GzvO+J/Xc7Du3LrSb6B0O8ebGJe5SgsUoC0+105SrvrsF4VFeoGQA6p/Jgs9O0vHS
kcvl4sO0SEd8B0b7nWk8AINJZvf1BI/vzIX+R1TLHfJy2Cku4yGCZGGDHMv9gPTIyTs2TJ8jROAd
jQraK0SCGZrrEdQj+78eXat2oHfsnLouh6y57q3TYJVwUaW9zPKF3lDOvk8OOUUcw4rZH2G3SVXe
uOZDZxe3kEOJLcfu8UuXg8nEYwuEbTnRQOgp8EVUUbBxvphMe+9p3Mhm9ssOcpqULxfEpnu4F1eU
Xq1JfbuY7pra5WLSSRU05KOlwJwGZupri3pj25HndmmywhBE8YzKjy14hEFML1TMXxwygGJAWljs
Zsu67qgdti3F5pzNPX61+ymOh+ay0213F7RFOBsPyz0Bgccbu1K5zqFmnXc1Z9y/dACklypMK9qL
bb3qoGQunCiwWjHjWb7MDTvAFakSTlta35FFEhO2dUKvNGmflOhgNLkPq2pGI14oV+buupCdC2BA
Te3O0+6K3aC9CMb1CZDLUHLVo6rCRp5PNnpyW/0Y835rEypLKKwxPDCK3c8lpRP27aXD4zVnevrU
D9Mn66ihmLC3lDRqrrsUmA+8kpYiaMNpZ0xzFzBrdzoch5s1aS5F31eEjJCdQM75INvpkUFt7CqJ
xtvFfQJOgQ2x1ttJSfjIp/YCZfxtLeYKcjQHB7lcMDo4ZrL4ppshCtL3Ps/hEFbC19FuZKy763DW
6oINWEJZ/+xTKFzk0VCNcrZlX0v1DBIg0vPU+x5QGzwvjgdlOBGhhSfqC3eanzIPcWvXR88pI1Xq
1Cd+KHefZHw5hpNzs8TMYgITeRd5W5Pxi1h9n7Jl+ojVgY2wje31kviihBsj3/bdtE+mqNlGE6qw
blbjbBuuQSY7wre85EzWH0QWfAAY0u0nGS2lH/VT2c1B8lijRXCdejCb2uaRGOcyXnhVhwGY1XaY
y3rQ8wU6ScxmkoNfTKKNPrBxCaE6FoKiNXrbNOxO/Uo1YlNlN8b6fTH26mlw697PceaFW1In+zmO
KxICQsTDOzR10hciM7bw29Ugnl3HNhc9VEDAKdi1PVFbOqVFD8vnEphoD6csUEQ82EDkk0hQX5KP
0Co1V7yjd4EB4jPa4DL2J7WdLPB6OTzrzJTDbKH3RgDbLqRfN6QZr3mC9i8/uLFO0JVNT+1GwQC2
S6awEJH3Hb69+0BYAuDNkiqJ5xBjpWUXa5qrmnll3Xu3wyBYwT1nzodu+ACrjJ3XAP7i05AchEz8
+xhFhI2ANg4kdKkuxQjqhYfdtog7r3AW7t817sCRmy5t3ijVlVMNU9J1ceXHIRjWLSG6imFFqZpT
+zNUiXwGq43Vt5WcoUggp24TAI1sRNpWsW7DUsKk6qaPm1Iws+Eymy/iEGm/O4k8c/p1JzwG4NWJ
K2qizUoAHo/IqqghCAcGz+T9HNrthKL6MvJN3wiTLz36UULlPsoIqabnD1sftMPeBt5miXEyAX+4
hobBQ63XMEcId3BQOy1Eo4cC9fRT0uU0pSuUrOY4wxa+jChyAuPlK1iE6B0t0PVw2xLq5UpygVOc
QiZ7TGGTSjckrGklvJs6bXpk9YgfkqzeUwBkBawugUgAArc1wNdwcu9HZ7kCS+NEE/au/Qai9x4f
sivZ1AizevdReAvN+ZLAS8Rz6c4ElgPIcO2hiRE16eS6bUmettkOAhnNPjEIFoy2aS6T+aHmOLKY
Yc8zov395MxRzmZyh56dKll1eNlELRmAmimWQ8/U3UtSj8VJVqDkdPIem2YYi0WMH7Fmdkjzy5lR
v/RG072gfUptWtImuyjs6jK2GlOu9b/oRIi7lQy3cE7LIBdvkmpChIUyMroVGTbfJEH/zj0CUiCC
tZ7yNWiBFMZb3pDvwtHercN8nGQzPyg67FcOlC+E0Vwtpz/CHgrtHcduXEbHjbek88bwZe8Q9hKv
WlWaZDt/1c9M+eABRvVYwc7D3wTZQj4b+Bdt9Bx7G07FWOe+jOcdiDduk0t3fZ58CN9FZAGLpQnU
Zatce+WsCNiUwbRaU+59yIb4a4Cy0xblJzdfvTZBBMnbohtdwEKD0wDZGWvUL4KM25thHj9FA1tM
KXvqPYeQ68/ho9sAgAAPBMZiy66L1y0CsL3yhvsksVdta50qnLvhHip8c4WaaPRNd0SgMT3iV06f
rXAN8bqyh8dLNaGSkqMEtwI/Q/Ngrgb/RXXoxMhtNk4XEbTu7ex9R8nyq7cKDb/M5nJC30BdD89R
K+ojjPxkFYkp2bIsEDsafQ8MTg0SBsc0tY+qcdNiHVi4i4T4yE65SQyML+8nrnLc7HlDQ/8Lmdgu
axb48QFOThBTJ12vkd3Du73u40vuuNABijJWDXSArnDizsXcXseGY7thwQsZYwTtatotYTvu3dQJ
j46OckKPcxaQgyOZrFRCu9uuV2Hho43ERPYubYMHjdt9iDIX/8rn1P2ctQBfEw1HZOkdqUar59Db
j2s3fRnT7m5qgmtvaDjmOtAMwPwghMU+Di85tmWccAQdoeFFbRvwv0zvw5vTi8xFgCjmuKZ6vYGm
+1p5qiGXUZMFuy5BbC8TMZRjytxrbbzNYIbvddYU1OMHtgKbS4ms4MeJSA3neaNXU4aQLjmNEVQN
JeJgdG2egjoFuY048wPyxhDna5sVSGT1d5A36odaNN5dNHPzLWglLVCRNdc+FBs1NoOYfmnG2r8i
daBlxWNYTdih1Yi8ZvlErB62Xe0HX9toRo9AsACG7RC+zNK5lVT5+7VFW/FIUWLSKMQE8nsMc+Ip
DOFIFuER9D79SIAmQR0BliUMGE+I5mPt1GsZ1R7OunHhOeskrCwzVBcAWa8nJb2tJcGae0hNSiZt
W3DZbZTtoV2l/fmq7+Rez11XYNXp69lt5CY0sSwbCHHUHXZPDvedXdJOX1W4Aob2dAnl2hWwl0Z9
p/uAyrApVBDIIdcTCFvr7F1TARiwN9NWOiy+iJpG5n7dFHC1QmiSzVWTDKqMRjIdZKYPPl03qfGL
LDC2Gpr1E18nCJpFTjzcZHWfXYSxQbEvCB/BJL+HoSLbh7oPkPcZb2+Y/cII1mHeTPxbX4/30bBs
kiHAYQ1SUoOPZo3f5o7Th9ctmohNtu/0zvFtIfo9nKcOLZd7C+vQz5CRj6qIeI9kTHcBAcgMU8ti
pePLyLLNMmGnVP4psQQQwFFfXJakbDIPdV80wF31aLW7FKLxS6SgQ6nRkV3wfqqAI5OCDGt0GTKy
FJPLlwnl23QTQTWUWnkjFN9Q3M17EAPx+Px4p9OQw4mU7aEUcOlGiGLMGi0XNXGiYnTAaECzi5PP
BrX7Ihmg6iWCqM9npYLjYtOg8OYmvQgUmGEInLNDp5Fp9iIYtvBXvp2SwHybeBeDaRmJcpGZd59x
SIcoc8oR4kbbdmN8AXBcwpvQM6y+zzJUmIqaJigWeN6Mdm1fPqA6p65cO5KxCBrTbvr/S92Z7cht
Zen6VfoBig3Owy3JmCMzFJGjdENImRK5OW7Om3z6/sIFnHIZ5TK6gHPRvpAN2Q4xGXtY659W5WU3
M2ndTbFm85ZustnNQVEf/NKe90WzJoiEDB8kO59HAmTWjexsc6fL4nuptU4S96nN3jW8eQqTYXqS
3eqfUsPtDo4+UKRY5dbMsgZexilPy1K8Wc70ZZAt6SrjYjxUxtQ9tZ48T1ZG0cseBtA1aDiUXiC+
8Obg5EztcRrTOZK6sx6Ylip32gJ9gYol3+rKb8N0NsRrstBxm02j7fAhT592Tk2zIfEdzt/6llrc
qi2yhJAigM7VyMw3tywpN1u3kNjoAz1Uov6mknQXJHZY+1JRhI5Hz+0I1J2FQcs+6pHba812NGBT
W1tLj7jKgji1S3OHjN1/XdrlLVMUaiUTw/b4zYLYsdjcqG6/KclNU0nzuVmG02AW9W7sAGaWzg5d
OJQHc2VnYnE86h6ITq3ynJZfYz9NnrZdpCteeg41v2tNrtW6xHH1ObkWl1E61ZsGSv+g520aSw+U
xEAGro/SjlnXZZj6jgqBMJeDbgQPc89FkFnKjDRplvy3Lv38kAc7I+kLyjfM8o3RvPdZOm2XLNfp
OkY99IzW2jHF82xy3Zh5wIR0uzI5TYLHxtWrqBfVD1Xq1bZGQLXRUwqp3CuOWh9YoRgxr66OeJCz
9pEm9TXR+p9jWWwJP3v2ZJ69doFTYL7TjMhxqzlMVmFedZV+KUk7fvUn+ERnLuc7CkYWi2Y6caMy
7bMxtHyH4efF85QRNpVnbRrd20KYnqzK3a6LETCaPFvixS5OVRlUUSByap00fTIm81I16kGUGSP0
euNGnQqBZDj6Sbr+a9uDUypBW2yl5yQXcZXaIhbSJ1/XfYc7veVqOXDzP45Dv1G9u3XaJpamve/R
kEbm0oSMaY/stdh77vyclF2O9IQMka1h6jevde5LCgTMrfM+nLgo2OIZ/axFiQZRcA7aNPue2Aro
cJAq34pSpF/TbFwIfsd2ArSSbiGTqMmgZCJcMCIs15vRp9r3pMyzh3Wp44x/OLYzgYJZor0a4KM/
ZcO9M4zV0Rn4PzqZ1VFrWdk2KT4rhdLbKdBw9wjj12nr5rOz6caSQYOEwzA17qedDTxeglC80cp0
W9b2Ft6yfhZdOkUq97178Sk2Ihi5RUxreFSO8qKWARy7yiMDEe0HfVE3vfEjNofGst/BeHk6kghj
1ETQjDN8fOIF7tbs/OwnMQm3GhACdw0XmDdp2/sbiVsAA+K4ABSGdXqeyUyBpaYdKEbvTswQSiww
X4XE3qTbbKkvFt83CNVyM0k3DkH2ph26RWjw7hMkJtsY5eLFljNMG0Im2gglFTDwXEzfWo7DkNPm
2ensg9vXt9yT13Ja5H5dvPZqFnzLwWK/VfA/WgJWM4lRi7PZSnbYAOZ4nO3qNlbCvIn5fnzWAqlG
8rWR6cPI+g1LS7uNSWaevH7NrohZj4PnBPCQy2Fea+YSJVoULE3HbD4VLr3QwLyqesPo3GOHYs1h
W79oaeaRU+L0gFQlOJ8F2GqPwdmFJb0wCbkDy+32UpM/xpVA/2bcGc3obdeE+9MMjnO5rqGsxDfw
45faUr844skKDpL2ETFF7HsYJaTdnWE/vNgxpLrWZok7J02YCDN75IBTA7WRAEfZdHmg9k4xDnvt
LvQKuoEOcyF2qGpOU58PsUrnik5iHg5BJZvDPB+rQsCdEoNlN9oSjhCfoeGtVEUc9si6AZuK5Jz5
VhF7Ts5s7H6NJ6P9prV1u6kcdaCk1SIbduDITzg9JnTPTg9a3ZnJvRWa8caVa0qn0tzQlQyIjmqN
Cr2dX7REjqegWY/plBSnBnrukUIR+1FTvGQzMGLmmIx+C5QHjc2y0QrtXBRDt+1Xfy+m4Ns6l+kX
7L67pHUe28CGTG/X01KY3zNv+GIuy6+AKlcJLBOkyRxbGJoQaQq9LvDzrzoxrn1nnAYgzQBBTMQc
821bpVZo9b/s0QviROO90q/3sMb6bbDNC3l0+hYDutgyRLbc5AW12GQOod7DhUMEEhTqIEXqW6v+
rHxYDHO5DUwrhI1d4GgNKvZlkORkOlkRC91+cOdE3y2p2W5WBpmyeREaNG137jxp75xi4ICbNU6I
vnGiNjH3aapHXsKk9aLmtXOpim2DfmvwvmIbk+e6xWGSIwMgXHJbemDnLnXok+trkvGdmrVpExqY
qsrGS9mJk27LO9BFJ5PXd9TLTMK0Gp9K03tMKDVVA0hOHTXCwZT7kVnpO5n0x9pTFfc5yF3ByaSP
V8+9ZIabboxeT7e1196lbLlCO2J9QcVUQXAH69YVICBt7W0EdbGp9WpjzuZ6tA0KMVgNd6vx+fHQ
9VvbGh96QlLoUUFZHMR6Vv7T6lw/LM3iyn1ZHioJM9t0sSi9lhjZIZqtVz8z9V/gagVtg19saP7E
T3/UviaUQWHXGvahy1w96hMkO/1ExVCI3VxqV81J5c7K28NQGAv5OVO5m6R3UPkl97y9NTZn3+3d
2AFjHwadCI3Uo4EwRL2TWZ6SYSQeurWsL5ziSM0KPdubzpScHcC/vVGnQt8FS9cDOr3XuZkeR0Ac
lqGyXiQdPBal/OQ2LjlI7brN/RYeYhjaM+3Fh1taT+ndr8ZrfZqYdkqRZtRkr6e5DNFpD7fMGCb8
mKnYdIuME7/roizL+nimsCHdjpJqzJPv1bC4m0VOCkskC800zGFvBIJTblbd66jKElxsttsnfUGK
Ak96lvl4MQfh/aS9vLXVajyMwyyqR6cdkKl7jF3/Lkzn0FA6qTubuTTpuU7d5LbIxt1QafbgQc7K
IaWYX7KKhUyiO1XQVqV2m9L2i9frH3a5lBuVVxVg/7SHKWjCqbWfZNKdgCeRW+rjzgkGDtTGw5Fm
649eYka6cfZrPbYrXzuotqQ76WoIoKnQA/ok9UNmy7pJ1PpOmu+yG7rqBjjLWTCC4YoJLCxrb4Zp
9Qjvqy9B2eytAqx0trzIH3zUi9LaB8WLyGUMMnbjTGSSW8tkOqIznmuTvaNyVWL1nSYkP4gt/GSg
17OKV8e1aVinfDuNRawPZsr9WF1p+yJSvBQUbwqboOVfihz/rtSmp6mw29Aa041Mqi1CY8SZBmPf
g+my0APR+ppRUxZztOYJrEe6fviUbce0/DAGgn04Bx0ZlWqGPNHl49IX2k7TKu1xGZzttIqHlimH
e3uGTLC1hhm6gGVjmI+Tfyg6zYrdZH0U+tTtGmXz+9mQhCIJgrCkiAorTrnKaR8Tv3/TdYA7Y0Fm
qfX+89jAPy42djaPQTtX0bvFTlQJMtGgc44ZFuTOsINX3WrTTcaFFhXWtGX2nhy749SY1wHGN+TK
MTc98F5orJMfLSODbTqjeiiS4FH65oXxI2aUTXm80hDJKY3tfkwYSYNwMNOZPzBbQ+xLow6nLkFH
aQJRrdkKkqBZWgh1Yj0lDAuL1RAcs3Rhs3tVBMQoYhR8D3T3YZc0LsnyjeS8GccQ4Y5xtmrrF9ly
QBaKCqWs4UTcYJuMzFVm/OiaHSxE8ZRAY9tvp5l5xA1FImMkvNncMqPa3gedMg51QqED/ZQwJpmi
nhy8qiy+DLnUYp/xEy8QsKe0MLeuMiImon3hytz3ZG2wSCp1bsZ0Ya6y8JoyFEHP9l80fUcvwo9r
15uq1uVX0xnNJyet3ie5zl8cXQkZV7bfb5hKlqfRkBrOTgTTjIRQ+vnGX4wkzIn1v2q5uGQommga
zAFVos0Irlku3zqX/r2XiX7yteoVxFbGlKhalGmeOFkiy+Ce5gyhcXYrmBSHaDn5bmr2I4KseK7f
+WajAD0e9tRsk89TxSPA0IrxJedqm818o3to08fK2VNpntf2TgmMR8114IEq5KwED1AUqItMytvS
ox5uRx1Ao6JdGtSuwQcZlA6CgzXM9fwrKt2NXk5MJ1GXYCmKIhoH1UbLnH6M1vfRbaGVRcEoBCtg
3tzw4diPinJqctCkL+vVl6ADeW4dqy5Y94HRizBrpwcfsa8UR1F428zqH5xcntRYbdDADbEA4bqJ
xvz0jXZ+0FRexL89crF84jCPJ7uPy47+dG06TqRx/pIkZcZRPkVyRbytZR9ybt5Sd18v085IGUkk
6Vwrw/yaBPfwuGA+rEvT3MdDMKqm5DVAP9T0eVg07WCCoNC1AcW3dgiKBiupxTHGhAzY2TL4Wmn4
wVu5QRz5WCqFGNgGx0ZJ08niKIZ6M6/NLZ8T/2gnYxDaq3V0JO+DoEPr1FmQHE17kStU429QayV9
0MrA+WK3DnQTCspNrTta7JHiFwd6y9EaCCushD++LvUcxO5MeHdYJfXrrIshShwtiwh+OQkU7Gqs
9z4K99mxrgjj2ZrcUA8MUDmk2oRSQblGVJZy61ot0E3DSe5VMiYN63XwmNjimVPx0PbW0cPTi7RE
k7+c2oO9nAINPYqXGaHVaO+DKQllLBLktAvNQGOVaezVAghPK9fPusiYVUv05tZCuvBMmHiF0KZr
gkPfNlYeBmr2D6JrrTfbVOgrFndi1JZhag/TbxxF6ZRuHnXewlc5Ym/7mqONe1PjmnIDN+5jZyP9
2AmjZXlV2qtdCu+6ICF+yHuAxi0DQB6ksizWcmMOj7UzZOd0RD8bTCa2wtxzLl2jgs9kyqUfrmpm
7O3q6ltSYyAylnYs6lAWDc/VZtUBSjLZOF5mnXqR+BggVGI/MyGy2RkTyc6N5mE8XiRiHqdcoU4W
d7foTvFpu+scWYkHtoOor941uYV1uAyyeTeKaX4crVLtdBbj1rCEeyllbb2n5p3N1Wf5SEwW9Y7X
OR9KibOyjOkDKLeIFqzOJaQRutI9ovhHp2nzM29LEtjYWN90YyFUcRrG7cD4uk0jMBxkpDfnqVZF
yWSmkSiKFQnqMIROuzg3yx+Nz4qU5o2BjjmUS7JQAvY7363gAGh5z0npvgUowdERmJCrydYWc7tt
7cn+Ie3m4OkPeqAeFpu1wArKv+VMS4MT/+Ko6qnW1NtUmWaI4t7bKUkrEKCchHZ1b0kJEJnzF/EK
U6n/qtM5vdR5yw85qeQcdFPxuOg+pu6AOeqQI167ZdAY5bb+0ks/neNeaUgxW5FHSLn6aNaI/Fvy
ljGKVgYX0Ro52hOX/qSs1Ck3lpNu+mkEXxQwFbqPnYYLzdIYP93M983WwwSj6Pq0TcSkIAKoZkzk
B1wPcQ6D+U2YNLmTmma6u37YmEVuXf0FFAKbAJrmId8zsXkCs9PknUp0D4D4/gYBBOk9ZBji/MJo
FC5I81FXJjocgSn6HI7OFz8Zuz1cGNZmDPtZNmDfdZcD5/y92HbivszsrxPGKLQiEkbBsT+myos8
YrL2/h2AYQBaenQ9jWSM/t4l6355nAfoMa8D6a2GbD4iWNMOU7H4b203jZvaaSGvvUU7FoVXXbFZ
4ISwK2157FQwbOAIUJOW3RKueITQbblLJBY6n3AcOhwELiNxP9JCVhsSuqYTZoZ1K01R7lB+2idD
Ygtizqz+tq7OJ5fVN88KDq2YnTOYBJd/a2nu90Wk/omx4zXX3FI/APm5sJ6lOGsqdR7GqVVMpPYS
vt5AA3+wjRdtNhkkBmQ7nadRNp/5svR7A8uCRZfgDtzV3SldR06bGlHzg7Q8tLRJMn7mQ1Y8Oe44
viuzdRhGLMdljYA8QfHNeWXYeSoT71mZ7rwXYyf2gFh57KXDrSZC/EoumnHC2ICy1ViaA5J+51R7
c0dEqI0EyXGSYmv1lXoo9Fr7zHoUXF0xpj904et7YUrcFauuLC7lQRThgtfqVmdmi3WBCJBN2avk
ktm1ua005mbWZJCG+tBzuSEiof0qL4bgmx/kg0lJvaHl9l4nI73Xhp44zAWwTYVQ99rJFl2LiwrG
9lrjaTGq7OAM1QBxRdcTKneVlxo4heiPhQSEfpqtEEv0dzxiIBlGjYaumCX+Gbt8Q5XXRvbQBTyz
89ljVYgc2aLONozuZGhW9mKXI3M+/BShrjdmF+RaCNFRBTUwoF46Hep0mH94Yy2fDcSXD02zzFHa
PCBl4/s2dC1KVqv8wrzg6Ws3LOXPoQm8JOx8Cw7OQs4D9KBn07vo/XqNXC0o0IhngMz1+CtzlvEx
KVd9A6yrNnmHhM6p3Pxm2tYUWmWFbERN+XUqHZpL8k7yfT4aIADE8idXc+YY6nW2tZ7Xxpm91cer
r3u4BEDBFsyaB2scLBmJtOTbQj/P0wfpV23wloca0TL+/ioNO7cTBz3r1q0YrC5aVT1uSbAZT/7c
aZSIWRZnU8LPXDJ/ptU8dZUimV61VlRXPqk40eu5Pxx3xkrhaAK3WdlVxgu6gRwcsrKdS+a7XxDy
v9n5UEYZ+tu4dDMS/xufvOrR8G86+Fm3w6NfXLI1mB6qfFm/DdUICVys1dcAxwbkoRU8ugXKCs9Y
h7jvEf50uAa3VtFVj7JpXMCxLo0m3QUR9IbmXNFpcKNXuEpIiEU7V2RfLJ9AeDJ/sv2amB6wwlhd
k0RTuzmt8m1u1HAKa+M9GmUvsEAOwWZuk2GT91akuBqikQFq597wWVNqciIXKo2Di9EidW+b70Fh
p5dWyPlb6iiwwqVtsUv1Q/BjSlTyVKVm9zKnUxk3bRt8pMJxfhVlOV2VtSSX3lHtvIEPK/fwDIEM
We3BHkbgXiL5fnnteGwR+7UsP6t1Eq8atN0m0+4aw6ArmOXYv+bMr4+0ovS+5yM+2Hubs0m61ick
z2jU2cIxABC+gps6pbwsVlNEfdXxe7p0t7PGWR8wBvmZpCahh3kn7C4cKbRMCij0V3S60n8Qa2Pv
G9Oa49Sahl9kudvbRW84TRqQO45AHsHLUrmvaiEu46TcuBZVHydmCWxqIOcrkeJeaGlxh2lgU12I
YNO7pYTsxX1lDtt8wOa1qZfOCUUDzjhhV5XHyR04r+3eMgAFmuFz8KfWCl0Sgk7ShgnFHWkcVs0d
4yBFtLcGxV1A1+LvGUfvKD1Hbgdi1A9LsOKSnZIcPezoTFB4g73RZqm/J8Q5b+DSIOR6fCIp8D6N
rcYKilOhrq3/ZCxWenGKfCWpjQl6fTaXWTQ49l2dV1fXpbRRc5JpfMrhHzaDRKNnayD2wii1bZPO
/cmY5oxoJsuKAwbahhPB9aBsdbsvyg4rroH771Qx2XIPyazFSOTSuB6b+U2Yyg3lHGCKTGd0UEKv
P63c9a/L4lUfSqIPZ57s/ai1gVf6Sv/MndkExqv8Zed3TbfV6vrXMo81weR5PUyUU0HzYU6uFjuQ
trHtWihXnKl870Vbf1mcsf0BJIB+BpFhKs2DLj6a2Y0aC6XUoor8lzE0Vdxo0/KwtG7bh40btFcP
weB9TTE3xCgn9xFzTC/SGZTWkk9BmiBEhDPWX3Ko5jW0Bi14hutDcSv1arPMSGtcN3F0xikk4mdl
mX0XloazPmEMy6JiqdQngYKoVL1c/wEinN0ghICLcT6ivWq0NzFy4JbJkiE5KSf0pz21pm+5j0WV
QhKYS/dTn03zJa3mcZu2pX8mNpOiwm3Wk4PmYK/3Pbxa06Hv0aF6wrnmGIEcF8AseYMJlJ/w6K7L
8MPQ/PWWalifRgurEX8+Y0yCji7EJG4vTn1r3JTLTBFUJWozI2FzYeIG1uykbG4UraMpyq9KWbFm
6e1tEdS/6IZyflq0dvEqWosS0nKX05zltF3tvKZNnOJPhSFo5iwEEhyfTAE2GjZz71x9DQKt75bx
RTMH98UWjDCfVnmfgpENYApKliuTENQeRXt/tGVXf4w2xaa7DBW9Yz/ucKwWXAZt8NJVo/upJdS9
SbvstCYzNiUfGKej6k9UdPdcr57cLVcDHqIvyG56Qd5NWgHMZJ4waaEX1m7lO+9omNIz7UdzM8oV
b2qa30tMRXqR5qvgmvqFdsWcLrDSItNLy6a86UP7ze+R3C4rhZyXauWG7R4QsN4oKJVBnLHceE+N
fac4O/1O6PfSRa6FFp7uKXe2Vjnn72nvYnZr6BuFm58dqblfJylzhgcP4idCL2WjDEuHw6K85Snv
DA1F8WCYMPAgoV/yGu0TggHtXJZJCWDOBLa9EEPzCIa/fm+rTLw4gzQunJH1yvp3jR/MpQw+nNLv
fyCmWQ7r5Lm7EUbpw+m17r0YaKCKsU6e3GFds1PSZV/7pnS2UAjmgze5C0XIMIxfKu75t6pwhpuq
+wJlqMZhRmLUBdUP7nqZGQeMZzqHoPFDWWP13JvzOMfeUHNGKt5cJElfcdDeZs4lCMbpNHs22mnB
7wWd7z6vdufeqqRQXUhCX6M2BqNhAV4M2AOikvANBIy9zZOyh0nv4FR8cOxnt+Bgi0cgTfoV8y4I
U6rThoeaTAWdgclDejI85JQoGLXkway0PJppELL90hEL8FhnHGcY0vVtkzfeg54V47i1O/zOmp0U
5wRF8bVqRxL7RIk8DutcgCCvqYxnN1j7OWTqNYpkmayhTju9sUYvfdKT0d8MZmcfp8ntXxIEOif8
MZjNsbO9gy0XiL1GdMcWks24bhVoLPaVJ0sURuj7aHbV2CnUHBhr27l68s3hYjpachpnYW2Un6wn
AniqN7k6SZQNDb944IZ9bnrxnNJv0qUWqNpq+X3M27GJhsW/U/pmvu90p98YSuTbpkasVQADPZcO
zuvRIakgcTMZKy1xLgbGyUONhvi0CD56yRZzO66Is7Pew5DoZTSFK5pWMsKEpp5TKuiTNDQtrHrL
fLEDaeOn0Mim9dvkPMqgeVpap/psJsxJYaUz5JfQZZjfHkHRxvZr985Ikc2Xran+zUKxdKk6BpWl
BleFqzvONTfsEXBF6N/yfp7OzNTk9ltG/eJjJI76TqsuVjDUXwioyN+sPB22PVqbc1BX4jJTVBxh
8wGhza4kcoNWjUsDkj31dbEBGfA3deF4l2D2VJwvZvrcUlW9SQmgvViEbZJstGzz1vU/S+HkX20k
yD/n2p/CFEFO5K4W6f+JXW2DEgsSI50q99Faeu+b25Wsfbso8MosIiC0Dz/o3s+97EWk1aoB3AIT
azOC3cXp6wgSAiMjdsKvepCXV6bpqZ3scvG+ukUV1423/khbi/m15CWccm329n19117Za7qANE96
OGrgitiyWaRYyj8q1KvPjl+O50ka3XFpLHkU9cr1b3ENakrDcuMZdoytQ6Gcr2VE3zf8nDOVn2Z7
zD/mqUw3qujQBNkO8fVUKoKjvQ+yYrNa2KDDkVPlR9VZGLtJkcEmEAAgSi6z70YZiM9OFDcqP7Xv
Z2cIGVzdfKBR70/FyPyLRHguJk6X/cf16uttOART9t1vm2mXBQyvCnq/2YLYDUcfHCniVIWwZlM+
MI3AiOoBlWPhKuswY1r5Rh2f/QwQOb4wVcDKduScO0fdT70FCyfEw92iFKDvq9LnNJ+h8wdDC/aW
p+x48fgTLdJq4AlntaM7bx6UifdGdUzsir3RxWfjeg29kHPQlqIzubTWYUMX4j0ZbQ6lh/MstWbj
e08k9as03GGvRjJDUldkz4Zo6PtV74BaFqAybZMhQJPpxAsdMYd6jed+KrtdupjU2mo3K6Y5GF5y
5JA34dLN5CIQQP7SfEZMi8Eg5YOYC8xGLckeGiXaOixRhSv4kwwCe281k781kUPDyQT13shTGTns
G0rrwFXHll1JzTNWxaG7d1XAKMvR6drpIwnM5CXNnNoBqYW1U57ffnb26m2dDJWaqTregL4Yt7VU
ICPmHRPuVHf5m1VlONltohztNIVHdtzl3NiIH6GxzB+62+pfCR5f9lOj5ss6mvmbTGf13gwFfpJO
R8VxVuYoD/Oy5Jt5EGrjBpWFo8AOYq9FpIzXhmyFdm5CpPDNxuGeJJChltYPi6rqXGOHOOSgTWn4
N0hsxnLqWbofk6DbV9IafuUrchyEzhyVVYNDH44f7YkxjxtTN1Bujcm6GVvFiI+x03bYg4loQbcd
y95sgLXWnx18/6Mb1Og352qG3xlrl0LQNyx4Vrsqn0eI0XJTQE9gG6yhjKvBljDB8EAmE8Zy86w7
I97vQrPP3Xxvo4tiPpbpUu/zwRJ02ilsjO8p8bZ6EjKTdQiFRX10paR48Acx/jCW2bw5RJq/igGB
MmkhsO7KQtqYW+14rlqE9z6CshinL3TMkIqnSmnvbkn9OHSleWSWaXZsRNe/qDVTuDeI6U+xDR3r
zm5iTx/UNs+X7Po3ayDXIrc9sSc8pcD/rQVbSYr91nLBqYRE75sbL1xOMPPD3fIwJAJBV+eQY0tU
y/CRpomIS6PAOWERCbaEac1K8zyz+8bRUG9oWNYtAV1WPC6VKcO/CaQ1Ch++u8upaXZ5RthM2dPk
/m3oM9fPrDLbKwR3X/CnW8+aSyalYefzTtCQ7EZ8Q39PG/v/YEq+yJ/109D9/Dk8fJf/J7zJpGj9
eSDY4z3C679OTffznxLBCEwmIOy3SDB8yv9NerNH9Bf5sFagE3L3d3OyYdp3nzEj4TxmD0Ki8G+A
OO65X5iTdUZQ4B40OX0Dw+bjuILv/8ry/tvF6ewzG4VP9Pj1f2NO/ufYK80k6xtG1DHvv/+7oMh5
EqAcUJi3wAOUatPU2GX+qv+vwtf/8el/iLn03ETX+6TVrnXufK1YkuGCUvl37/lfZIj92ZPfo8V+
9+S9MeKvpqW/cUxckDGRh+B4zn/44bz23384UQRDS5J4cq3L/JskiRT0EA/af/bkf0h9tKYe4CTh
yXsm9dzViSc8aNbfd+I/JfL9PlrtnuH2j2zO//fK70b33z954Kw2aEVJYJdmJJtx1prvZa2jc4H2
OPxHz//HFPqZP0FbV/4IYxkViWLFlmGpyV9EMf7J1/rH6RC+DPCB5H5yXUuMU4ltv6rhrya8/dm7
YZ/9/t308GvrIkRw9aaG0qmjwHQMkUV+pv/Fuvlno/8/3v4fkvWGRqm1dqHZU0+uJK9Kue8cMn+U
Iwburrua2Rh/aLpX/EV685+9rj/s39KHVRzAhq75OD6uCA/BTOzlL9bSn334H7YvIdd1XZMcd9VT
F3f7VEZN57z9+0X024L8Vwv1D/u3IDlg9PpxuvatsTFbQIO1Cf3kYA6v/vrSdPh8qauLS9HmG/ym
qCr35fiRJAdv2PJrE3wgJvqLH9S8r4B/9TB/2O9tY/T2CgFxHRMS0zBVrulJw+icP7j0nY71Q/m4
FbU1nMzD5L97oGI1W7Zs2yOZf1WAAenvf2sn5/7fVFB9RALCnywbrfl1d7//xWv7syf9w+Gh+11S
qWyarhCFB8v6sQBhu7wRS50wCRozjnjcmFrnI5vZaqOMCEYIPSIL9TqAWWujf/8c3DL/8o39MScR
CTcBQuYCUVfdjQ8BcuSWCdYDiUi8ISxdJu0FSOwVwReQdcj7aZaIZBjg6C5K7CRUAwI091AUWww9
IXXQv38y7092+W8hHL+7GFBrFKh/pbi2pNmHZucdCCx794lnKaxchgTwRXPXmHhJ5ZOhlaQ7Mez+
mjj5K2kW515vfwkZ/A9nZ7bbNrau2yciwL65pXpZtuneyQ3hJA7byX6ye/o9mI0DpLRjG0dXC+Wq
RUkkZ/9/Y5ySSrx6RnKvT8q1xLkwttGT0kImJV9PyuM4MDtsYqzgmnLtSAo/xrg9dKHxxPnJD8QM
64F9AeKo43dqUTZxXq+9OL6SCqeWITBBN6VMar6xu/GBecGR8qodu9tXShxRcaMelzuWAOxgC+Gm
7eVuNrW7VGm/J0V9XVQae+F6vfeo24qT/C6xPQ4wFfIwOWHwPH8elGGbj9mmsVJ2tTkc1/PxCEPw
SC551/b1FRyLG0Mr7pe6i6jPYFXKMGDz97JeUD2jemoDYC0m3HWg9wxw8Qi9YolS7iT6mGu1LUxO
h4zWh5b0xTP/oKNaplb/6djHmaF/Ym3OYfZWTxp2HcTm89fpo0uf9ejpQILSY64dmAMvxNzZRCy/
oo5+dO3l73+9qWYpMteujDqoSQP5sR3euG5y//n3/qgVnPXdvdISY3MW4ZfqwnaYKHi4Swk/3LIh
433lqvjoByydw18/gGK5yTGjqQ2mwbuTZn5M1Sz4/Pt/dOmzHtlpWs0juV1TO6zAYc3Le0n92vrz
i390c846UcUaXSU1opY8pjusFCtjN6DN1F1GYeJF743pnc3DRsv1qtrWmoBgbzArCrU/dtFc9L6D
Bv7vfZceObee479gcBhvPCtq9kOT/f/Ryf/fJMY894BxvJy2rpm3QT7m3xz2k2w7ev/8xv/7qSIb
+e8XF148JWosm0CjJp9NpTmAp1l9MSZ9dPHlaf/1NqIqy7t+oNvJQ81ceXzzVSGcb5d98+VD/7p4
aihFuezuBNno/ZxzthrKRP1iLvTRFz9rq7neTKlZJl0gWndXNFRstxzwftEZf3Tx/9NGp7bOXC6u
w4ZlZ2YmzYIr4rK7ctZKQ6in5EhdepmaA3RCcNY6DSE4fX71pa3831mZ6Z01U+hqGXG/tgvY7pM+
XKNtn2cPdZZecf70ezCTY9FRBGqxoXr7+Sd+cLPcs1bb2vY0q9lys6rsN+/Tyiio1Lzs2meN1iud
KBuoYAn0pqK392AGlKa5//ziH8zHkCz/9/0kVutGSUXAo++c4q0QlvJtdubWz/sQRWI9cqrDawbx
ptZvXMcDFVATdVzhjL1nylDfFr0VbmeHI8dxto2bXHU1v6hAySi2ZvkU6AwnziN/ZTbnSHav2Ze9
QO5Zh0ApjDOOitoFHHO9RyPBCtl3X1z734sx0z3rD0Ipwsaj3CjQnUzZC6txSIQ7zyoQAnvIm5Mk
ALPJK7U9fP4MPnp5lr//1UXM3SC8gm28gPSlrzUqJ+cdKI/LLn7WRzg64apGKgy1kx2ulMbp/Nal
b/786sst+UdLc886Cc0gMkUGuAvIXiYU11niyhw6sW6lpl00oMPX+e/dkanVmq6dNUGslKwYcI0D
cqGS6vMf8NG9P+sqwtqo2P92W/C2Ex4Sq/1lT8QjP7+4tnzHf9we56xbgPA2iYT64GBRFQO4LsmL
DclPCPLMxAHCbtKxJ6nkxtn1xEkGh4rIpfOYc5PPv8AHv8456zpKJ6eXtZsmmEV7j/b0Shbe78su
fdZvlEpqNo3ouqB0zJ+Vav7i+PLX55e2l7fnX7ftrHFTVWjIcGGWpeUoD1o9QTI1Co/1qkJiJyKs
uq5IIKyz1Hmx49hcDzVSyYzO6qgAQISVRADDm8lykT2XD44olGuKzsPtQGSA1c2kgIoKOaUWHcNx
mDW7WbfzTVGp3o7z8se6D8Vam4d6DSRN3/TKXPsxWGifXp0CM60T+47d8jXl38bWhdQFJaauqaG1
qkNMLsnvwPjcKB5HH5xntmuhz+4rIFjQJTFlzwYZwweKOLrXMBumI8bSas3e/rSZXPWnnNp0pQ5O
up6ytgLCrAnOKWyyELb36vSCQhKSQ6D7egCKY/9jhGy8qkVy4WjjnDWIdlAW3HpZBxRHZGvC/hRp
dOKLnm557//xYO2z9sCBt2v28JkDYEpixRmts9QxvRNNZc8BVhAp3yqMAWaw8pjLONp9/kJ90Ev9
WfH/1cH2DTbASMVlQlceH4hHkGfyRH0Y9f6LT/iooS1//+sTdDiVGf5NpCxNeFKEhixAb7QvOtnl
tf/HXXPOuvBMH8qwp/IhYCteUj/ZUOvmOQo7B8p00CYl++LpfPQjzjrzcc5EpTpaG0AGu5VN+F0t
ysfLnsBZJz4mGWVoMGECEhTGN7cxxH2BTGJDAExdf/4RH3x7+6yvm+Y6K5xkqgLwhCeSSb/SzH35
/NIfvD/2WV/XVJOeDhFzpCZP9KtOUik9UbR2bbE4/uIZf/QRZ12eNPTMgWdoB3qigrsCTsVROQj/
aqJo9/Nf8dENWj76r3dUKtKZmkm3A5vzcuokpqfUG06XXXv5zL+uPTt2nfQV11Zy0Koyba6r9rKd
fcoQ/3vtjJrFCB+MHaT5qrF28YWL4T+jz1/f2clcZbLgHaDL7g7CG94iw7tsznJuANPH0a4piLID
J/EoGwsjxAEDaI7LbvZZF914yoz7iZhVHWvkqohgriYtPl50ceusizaGsQdKK+zAUsp03eTdTTgp
5RfffGkw/+jJrLM22ox1p0vq9IJa7aubIeQgJfIIKUhPA2XjmcQOHSIsn/+SD5rUuSOIIEjjtL1h
Be5YUzOYEhFz3Ua5ofqy2H7+ER80Keus1SqoFqmU16xgqJLVYNfPiu69X3bps9YaJVQ9Vc3EQ66V
DGJpC6nPoqjqsquftVfXJkYC8pUvPoU9fP3ioaei8LJrn7fXmKQf5ZZNUKTUj2iUU8eV+fr5tfXl
Hf/XG3Q2RtlURcQp9ulgTFG5ODsVnU0+bvXiMYzhGFXXY2KtVexK4l03fuTGi2rOV4ZN3ouyc/6p
PiZzBjzji37vz9nlv77P2cBmxmM5ZalwApcUsz2OKxe+iUbBz+RRMR2eOKgw5a1Tp4esvymKhgJW
+sfaRFrCZvNyiFHbxRet66O38axfGNK0nG07LwMmB1uKSg0yWqm87OLmWb9QmF1SsZQsg9C1rkG9
HQdd+aon/uAYzURT9p/hIwaORwDUFYELKeAngAC5MBre2JxPttW85B9r0EdklX/EYf9oatUzVCz3
fkSVtaossFCUNEFqy0AZ9DbnVmWvJWuj0ofbXjOju7Llv2s719mXZfUtaTEOiFH/zmHDtVHXX2me
P7j95tksYeTw35JhUwTEfX7rOglMz6U88PMX/4M5oHnW08yipKpLQxNfj/k1+CkqIljYAa8Rb3o0
XNZyzbM+Z+AEiUDnkAfoxd4ksS97eP786390b876G4pXgaApvQhCrKvCS6krqr667/oHHb151uEk
eDRq2AF5IDmzPMRg6x8qA4WLrgCMqeAuQatpK8qJ3bpZd5Ey3lDXnd/DJYJiOlT5dqAafA3hzv4R
J2V/co1C3UYJW4cdK0FqIbRHSx/1bdgN72NjgFcYCEKsBbGJrUguO5HHg/vfNhDl8FRl0XPzO3gG
erxjRbG+7O6fdVJUQxdGTpV1QCvawXd8trr8iw75owd71ucgI2TlmndZkLnFu1d5r5r9Rdf6wZWN
sw5HxbThqJh4gqixoo3Z2g1Zp3Z30R0xzjocy2lc05mHJCD7ITZaVGtrEJFfNdalyupfo5Rx1hUY
hWJVM4XfmJO2PfgPZjVsjt0V8sCRu1jSLSkcgvLNWIb2hCpa+FomUTNyyWzNZdoM+gvtF/Aqw352
8apQgelHHn7oIV6V2gPtdDXHj0ts3a1eKGxgjuxnhv4Q9vWmZXeST+rc14G/Aqb934/VImd12c07
64sGVdEpEM9z/LbqD+iGq1ZFrXXZtc+6IE6jtdTISmxlfclZ+bgtE/3CZ37WByVeFtlKVmRBWEc4
KtvbSl7WbxpnHRCBrBQgtVj6TbZ8XMDM0Zg/XXZDzrqFnA4mJhMoAss+hGZQXzieL/WGf6/YSpEX
2oAoLTB6KMYeZWUHqnGd7WXf+qxbyNARCRacXL2soYPLV/blXi66tH7WLxRlLTLRwCpX5wwIiMxA
SRIEuKyr1M86htgqscf1ekael+rrtsxuqKv2Lrz4WbdQlboNWVWmwZRHL5odkyJZ6CKX3ZezVhnO
g2sMhHeDqSqybUS1tOGUlz3OPyPvX0vlzFSpf2NWG2ip1276AdCi8OCJXfbNzxrmzK5TZGuJABti
AvUvfoDJ/eooENH3v/ti/axxhlGVZdIukkDVlR0d8Ylmb9nP9LVW7R7UvPETcWhRyNBHU9m/ibsX
cGsbfdJXUzQDnmSJLZS7CBacIY1dA79yaH8Z2SNXwJ5GSts66VzFJlJp2HLP3q+PKeRgaCdSJ7hl
eEnLl5LVp03fbmQQUjuIYnNAB14V1r6Uh17dLl116wx+paY7/jLzWiiDemD8qI0YGu33sSydVdNd
8y/1zGSCACnAnX644S/VfdJCzTfNWxa7JwYDY3Z/NeMBs8Oa3l/hYbmEo+s0XoaFUi4SAnPHp9dO
Bwqo9kd+SFLdp+KQ8XuU+D2cKp7vz1bCOuJzuKTGXjBJJb9Pr/nPXNUEV3qwgNS6gi1c8b+3sSXt
3xi7zmT+AtmP0JLowRpv0/Bd9tWWG8Jo1qvVMczNtUxUkJEYFpv62KlbL4z4x+0yxk3U+4s+vy01
qFtj/RJ6VFpWL7p1yIboJFnW4MAmR2S/8B0i9leiXOx17bVpSdIW1jfSkFdhAUMBl66txps5IiPQ
Xev2yeEAKYawZLODKtt8FUGzG2d9wefvl1uooQRhUSbVrWxs4p/brvsG2s5Xh+mKeNY6jykfrNZZ
RQgB1458dTMbUr4H61dd1xduKvw5qf2rscUDx70etMSgTSNkNqH1nRTjF0P30tP8Y7mqn/X6EehM
ot4sI5xueISpjFpyhBRvQNT1kybuQGOQar+sWZ+NAW4JWKCnJiTI4ugEZubJjOyriy59XqxcZzV5
O9lmgS1jzGy4P3xzdIbLvvh5nXIlR88GlsY6WilfxQAMoxNf7MFqS6/zjwdwXqZcc2iNi9dIgoJ3
Px7jFf6AIw0slhbJ8+0y42mzOwBqXR/v41m70brnz+/ZB49eOxsf8rEr8jEN08A18t+ceSlB6LXV
o7Dd7LeRWN6NSzbki7How595No1rMKDa1WwngWt69dXgkSks2hDmEMEVX0plvC7cNFlFBCahfwJ4
pE1q3qFCCAHFQZOHxIm0L4aXj3742fDi2EaeN7koApXQ8jV5iPwGDmH+mqgmSCtzipBS5O2F787y
3P9qvCSZwSVNaQE1aHgjXf4qpujt8wf4wUCmnc8EO2MWDUUsgRYBHRSeE/kelKjVEmg6qFnj7RUv
n9YAGsvLlmB/jrX/+jGEOKfQHbM80Iu0X1HgwmljfuFBo3bePTiWDmhqyoNsKL8VpGeFqn///E4t
T/Yfjey8xtiIm1ZxTZkHi/RAs/vv7Hd+8TJ9dOnl4fx1SyapZF1q6mnQOepz2KYwiKyvtsE+uvbZ
9LBM26ZTSy0H76W+QN/f5nX3xQTuz2znX7fkrPVroYvF3TOToHF0cRwnlRy1hcSvBR+xiVM9iXyl
cDldLpVaX6i/d8TFidB6lkjXMWq5XVnGOl4DRayVqe4RYZaAoiOvXrOpoO0b8Nq+2Uf2NuNHrAdd
KzKo1XX4xQ/4aEmtnvco7YT2qvLiQAJjz6xsSzjQJ+gP6d/1x+KO+cxEQQX/o2IpzHrOE5hqDfaL
BRIhtYJlRjUTJGJUb+dAz4BZH1MMfHkKIoE8uvbQ2WKTOQIPDxoCc7NMHXo3XC2zrcT4LpDXtv3a
IIA+t+a+63+p8rWXX4wLHz365e9/vVa2cNTKws++nHEl0077qpHpzp8StH89+bMeqfHKZmB3NA1y
rYofpqSSWzZP5yfTHtx9D3Jig+Oy2WSaAJ0GEnlXKOArFkwPlmJXJXIIBZYZDuYtD8axvqLMQjxn
esx+hdKaCEtaDWV8OzQ3Q5Ow6Q0Gwe+dlISvjLF9eUN/M5ZWBnzG1chmWFiDer0ky2532ha0V3Y1
dEW7aiKhH9WmYiYCn6TfxtQc8oRM5cktvXs1V9fWqN3GHU4GY4TZCdLC8rt5ysGeVI3vxNUCSy2c
0i+KHv5qkhgnJfYMZvJ41skyG0/mYM7bSS/A++ZK8luRQ/rmQuV478u+eo+rtL2dSa9DgPSyjQfA
e0sJN9xVZAEvuPuiDS3E8XFNFmwuA4dP0lE9YauPtnY15gcjVdx1aQBT06wfaYzDOCSkvwLo05A6
jccjdXZOvSr0FLeNF+2yun5L3KYH69Kb164p3k1Dj57jOf7moaN5wTZjXWEjDHeDabZbS63EShX4
TPzCGPrbQs273dCNcj/Z0l7nFKisFg3P0STIuaa2gpnqAIlTlMlznjQV5mbIF0oe1s+siRyUBm5l
v5mgjW/TrrljuF51+IP3U21GG65d+JqKACybpMZ/wKk0NNgBR0yZbXLHiW7DrE1uE+wQLMI7xcdO
930Y4ahNGd3IJABk9mLS142i9asMqsqDkjq008r8TeEQIi49Km65LJUejfIkcwqqs2ikSrCHMHJM
euAZ05yEhOxTW/kBEkhfG4XEjtIm3d7QasWPZkNuE+Ho6zaK+32UFdohxZZckCNHHKV3U3RQi9zZ
2YYYv6mAJNdebSIhKUZ113nUYCFyg6uGZGajgghHSy6LHwvMnjgvBUHbUlbpMbTTyKe+m1mZM02P
eZHDVFaVmP19CCdE/3Pbbf2GvpXyMSA8svOoQIL5BOZBI8ruQ/0b8hX01/nkMYbeNZ0ZvXd2WJJn
z40fZmQ2gnVhiOgMZObWUyCxI9pTd2Wo4+b2FEju7gg5cFaNF2G1BsFyJeze0txwDsVQRZt2yqdV
GqsYAXTZt79V9NJro1Szo0ve7g1kdr8yJ1aXcmExYInOdiA89G1vRylsAtgq7OASZrYqbH29HLv9
DE3l0ACbfwstyLzV4MAeKPNqpEV05nFwgDI1PQteyZLKqNF+6a8WtBpPjw9NA+9VjADo6sSZicp4
HmCkuDgWiMm/tWpiXGuzXNyAk5ccJQ2TqWcOl0mZuru4rbxNxGiyUwe3rTdp54hnrS+Mk6WY4Ibh
QHJiBu8fhGduvFuZK+xVaqhyS4FJe9VItmvYOE20mzj2snDfa4tgpVLH7Go2LBgQZHm0A3zs4tat
1czb6J5O7ahlieehsNKdIFHz1LULltUy6pJgeOyOaAVEFvtlnZCgmUsCVHOsszaDTj4/gJOyVyNo
nl+tNZNYcXNc2evOGtVpoZwQQnBdoVH86ioMP7pZgpayq0hSBz52P1MFzhEXsuSz9DI2tbJm+F2B
WAYpKRfNSa8b8s6dW3vT67qYN7mXA2Ax6wEgag0ee8T9iFVyJjoYyuqm1kW/m7vS2FiVJF1lOq1Y
z5FeHFNsuJxZ8GuKGK9v0xqIQ5A+bhokRSeBvvaqbjVlI8qGTczSxfwyA7DGB4X22isGeaeyQbge
U1vdtB1VbVk/eKukMND5RahoQEqU72nXzW8ttXG+Nc0hJOhkJet6hV8e3FtxqrDblCh1KCoreOFH
5FKKs09bqa8dBRDmZHsAABJrMP2wx0gFSEmNfwD+Ick0qFZgRJo9+3QV5ppsAVm6qsNnZoF4AtQH
DlxHuSUtCc7LRiiUa/G8wsjD/LUFj1jFHS7KxAPpaqZtZ99obakvpIbuezd08mVASnWKKMXd144c
MW2FbvYAcyi8i7ukZ9ekgbxuYaNZS92Lga+EpLJ8s1BHzE+c2aBRAPXn5UC8Elt7Myar+zFBE1tB
oq9vOtgsTNUjcTRHRB1GPLKDoBXYNUraUWvVFfgNw76FANSOfmaXTG8mzuWLEOp73PRgg/Te3Kie
KJ7A4hf72LSSmwo24u80tonpjeOt24bMW5LWuOVXGcAXxuE9DKfprjddb9UhEvwhUkT189QrLyY8
jsMgK+ObxPjK2wVHECwmfRs4fT9K1e9akv5UhXMbp5h401Yz7vLSnH1z6nFsaHLAaRI+DDoDgDAB
grptgdzBs9I1FuuKN2+UOJWtt9mcTF8HVbNy9TFHOsIZhhsrM54DcCyUyXW3rRhav52ZVva9Ab/Q
wEKYaLDdc0OHIEN0wq/iGJmJwdyuzhSoNjklmmDHrZV0EH8ya/Unwd8j460qUhATYoUrVqxQq1V3
zGd+qoUN0c5aYLjCU65JzjcHQXXsOq8sl0nrSK2LvvXq/DDFTbITzfKLoi7aNrGGEzNC+aWqboEd
s3NuGiXst15WqfeDnWsbDu6yTWaGBlW9ambsEihrfH4DMa8Auv2IwtEwtmWr5cyzpAKU03D0eI2J
Uz2Es1pQyDk1WyntYYWXx95OhvsNtOnPEq0biFs93OTwQ3c2c/eNIRJlnUO75eUfxRHiBy2CNhpu
dH3stk4mweeHpdltSt3ytn0RvaMXBMToJLkJ+qnok1UiIMmSnEyaR3tywZizEljHGpZRMIDZrvXK
aUdnxB4eSsZdA9pwlS7ZzERT5qOh9QDHq4HUaNVE3qHPa+NE7dq9iebeNxOr9mdTQZhNgJlKh/p9
mdneENSVPgR+AKLYNSLAVCYriVKPIDnGDTZEFVFeYlXWTjGgk1ZFDPK1pE0LmQIQYSQ5ilKH9w2u
/ypXvNd4Tu1DkZjKSVTDU6T2wP2p9j30tWZ8sz3UCqmZ/W4m/MBZVz47FcZlk4kcW6cZ9SHNbClP
ELSUN3ZA1VVTWcW2YDqHCgZck9V4oHKnbWy58lvLF1y1plbcJIql7d2yDp9sCTN1ZvhcL/lOBIcP
dCbDulPG/qme1finC54Yt9k4H/Q6qrdgJ9s1Lbb0gbyMNI7WS3ZG3nq7AlbfipC9AvV8NPRTMfTl
ti4cOEBGT1LYazr0bNoDRCsmih7Z2Kp17BOqpOiqSu2M/cfCOKbMTZAeNoULiagZ3z3UlM5qaCfc
x2EBNMBXTAAnGh2EX5n54DCj8VhDKe60koOV39ToeE52PTL7jbReovkb3ceyaUDcRkDDfmLH0LZ2
30RX8ORumTPqj2nfP2OFCVcDZf9w2iJ1jdhJ3KdZyUyDehF47oZ324SNfFdxXx4jL/lte5W6MapE
xzoNOtAn2o5lK9K1fQzVlcr+1LnOSzCuqEbYeYcqNZ3CmiXFqsjjehmza7+U/eTTV4bcGEDB6lCr
CtRnp/iWFQiFVjZcdzTeSUZfCIY2Tj1E8kl7M9WRcwUsPfkO7S/dEXK2/VmIfO0k8bQfXfGbPXzW
N7KNrzL63StJwmQ7dsDLw7B4zy2nW1GGMa65YfHNZOBzCDVmfJXeN1SdatO2Sa0ZG5nhEYDIGt/E
SrjXDINu0YxNTm0HvLNSzj/jcJ6AYrnpuJqUxEs2gN7oRmNPb7Zeo5rdKjYRz3DgDcQprl6FGron
GK/MDpnEEM3NfpZ1D6h4KjFyYHjljVKB//q9OZMsL1RmF42ngw2MhJ+62MKiJdtbOtO4UZLs3YT8
cmcYzbSRbNBuR6wrHQ5BRTzCEhNEIAQ763zvX7IS/QFNJy5uPXW2Y1PZO0gR4lDnjsd8VxaQ6xZp
UTdU32obcHeVoIs1nBlpHbvjILeScU+2rl0r/SB3CFba0wB8Zg+Rv7iWo1bum64HiRtOaLSoiV+l
Nm5v2RvmU4Nv9mR1DcA2SgF8r+OVighU4JKke4MQmLMYQP5Vlgw3KYx4eqkSDThAcsb50F1x6uAc
bKMqnl0kU8wbbPWk8hVA3SQ25efMiO2pibGQ5M2NFkcdK1jOzmoTKrY5lvEaUA/KOUdmD+nEN2Dn
3DkQoYkTnp3iwRaGTedjZ/0m2s40Nm4Zuc9153SpP05gul1L7a6bcJhvcyYfq7xyzN8z+wozfllQ
wqxjw/axn/AVuOpo/4qwEQNWdZpVBuiOSjIHkG0Uj9vEsl9LObirXoU/YXrKb9NQ1S1AGANKVAjO
i1QYzDlS049exKgHKV1cRaa0r6ZS1dZV6QEYy+H18/PmLajb5ZCos49qoVHWUhX6jxKQW1MQ+WpY
MbC8SbXbYUaj41tmARMxaRd06JuVWX0J9jmPN/Xs/RrCONkIlNZ+rmty37aM2F0FGFKVrXrDShgm
IgSZVdbU1nbK6KFc2U63Pdg+jDLwaYc0mu5ZSnn3k66gkUnjcSOVIVkXKg+I1APoWCCfnELNaDJC
hwSG6ZbXxbImsXTpbdBuqgdFde2NAdn5WLrO7OOFtB5ylyU9vRCLvEnpi5XL23dftWW8CQk4UPHT
O7QE23goIFqpPktOwKpNSWINaOHKpShv22mAbXuUhCusm/VzOo7UbdCRo6BOfkfR1K36Dhd1PLja
mpRSvgX9WOzSQva7sre1zZCSDC70EXFxP1Y3vd4ksN3b6ndchskr/uPoioHSeSrrLjsolr4s12sT
aip6szkKQ8ixDavHWZYH2F/TTenlGJPz2dwZiABvQq66G9UeHXTm1GvNpQwyXMhklURkQNRouOOM
lptfxsq+7fX511Qb9hqkIoe3lTcHycTxT1+InyJPlDs775VN1ZT2kzuLcF8x/b6q2f313ZnFxCiA
Q7rjzKzDcJOtmZKRIixrPYoKqO+cm+Fd3xTNurfIPwimJ8zy8zjBkqYZ9xiDgO1T33SI6hm85GT1
T2SaWVWw0jj0Zt9s7Hp4HUybWB2MQk4RHZeDSqfddwxQmLsSeRVypOAnk+Ogy+WEVdaFe92qsjh1
I66JzvYmpIYi6veTRslBIcyW96IodhpSWNSaffKqC25T4VjoZDLHhG0gv4cJFESGAfENA2i7LfD9
NL15q/eTtxunOF8DAktvWuJ4vlMOeoCEPcA0ptqArkfzqJaxbEE9qlhtIHTG2652n+3S0aA1Jq8u
LEhdTTt0PvM7K7DXPA6/ZW0ufkPdBqcmnXXijOpajhLlmw2lDlXK+F0Nkcq7xMA3GRTDlaED5u8Y
5x45jcYXxUbOtk2qbFPGY08oqE9Ok6UQQ1JoypHd1Rsa+9ukx5nPnoVFm/LeQ0hgbJWhX9Q61rHS
aJMjG113GVV4C3Ov2KAuQZald1iqcmZFGxmDsshlbj02eqMfy4LeyiyG/TTW8l6bR2WbJz8g9s70
ebg8M3MKWB45exbe/cpZ8EQyL1/SOLo1Rc+b3LQDqzN7fOla1fmFNFmnVcjKvc84eb7SU0W/j82E
fKUhxTM6FDMIuwZlpVGDSIbJuEH2TpV7hluTjRMN0xsL5FKFjtmq3msr5xsjNq9Ck3N8N8xLnNA6
kqMScm4YZ8l6ANPyJNhuuFaZmv5KJYImRBLpvu8mz++w4WZl+sQ9g6JmVr/yTqvZTvLkZhA4nqey
e54694EJWQBLgGWzpr8lXv7YiSI9UMzrrBCpFLhTLcQYc8hQMw7sQkzGDWuVzqexXONCXYVDWuAl
nPMDSPBS8x3VSa9lorQnhUwP+w3FGHS5O31HzLZMMhpt1aFJwsbWrOvSQszinTyZmn5WKA5Km1Dy
/wEEOcsJ34ANRR6iNpvdnoyfNS+GCu+eulw3NigFXm3LejJNa3w2eF33iVY2J1vE9iNb/Qlo6Ljb
2R3Q3kaELo/TWodS7srWFb9kJBEcN84A2dRQy2Ns56DCi07dm6Vhr1gMIG+dbKi/Q0H5iW8JSrKH
CmkLOiW1cN2NUSTA3QGkHBWEl/uB9fy6FAn+STCOazX2zL0A+Y8CSVhb8KTYfkHrbnLmQWtbURxQ
mea00upRvNSxZx+lznmvjLFJpEV6M+vt5Dvg8w6UkRzVanGltTHjqDZsoa5OJ9CXyh1E/PTJSLnr
PGnvytXxD0qvYxag6LeOq7FStCyalyvggRWsIJkN/LQ6ANdJabarRWFOv4W5l8Hzup7NKxmWJ0dL
NLQXNcUVRd+gbAI0GBrTWz9l8UpUTFIsB8V3OYp8p5hZzwxg/mkvu1BU+z04jfRWVQdP0HGhTXOu
lIDbaH5qTf2qxEtZoprc9COlfhx3zOySandjLq50I4RPEBnPs3DAtlQeIF7nVA+EhfRWnpqmwTjD
a+LDsT61JTh+vM/4nXrtp8HQVo8VwHKBUUTtFdYG8nvPborBHFQbwzvT8li0z2Laq6JJXhBxKFRE
FPFtxYICXmSpXwGVszAGuvbK9ryFuh4fnVk/2i1nurq2qxEqaux6Olr9FNe6GyBhwasDRflYe2jC
FZ113ogUl1OGnmHZVdeZbUuMiN4hieEQx8hKMPIsTgQLDDsFpulPTSIzqtQn3giGQCVJUAV1jq/p
6n7ooGTBrGGut7dhU85q9NYa6Brz8gYHV+oLZYQHfNfONsjFcZfESc3xxEC1h6VEa9eymy3FuHto
xmLlKJ4/18Uy73ulPBhGcOGt4RUf1Unc93N4dF0FH2wMnL9mmnmXZ/OmNryrjgGu69ztRG1wVMw9
sNYCNZRobtPKODVKAQxSyCcOTwPYOldaON61LU+/MNE1aZllrkQ+D/u+H4KIUii/TBO5nqykCLLM
K7fDOPcPbmSzI57Mr1GhV9tEeWuq9G022Nc3oR0sJgL2ETPwqZzoJVvXaXAyiPlYTn2/j2MsbEnK
qxIzTUPR5uXVs5TpY86ZV9M5T7lZrOsWNP+oFN+crH6P2pxKagaLsMi1JZV5Sv6HszNbjhvJsu2v
tPU72uAOx2TWXQ8xMEYGZ1LkC4ykKMzz4AC+vldQ1bdSzOzSrTbLh1RKKSIQgLufc/bei40eppe4
NIrwlhHLcs7nG0ma6E5KCAKdZJg21yTTe3n0OBr9j2SwtmSXE1rqjxRAzS3tgnSTONpbeXMRLcJx
OFLTHTNtduDyxHZEB7tM0yBauq2fXkajaZzciMsXel6rxDzUKJlZevIUxGvk382dGaEj4p4RoEwj
lNyOuVPZsq5tAk37O7ufimUfB8RG+fnKByFl6ajaxmmIOlbmoGzTIlsUWd891TBe1ioKSDdoo2Na
m1tS3r/hqjLXWnBM4ozXE4jZ+sshC+g+TeNlVSHeFeNbo7otB0mDDPQc0Ezy7jQ+9IEu6umDNVtv
LDZFFT8ndXykPj/YE3t/0EXVfSCsQ+1+t235VJrN3jLDVTNecTRYpTHNEMdP40OSdKiCac1T12hT
ww8p2vipcIr3FkAlR930orHibzro3IMavWHvdfT8ZFhblzCxbunl2gsk6/cpHfZFo+d92zUdClVs
0IbQxlK6+jmWrC611V2mIO9BXlyrqdy3ZfhM77MEJPfqFyUNMNKokc3XCyJWj2ZNSd3EQuyiRp7x
mcD3GpK9Y8wtQy+vCAgln7cRzXltSnZ1j1fDn59y3yToX1ebCWFLQa7VsmeWtnRVVfOcSbWfQb2C
dibUBDTLtdDUtaP3wnJ/GVgfugV1jaya014/d5ejS9qzysaPUPk9vEqWiEkZP1LL2Arp1Ds8KjtK
nmKH0ith1NJnbzooM2M/iMmzN9hjEhrZc+g2K3RhGRNt0OIc5K1+QZn+UBn+xL7iWSFLpjv6aNnc
5qWVENwNRlNMOa2bSA4PoKX5oglaZojgUr6JSnFYMQaUPZVPg3YAY5BiYDfq/jQ1lOh5zQmCcj+9
p7//YWRGtTVwldYE16+ytAKaTfkLLHCRxtg0I9O019bgPNMad1ayEj/azL91kA+KgnC4MMq6JU3N
em0FZb6pg7d4GKl4+nJljE1L+zF9mkTsLVWWg3w5oh83lyb0ybTlnYUzFS5c4FkGI64hqz56zn+m
JOPMDUTNSbZAIzeZTH5MdWEgWYccA5POdg4ZHPUypLgCiZZh0ckPA7domPqla8akTZuAlPijuHth
c2bm3Xk7k/V46M2muBqd8RarzDqyuo2r+ifXj91F4Xb+d5I+N6bDhhdQCDETfw9zQcq6nj6StF2Y
cDHeTQ9mSdNiWJuIQjOya68Jb82akruyCpehJIQsJ7gYvDJZT0GyJXsYanJeRJd2LJONL7tH3Tbu
cnKKS2acoNVHxiTWQLBJwIGa7sxbmSGG69lb5zMlKgQ4G4vkmVYXvTEnSknGY9DW9/WqNWA5lLDb
HSeaWHvyO2NM703b4v60J8tGIBFULx3P57Ktu3sPLME6KvoZt+n8Ugv/DSzPi/TbN2aM89rwZLUU
xVis2GCcJdynu36WR0L+hWpc2qR2slWoqo+9TrPFHHZwkwpfPYwc1tdWG+0F6XirwmOokRhWfUsG
vL2qunKbxx2lUwT4r5D0xQOwBgtD1Nn3eGzsZZWZT9VgdCtwAorg9Dxf2jPitNpig3JlUd32EYVT
SJw3teTUPFEF3gakSG2gnSLxdMeUVWlSWy8wmmXsDtXSVCLdOv3waJdGezKDOFjPnkCKahfgBcd0
vMtUnT7C6KQxrKL2znNpxUVRqC+Z/DlrY/ScO7cf3Juq7J/rSE2cPzxB4EFUztdj2YEWYNO8y43Y
vGcnsG7dEA6wD5oIlupI4k9DfLbsOaI4kfvNnId64+Ztwb1mLQ9Mbd3WVaHJteaoSlg59HKcPv2x
Ygs8guZFTdhO5b01lWpt28lt6YFcNAikXVCVFKtZ9P6NdmbvIOuClYQkqkWs4lesrMUm55BMRr0m
ykAwxkKBIDdMFuA31xB95zq/h80KgFBYw03W2JDYxyJd+D15fVFJ8xsIsNEZ7eXA0eDgVG4Mzgf6
Y2kE6SoVPRgjcPLbWZcXs+DpnaLEWDuNFX5jxQZb2bcvkMdtuEcwbLCHGUSI26Vcm05YH0RaqZ0x
SrkGezQtCWI4ZLlsl+Rl+6cs9CWdwKDHdIJ17j4SqjhKOcfkk5BK6abTDZQeVACpieHOEgkpjXbC
RhmQmZcl1hXChPEmqo2z+sb8YXV8XwArrHtlFdnKNjoGj00/r8bceKpHZgO6yxqqCYb02g/uXEfR
thtYOKslrwdQx7hPphX9BeOB1AwaSyMeZx4gONduawOUln29FQM9A7qLjr2KPW8+jBE3cZjsZhcG
micZmUwoVxC+zsAoFd8XaTvtS9uoVpm29bV2zy0HpV24zlnBQQp6pO5Jxpyn1oevpe/pLhC0zRhd
sZ4H/Rbukn8aZy88yg5mSjBm6Am0bjZDXMMHBUoN98AmJ6uy4uBy7MZk54yx9VrHal7NJL4fYzDO
DZxZJlkQD9gU7CjadDGlSMqMbcPU1+I7q3J1iFUQ04YNPMAvTv49aBXRQEMuOCCiI5EoxGczeINP
le4c35a7rm7nnZa9OhInDQUncpL8XfNaXfGHK7WManN+dIaO9KasA2DmtOatW3bZi0qltYesTnUa
BdWT8rT1xpDMQQMDXDhhkrdE3sVeQcdUreJ5ii7pfIbLMQzlqfAaf2FbZk4H2aGZGuOAPcpiBKnV
w3StYhf7XNq2u6bPaOdNg7dhCm09Nbkprge+lJ3siu7QcLq5TznJ3/p10nwPBznBBSR9fGXmZnce
tqHHF0hc4g7pjNC1sZqNProeaZr9UEaUb8RMuxUUXqmHJUh4Gt9Z4BerMkkz4mJqg05+Bwg4BsN0
ibwa2lePLGEhgBLv5yFNTmAd5+/WXHS8Iw1pnkPVvzZmTX1RFv42nUxWRhgeG9LW1QdPPZiHEAwF
+kXvdh66dgnm/pzlTz7URD/atp9DYNaXTeMVF+kwU+KLkrjdBRNahU2r7MZoM7kR16Ajp10BtGuO
2hqj664IxdFtQ2OVx265ToCyAq9lZEcz1NvUfE60OZaL/q0evddeOflWtDSu474/xw1A3DZoUEv5
4jgjTCmvKKePIEMbyrSQYWlYhK+D4eqdaVruvVtnSUvEjNIrKduReQ0LLwNpenx0AxwToJXyaQOW
Xv0j4ckVSdGeEpcvE1mc8l5tZq03DEWLVxk7+kfpD94iSQIabNKzr7vGZaGvx/DH6Kj0Nu5yd+X2
FmO/INB7GKLuEvoDkxxhJRe54pgbst0fM9XiwJn0IXOsZpc5CunEmDr101yy+fjZWxS6YXvu3GRb
Q9Z6qeuGeFZfBdsUjKlG5Q7GeyrpKhn4Bkrt4XT3ohNzsce0YueE1MZTYgZ3mZ9UD3MzQSEM6WqU
67zNnXcValpLBn874IRs70vW4QRo9oUUqTgCYjWX0Pc6pGfIeAK63a+m4Yenyh0YM6UwBhn7ule9
pYg4qRuIe03dwMqcY9bEaLY/YBgM2NvosyQJmE/fA/yqBWe0UIdduqiYmlyXyPIu+lZGd21bIRGI
DcQCADvo0BUs9Wfh9kULROnCGrgcow/LXYVfdRV5tlwbaU2p7pbWofCC6DVJGUKaUfYUloWxAMMD
tpBQMDte1aKoX9zQKZ8092Tt2iO7A/5igtWQAE0DsppFbBTppo7aV50C2GtV8xJ77rjBO91ep7Vu
wWP7citJrjxlyrEe3bRrtyqecqZwFq2pseKk39oT9U0jLswSoJ47ZCg97Ewv87lCrQZviUvhMFuX
04u0P9mzOrhgiuNROnvu2k2gFxSJSFHjMy+eATZc+J7BvFj73WU7pw4DE2ZDYUAEs9BWt6gZ3HyH
Bz/QioYc1SP8WcQZnpYZcsnGCkYaXWaYXoauDfW5s6xwIy3FQxkX9spp/Uc79ngT2J+z58hqmqty
9N6dzmyOUocsCu0ZJA/U8oE1f1hHDj3P7t4kBOpOTRWtgqa0dkEPrUFFbnqY6JEdC8nUvCsGY0mj
50eeOzlBVF1+1DqpOd4mZHJq3d1p9JnM1W39aI9BwoDTZL5BRDiG5JRGjVWU7eUs02klAuCl5Bml
F05GDJ8kmerKVg30D9Pdwf0aV1Rs+XbMW/M59YJhP0WacbKLdglehfmQNAZKzrS65ThWQcGGrh4G
kXGl7Ra2reu5KxRqgsIvSxkzIoaNgy5eEGhJXR22fPwESSfEkpc+1DOCIMfitWiKtRuV5brzGuq1
qvJPiP6Ti87lNG0w3V4GTvY98ipvM/g0raLIzLcWkKItm3F7cNiGSiZtWh6GUkOVhTR+G8sJYmk5
BhvLCL4FQSc3Y5QaxzHq5WtQN/yy7qZj6g72LsKmvQHXHu1SqHebqhzC23SkL7AYtG2c4nrQSzVY
w3sHZbLks6k7H5YqecPDjL4miquNG8yM8Zvh3bN6RMRU+9fgQqaKybInjnboJsvJZiJVW0LtFWIf
GOpt37ymZTDyFfbUEbB+39NeFAf4Wc41OZ0I81PjG4T27NjVjCWlkvm6Dmg4Ge7QAc6x9Iau33Sa
E6NfhXlRLLu5m79ZYeSuoty1lpaa2jvA4819rfPmQjeW2hHJKVeaveE51sUFijeg9uVA6yRaqhiV
hWH2tzTSaYO3llpAnKuvglGk61g6Mlww0ObvLstm2eURy6GQ8KSZQzKvW6shHi4qeF3IiHYMwlfa
myLQR22xB0zO3dLmcD9kU702him+j2dEY24o+3ePHhVNt7nZ11Nlr90JWhdNDSYQnCHKhT2qR/7X
dm+z5wJwle8RKkruZzdsnCDOXmdy8R60SrsLFobg2PRDdCiQfxI4YflrZ8b2MIm0exXoKl4M1XoO
b04brPLBfOz5VBvurroNwrK58x2vjhZV08frupzrVTACAB6Nej3BpjmIgagx2cnpDqPkRIacslbu
lBU3jaiQQqUVmnhZe8lV6Hv2ljg0zt6N6PcIF8bb+QwrTsapWw2y9i9bhlJPlMpUmBGcl3djBO+9
DCrqoCpxaW33sjsmYpiuqKAfXCufNoSpQhkXYV8fQ6Efqpm6VtZzvRws73WIbXloyMM+g48XE4PH
lFEkqkjchrdk6LzYSfnuBWFCKyCmv0pYA20Lp9I/TDkz+klhp7KoFt2KWhWIcESNQVqf+SbdwNrk
pZ3sVOVXWNsYGQYLGYYW5NxWQoPLc/5zlpXGdrLDdOtZjgtatHgx9IQGdCajbuv4MXTVeEIX5eF0
dCuweE1RFcxf7RsrdeJrEZRMuNy4uZnaebyPXULqKqZ1WO6YmEd5qjdpYrxko5csUWLZW7tidJKe
syM3pCaGh8wDbsxQ1FpZIYsDoaNDfUK//DAZAMsbVWW7gtzM5QBGEgK9/WwjXTnE+WB9sz3kKEk0
RBf+GDw62fgWE963SvNcrRFEYAYseaSawApuy9TbmvZJQ4yOnLh6MZw8PtVeU9zajcNG6TUrxCti
jg18g9FMRj2q95DZxcLJjKs5q0CbK+utYkFesrv/SGBBdvYmrG9Mq+1OEiLqycGdOPdOuA5gZa29
MPIvzWx6A5FdrEQ10OxtE4+9qy/YbenbZblLiVPklvfu1ySxASNHTRXNQCgny2wvxrgml48+xbqz
EYG2Pmo8nFbfBjiCS07/hO6YgWusEP06d7DqmysQmNF1jQLiGWbT/ENOZXEvTYQYbteLW4QdKQtR
X9BvN9yFEQ7Jk2202D7R/cGuROS4QnSPStOQ26A3qr3hUwHC3ZbZTZeNaIno2daM/QK3fvMl/ljk
OtW6QoS1FYxg0WnHhGXDVUIenIklOli2D12qzYQ3lRGXUV1HtOZ2oy/j7QThkeGOaI/kgnOkBEgQ
tDo/ZJmWQAn7gLF7GOq7HuHdBrEXO5bOAljS03Bfm2W24lQ/basgCZeCXvsxis1wiWyCjs9AgeMw
T1l8htQGBm2J0E99WrTWm9cFNNpcYdBGTGfDv9IjB3EdJv7GR2z3vWbGSjk+I3SSQ7puh7h4rB1V
oj9s6IUsexByK9up5QYXgekdIi9lfJdRW1ymUwsAAsNljNrGsW9it2OvJOOho5r40dLGP/UqiYGs
OoP3wy08JGo9up2AiegmyGfnZOLE4TwVF3f6zKDHL0dXskumNx9l6r40sBNWKe3DwcaOEyRD8jAg
nKIhNehD11QIIQK/dC5gJOqFAA7EB0EBbEx+c9miXKUVnyA3CDP31jVzJCXGIBfJiJqPk4q5qWT9
jeYjSLYS2O0cIiGfo+E7mSL5m2+O3YkaPHjI6Wtt/Hou9+WcjuxnMUVJxQPaxM60pSKSS2Hlzd7v
i3jVUxg9zvEMvqEdOvYhQZhm5EB+L9N2PzQaM4CboOUYpT1sPNCtpyIo/NdhoKvXOG2wdvOx2UYp
p5lyKEfgFUw49rMe5BbLxsDh1eE841OiRRMayjEN54T2sFc/N7aa1yNr4cJJ4vHoxhgVORE50dbm
+AAwgemmJWCRAmbrPjppjPFStWX5jXZ1fju2yD7KGDpkTfzR2rWY9c4C8ldX9Po49ogpCRXFM5NT
k5yxXszAMufWFdFdZNbBxiwS5nG5eEZI0yfLlM3Qs5pgi2K23BQ6ELuuclFwqdBKFmXoqDsLfNxx
QjHHs9+ky5r3iN4ObEANog+HlUMn3wANrIkQfuIlT06BQnxKkZw/dj6JAwupnYn+jddGa7+39BXk
+fAl5PeXiTdQFSdsnmUVEOMxxf1e5IA1WyKC15UfQrLV1PmZTVcjJJmNRCvWXPr1dzbS9hX5mcwR
w7h+a0FmUA8kehsi3F4KY+oPg4BkV8c63RW+117Esz/+cO2Ad8FnB92w/VTLkq2c4aqGpmG0A56U
NpnDNXYc1uU2zmjVhNMTVEJ3SX/4fTb7fj1YKCtNK5yiJbntxlY59QsIesaWCIzWCHdAIiBK0XhE
4G/QJ8Xi4dbjd23P1SJMGX/27hCtEh1Hm5o38GQmM26j3uy+MTLO1mWKI3SmWN2Zk+fss8pLUBIE
xUuaZs+DMGl0RqwhysXUEZTTs2GUM9YYZaMNb41lhZ73NsXBgIU+41WebNdOUY8Aq3HCntdBARX8
tDn+S/C0+zLnn688NKhP72U1YU2Kur9tPsrTa/7Rfv1D55/z//5U+7fP3w4/ytVr9/rLL9YFXajp
BlTJdPvR9ln3t//8SZU6/8n/39/8t4/Pv+V+qj7+698RMBfd+W8L47KAd/b5W7vv//XvwsIA979D
0+7OJLO/gqbxf/0DmuZLE84ZmAoLojy/8w9oGhNq5Snk2rT/zsyPv0PTLO8/QJlb9Mos10I5cbZI
/w80zfoPSTeE9oht4SDySa79n09//dNkx437eTf+/us/Mra+pMUxNOLSfK5OuZaPE8H84n210bGE
sB3Ca9gs03Vkj9lysPNmYffaOAFALJk1si42HrBo4NkV0/Kqy7ZQgbqj02YRfKtMeQtc3Pqy4uFf
cVwG4RT4LhxOSc7073zc5wv6h3nw84KhoinlmrbpuOZX73FTRQDquia8xkRi3CAhodEm0/4ia2S4
dPr8Wz0qOr2Fj+vJoJmwqcna+Y3Z/1f/9vkaUOxL7hj/8PV9RgL+wSPZIZDqlEvskJE46iqYXfma
D6LeIfRlTtmaabtSdRc9/eHJ+qvv6mws/fWj8wVJX/DJz/9yfpL+aM2M4rEF5tuW11FbxM5VhxXq
2c4deZpkGW9IkXKPc1WF90Tcns0TQynkwq9mz0PoHqTxRT4W3o3sdABJPQ2LNfpO8RtM3q+O8POd
ITBceNI1HeXb9Fp+vcQ8sNqpr4rsuvOn4qgVZpXIb1sySVCy1VuzdsUOo6B9soZo/F1S0+d3/+UG
+Z7rSkfxrrnK/2Iwbc0msVy/La6juDklZhXdg+DlTENc3aXB2HtPJiFtUVgC8ECVaHYtkomVn8XJ
Pp0isfrN93X+Pn65HMt0lUkQpOs60sLq9uvNmBOXuqYr42tqBF6pobL0+4zy/2T6Y5tfRKDZX2fO
oOBOa8lEC3feQtrVdAyNsggv00LmqAqGqXswf/9Nfbraf706QQfMt0zJlu463penCUqwHZO44V3V
lVkyGijnk6dl+yzEEG8+W+leTy8NA0x3yJLE2JeiTH9zi85e71+vgR8vPUvYvudYKIV/vUM5Cldq
z6C9otlYPU9+RnoXqt1yR/+4elZFa//mzf0MCvjyE8+fl+UOgqX66U3+46vrirzPDFtfsZjxkqRk
WO8zKBE4SsBhlWDaVnYcYzAx3QHRrlevRtT0BnLgn1vl/77y/vnpsHhbSJi0hYtl4SujJqBhTpCz
N15FIGuPnddCWu0xgAxBGFmLxjbjS9rhwVqneXrsCh0zCo6ZvA8lVNwEw8I8J8M3L/4dOORPr7DF
vuLYQDnZZvh6vuQKkP4eVqxw5pXr6HgjxqHZK2lFdN1K51mUqLyUP4lFWM7x9jcvzJ8WOH60Y1uI
0UGJCvn1kRR2H3r4hRT2scp9qIYh44BZlMWiIR/6nfaGOCnOZtcW8o9lSHbPYoZ8pDmw0bxPI7Na
TYXW2zGayq0Xut34m83nHOj15eHhwXEsYTmOKQmM/fVxrU3w17qW6sq0dPfQdxaHwbrvXyhcmmN0
BiS6cxoNKJOFzcw+c95+c4POy+eXCzjfG8sVdKstzg2/XoDpkMSIiII9p/SNp3bKaZXAxloJGZJP
13Txxq1FfBk2RoQEK5nCR5jiCWEnwtcP2O//tYRzlnvL+uV6voT4MJ/Mh1RH6ooG8jckn3vhJz9+
85n/4qGwOTnxspqCtf3rQ+GJIWm80EMb2UyxufTmroeeOJa7AkfHsQ+z8JikxMwWJomq9MrsbciU
fecORbqLkGX0S5i03fcSe9Na+L3/rz+0inXe82yYzzZnqC/fCXoPr0SXK64Iscru2Zu+AzVBtqRp
dA3CLvZNaXob+qT5bRwNT8MA+VpIw7OWsV8EHz+X/Zr3fZM5Orj+53fvzy+zYoUxOUQqhzmc82UL
6oEb0RtK5yss2xR5fEtpTJFO2EwkaVmVgIh6ZqNYl6o68H8T1vLn/djyOKkqweLu8VZbX04DQWYX
jnZr4sDCmE4SZVf1LMgQPKh5IuIhTutLIvIfNYhaMAVdZV1bVRl9pGZWXmZuHl/885vxV08Sq4rJ
vseObH7N5QdpMvuDgz6A9ax7aHRTbybsovkib0aiOf75D/tCBf35bnDglxzkHU5EX3d/w+5GWXho
+DEZsK3FVTs80i6JDl7eju+57Xd48zHnLSyD5ibb/LDGIj0c2Y4fPPqEBGaGdn0RYmZdMZQls12E
DZ5QM2w3Z6/Y1pyi4XeBzZ/ZS19WGCoVJSyf3Lo/nwpm27e1LVue5h6q8iKhUb9sUGwcGfpwSYXv
4CKpGqs7uMjN7l2lvvsV58wescCPTjt6L8v+nFOXFgunNbL7QbTdw29u7fkc9/Uipe0pyhWUvVzt
r8vg7M2CAy0X2dbmgOecedqpcNPiQoms34RZ5e8m3w/u4b2KExoZjdoiXuUl2Ur2EH/Y8JN+F2vy
lzdO2SwFpo3iWHz+/h8OFvxMLDQ1c4t2tu1D24rugdjYahXEpXtHHHZ8AFY17jKZzIh7s/Jl6AYO
IAYiBM9MrDuj661jUnbdg03P6V3BQf+/3LbPgtNS0uVKv+zs5ADA3ERES+WgxYnhRnZtJ8GTryvk
cG2LtCKpsi02/fJg+iYi2YpNd3a8najm7soIo99EzPypjLLo2FtcEbPXc+HwZXkI0d+SLaTFlV9p
1oQirp6HoOKknEXISyZXNvScuJm/eXrOC/LXp8f1yMLnbO74rI+/Pj1+L/rsLIS+Cgs/fJM93kC7
hwzMjt+uDTnrmwTd0qHxK/fGkjOep8966v9wFeDKHZ97oMAInherPzwvfqrH0Bgxt6WI7TJMpF7L
HNyJ1okjwgXt2jeznoNXnBhYns//vei732UO/0UNQAtB0OM4tyF8YZ/P53+4CKivvWuNcr6StB0P
ZTmXBGJ46j2NlTi5gS4ZemanWUNlxZRAtQIAa/PPb8TnefLXr4NrUJKNkXOVUl9JPK4WFZINZV6N
nP7wdzlm9UzoojiF9HyzRYBmkEyWNHUuimmOTiqqxd1Y1OVH2cfRvHKUXT2DtehqErSb7iFFeLYz
BiVvXBJ+Dva5hgjjodw1wmnpDWu0CdlE+xn5cxZfYLgwJXtP7HsoT6g8PitjAplZ0/75B+W2nr/T
Lx+Vj8k3Lnj0rD8dFbJiQOHX67+vERktx5Nyq3iDDsO9wVAmACAb9qoM69eEcf0tCkzvBrqlfSDB
luoktNUmNuV0bAp5F8aOWo8GcQOlT8xNZtszJlSlP3A4WScas98aa7AP0ThrhMdwAbD3tI9sjGdb
Mm3Mn0XpOFrWVU1i67QafFxBSIJqes+RIrlCjtMt3uKaFBOJWziZ8feLc/06pjY9BKO07IM/xSmG
woF252wchi6p932LD8dPO3udmrr4VuehSxc8Ktb44UpiK5v0xlZjyIMveLZS9GSd8AU6SO6+wVe1
c9D270kKqO8nv+p/zB05YAwlGX8PMryM2Hc2fiZnJCcGdvrBMN7odJvAHc4lnMWvKRswAjSLqrQH
LNWFtUkQjl4GmTduODjzqHA09m4GXZQ7j07OTe1jtM4rbNNzGuxV6D6ZGBEx5KpNaIY40Y2qj99L
BxvTXPj5epg7cUpE5e1JZkn20D3ijU0NP+ZJdJEyy95jextxsMp6I4NhPMxaMibkXALlfNDIbOrp
o3Cj9BQnVNt5EYxMBTN9qK26hS6gjCev0B/FnPon6Bswn40pIM8mIOopsvLXPO39PQdj46LvUtIh
EhFdeT6C3JwhKkPWPp7wRNnXIkuGFbOiY5waxBvpXpQ7RH7dQ15bwy1ZIexA9P8eXZHVDDpbMcIF
w4O++PxDyswISoka+64RKV7uHoeGmwCJUBrHaDP62c+9isgpiSi1Y83skNMbKI6eo6S2d3nilNeg
EMyNZTNRXdQ2utjITvt84Z9P8HEkS6IvyJaq+5rb8PmloeWRy4Ce6FuSpuqSktjdFC2DlX7wC6ZB
U1hvJ42xUbeHrgrLFysYLrNBuAhbPCTodhEs2eCcC9XajK4IVFxlZhBubDV19xW5OKgPbfsY2623
b1Kw4h1e00Uq65b5oMrTw+duhJUqRhZZz+TDGIV1nylVXYopJRBXeca+ysoMpJtSp1jG5XJS8M90
WZfXBUmdu9A2hlU8Ml4aCkHOV6yrlTuE3QYZlEvggY/B1cpb/7Iu/NuBPItj4dfjtkFrsIoNQJcB
TzLy9xCJSqUi8YySDU+NOWFe73NED6sOy8xSKTNigu9S4E2xEa0E06+lrBr11NYxEw6mJAakDBIZ
fcaAToX1lUHhEgX8o2hdyVIavOZhlt52o+u+6j76FrShWHuFyjchaVXXGROjZdXgtvxcFSNeswe2
oQsaV1xYXPQrJGn5kpfxdWZxPtUma2nbDi9WEzHuGYtyeG+8FlGosspd0uHkQoY8YDHrBusV2Wv7
wLG3e1CNyYuhyQJZjHXGQ2gqhTR9KqPXtGH1MxImfXxO2mOY/DaiRvo+B8TcTlMTHgMk+htnCOaH
mmzNtY++6WI8ez3b3myvE016xqS68MrIu3DHZAcDtF3kB0PQXEaRaOBR9hSjs4VLWbJmNJiQWe3V
T15iBqegciIqZ5flJU7sce120y0x3EBHTKd6RpXCQtiNIUtKxXONp9Kh5WnZ7DJtk9TPUc2kcfFZ
rn7evWxyHAIAURsnc/4e1HGJzAHKyAbXFTmIZ/wiIWXZOz4w+xtxQvp7Ho7l5WjE3pWTl8YdUuOJ
2lLaF83YWjvTbfVOqBnFS9C16znOqwvsyqTmAGMjFyipsIY39dJJsu7B9SaNcHPmyDxHFMufS9k0
yu4BaRQuMWJT5DaC4HsjEwwMdT/ae7Yc+ejkrOq+Vd7L2LycR3bZuQAvsqiMzl7IGFtWX5KqZ4h5
n091ucEunB5bj+yLOJz4adMkqkdl4FMYEUloPmdJUlrfYfwc/W95p6qPCvC8XrgVui8cXeZz6cS3
hZYTojq0zWgoDl5ohVsnzdRFk83eZWd51k4JaW894p+WckB8c05uK+Oqu5sk7jO/8ey1ZIp4mUf5
tePo5DD0nX3jnU+bfu/yzX22GQk3FtWSE6G7QXyudT7cSdOCxjj7aw6l8wcBdvPlMGXlz75Pcj4c
JbGhUEkl7jLmq/pv6s5suW0l27ZfhAq0icQre1KUqF6WXxC2ZKNvE/3X3wG67o1t2leKHXFezlNF
eLtMEk3myrXmHHObdhZdFivQ+iUSO+xQAaJUoYX6kT5EykDQU7AdC2xOVRywt2nhF8hER6E5MRCE
oL/Se2QzWV/ojxmd8a1sqvEtp+5b2UMauKt4AnCzmGSjnnBj0OxvvSpalb7xbuuDerGLUkMjGyOv
snzDXEJqoz+i4vFgejZBfbWboUWvCYvzq+S6jmBrTbhzQMUlN8bQWnieEmjTQ9BvYRCgsMr6HwUZ
QtcGkoNDIiycP5Vj3KSuHT2YiS4w87UzwLDzN6h7/ftUG5or022KU5qP9Flsv5rBOrz1CK70JxHZ
6Ql7N4jvcDS6r9BIFEwX+lXncg9cR3RXWUn2Y/ItBihzOlGukmChNCFWhWP7C5lwxjN6vs7CjNEG
2WPlnlw6/ovcRsnReP34nI6adpjKXM2KkPqGvIZoy7Gm2Lt6bi8tvZK4SriQGKUpNVempYq9xwv+
4reQwySjtuvuvENW8QSH3a6gAFsknre2ic1StTFv+dR67GbFBHLRKnucBvO7bFK0BVVh3bee697l
Hh46ADvrIhZdsEpSrlQrJX3KmCOgxWsmvYfR6sVVi3NvSxlkPOkaCKGEwTCPnSPp8UYu87Yulnd5
UMxV8Tyv6QMhvurpoPHzk1DeDabBO+OluvlaUlZwiKhr9u4K2XmML1ax8gBl4E/6vuJEOdeROELL
V7SO/CdcijFvgJDtfaz40wnZyVXgjupLoAKeQE/ieQPpZB8Y9ISHKDbEmwfY6ab2EgimksH8nqm3
ukL1ZTI0n1T13bYrPi4FxoGyZcKzwFDzMSildpJFJDaVNQ04bY0p3xf+yOprai4cxQ6yAGruToz2
rY10U1uPFbbNm9hHVBFFyXDf59Ep8a1qWnbdLDKLHLd7oMuv3vVW6740phMdYSfimBYV1YTUh8nd
n7s8wIfMd4DP2hedqhdBUmWpO6stqx9FbfZM+cMwBdVYch7HgdgivVRNBKXBjFB1mRsEuBOYiGp4
ZeXBr9gJh64iUAmc15Jgg7rUv6J3DCyMXWF/NUzmk5KlfU/T7XaMnSc3Fd7TaA1yzzraIcjs+fKG
rlF15bxlBW0vP9QXJoXGehSxtuJZR5NEvRJoS5GRRVcWJuJ7PIMLyy3vHV9P9jTPx3WlMFSmmnBe
Q7fsj0Yi7U1odf3Gcn1xRWTpwY6dnCIigv/ght+YmFG5hXA0TiNi7KWJoBAJIuPTpBmrrR1CMkph
rruI/K36bZDlDFoIxITmKtfq7yjrKrRpaePf5GDD81UzWPY7z57v7WFytPF1ESayXgriZHduhg0o
F6Vzg5q6/Jl7peg32hiFkEQ9O35JR33eAeQA1MYYrPqL7EKlHYGEdtCmYjOrji7unK84xdxVaSgv
WAzDuE1VKpc+fo8FmvtTJq3D2GftwZT9cNMLmERmnFbXsa//qCIQiCjao/QuzSWbN/tA8o0V0Rpx
Mw5ethQRi9latI55HKEieou+9NxvqqOWB36hQnVI8tx+TgOY1iBM2+HUKeW1t/jNwspDjJZWydZ2
TP3ZQKnJvyeH5okxPxWQY03RFjBlvk4hMtzhwfeXyOFtRjYpJ4BJt3Jn6XidcfOrfkhFpeQCtL5/
KiOrPWU1/4kGTrGvNOxGbQd3pRKcY81xoIrOfI3328w6Xh0zK3h1zn8t1o1oXIFwKfZ6EFNKWaHB
6Pdce5TzUhtnnFLOf1X51Fvp2PK+d72QKw80xsauoRyGwmpuyV6Qq1rPjBs2TUZAgqZUlkXVaxTX
/RvreY/ulaMc2zCf6M+n5iArKQrA477oeOKgLgucTkuynspXxDBkUnhDJH7ikCam9FxLpvl8IMiD
Nr6yROFcCdEmqxQkQIzgMCqem/nAG2Q9fdksdPo3P5KsdfZIr3mBSZNQ8hZMFmvz3PtrEptlZyhF
M8cXl16DrKoh+B3A2R3mNXXSbLd5shysIMILeA1D3/z1NYpS8Q9qQXleJW2uWh/OaIxyBJCGJE8e
8JZjFECCe4MitvDRQOb0RQ0tnDto/HKsgjaRzFW1Ud407MYs/Nl2EjlZNYx7toPbvoJ10Bl1vs9C
z9+xOrhPQU/uQxi1bFL8xAXlbrDTEj89aJ0XY0WnttJkGjyoIjOveWcJFPC8bljGdmPcF03bPHHb
uX5Um1AzhzBYNwmgHgBp2V1m+9O0tCZLP5ShtulbB+ZHowCr5WRPN0H67dwJMXqHw7hC0Grqib/y
Jk4R0kiCd0+T0/UoKwNvfqCH3/MIBftCYZ2Ui26+OK6cH7Fcdbf0gq2rQbNAKY7o1H7dWBT7T8Zg
0Dp0E7HL2NE5naTdih6Uc5+UBFbPt3aKdQYSdqL7pF3bnO171WTfXQrvBxCrxTrqsxctDTmuorEE
iREb2do2YvGY6Ymx5/wHIGTSaX4kMEELhCg3UGcRBVMhPGhRw2bLOsjzEfgRXsKEU0PWhxHHbZ7g
OKGpF2BEx3EMOHlx3ih+7agWZJRlxfhzX80di3Bwhz2d8hFPWvEUatF317KdU1xhqmcHtMeVNDmS
I/Zrj72CBWIwyLprx7p+wwAk71VYJRZLAxfMrjzth3LpsC7TfkICH9AevuvtpLwJRmwompjwak0x
hDvswTpSUNXA8NQjJuJZNXw3YH/R19IpE8fWTzfIwXHvkwWzs8NU30vNTde9HJLTVMd1ADcr+npu
0AQpVKsFOSo4s6fKHZ/ZnLmfrsDx4Xep9UQb68VOZ5hZggjtq6YSuCONFeLpmEc1aSDz93Tw/dvz
414FUEgLagto2/PbnaSJh7wTImczpI/J3L/WRUGEimlU+FDQ2LGKBHRLql5jNSKNUz1VQkMJrlnA
L38tR4aJb89Fy7/kfYSm0TfRVCzSqXkSc994q8dmPdvpyKLAOEoHJK/vInukgHe0vgb5m6aMKSaO
3Rk2kwbWWx2ghx38imJHB+yzaQgU5En3zewrpLMOIqcVns6rm81Ie2c6zkNUR/KmU5R8m3OX8HxE
otNRRZgNU+PWt0rnqZ7LyfPxjv2IZmHT8xZiwinvMINjvmWX9I/gjuVdzzj4aTovxLXOj8798Cpu
Chgq4QChpmUke7CBNF5BEilvBhPCDJZD/ghsXgVS7zu6b39tRZV+q+t1SIqmlrw60Vjvo8FGeeo4
NzTHtHvCRzi8zJ2+0pr6t8bIwbjwrGXXvVPWr6ldI4KEd4G5rR3uz51tD2TJlch6DjVDtukrx943
0BxO+bzvADSAWDw3JFGmFC+pDS1cqABDcE9YfV36wVor5haR6gp1nwC+uUkRN9x1XgcpeWi7m5aR
/VYCzpCL0nW+WaabXunzxodwvb0JPQxGDCPxB3SxTlsE3bleD/bGsXC8LLBL+jhiqaCHTAdCDDxl
lzVjyAzC8t7caaRng5qny90WpK1O9M9Y3BjWZODla4CSe7pPVWTIjaY0984loFUunIqqvJNjCfLB
dsIbJ5oQlwyKR6QJ8Kgr3Lac4ps0WjssUuOKDhmMzsRL23cD86F9aEfIjew4cf/WOpNzlZx7Fed9
Htwve5Q7zY0At9J51oSbch/mAVDhRf6y8Bx31iwGd1Bvhy3dI5fmBZTS87OEXsvYFJ5N0wD7/gGn
e73N6cHu27yUO1k55b6Cq7z3qn5d5r5+NPQufOyS8hsS2fBIQUNR5sTJEbTXDieh+V2VdvOUzsNw
Wbo2OlnM1PCMwmuD0wFMt2F8TExveATWl9x4HoWBgKS2dWJo2lnXmZvCljcuh+qjV2jmO89T9Noh
ZLo6P/Ef98T/1P8gPpQ0M1yAKohxLgRbUQ2Sv/U1eSpdNnlgcDTD9fkcoru0mhKbFeHjD/zLSNr1
pCFQqVlg1U33QsJBDdfFZRZop5H8M6C+NRaVgaDzd8Mc9dNYFva9VsyuqUB61zDEZgoFX27RV019
EJHwnj/+Qmd5wO8zAb4Qo6h5Zojk07yYRpmRzUbTTHg4MBDduX7ovdUTTUMdWuOmUepn2nXeNrAk
7pZpgLrdB3djI8ufnk32J3oxvYUgUcKT0/R4Pajav9LzkDIqiuSTzVO0a/s2+mRo85fhNslahu4a
lkQI6dkXoge9wz/RSNM6oTZP1pMqm51WhTQjEqyIVe9/RXXa3AZ5DKwPU3C39vNcO7qxny7bgkHi
DGCfAGDh3w+At9zWelPv+gB34nkRkgiW7z6+0Mafeiu+Mmor3WNy7HnnVIp/zLoKO8nRzYfOyU3c
FEywsjZdaCfbCGXihi6lc9X0lGwyGJ3XAWLJJgn6V4IiOGr9t1EBnHkcw89EEn9OQfleLEOGi6CV
b3cxBUVrWmLwqe1TH6r4mWw1fxvbUfukXNzioI7Mu2yIV3EN0L3whXdwmR2A+o8b7dpoJ3GQ8+5q
oQVb+ZZQby0SzBU4/3z9yfWbh+q/P6hS5zgj+I6Wgw/iYlY4y+b6AD7MKTmPDc6NlWhMyteI2nHB
N8NLClN9b9XptzyKkxW2ANp385Do42/y56IhuVDzu8IjaLmXIig2clYynSnaeUqoY5Z89/DAAdwO
sht/HkN8/Hl/qr74POk4HvIjFL/yQm2ApxalcZeaJ6vwY53u1Bs9/nxblLF9W/fSuepBI++hnnV0
9tlpPv5048+hodSZzfJ0mLrn2eLiVYvwm01pzqs2+AZY2EbQJh2FvGm9lM5o0x1oWydHmdkR9LGm
BNFWVXdO6GF+yjPtbSjKR4l97w6Jy2dX5i93wkDvwE2YdXuQYH8fH9dFWDh6r8QpStHDnRWU0RCj
foCs9Ar6TD19fC3+cidYc1yUAvN+gWbg988bqabsjOHjifSKeOeQK4HCKioesrRgNpBZeB5qkPup
lN7BsR33swnun7oTenEGarR5FbEQN/3++VptwDgvpXNKNKfdYx0JdrlM87dqRgYbsbMyxlkcyNzw
uZtkfm2O8lF5BIvFSS92ATEVn8it//Zw8IXo3AlDEA8hLu6AhemgtEohTjSCxFMdFwGSbysONiUq
FU7Hwv1p2zSpw5oXxB+1XVslzdYIwxxasIk3DqBo9L3Xg/5tmOYZ+r++YVwlLjVySRaNy82txICq
BZYrT2B45kZqbTMXaTOOYPPkLzGS4e1cgZ3Xq2GY6Hd//AX+onBgc0Xn6xjIbOmxXWS0NkNhexGR
difZxeO9CuYAgDjB7TMmV4XTNFdZALfAgH+8i4Yh3SaCXuAnz81f9nhU6QYriG3ahBVdCm/QMhdi
YlG/9Zz2gFg0Z8gzNFswfszYtGn6IocetEpNL4EJlz1szOguEUl7ZRUhYPe0ToB0mOpbG+DUxJ4Z
wQ012pPQOKNXxK0SE+TSd/r40v1lX6IisxEs8LogzLh4tPD8czwBCnmr5jWONoh715omOp1SzKXu
PEtqnU+36fM/e7HN0GkX9DBnHT/Sud/fsTDmSDWBmrgdOLRshdOWTwZWs30PfvNO5QYnD6RzZIwk
IY8r+3kCB6Kjh0rBUdyOYYgPU4tTVy2SIH0ebfsBY9qwKJ1QVYvzrPk8qcYnS1Op5whOn79c2iy8
cKGHx2po6QpbhWvDWoa058fVVa8jgFq1xFJFiz7Is+f83LweZ+m+rnNKraZxuuKo2ywYBLb34eQV
r7+O2b+GmmU8GqspicxdXUTjyQvy/u3jm/WXldGjpBKug44eHP3Fzco6kdT2wM2yo14cnVxPdnDb
uy+hbRoQHZPuJixCYzONZQZRSuWfiGD/9vHUBKiE0PHwol/UBoGX0tHo++hWaaF2AFST/Goe4Fuo
d2VfwPeED1dt0OW/laSD33786+0/P9+bpYA4piz0nZa8ULaNne+BaAjSW9Zenopzm6ryqCFIjeNQ
bEi7fD23L4ibM27Apuc/jVpCP8+rlINdMQszSlSOBB1Jh/AEIOmoR1pl4Cgl6nAxmiMnRNsPOblj
waz2WjTQdqz0aBu0Ef/JIAmgXULyKKYF60D94GvD+DJxNid0h0QpA7ynR0slcga+lJblTBALgs0W
yPp56fOpwVF57vu2ta8Pyxy72tO5Rawh3X4j+QolTxVkX0K9q54aaEgHwYH86pc0Tczzc3LEEU5F
sxjz46v758Vl1mNyjcQsef/jkNY5ysr72kluNUxfoK1RQ9+WhhXsmboYpNVO4/ccky377xiutTGw
P3m45pv3+4rAGXH2FEmBXQIZ8+8rQoCjEfVFWtwGg28e7YR+ySKMgL3jaJzbY6nuQYZBQiYPFAfW
J9XfnzUO/T2d8g+aLE+YY/7+6aJJqynFPESpJ2ikpaGgzZ9K/cYlK2jpNhYeuI+v90UyIsphuhBI
IyX7lWeyFl48zWFCMGgm2/jOidJ62YaBbeFGLSBrF8wUzmUW9rKSODyjQSfd1Mu0cprbOm+1tVtm
/x3sm7WrbxLlwasdwFWGLuK+c33Kwjlc9fC2/SCans8mMA5i+uPHv0Je1q2IYV0XdxylOkv5Hwu5
CyuzhHvanohJK49ebVZXjl2BuFX2w0jHbkHnIyE9pIOqDzsoeWuT6qk2aM2g8AlAW1PJ7xkcxyt4
Q0jWC38IV4wrwCd52XUR519ikkbpSRvJ9JXGU7HFS03D15LVowyt/kfiGePt+fVhEMukV0TT/cAi
/g69vtqATic/Ixmc4Ws2meZLghcXPJPPjDQiKEKXNd9QVtbOHCs4noAFNlXfiVXWgzeBwOmdfKig
EC97IrZGR66ZW5YGD6aXbYsebYpEGveNCYSNnnVMG1IUgHpvz/VxHuv9rXShOE5T+azhIzlynKvX
ndO2D5nNqjU5J9OeYkgbk7dABqh9y0Ah3ikESmuR0YGSTWO026TWQ2DCNLZLs0l+hp6WP50HR0FT
mvCEhq54MvNSv4ohdhwbJHxvMjSN1yjz3T366oq0a1a6vHLM6JOn+PK94UhruwajYUugMP2jQ+B4
fT7GRq2fABOiCRtadlpnXvZsJ1t7XTz82gH/p63H19FbXajiZ3PpPf6n9fh/l0GZwu3/b1C++jZ9
S0LVfLtwNfN/+uVPlu5/cCNRb3GOI3EA29X/9Sfb4j9oVU3EuULy+nIz/58/2XH+Q9MOJxKdCzFX
1fxz//Un2/p/HIHfg8eMOo733/43/uSLInT2BZoOalkGp9Sg9Ot+X33zEMxo05AvUxDsBnx48JMf
RgmfHmKhZl6BD3duKHmi6JM972Lx+vW585d3cXu5uFl//9wIm5ff+zoaUwEoV0dFtwEuxaCgT8Xh
H/fj9tdG9k8L9sWLcv4okmmwAiJYwJxyUfBmE1KwtiGiryt795Ba7bMHbmljThNGMlP7pFS62Ex/
fRobmifw6uIiv9jO+oquaNwMWBrdjn6Wa8BKpjm/gogebcq+75dAFCgZRfHwr38mrSPaBTReqZyd
+Yr/o/0W9YY1ZxByJyXBqKES+s9WZOM6iidjrVJVfFI1/OWyggLh2DnXgyaG7d8/r0ZpF/oJ0pss
TLMBrgiZn6ugnro7AY/G28C9az4LGZ+r7H9UKlxc+oo4fUweWF6cy8OmEg0K4d6pNx0IffjiaOpk
YXymmL/8FEHLRbfxjCKY5924dL/QKgRgWLv9xpFzZG7ZhLsqjsXy4/t1+QbwKa7JD8JqKOjsXFZd
oa20HPfWMMOecubJ6RC9xCUU2AXnM33/7z8MNz0dZcxif/ZAm5Dpji/wMOo+EwARDk+BCbLDiszX
jz/oL9cOS7bNUHbeluS5n/KPp7C04jyPILZsNM894RWsgQl6wyeP3l8/xHbmdQvPG8vW748eTzR2
QdUQgmPZb5YNBzqYfPnJsvG3+0M7m6vFqoib4OJDrNBPRUBM9saQotuW0wSaziuOKbaAzcfXbH5T
/vFUo3WcO0v0zgW8BfoAF2uwMMceumHKEG+NnuiThfbiH8c+Ou8sOuZJmjTc+4t/vKd7S1hFlmyo
T0ncnSLdr+8tERvNXZERjrUbGuYvy3zyYwcHPVFKz0xC/eH+4994sc/MX4Pexdl9zC9E+fv7LdOg
TMkJHN2m0fuEfkzhV1ATImALREQksty5eWh9HTroE//u0T9/Msu+CX7DAMNx2dN0ptFK66lNNyhc
0u2I4GwzxmTh1Txcj//+R7JssMvPRynjfIr+x8OPxCu3ECcSKxYS9qQFqn6ja9XukSZN28nM2vuk
ku0nLcq/Xdn5lRaswxzO7YvDjB+bOiTumgjjyIB61bpN89LB0N3noiFNZgjMlgiLrrB+/Msfy/or
6Inos9ULXsbFHfVNvcgTvcw28IWaB024jFTDPH9VaV9te9Ui1TdT++XjD7148y0HxSVterqxlkUv
eGbH/HOTs3vTdnPPyDbVaCABaGSfrqw+srpP3pqLl//X51BlYSbizafU+v1zwsj3ekVIHmHigX/t
JJ19W5quw4SdgPGPf9Ll/QNBIxj7cPznWvKEzvvsbw8NSVCYlshXaJbN1+j08b8+D234B/6xvJAQ
RpePxRittsAJ5s2/9R8fYLU2IbXMRbddEzIp18cpP3RhomM5AwcBOznpIAczwYYo5haxiUwslyg1
WWCNfNEbAblIKfx7unY2SZpuOUbeYogD74vdODbSq1BNc2qQ4hDcSScIiB4m1on05Mp9pbXQHlJg
8sHSksMAYM9SZKhZXfRcAhlwl6WWZ7u4JwVzqZLaOrRTrZxr3EcaLUh0ivgzIqbnmSb6FzdwwfFH
pRne54mH1Vo52qs/jPaNETfOG/EG7rve6fkd/YQWwiNSl9cocYKGFoYFFxY0mFMjayKlZBmqANB3
iU0nWommGHdNWCiykAJMOeuM6dwDL7F/06p6UivlyKZDq5pAjBSTNbMIO9tbKqsL9k6jHNTbRhMB
pTEIJdiBF4Q/qyWei0GWJsZ6kNUglo4RcPk5Iwz2Lj9Drl1PG78jBDK/hKkF1GfMjSxdYO0lCcoO
zOoQs7TP0fKNg5e5bYuS+KYALKtLl/RLEPkqI+NOT+8qV5QoeStiRgKH3CKml87k7/xGBNaikjP0
sCbxmVkwc7Z2xwQLviN1TkGMW++qRz+h+5NHGPBX3oihbZHWhNuCwBbxsPP5D0zlvMbbphZUe+qT
LN27gQaGrhKNlmz6VJbvPgfoE8oPnZjmEf/yXkvK9LoEoGbdwhLub1FxguvuAzRMxzaa8oGVH/Hc
oh/rPN/ZsjXep0gUCugtGN5hNK2vphH1QK1D5msw6xCc4GvJQyDEHObLFXAzwpzgsgNTThxSptAO
dj0RVdIiWFWgMbnvkqQmw46wqp8ciUuJdFrm+TKkfnz13agw924RlPEtyv7hqrJTT9sip6HWM50h
e6XoM6xtQTiy2uAN0dQuDWxob2MfZpi0hOIbDlZfr0eL8NKZhOq728xqEG4HbUUGTTORZFwkIq1W
dVFpOjmEjonKMKvaN/C2Bhxrpo/5crA686oUZuhuSqNNDNqTrX7H14mRWumqpRXlt0zfelUZoNLF
RBxHXSFtAWRdMk4ZXNGfppwZ0JL28fgVEn7JHCZwB7W2/bxRx8Qfm3KrRRW5FBpZp1tcjq5aZYaj
inWAYiPbWEhx/T2Q8qZBzTup4I5sEd9ejcwwDlyJMV4nVKlXZJTN0d1FS3SrDJ30yfA9BxZUrvT8
4Bsjj9ws4neWU0HTBXCe17OkWKELCJVYH5ig5KJ1Cw0lDu2cRlWIj1F4+5whbIveha2Q/OD4Ksmh
mfQm+F7X4HxXWZU69ob+rklua0q8z5bg+SZ/9OyiRdBfJo1c21OHNlZvpNGvwhrs/CJM3f4LnRJ3
WjpW2L4Y+BOcp94p3ecownq4SaxkfNe8xjHJMtYbe6+YNSg6U0OhFqSCqMNQuY5DKDZ0Fh8ybLMP
9BS5V+GK+oWU7DRZdfBR3iPfya3V6KSC5PkoES0rF36JpVu1NkzItkRuItNperGp/I95pRPJ6uRm
KKHv4UGAt6sH9qbXs6JZ5qJKt/U4auHa6YoRHbrQ7GDjlWH7s+8GzViCLUxufNPBjuSodPpRVjl/
zTZb57k0MqNdyiLnESiVRdyH6zbht84Li/vOjeBZG9DyaZoVDEyuEjHzXwoCxkacHqImcqcERbDF
lgVhOfA9rcMcEWWclYkL9RbCIOR3MZX0QQ8KJvAuk4Phrxmy4Y9ACqWny8QU+b7pz4+ayir0ThP6
zCBpO3NlgosHDwlmv12lYeabazO0/Vthq/StSwbSBkaXv1bpMWqHakogCmAEaix2qcb50epCc4+B
4/DkA8LzvDVB7MIDkz6V3Zp7EfLnYx6ROl53JNalfSvAO0YdrGaDfUDsjMpLnC1OAAO3a4FEFy+n
Ii5qGlmPsgZScq+goCZZDCrXHRwfP1eefylrpwYKhJNs6bSNxpjBY8bYNdF3oLDvnBV64lB8/ZRh
Ol/k2BG31pQSqVVQYQADrO4RnxFEWKQ6WVGULmA65iYLScc+xFeXQy1Xll7ytaJU4DsRvniF5Lcr
tx646bl/2x18lNjHlnKMhaFYt473LSfQDg+mt86z7B0XJUbVAu0+t/zdadX00JvJT1O6m1AHMxXJ
h7RqCyQ2+hdcfSsQAF/gYu/QgN07QVEs9Uopcujj+JpMX3xEEymCMqWFiiqeta06VmE9Xo1z6lIR
8WqN7HJL19GgB/XNwZ4NwoLocgguxRLoR32siVF6Ri4aruwku8WaGqzR1PqLRNW4G7sIXRV5JbCD
iagjqUAd4pH71ObBRiuncW+gqTuBw+6O/VhOaq1CFr6liufwUd3hnSf/pvphVUb5LlTWDusYDvtj
zfzmkLmjXKiM0x32jnTcKmHguQK98aamwpz47TxrC6jS5sME5/zezizq2MgbHyNCRCFJljS8Yn7I
FjOxvjW8PD7ZFT5eWxlfvcR3j0hVuhMc4ihY0l+JvgRlgM7cQK1wqoA1a9RTfRYt+6ax3yuR0SCB
i+XrjzVGaDrudoJtpe/Gb74DOX507kVLlz7pULRq5KUQjPfQSJ30DjWY99CzHNhU/ljtRWe5927U
W2jglVihyBnXOrRPMKb6ahrYlQBxFAzKDPIK16h46u8+pWy8ZLrtj0uZzH6Uqav1tZNY+Hhz/kdb
Ico2v1rK0o94YQidZEyT7SpX8TYUvbpFWWeCy26gMlP8fI8ZxPbPTTb21po+N+Gufluk8bLU8VxP
phoO4zD9KBy3XRe91lz7dAAwXGXOSxfo0TseGOeH6mRD0GVCYdGGxfOA8OJukLRD5leExy3WAZ10
AaQ7pvYW9iu9a/deb+s/ZRB9HchBvzMJ3mPOMe4oj9K1oRnaTw0W9rHw/GqOD/0Syqp+AXFCKmPb
HIwKDcYiwQXIMhVM9U2f5PuYcLMljqzqrmp6WOayBXffB14GC1v+7Ab0L9VIorqPZWadNO60RmCu
VsiCJxKHcU8+Jp5NmC/GxLVlg3WPoBUtdXTdP2jDE4hYEgBp6JXJBxv5vYj6nadPJ6kRHrfAl+Ye
KqcAexz4QvxQ4ZizjYJIYzQKVukbHMG0m6OK+zVVqb4QoGw3o+i8dd/rSNdMa9P7iHBsMzIJYM9S
UrBqch4kkKw9Ez+LuGtnKA/+lPHKGuWwqYjjWHWt8FZJ6zt4n5Ru4inzxdILh2e/FclDWSgMtkHp
jYdKx3nh+TqOod7PXy0g948N4s+jjIlSZZgvbuMW63ZOdss9EnKiJznKQ1qPGoOcb6rbUzRBeYX+
wEOVyT452uxpC7cu20OJBGEL175fiYmglGG0WFKchleOqYaz0+DuJsSNrGXXjUt+c7gZyB4m1UEp
6pUGlKxysyWuj5GArqzND2B71IkisF46WaYAsjuCG5fBpqS41tRyJOL2NsaI82yXarAWVhJVJBuL
FNpxif8MRTyEirEby3WWsqFvpskMTnRzJ9LOrDFzF17cYQkzi5FVgxrv0HOXNqFnhNqSIrDkPRrd
TdPRnF3UeQqLtp/MMF06QvMnKMZ9yDmkR24YOxTkOygLzltmFF10lZHEau0twXZ6jYGxaYhoq7r+
aGVSYLJi9EbFYuTWmvZvpdayKqg/ZMKWFxWa8WiHGmFUksJ2UblhECxx60w9NkB9yjZTVOHNxgNt
jjNYGLImv6GNRdyciBEpqF0zQbB2j4pq9kCRreHJOnwUWDTau0q3S1hx2o+y1AGujZBtLeXpS9U6
2sayioyvETRPHjXOj6rwWmLp8APeg6hV6yJS+qm349fWMmziQJJThEEZW1hosElTli3dQJLO1hMl
0y5qWZIygjmkxVQWYsUNWgquxRh4w+uUtIj3dabk26Efk83AJpsu8YDknDeJIM8qzq95pGnQAOaF
VtDwCAPD3eehcZ1P8UugITEPA0xiuRWvBcXPIQ1L99rVq+DYaXn7gJNY5lt7mlrEHFkI2hiXQpfU
OdlUooyWSNcjdQvXpDxGrZ2seXnMW6ahpJGLEkvkptYDTCCI146RrcQNKoQSpn296zRKuykOdLjh
URDccqICTUxs7YL2TLUjoWvElt6n8SkmLKsuVbG13NF4g3Y+PjtWEnIqMTkdOXhuZl4//mPWJ3dF
H6jccAWemTXoFeR8ZsQwvJGCbCYvyexFDxvHWgQpLME170K+pzR0t1ZdkRJbOAXKnzg81rF8M6fA
IyPTu7bzMTMXQ9oFCbkfUbdzI+0lH/GdRYbW3Uhf6reY1/O1womBeWT4LoYqO5WGk51Qvw3vPFnP
dNqwy5HeVOA1d8Nj15PiCwwDBlPY3TMd2bt9RP77WARcW7JE9L2RB+MyyotX1Fnzvklyq5FKbMqh
YUx3vkt7CU3ExIw1kN7OClqxxEBZLPM8M18oHqLHJm0h+NfYTYZFqDVBuY5rP+23nhqCR5kREDq/
2MH/Ye7MdiNXsiv6RWwEZ/I1yZwzNZek0guhUkkkg1MEZ/LrvbLdhmEDBuw34770RetWScpMxol9
9l6b3rMEM9Ntsv/gZKS/qibPFvAsZZKqGDB88Omlmd7Pok6OQevp90lpkUVy7utfIKUEv1ZaJCK8
I8kzzVAjGXwvIRPhV763VSaQ8cym7ZDQmPHLrBcxb8hfBXk0VlUbT4N4v+WxnsvGa+doKsfPpSOZ
PDD2pwXVGYSXJdlGkCp5DRAE68qkdgFe6nykj45FfsJs2fizvgXxOX+8SrzAWpm+8zHPDyQE37ob
VRjqfkLprlAjB2nhE7SomTm+VdjeyAkZjPprW81q/iXalnYWF2wFOnD9m3pM561PQ+KYNplMXNlZ
8Mefl4QyN4/auc3aC7OHTeYuu3QU+B39uhK0IPNMjoO8+fYkZTPKTI0rZcJBdSKcbTzq8nZ3IL+1
/KasqGIaZ4i4S+irH/foanW1rabF/ZVnRse1gunuQwSpE8tqKb+tjjA9zfTL6+SO4tk21a3C3aDO
D2dhWFLIiH2bhFgz7oVhAgRYZR1Q3iypnFW9TSG4TYtelq3Ulvm1BXN8CDDEK7kasaoNYB7hmvkM
n/w6iFJ1/QI+Y+6skEgkr35U5eD9CYBY885xV9uKi3EEb7sMXv86BCmjPuZf79R1vvfmZAXFUdmg
vZEndjC0W+gYLq9nOtd1PK7gcXxCk+mON0g5wcStqqtFaaaxwVlQ03MJbelzsJkoo1y1zUMCkXxm
K2SZguHJNGVcrcsyxpO5iq+846EeQ/vzCJzgcJpIFg/ViwxFyRCqhDUAgqBlLfbIFKVbnh5gR3ya
b5+mWWJ5scgCUsaqRhiF+ATNHyMQYPLXrofS4Xa+9jYgfDMKfotSEBidR9kx3zF/xVo7zR5JobgV
UUpPbEvfVz8Je+IpTsaqpAwWvelKxiW4yGXhGiylz1M9AETyENprYcaYec0HgyAm9Y0UmFPapFuu
Esxyc38J5xTcP2WC7MTQerkVWpLLSZaMDh00BVcUUmerHbWEm+jfc4b1HcFmpPRv6nqSnfZAD1zi
zuPOL/Au8nUupXgc4Ou+mXGvcZOZMyb3NvTpLpvWjNUHWbFbJULJNpHQ2xA5MJYhx/XavkHcl7Q+
koKGXbbSnTAwPZrupYE3GaJD+cNjylFlIMTMXPAcHrUzBad+WTCDlr5x1uXiy63f9kpt2qxpX8qy
o3rVmw2UKp9OwT/jDRe4GZyciwfS34iibZe5G4eNp+6FFByaWOF5Inl2SKOKzlEr4gJ3COXJ4Vh9
5DbIErS0sRqjeRzcH1ul7rsOHfolOxVSGmmW7uhDy2gGN7JtsVwdCAUmRjtbA1T1acOmbjL9w5/o
/TSZxaiZjF3627X64Kez5/VWu1PPO9ug0DaSIN+W/RIWGRe/pfMc4KcsBMmgWlptG29CsyXW2lMy
AHwu3wECsd+BWBHhV54h3IOn65YZkXwQCBHhoDsUYlgubq/N/iaCoW4kak3HLcrWeJ8uyxxERhDO
9LOHhhHEGv8JerVbzYSomYr42NfgOPa4CUN9rAedUi3PrPiYUU9jHzF2l+smHbN67xIvAM0ya0yD
ZmMU/oPvSruNDMStckt4kJ0U2I9bYYSVeWJT2t7y4fu5+4ufOXzOgwXoorbs1IvmPGzbUz2M/Fgk
WhYOTl8Vzpm+pgIIYdE770Jn3Op7rrHvoAgNQs+JZ1HsOw/ecyCthT8qxVpBSNTsF1h5knaXMrSG
11y05Cy9sK+dP0uAgeIuMMBvXJl6bb2RWBC/Z3MwcwoIRsyIE/Y859IrJHLoJ24TzBsb6cuJ6bcW
HVUe2jrDBLH5KwCWw4xaAbj/MKUaXRAJoDsdXdPJ7Jv6IS08mG3nkGxdxZlJXGNqtjQ4Uda0GV3W
iPRfF/xavYj8YmOkh6ZxSwJJI7imJZoK8goPAYcxLmtkd27TquDKbglcoHHJUodem3AtCNMONJSR
b2W2j2tBs0asWmETkW+6qnojvg8Jorm1Pu3TQo9+NIRzmcSsDDsz8tD1FD1vIhjjotADEzcPa37y
HgIDiJYy908dqQUzGotbeV7Jtlgm54pokd4mukzn91Fpc6WLsggkyiNXzZgcMgq1ZUwy2yLjjgC0
2kS1Yew4o7fH7GY3b70jJ+YP0lQ5b39ZW3AqRJNRMzJlKylTiAVbrUzVfHKODPYZnnPzdzRTTR1J
kHNPWyaDpQuSMAYGu0u53s+KqRZLfBdgO2wLO31DO2iTu2IIKobdZglpUrUFBZgu9x6Kzwv2+MgE
Y6q/C6cDbuLTOOlu1VzZ4W9IXCxSC212zFeuU1OExE+UnbxaDm9SIo9E5PQdzNgci3lsGLKH0rQs
q30aq8SBX+bfblv3a3azyAVpEvRoV67zYruKfDmlGPN3P7riSZF5bTZjvgBES8pkfrNwBTtnoob4
dRNzpn3akQg3PNQy/2S49uxv83H0R4zk2DEfhqJJn9B9CdtusrkzjJ1QiUVhWBqkIe8pHOJ0sjSh
hfcQy8x7QvQuvTju6AwPDppCsff8xIBYZTgUbqjaWz5BOeGQ5a0kPCQzHAJbJ5X+j5wGE8UZbSME
+hVwXGxI0HpOPPI+ESe8wBo4necX9P12BSP2ZHpsw0Uvobw1dh2ASkntvI7KJJ2rg+Ij2dMEW6n6
AHd3/mHszh3OGHp6HvNptuePvE4VZUPKFHOMr6NutgXoHhtqDPgBGJjUu5V/LdjaC4POQs0ZWqZx
K7y+8UHgTkx1xP48ew7WG9uGdBx8EHDqbUsqW6vsG3/RrVyvsbtnrIWkLZzFN59XB+Ig1SMArNYU
dsS+qT1wBj0Fdt3eWiuftkUf+3psNrArNlSayfzoTX0RU8Ye6nNnUnu76cRqP1SOcp6p4fSLyBTV
8DdMMTGdVzZn+WahW/VB2ePE+QuR+tnhMvzpWlkjr0u2pj+2ACm5ITGgjCfqHL0n2iRN/rO+C8Pf
i419+wE5dXpeQkt7JxV4ej2HEBrTw7hwh7wMRuYUu7IXTbi3bX9oOFbKdaIICICxe6+LvHyeU380
d529CGgxFkmg8CYJcZkGlRXKZPiLRsYNfG2zNdjPLQIJtDfq+e6SbEi5yvNOGyO3XKlzzerVdaKO
d/f92iXtHXMYsXv4XJQ70xodkF0UizddBoqejAivkPs7t3NDcXPlKrs1ib+LTcBVls+klskXo8tw
rgAwKkhSZbqcgrbNxt2cOtlzqkNO5rAWzI9GX6GSa8Np4m5lOt3WOi1+6U7SUwMstGVIGQTlOXOd
lag5JvTJAm/bX5XO3RKlGTXb4E1MN29ix0uM+swztbDuuBWzFRFItT0fdNPeuf1c/Qi627M46EO3
5G1JldOutcRYxbCDK/NYLLIsd4RAKioPyf6rdMOXV+MBeC3fqqdS6oUvdi0Z+mU/+jPRLALS0dxo
SIx+nuvmuR7Mctq2kBHZfyyJPRDJnto10ladvld1cCu9rlhS01Htm+OZ1BzXbB8FwoEK6BYl1/Kh
K+mkc+VHOK/KjFu4fR9VNTC7COpOsi2INcH7D9txVfKhS/LpLoUawQwMZ0Cce5JVYGGc1ft2V+FS
NsS/yzgR7dBTIjrM/gZehxZ0PvrVqV/Ymca2sOc/TrXKM4u8gh1aV4hzBamIj/w0699QFnwu0CO6
NWPhlP0yydTXd2HG3pr9QLHseUnY3iS8ab2tiXLox6HRrYe8Lz1W+UnjLpAQ19DYDlXlp5eWH4Tp
2nY6uWEYbknLuJnKTjRk29V+pXdIArACBrOfQeAAYlxNVP9JKG7QHWcicSDIPB/WVLEBZveBzI7a
g47CitMgqDeU66+GEIg4hdIJppOTcAE9roHPdJgC/2638BuGYNsFpJdPt/03pk+JPOp4DWrfLHxY
F6IDlLfNero9tq4zdeZmhE9ymMqp/hadhZsxw85Jr5POJJwXpWj6ALnWHCY3ZUJuKSK9JNyfKZBe
Bl6xEZRSc6AIw0FKdRmydw27W+rKkV59qGjOUmxLGjSNiIeceE90cgt4FPWanipW3X+WMJ2LLRH/
BkGr62/zFypMtSWG4ZnXnMNR7XCwwudrOXufLG+qAzBvTG6xsejag5NgZ+EmD3mYc/ore3ooR8U7
EjiCNn93TG4vLYnpJ1tQ0HnwVpee+I4sjcGJtbpN3Mui6p9aJhz2ZkllfK+LVzsHqPLusay19cpQ
UrhxybFexWQzk19OYy1FzO/6diFdCx4Ot0aBIertxFm2QWEtyWGYR9gmJSGX6ohK3yAWBiSvukPB
++3NZ/tOrXSHiLTF1AFIrhcl1I2qNLPiOSfAyYqf9qsJcJLnru1unTy3/CS6mvSPLqGZS0KhuLoM
ZG3TCFCNy33OsPL5hmB1P+piNvv4NkwmR60cVgiaGXLcWRBNvWdXtuH9QBnbtC0tp3sCDLcAclGl
guZQKohZ7BuVzebam14KUyzTPhO9655awwmSg4E7MCQFOfEtMt4sUGNtqFM7sA42CXtzndR9ocHE
7NaUm/zdWNK5GkNrhtrAgsSWFM+C4NwOxmwiuWL8bwCP1Bj4y6T19/6QdPpD6YLWlaiqUSTAaSHo
vGMJ6D7mbPSHiN8jC3vpNzciy6Cp5Uuk80XmQb6svHrU4hSLZTgX1+Mzu4XU6d8tZQoQJfSWBkWX
ZAhmGTephn1OvYN9pKnO92gdc1GAtvYyEUtgwPb/6MApJPtSAILgsyrwTm4pm8+UqtLmUOP4CaOl
VIPcj5yk+mSVBrL4Sv+ue1rTzBEfiZl15sXI3MFdUOwS+i4cBYT01V8tROILBuN5jh1FuODVzyom
EVqD07kvN/S5dU40+RX3L9PKq+mcrUsVbkZ4ocMOQCWYWzU31niaC655W39Ys+ngcaaNFUYbx/pO
QHFAc8rsQm1ccNDySE/wRNl1EMgvu5xYkBIQdLEqz17rnSeGtb+FO5VtnGtAy5tStzBMBqr93Gcg
mVO5WSgopfFl9orvEYuEzTqCe9gJyKz13beG/ZcFJxpMCyxPH3CpDNTvzrodgGeuvhflrjud2rm1
hqfJGuffrP6ycgvjkJbIbhw1Er7InJ+uKAzjjo9U+aubR/Erc73pw+9zCsi5ezHWgu36g5kJ9t5k
+2CgJtetHkdAFDeWtZ7YD0DCyWKf0OACvYvV2Sa3zPnHa+WNYkt/ZHeUqWtN23pmL36V3Nf5wqaE
rcBmw/lgDENvaGCcVhekTgYn7DZQbPgwV+8E2fifBrc+rNdtQNcq5KY5YxXR6kFEBXz6fGvyC/cu
i2/IYAf61KSc0Q7IieAVgyEJ7QVt1J5zWCEYors0ooC+4/mni5W+AmuQA7F/1ym3CtWfPi7bwqJE
8KaPgslOZeQZll0zU/s8hglspv5BpCntxlzBOOjyTM/hBde2Z8ZpAa7+wNCcvCM0dEwFBZDRrYeh
8K/nkm7veLRQS98TmtvCj+ygr2Dr+uwqU9NmRshXbwx4xC1E4cnVy6Gk/nY9d1lTUPwd9IwTBsWk
LEmXkYDMYtG4xLbep/J5LRMHxX5SzTlFYr8ViI/OU2iQ1Y8qJ6zPvPoyjIws5dwuIBX+zYsObmVj
MtOCsa1XFZV5CO/KR602ojpHHozykSk8Wktd8V0zzSFhrbxOZ+mYzL21lSdY8Qf+62MGppVK8Zpl
ZlRag7r3erF6kY//MOCPL0ozNiWgR2DMhfYjow3Y5xOk05eJGJCORVBmX1B45opxeije/G5hym/L
jtrSTrLVjGQrrSswO+OLmjT9C28E+MnEKcof08Ets+t1gFA3zS4vWecuyx2p8dC6x4KLDs23RZgJ
yFqxwRHQ5RvLNbyHeWQCjKnNnj4G5AgrCpicnno1le6m8QMqnJfGthSpqcoFUMeF52FMa++uZ3f5
ytsYX8wkJ1qgjXTWKb3pGZcspCz7xXHaxmRNzFuSR3s/ccX2mvrBDvsZ4aoMbiNNiWlwoz0xvifc
/hvoWSrtbvvS7j6D/DrjDyt4g1lE+na55yxf8C7cR98u7N/aLVnXSCNh+AnRWO+LdVbONk3rTxRN
/1hMA3nOMQvcz8lz0m8fDbTeuE3vXJJBUHihytJ6ErNfZve10gbS4cCHK5YIbl9ACwqbFtw158qZ
Vt6XC9rYeGhDuzc3hYkb6uDIxPsJ4GVTww4Zegf2Q2GCWseGMWyx8qs35wj1HY8GamArw0xOQ05g
7sPrbDroRSIJ9KeqIJQtm47NeVUk3bQxNWzHR70awr+fAWjyNR3f4yZxE/gQFbk468LixF9js+hg
VitS+nxWHTj1zPHKvQaF6wgcKkDvNriKGTLatc9/LD7CI+XJPqwRXDK92uHrCoxjS8snr3GXI8/Q
sT0GMWQxcZBcv8dIVShbVxeSGpmCOg8jS/rWJZN0O+2WMLMemsoUP6FZ9CEP1IX2YCvtmivxfuhO
KeybH7cqil/QuHm8Q3bs/nKcDbgpDCIMm5788a2IeDVr7Aa9bF+AsToNnCo3tf+2Tin1Zb0p0D95
LkX+pQOdF9uqygo6x51mLqKyCvM/rEepDR6mga6OJmUC3vjliPkqC+eF/txF93E1TPKqMT9JbKai
yX9Zg5cxHXSZu+59laXWF+6Ccdjm6HPrG3/iQneBmLnmJI2P6slihLqJdaqx5TRNUOFXgV21AzUc
uLFRlv1Ca2rVLc6BnwMtcKSSGpBu6M8o/x3A2lPlplw1QC+32gaTGPLPpnNoGt4abcYHAn2P/Rtb
m2yIXIF2j00h8d5I7lf0UwtHBxejLlnFCl0wSUJ3CzeW1bprVJlLBWE0xcb4ErBGvM5Z39KvSqVz
FpUdD8JDp8uACWpsrV2fpmET01eFJaFA6WnuwKmVfZy4OVwqxwMQuZEqyeivJoZYnUDt5Pota60E
D9S0IE8rFF+UNKBdKfPehy79dT2MYSra11HAPr1nwCGGJTnIqi+5gtU9Va3J92XQ95zl16XMGxag
ZtHMKuFi1gRr7KZjynqzKJW1DbiyB5cKSn96wKfX1BcDSjxKitvR7wwox+jpvBh6XINMSgFZGuUJ
A4BlGIgUXh1z3y3mm9UpZyRVuTz2dqzppBON/bTkLkOEUTd4LDxesa/M0bI/AWLrOoDB8wSGMG3n
+otRZGx37ezK35rOj2I3AKJvDzPvD3jPOEXing0Ugr0xt59irUmym7wm/nbCq1OdQ+q8Kgxx04T4
7zkzBKhmaqf3HJTscF1qqxkO2P3gl9XTmmA0nfNGWPulEO67pFD9p+NNXEUaAuYcQzwrbzvJkW5O
XrOOFY/gOGx5Vhm6fFJ8EqGLYqqd4nkl63+h4Va+8e6d233CjuW7pJo8ORPPHbFmLl2N8lty3zsm
0oNTx8/oBXyicNREEkA+RS4Ol8zPak4DJ4b65AdRhv85E5whgp2/USmOj3yk4/3OAdooudQm/Rs+
NnxvtizYhgMxyNMD8L4AVZZacDxkgayGP+5A3wLOpVV5WCky+LboHPV4gjzrBWlEsM3vDqulbm3i
Mz3Z/iOmlApVYnXsrwTZV26FdByBvFPzC0bJSPNtktUdJlhRFy4O0hJTl4oBa6t15/ij/57lNg4F
WeEF2OkCcB06tKfGk1uG9bLz0sZvdj1KSXWCKi7rQ+Lw48SqKkrOeqOQU2zOSxeizw2S8qd0XsJu
G7qLMez9nrzAGVehElG29jD2K2+p8QdZA5vLPm2ncJ+EuKt+gw9hgOH6s7QHa6lEdsabXVtxBhVb
sTjJqS5mvUR1MmbHitFoQfDcVBn39PtB9J5NYlwJgc+rb7urY7nYInmphTzP1kRUWeOQ5SlDzHN6
5tNQmC/Cmm/7STiLglmD5tXEUsq7mEYiqPdqV00MNeAsA1nbDubG40A3aPwKCEIBWw/46OXoWZVd
vydem+pzw+UU/QY2avGorGTJucjZSECNpYzqretWZHrs72n3aUiWhA+FSpruFXxGal5CSy5kF0M1
A9M0G3jaf/OWmifqqjL0cJNxrEKltiaHiuV0quv6sZsac3gbUtu3atIfDiziDW7oft2aVIR2vz1U
RWY8dvb0shGKLWlCWZlxePdPQBHeJ0wnHjOgapIuBniuhhfe/2IEwSnKsB+BBc5WdecQXighrZf4
gYxsWFI8Q6iPYxzmRtseJfjT9LSUPmaORakWiYI1fvC3ycFjv1HCIYwjbfLG+LhSVox7RSdFZt6v
ExVWGES6dfjd9IVpXZXIA9ro19wHiY1bHJP8rdKEFXBZyLVfzhR2p0Vxdpq0o+hoDEt4RBjjjaSN
KRXJir1yaFu4Q2RrmwsbSzd/83xcNOe8ybrlfuoaDHt1FTbh7eSzLtUqoNp3EJCPObhAvfHQSHm2
h1LSYwdo8MD9l71hzhCHEaTFq0ioAbPgRnAp+ip7hW0QaqFGa0P6Bb/vcAfuR/6P80DttW/4BybD
1MfA5OIMSPY9VFtn3icTw6p6DmWO8nSUg6zd+sAexKraz0DkDZ/IosS0uJwDZZIMWN2xHR5HIQYL
KcmtwCO8jkgtNhuiqpBq+aq6hsvfjkebJ/oTkJRMB7tp7lHJZgMPdxrb5gqvfgfyKzNxPeRLV27H
avHwgSqVhEyxmXaxA9BNnmqenhbrQA7jtIVcXsqsWrq4manQWfZZP6Zhvp2E3XlPSZJkst2w4Qzs
7og/zJ0fStsSHBUj31v4bHt5Mh1a9io0+fg6RRaFLN2Cb++Cfd/Y8lUXA1vgXKTicbLX6icnFENP
nJzcb4610WEi1cGbTzvDR4hHd9goXMUvcgjC/SzMtT1UllF8mK123ygaCt8pEs5G8jAVeIldC48E
RaynA3pLkMgkxJI3EO9rltv/Hi79P4X1/3dJ/Hv1XT/37fd3f/1U/z2zf/v7vv6jVfz/S184Abf/
OY5/+Wy6/1ovzpf/qyhc+P/wKNQkmcq6lmJNopL/KgoX4h9QMtlnUl1IEvOG3vtXUbhl/cMlUU15
OD14eC1CEmf/CuKb9j9CVvOk0ICO37L9wf8liG96/4R1/WdQyyAweCMBOP89wVdk4IrawSiPeiWb
4tlZysjH+vOjdrJ1n6/EVzYMJcYxn4zhaiNdlbGsVz0eVwT+OXJnHD+Akxb543ZObuETa/V1XEKM
pE65VllUMZY+zuxwYop2nWM2s3bfjGnbv6ulNGmPyBu28GChR2yR2lo2aTWXdQTkt4Sc2/pvQrXT
SRTSi20edXdaau9Af4fJLYQZgcySCvF9JY0X6MgMV/NVNQaXLHfFkTw7s6SJBVs3a37671Jzsn4E
u4aCTMfEIm1Fw2bbB2rFqIKndcbRH+lQTleilmwOs3qqH43KsDrufOymwqKgXaYaS9fYSIsahg1Q
zO5iyqw9svzH5JZjOY4DydzhVUgdCP3B2xJMM8/awDO8zcQk9kAEYHgu7S5/xeqiP7jlT+cy1N2Z
Hm0fvWAd3uZ/QrpHu+IyH+iB888AtXzUGVf0aDQab8svw9K489fsiu26+WMXnkWjsNf2ewdNtSTq
03k7hBGHGBCr1TEwqycf5sieSKfalTcQF2Zn6elD0QHvzZG/nmq8UVyLUoUdLK8kNiOBewK0twXC
eJ35/v38rHIY9Z6Jts1pIc7oGAOx+HFUzyjMUFtMgi0felirKw2uxj5Lcu+DOVruwqyXnK2djGCN
G5FTlh+MChOVCKEiEJ7WFy6XYNBgLnJroKSJ0S5MrAj/nordscifBg7YIgp60ys4fedb7iowzd0g
oO920xDUu8F5CfzwamU0NGEgLPAFL+FDlbPLTMOMLo/aGzbeFHQiSj3dv9D3gTm9nEIKW5LggBvB
eYXLmGI97+ZPSWbwGjJfPFh0KHUQaMSpZxC9BF175E4RnL26WK8aueeVUiD5pTlZWN8qM4ntTlcX
pDvjL3BXvTUcZ1rwjVFVubNtDMypMMLT0rMrp748+FNm3O43Q0sdhsoq4FO9P8cNV6YRG5NKCK4M
eAD9tLp6A6cafXls00saZTZWaISSgxnD2ard7Njns/EjQy/863YgrQffgccK6gl9ZKIV/I1tpQ7f
su5CbJ+YJSrx+iipLODdzNK+3GOkwf4fAu3l8yUpO86nj4Wx812QJLoQ3hD3KGXGM1qFzZ7Xzh/S
0tVbmjeKt8S09cta+AwtMPADcahTy47nJqyfaFzrH1e/Dp6NRYnPgHcyTc9C0OHValavqgxPCXvZ
S1VVKaW6BOyqRnj3PP7cART90B+qcJ5OK4uWaGWV9KuZlBcX4M/vyFDNt8s0KTVE45JEnEmaEPqX
WU9x3k8+vMZuui7Cos2jx3t0S3s/LkGJ8TqfQvVpVv7NkNY4DQOSFfIW6wrc3khsR/52564vHevT
HBvvdaDpBXunsz4lhWlsXTJksSXYmXPVWuttEGbpAQ86XsjUbB904o/b267qZhd1f7PrmPj93gBE
EnfAKcR0tZsc1u2jX1G3korgGeih3rFpC7ewooPXTnX09c2gq0nwBR7esLE4r5acvpcZ9M8zW3T/
aFf2+hIMVfALC+Mv7fvbUPaA/S56XNPrKlpfxdk0G5z4/C39jIY8sCsDeQWcZRPwsHvoe2TAZQww
W3rG38zvH5JqyZ6JUk3FprPo7p0oVFljbNYoWQldp9vCn8wnv++wS9Y2E//knNWYWnfW0DuxLxa9
G1PZ3UvsPo+11Y0nqr/9Pbbz/BsIy/hAYE1dEUqtA+S05V322NByb7TUC5ackFBcleVbabOSE1s9
tyalRGvfRQG51SjDztNs1KRJxaBxF1Gv6+xY5nQx5C3nLd4Mrcj8rr/X2fdfgCX3Dk7gejxKM0i2
SMD4sdhXixeqi9vj6Jv9rkuNZpslIj9QSmlcWlEuD0DbYf95AARAMafdBYfR/CLKJD/XMh0+SR6r
Xc2JdUcXXrq1dMeHfBpTat/gdz7ZGuMrqZJTOTp2TJ3cXY7B7hl53NzUUrb3tjVAgM59fPJ+M60/
tbLGC4wAnry0Zqmttm6RSNpnr9rFEI7AakThwJwMJdX8xDwbHmv6E/eWGp3fGZeTX9bkdae05I3G
Ak8EL1lRTA+ZzrojI22PKXAw9jx5xa7tC3GnvCLdm9heyCSh4ttYHLv0bLJi3I9F2R8G5S6HW/4I
x9jcAhsP8jcTaNB21K1+RgB0v5whM0c+b7n1UjmFFYN0RMy+3U4u9jo6V6Gr9Xt0Oj8Eth82dwg2
fQy91IjFlIy/m9k29gRarA+/7FfCwlPubHqrct75korNGJByGioLd7lvBPnlogCqgwul7A5L4zi7
pGLR0ztu1KwY30VbDlu50ro8zSp7MHuj/O4bUgIsQXwUdbKFPsY4igijyfE4rCSZ5ydKy8Izyxq+
Yzmsx2lZ2wczM8UpmFrraBtt+Typ2b56TuOc2Gz6BD0WzW3cljSihf1CTwGVLHslspWGIa4QT4Jo
6J9ubJcnewLPhn9loA9Oj4b5iCfDdTcqD7JXyRr3BD0HZQgcGAoj+bdodioe9yy9aBasrfSm5rc2
qFCdWCcYjPpOEgs9DzJA8KkSVjpzafN76bz2wZeLHje+2yT3bt1nJ9m1/Z/GzqlzGhhiuOeU37Uj
uO320nhLu8nBt+kkd3oo2piC6PwJMEbxg21dEoyAyLREVmsMp8E6surHeU9dhIzT84qg1tCmsdCz
k49hgpmEJI+ZOcZrWkn/KwMT2WxaEVafLd72rW8skICShpUzlg1aioRx6vvCe5yJWGIjoFL66KS0
pmkSQQdW4PhYBtxh5rYJPHE2Bx0eS6Y3kjE0KlCZO+6JcNjbsbCDo9Fa2Z9OLQaOZFFhCA8qcVbV
IqlPwuGPJlvZrxmugz2GE6q70iW9lqWfHPySTTgbAfs6m2F37LOxgwSZ+jICwD4VBJpLNPrEU3x+
XdeIQYaglVeZXF6GpNYniqiDi92a85MqmTQUhzFGZJKKLh2J93a3zI8cbfVx4cR5RKvk2ZqAw6KE
oCLnK4vBPFFlhJ2jdtppr9rAfzbdSb5WYVnsir7hTU3QpztNVmDk27mcOblrV5ZxopxeQyTGREjW
mG1L0X1kZTLG/Vqkp3lgXttYNNLuuOwHR4cQxcuiBv8jA9LwsjZ9/9xxaz7YXt1/OTNUGTZ681Et
0uAjXtqfq6vLXeD61HoG03ZF5d0U6M6xoe2MPDIwvmen76aDwHF3ymAjoNH79rzrQ0ryfPTJI5aW
6ToHi6sj0nLjASwxeXB4K1sSIj39HZmQf0u8oY+FkSS/l6oK48ZygisuEI05h67WS/Nv1J3Hjizn
ml1f5aLHiovwZtADhUvvKquyzCRQNrz3IejdtZJsdZ9L8HaDGrUAggDJwzKZGf//mb3X5jY8CUIn
McsK1HOsNwjC44TAXzsqK6RKhmwG11QGBkDsWJU6lIjKCgww49x6MUjIGoQ4SWy57o0VojKa8WLA
k8+cSUTFMVBad3UfbKIkGo9skcpzNQxIODR2PpNeSwcLHR+KNXWaiHdC00L/oMvHwQhlv4ZKCPaP
SBgM6zja3HIktdPCCbtGMaAR5XBXShWFgg00TEOvZRX7IqRj5Cv9rJ/xqgfuJGfDepn7mNRe/Jye
zvKVnbeizLdBS42dYHFE0PZnI2rf2XIJegwxRCTlDgp0hjBN5rTPhnl2Kgb7t6WSaz9KCafD38N9
0lGjCl6UStIlt0YoySCanYLUoTVqXuMiNmqIjjdGLyeZIfZ5ZYh2WWZqb9h6Skdd4sSzLD05YBew
/FZS402fy4mfBGZ5YjiRbcpC5CvES1yuB0PjSa/70RtjxLmcsML0paWknPApZ1mFvifx5L639mbW
iisTp8xWbxZLdeCzkuGoj46waNOHRggJolSZNNdAXJfROJwZWhhHombuwC2W+l6YarrfQCqo3FjI
060IpPxDYfKDUkQuhbXGw/XYdcn4NZl3VSUqvIsCZcLJEtX6Nvq4XXV9r98mdIx7JZ0IXEV090mu
XPoQIMo64Yrh/RbVbK83iGBRuWREcHLl+3kghU+ZEHbfQ1iGF+4BtILj0h6moWg/sDqoW54K7Seb
IJmY1O6XWjLrzwx9EzYSiBquaNwBy7qoGjerFVAIhGx4MWGznbmvLluG4rzE2agVRwjSGF9CYVF3
AlTfE/IJuptR4PlDi1U47WKFfk91hqLpHpTDwkj/HLS4eNWUsMFkq2ve0CJVmXNTOMxSNxwTGP83
YCkszjEDSrak4nPrdVmkBet5AEUABUzW76UCveq5Nku+eNFM8q62CGvrDEFAnKiZhOeSev8kcIGm
HmiScU1IZfRlanzAbd602Ea1ZzGrqlDWKkLZ+VnZ5U9sYImrtgLrKShlA9lA0s3MeJE2wzyYdadF
3Ufb12n9D23r1NmwFvqTmsbFF3+WRL4MZaCNRiLYBYaEw0gKS3EvL9q9Y8Rgiawftb7U6lhSYipA
c8q7m5LTW4W9kDSEnERo/bR52kXlknLIVORiVY1COLBQh+MD8hWGZI0oVJ5VGIwWwgnRtEJC9hF9
t3SQU3rrUhSMn1nt9QMChmmLTt3cdbWQbqtoyV26ofGcoTJ4r0MTbxyS0rAym52sJ6qHSbnm3NTB
aJCvrLja0pbbslKHUxfn9bqX9fpd1nrDx5oJnIQODEt1YXnLUmpvfG+FCENwEsgN5IDc2rA+kOBo
HJDmUccxA/Rb5hknlvUdwX/kf55gg7CxbWCXkLAtPYGtb1YTi2ioMH17JZJQ3CPknZCXl0ntwD22
DqPcFFvZQG9MpJ2cUfoDtAHwxKclSzYaja2tNRPPEcLFNwz5KJyXdgkRdg7KY2C1LQF1eXqFmoIJ
QLMwsWjS4C9soW4K1vof+Dc8f6ERHWeSlRzQTTyippa/jaT3AIvCLmQLbZXvdClPXJMxuIMdK9uz
zUpAHNw/W9ZiESIz5AtQHWL9JnExB6evZsbSeIjSncyPslInsfet2FJutP4EUMahsJ7E6ZF9w3I1
i1qFUNO3fjEU9aFIUU/o2tjjakzYEN+7pc1gERgchthnKUMGJ0TpdESz3ZNw28wYVpLm1dAgQHgq
qqHXiAmsHYNZeZGzFidX0WmdPZkTxIXaKF76NrgS3UsdVEvzgQw89mRxK3N7o9Je87BhnSOjtk0d
vZsjFouSsHwYRvrUimnpCcokRX6n98IFQotwKMu2eh4Uqf1OhEL9itL7D10PLeaqUgx8sRhnb8ar
5ogYFRhrQ5ycq3mx88LaTlIbIfjMsYAkv/3euJKr3X0XtZ4409fYpoSDhiSAEDOGQVzEaD1nudTf
2MIECA2wABJmQv7w0ADDZafph0S1w8vWs1WS9P2hZTx2HJhdT64yipgxA/piBhO12jJSGtlpm2Jd
nVuWnQiUcrPlxNal7aApRHhiic6vnZKGr1Fadtup7gaXJ6J4yKDyfhnYONhfolzd45JhVdhUJBwY
caqQbT5kJv9/LVMWBINxYhcor9KcBpOrtPbESnoO75LAQC2yD1Me15h9Al6EEqOmP81DgHM6EpV9
NXMerMWCuj8B2jQ60/2Y86lQzU3XG6iN5Umpv/oo7wwXE+nIdkAdiWtkyJCsl6kNXUGSwhhxVSNg
Bg5Ea53TECJyEqaHuEZ1jcBB4a0OBOwoCeRMu0mTCTt4iUuCYM8mQjInQUxiQsJN24TNi8HrIjHO
6jNXDPpIYQKo5LptVjFwOaWY9HwLgUH6qeI0ex7FwHBKVEemF4ep0NkNtKZv3WBJa9Ou1odxysyz
0rex5KZC3BOKDrb9hdEgsirdhIY6J/LIb5HqpI0xvuUHnCLlmEh1iz+0jhE9Q3DczKSqsUnjfKV+
qYPhjCOLD0IzSI8KDa3fFoP+FAYsJyVWQDtNSvMt0KuIUOSIwrXiTjlWNd4oK1YF8lWWWBv8AvW6
bKtlOT7DG0OIjqB+zhBVG/GqqAONS2tUksdsKgI0dUzcBq/XW/zTgLX3cihlAFKwj5CBnI6XdGDZ
2+tj+8V2kkFWYi5omxGS/iA01D0C3PVH0Byig9+0Pw2axUU/BJG5Bs0m7XUmUGy4u6F/HNnxrOSh
iY75aGXwbPSYlya1Isea8+VSSepwmaJ64J0u68JBW1X4ydCCGamHqbt04aLDkUeviNKMGBpSLptp
xYJNdEsBWsqWbS5BDx2zy1bQ+EDk7MGp/ExuYJwcJc7NgM9GKBnLNaraDrVBfOeVF4Lw0zaldRK7
XvwRA/5gJovdV54yfw4UYcYJ2POk8+MwmREr84jhUNlAAyjRabYshudQW97MKarOOQpeG06g8DUy
3/VasY/YSyvVxKE/Zg9IPPXXJRYw/5Bq+4r/PmKpl5JWAYHmoPAevdaMLmebA16yIW91liONs7kL
q4rpIcnvZ2BwdytonyvbJYv6WwJgfcV7QLhRhAVAxEuKQAsmEtoCOK52TtZca8OzvV+FlbZWIug/
XBLzB00f45ioyvIzvrb0M1MKlcMAxcXbohg0twGoL3sZYtVXe9AQ85hOTzpI7Hsg1XgKNfIUQ5Wp
TKrEPxiY/EXvHvu9KRBgZdFW6StlkLYEfq/FPHmTuzj+sgJcKwD5zEOiByFzASIu7bSvc9JAAwOB
BQ3u3ciZPLc49aAm0XRh/euRKfJBSbVbTawfM56uKp5aeZi2BJ1iW52EOgfblat3qUFbb8Cj81JI
zaS/NqgsOAOCjOiyMUwwCUMM3FOmIf1jbTnahdkqLimE42bCELjvJTPa0MHJKUtwuZ95b2uMfwlf
AWEJhmPNUPCNCiLYIJuJdAZsgrCxnRBmVHmgNjq/UuXsJYm0+K0xwuVqhEV47YkVR4MGemOudQHn
GiS4uReh5SUyKcKiNUH8SeUYudEMDqmPpihjgmj0j8gvDLBYWb4juIwBUd9IZIuky7yVzabDrm9i
9te6DkaAzAzKMmSABjmcgqASzgj2i7UVp9ZXImXVUYkRgFHOkRUSqoQ4NhIAmGDotwwOymOJpPUm
mUDh7ymq1lprdYwyxZDdqlguniL0xqepWrgRcd1bvo4AjEl7L0jvJuLytapYgT/gWn6ZNdqUTk5a
vB+/GfgKAl1sKdJlVIbJVedWcDVDba85odxHWgI0jWGPRl5WAS+MuUYjlKReBLfoABUif880MfaI
XZS5JZpE9Vno5NtBr8sLFTHehigN97oZ08G2RolzCH/xQyViZ3AI0Skh4aCRB+xVwUKqdZnIZfIp
I3fBBzO6ptUW79QLeNy7UeDgy6TBfMxEnEVrU6+YnzaCgBw4KaU1ljZdZM2hxbWjdFZ7mw1j3LNf
ZFkhtGrGMkZDlPbSFiR9uM2olsTl0IQnq0jiwN1UnK9UepWC6DyfRC5xnahNv5MiDBVNokjvmGr7
28RowFUmQ9lFfVF+InHsfRnxPEr1Pq+pztFvoxBVB8oLQzGxVM5RYph+Z5IHi22j6ehy23x00KBT
BkUopHoXHXp6tbomRKEudQG/Z1kAgYlbIXjXJl3kpekWkUatVkfLTZCCU8U0nL1onMNjqdArAiSR
+RP3XOJuMzQtGdmCVqWPpdoEkqMKlvXZBfMgctrocC+agfzINYowABlKwQF2RyLiy7TwRefOpN83
Z8GsmM9DgoHUy9q6mNbsUYNVSWRquMNhE2gvVhdxKFeLyfY/EaEFtfchADoWYSkBx+BCIaw0xj8V
QT+Dp+FJfPwEr0jM/Dttoih5YOdRnromJ3NSxTuAf1kMC5ZAWTJ9i1PZZG5vdW3lZWkzNlQVKE3Y
yzb81FEpGZ+TKIw4zSZG7W4Xm7ni1CXS8pSEswwv6Gg8CEIvgm+hqvU6QyprpCOGikzeDBtpVbJk
YLMGQtRB7K2ueXlZXYos0gqrrcLNBKQSnZTey/uFaPjPsZtb1S3GQd4AkWu2TT3nF3omZug66i6H
Mr18LgwzWXZsN6qHpsqSrwUHzAqfbHM2F8wXdrisqRGayZ4bukNiWaA5juBKfGYSXGcm2zxAD/PU
H5VKzV5UcUm6dWsqY+4CR2Pvg1sS1nBr5hVSWPZoiy/kqIlsbH90kKk+MEQHkGazzGSmhuol2Y+K
3g52gOh2V0RF8kBfX8PpavRN0QDc8tVAxsSlqMo7gwrF7YnZ9BTChI4hJoWdIWJxRZeDBrDRGYTX
kzBs1Sq1fooeLHkXTvGhq+6AM8OUkxXgFuM5ZDzBiZCa2U8v5vkrkGwD/FvS828zdVK8PrWINOrk
Wj6IpUn/TAoaMaalMqQM+zIuSkYV8g7Ro/LAqti43vdf55FxJ87UrIP8RFT7s5nH6nHSzYUHLywu
jN+S7VhW8iqI5H4bZ5G81kyhYv8mTU8z41h8AXOzlVODra1RiL6qM/WYwpSqSzFT+ppQzu4RR7Nr
tYsy2RQ3hunV2mxdgUOl7HBrBjIFsa9WRXWPfLmizVegKZDKaQmpgoe7GG+0u2aHLLBONnrXyo5Q
a92TqQMPAF1adxtmRBLpFe2oO9ju7lBj2Rq3uP9gtGVi1vtsukYPBePMlFTRn4KFpFg3Fbv8mGFl
eepzlXEPPxCLBGFKBnTQGQCVWApkt8PSggZ2VA9yBZmtQL7NR8Jk3RV1kzK7xgQbCa09QKdgpFyU
wtbcSnUU8oCRkwjyJ5+K6tQT/qF5sgT4knV5Ngjeb9KRv6SieSxz/vqjMOZXXcz/T2EWEOdJlFB0
CUA7ixVVvTOq/7ma5n89eFfv4ea5//tvz99t990Uf7tyar//qrD50y/5u+JG0f5uKZKIOhnPBEIr
BUb074ob/ouhIXgR+Wkk/R8UN4ryd1UGWYCzhUUwglR4xf+muFHkvxuqqkhIcUBsS8RH/BXFjXz/
9r+Skf/stfiVjNx0PVmalDEOGxyNIYl2ny1HQLWqu4uTDVg8DtGq1IaDlgmXRB3uiDT6TWnTamqy
FYHp2E1frLJGO/YcCjgduAzaY1q32ZtJlgYtIrgllG1U9XIor4ZJf1aallsWn9gWD5OEPnFWTyKg
DC+Jl59MC19VISpQFpjjXqC2Ab4yO2KWP4wgN+GDRMGl7ziEjaFUNxVlmWN1fPznsUBSbTG6ayxy
i+2hbOoHVjI6BnvOw7iPp9U85oBiDGlyyBz2S6Q17IEYFZiqbw3Fc5rQgQBbnh0NATek+IarWXmP
mvhY5PoD1tnBRuvuKCS3O/xhbnXjyC1666z4kgjSXhFFEn3lFYCgxcvTtt9rAx0TQwXqpKSCwCoD
gmmY16qoBz2U0QelwqAcJAFSIwgw6l0I2S/7mUqCsR2+1XwgRJ4y/7uNsvc20I8hvAAAv7C+FFW4
X0WN5k/diDqzNTdYFHtPMuZwX4Bh8STIcUxJdhxpNPqFdcWBvyktE3djuKyoY6fvpq1/LNOk0tNC
jrV03nRShgkqdPCRvlfBtAmwnHJiwalMarpoRbXQjBunIubWmJsF9X0Pm7lgR0rQEyaipfRBDHLQ
JWTkuZiTQRe3YdduiD/mYsQkeeRCgyAtJs1K5SW0+1ZtvECc1mUrGddR+jAI9iGVqo23cxxdsTuw
uTQLoBcafb078R73JVSzOF6e8shYtTEcNTrswKMCuif0qeW+a8bxvDB+ZvsyClsEB69tG1mrnNGh
aQDVQTTkd3lgM1cNPMgKxtak7HabeiqAAcx7QxCLlTBMT21XMR8GrkteX1U7k9zbZYI1UM7WYK/I
qoUejWMMxT8i7t5OGm5ctjsoBAAnrWrEc3bbKyCzIm9AjB6FFbaP2GnmNxwH9+aN7pup81xcukJa
NRZazbza1aHsFOIrCeg4hSdPa3JPCEI4ybwZRe2ih+DhsM4TRH+jOSOdX4EgTe60mTs7A1xuZevK
TY21QzGhOMdqgE1NOhGnJVOnhx65eU4xDKvm6a/fGP9Ud/nfUU2pcSb+8/P/8P75Xv7t+j8Je/gm
Qb2bN1//+i9wDv5dUokGUid2QLR0RVJU4w6v//2Al/gvZKwZOppKkdiJ+9n7H5LK+8mPpoUL4R7n
Iv/7AY/aUhKRQIoS8WyoNC35rxzw0p3S/0dBpXGn3/DvfyHeh+lkMtiqh50xqF7AR6JUnhAOjOF9
FXUOKBnG4LlH87Prin1qKa+/vEbn37/Br4FDv0VK/Nn3/UNqAELstmM9PSAh9Bew99JVHMtjET5J
jLOggDonnuD3IKtcPdRpNqe1UW6hgvfqQ92tM/4AYDdHX77vc42ehGlrBmWgn0bI+qNqrhFurMz0
lVaKxnh3x0rP08d//rPLv2Xs/tkPz7vy64tmWP2QJ2E07NJ4M4nfifaRxW90+CqTv4R9FvTQ6rOQ
fozpOHxK6ANCdxnPYjLb1nS05vNoNY6RHYXX+IN/us+2ywVvyF6S94dO2Nb5lVF6ag12k/syxJm7
YtUpWuCi2/Kt/klRASScDxtG8eviULxxS+K99CGO+c0KyqunudSxXu9N7uICGdkz67dDD6awGzuC
k7ipV5wE+8Owc7v1gtSO9slennHKeGXwTHSsY8j0wY/yeJyidVJvAulVr45Z9sQGCQuHoTyl9cJl
443ZszXFYIpBIBXYmnH395BrTgg2zZDpgTtn2zcWXOWWtaEWoxS06wdUeHhhdNYfJX/5WgtvJjh2
bIwhDaMPrJVLOp/gIJWBY+jrrHnkGw6F3TX4TFvdgcKXYMTBXYrLobvVxTad14q2lqq1Hq0ldT0N
57o/mSF18EocNsrwpZezKwt2z8QTrPOd7MwVMT9EY8Ch6ZSsB9b41auPyO2fwAxpKQPEA9kK4LHs
nBRny9UesBUDqKw8jBzdTVAP9yasm121OVl3oZEvbcsIMRG2T3YO8euo67Y82sO7+il+9ooN7bbA
tqLDnGoTGh6QxKhsMI08TAbMemiBED8/EcKYH2qUvRarlhe21TcCrfo1fpnkzq8t6XnU0biGxzZY
ze0j2gOHTTPI3NoNgJylvO3CIe5h1+xwXeKnftfvLYHTrDLN5XWKvMmAkQOw2VYMN0JSYexg7im3
hb9ZHg10zvhmE8+3nr5VSY+6vu2sG6OT2pf9wWs3ipdtsydrLW813/I1X/QYgQB2VFfpRxH/F4Et
dzX5nx5L93L0l2NpYpsWdabV74Rrdg629VZaRyflqB2UbXGcjsW2OEjn/L+I15Tu+S9/9jz/Ib+I
IRDBSSnfrdj3t/rYnKdr+QaHZqV5ybE55q/ztfCag3ks/x+/o0Fr8evvR6AArB7oCTvpJG7JT70t
m3oVndKDvjdP2jY7int9LT+bR+XxPz+0WPTev/af/JbGH9JvBgjv0iQhTVVOqMkoW0Ek0OVLz9Yx
3k4bfZs9TihVBju/zVtpU691b/HTNY/AtvH7Lf/OZ1i2abfF3voE+bpvzt2p8hEWnmMgOxlozDWz
dRyzTNQF6F3QW90adt7oy1h4ZZQQLA2dWIQp4dwpS7nHHJESrcxs+UA1038wDhgv8eSyUgFEWs8u
GpXEkzzoIAZloLM/lv4FTNOEa3EmTsTRXqq9vMLaVE/7bkAjwljXr7qVBr4eVeHRGndBu8enwhID
GcH8MxfIUu32BjRk/plyZ6EOYw33o8NNjGxm2xfxwIQOLY75Xj/UR2v32K6wtzJWhe/AbjE9ML+B
6IXE76WBGXCG0ozSQrBjDdvtNtzwDU5UoYwUPJbUpltpKyjmkPqYmeeZa6BRDH1TXtX5tq+/LU7f
svqxXtL2M6teO+UmFz+huGmMtZmsp0/5MO6EV9S5GkAqWJ+rHBhUuO4JtfgWP+DPb+KfljSDzG0+
w4/lFbL6kDCmt/OP6SxekIZzaO2m9G3oad3chkGiDv+UoRDUNjvI1iKxGQEIUMpSu/0xAIt+xkd4
DOtwXd+QgVnq/R5RHN4ka93u5h1F/vhMj/MgXrJN9Ki89F5qY6jjkcwO5bp3GO3fOveL7a6r+9Bd
TtaZV18aOR59CwU1mch8VmS34uxlZbNR3MxPV8VaOzTeYqvO4suXuyjVMT0SWbz0iPFHdKo9dCif
1dFPdN6FLjs+J3Z5o2wGhHbiGJvspfagsdzYXN2FdS5aCdUbD1x6G8MLfNQ4W37FaoOzAVc4H36X
mxvC6fN8ko7hW5uuOusSwtKdb6jQ7fCxiGC6Z6UtIkkpPsRva1c/VK/NKx+Cmr9ST01WzeI27RoM
g+rx8dS8Jrc1J/wRfeKl4qdspwNsM4cNHrvukaQfJzoBg7DLJxB3/K98Ab1wWNFLD+J8NVmNXsSz
OXKVPmimrzyIG+HSvCdH7VK/SJf5hFPa44T2lL3s1Q7LMrezE3exH3UHvuCD8GL42v7+YgpO5ATb
t25j8aeZeTqFW/iRnx4IEbJfAQP6/aPud6vIm9e1/zo5n5OHRH+ffiUsvV+79/icHYNr/zI0zsSv
hCbxnG6hINy/GhSV7bLlznLxTbe2+o6IrYux2WBFc1lgtgh5P6DfFi4wCt1W9R0ZW8xAUYUrPJ4o
tSgvMO098LmbuINxCqtUc7ZlW37hDzueNvUL+Uz5It5ZtDsTsRWVIp344jAk1f32Wh10/NLzCsxE
7gqrcs+TSJsKqcOrIki+e5JbjuElFm7lG5zx/QBxBFx17o4/IzFJ1mbmgy+TSrFqFZ+I61jxJ8vH
pae1TvoGa2GNbNZPqJb0jfQsPStr1es2qmabq6zd4N84Lpv+WB/xpd6E3XIeL8OnrNnYqNsIRbDL
E9nOiCV8GZkKgIBP5orMlnUbyAYwiCJa1ZDss00sOuwIY7bUCM3SXY9WoXfb6aIp66bdLd1ZJiCG
dS9SWKSURubKC7TbI/PcZTVJ3jhtq+fimu7CXbdvU7Q5N1l6rYwPK33ThWfjJVzS11Y01ohWghg6
M3kZ7WM4/8A8LhIvecouaDQfWxQGgEG8jqQWE4TG/aQc18lhQr34YUU2E1lvpiGHPpvZ0ZfwMjzC
p30esip3yrp+I+17b7CmqmSM7vKdPcobz5bjO/82X40H+Sye51OOM6un3mPK/dm9h6/dw3AJX2rU
R2O3EvUBmQItM6p/pMml7PV1vc46J4jfwmyloT5nhAyrvIscIAdqs4lSkFJuTAnVPGDDdrqr+d19
wV6gao4bJx32/bE7qa/6lSKnn19UQd8Q7YIRXt5IKIPv4tsJzuR7HJ9obsNhY8lEFvnqQ/kFAnMo
1jor/6t5E4ePtP2apY3wkt+6F/WCGFkYcKTQb1Pc4i+3PkCT0LvjCBvvYTe5U0VkdtyW3g8KPyY9
uuY1pPoECmAM076iFA718GC1X6gttRRokVuN0BScWtlET/AjvRJJafeMJ+HAznWZWQE4Aoes5tQk
UloPueQXwU7pzrXkV7iohRWdUbOjekboou/RVp/qa+Cjgo1uxLD0DVpsJ++d4q68dIccMTSlHmtm
dHGsh9wQ7vGwY24NYnpUvWl4WnI+YexIX7nd+NWCvepal+Az/IpwlkGiJJHsPOev7HfsqPez2RHm
zaD6YNxAu1FljuFKZIwu2QoHhGLn3ygTonalSQ+LddG6HXYbzjne0+QHlmN6lvcd7hZbrtZR864o
uyzY5+qHpdpEg+saToAtvZ3UPGGXYLkD0nZcp52TTXaOIR4tSulqEirT3ZR9SLAwdJnrmUyDQnei
9JYzB9MnUoceuTYNCpjOF07zjbPxYnR2y1Mv7JT+qPXH9II8/CF9107Vi1K+ZeBP7fI5vpYnhaF9
aEvdjcFWuWnd6UF6O3MmeZ1TPcVuWXsV9luNDIMIvz5IK+TV3E4h8y4bDy6cL3PsnFJhJjOSavOM
eXgXShJstcERNzO33gp/ypntZDav54+wvMhXDcQGFCwAQaBXH3vGW8itbPNZOoiP9VnmMlscRF90
HRPg9dmeLuOnMnNM2Hzo6tgbsg1yNOZdPh/I9LP0tH0CtOHZeDT99pwhzFyBnQhoEzo7vXZvZoCd
1xfklVXtDPWxqXax6pB+ZORe76btOlnnbv2hsvJ5woZo7vprccm+BdisBz7hqHXuGSAE+XzEP8ke
KBXrcgJSnqI9NqsjiBoBt4bmSOEa99fyVT9b1GTo/ap7YSPLpKhAESavysas3/jiA2+zCWNLdP5H
PJtw84J02MVBMtpwWG2xV9a6mVyEFxD3TzinuAFSsOqu1cPiPCbtAdG9HWwb2qW2vcmTSz5R5Y/C
gEe98O5QIvEuYRdsVXiV6vc+y7yxzw8o7D3aaUt6gSPqTeXPb+X3X1qT/NOh1z9sSo7vQCB+yj9u
U/4bDsbI4/6lB3Hfu/d/m4Ad3/Pvf/2XV475fwj8/u3P/7710NT75IvsSJMQXKZb92Tk34diqvR3
U9JEZOeGaPI38z+GYvc/9H99xfchGG4vthyibLA3+SszMFn/Y/yjbCiybErmvWliw343MP/alVXd
MGnxfRJcQjkh3g6bbHVGeRvFbhV2VgjJLZtyLs+wboV4L2tAeVaagQYbNHgWbnRj5t4zVVmoV2DF
aq52CAjsK+VcllwjL+gkEXsaDuu5+TntU+PVLFOeUSFIy2dTEciV7cexkCo7qUuBh4zckc586wZc
n/CwGlPFydo0GhBUOIDzzBfBED88SbA+UO5mdaRUwEGbRPhJs17N0ecNkcQBLk5RjMElFRJZ2nL3
yWBOkG0IAKyUqkxZOCa94tdY8Ped2AvjIRtjjJ6ATeXRN7KZU09TFrM9ow/R1U0IKo35MrYjbd5C
4UvLd7MTgUKZLJzZPBYGTgDWC3Bv7MZINRnCO9AeecUaecSS2XcdWkaMa83somPV3iGAmiJ6XDLr
AL81EEi5xrVYKKIdaLAyvxWKWQ9v89ROzVOTjsipqma6T84gF8FCsKIUiCl6B1BEjjHrynwEbCZH
F2sJrLeJHWi1CaZyiA7gaHRahFHTlYR2VhPmQPNDfoWEtQVfjGFJaC5VrqIzQP1IyiUaH79RWG3n
Pa4JID4CZkh4f/nVmqUEzIYdGEaJv80mJz2ohh8xFmYt8hDk9rLqSkUVRU/CSL5OvVqSqLMGwqjy
ghXRoLHChcRPuhP/VKIXTD/lIRumtQauhQM+JxOLyE/8l/FP3ZMyfw3VsFjB2iCSQxOs9CkQq+69
gBDrcPeIhWuRtwEGIkiAt2TAeDdllzX5wYhGutoEp8eLRXKdsg6tRa+2Ba7VkJoVziZ2NBXiYm9l
l5HUAfbOVn2p+p41vh6VMZXTqEsXRUDf0Ml49Woz75/karReOjGvPhI9OclNhf09RFpGupmiXpCy
5J+yibDcAaOtsvYR++ZFqeO4OU0JaohKnMRrHQ6TSxyL9bqEcnjAXWkAh6zgKjkIsvGglYgTCUK5
KtWALbgus90cg42F5qx1b6M2VZcsGtU3WW2oBGRMuwTRESDjStmi+OZoUlCiK3HyUY5pXkXBbwXR
QSZTbNCSi3bRMrIzJ0XEya/9LLDdPIKJNBxiIikKpPOYCN33epfwJVS5eQjpzoYWq4OM8uEHm3iz
m2cq1rIIVIeH494Xin16bbF4lI4Fgwhzhlwj6QDVlOteRhSwvjNKYh6dtAsS+ioNn+EOgJKluCYB
caaPQ61Nj5koTYmn6NirX/gc4BCRdVLSnbwdA/EIp4OsTOhbgv6KaxXdXjJPRowkEO8XSbNLQNOH
mk04LngkkVSwrTYQNXTkr8jdeL+ooa/8pGwXSJjENPYw6AN7oiluPky2WIYdIaglHnDqMNMXuGae
LAFEzCqRCaRw8ga++Ytl5XS6jQi105PTDjxRCd5HPrdjR0ZvSXR260AIkV9GabgrhjAyNkxFiXvk
KU9S8vbUMi7e8zZKmy1qpzJZo7pHdpmBLc99YAH3jnyyyOZ+VvTanKDcDywYMQok0b6GRSaSatq0
WF7hk+vZtzEWcnL+P9Sd2W7cyJZFv4gAGYwIBl9zTqVSsyzZL4Q8FOd55tf3Snej25YNG9VAP/Rj
oW5dikwy4sQ5e68tqxqba4dPsbEPS93MyyPT9w4ral2L7NQUzPOKDTIcTrbuMPjl6ocd7jdjjctG
8T8tNo8pj+OTHi88IX3HsDP9vJFEAkONgr+K1AyRDzUxbLZNVTXdl//FdVymrgY5j5H+uymKGsHM
eC7zgSV36s9VNM6fnSb6L0IK5Ub4rfzN3byPXb7cjZK+cX3Evlroy7//oRm7YC/K9Hg5rQ++e3Dz
hNkhzKSHVnPiqKu0Pc9ExT78+dac95vx5apaUiywvTvie2nw41WhKPuGX+gi8i3EGl2My0wf1edW
eogee5nEe2QUHItK5ldbu6zA6lQ2RqU//x2XyOf3P6UnHJCBjmFp1O8esZ+VXuK2FI+IS1+MnYTX
bLWQv83cHP98pV9fGqKtJXcsfM8h5/7St/3hMRvWzbh0Fgu6VuE/EUrs7JZ2dq7/fJVf70dwDeML
QQQ1Zde7VxOfUDLg48G35PM9tD481Cgsguu5g9X350v95oaUco2Hct9HusKE8qcbWmYFG1YXASfG
oDyZ2fkajSLc/fkiv7kfJDoCc6dE64du9eeLZFrZXWQSH2oz/vN1KDnPdMQx3Ans4PO/vyMtHN5F
wbSWOvFdgZi0EUkDPm0pCoZXRK0BemZmgP/+jqhDHWS8AsPi95nID+9BpWrXipGGrhbc2hEnnb5L
T5jpsAUhMEcb+efL/eZX0q7wbUcB9QH6827UolFBSz5Cf5XqFvUrklaCspds++erXH6GHz8jOCqO
8rV9WRG5iHw3YiEdhUjKQtJ8VYhJ2yFKT7rn425gEF9hzPz6ry/HsYBJO/InoeT3GcgPz9DrjBtX
LX6QLLHil6mW7gkRhDg1PYZ+d57lXwY5vy6RNhQaF7YRFmrOMu8eIr6bxK7b2Vt5PjqirAvfhLAR
VgzODfpeHA3D34ZVv773XJHZPxs+y5zrvXugwBvceMBdt6oRXu/IzCLKhuewhoder//8MH97c5dF
w0VvYLR699YTj9IOSHiB27TTtAPPMO60Ev2TR4jsLnSS+NlrQYD95Vv73Q3y8vMVOC5c1e+KhR9+
wkbDGZ9Vjy3ScYa9VcXtVtA627VV1u7/fIO/fgIOCsnLjg2/SvJD/ryGeKB1A4reYOWQo3qKLaD9
A96hw5+v8v4TuGxorraNRqaOju99UVDgb04nDyFRkw3R57RJrb3v5MW2m7PhNldW8JeV8bfXA5Nl
S8N3wAL8811B6M4w3NdMWaAsbCLZpPs+lvPrwLLSr5C45n95jL++J9QGEL587bFxO+Lyi/7wi8X9
Yg3ehVHhjFBxRaEpvclpT5+kAIPT+ISbwyQBoP+XN+W312VVgVVH2YWQ5ufrdtPgNDMK5BWJUvIp
q3C2FJlf3heN6r7Mjj08WmXc/OWiv74zQkO28ZDl8Ix/qQskVEHPIqtl1cUNHdU2s93PYqyLzZ9f
ml+/AsSnLuof2hE+q+e7eyOCaXDIAyHy2orco5rDr6xBJV6sKfjLDf32SvwkNFy4mLHf/XpkxDVz
3Tg+XTyn/chxGqSFXFp5UAMuzr9c7Nd3k9qYRshF0ErF4767rUmHTe/olosF2V5kC1aL1vsyhm67
p4Vx9edn+OtPJfGEUyVIJVxFk+fn94N0AwJXrAKzz8iQzp7oFuNa8/9yS+8kVJei/3IZH1TjxROn
LmLcH1//KKoAOeEXANO4jAHEGDhNQEGwNm3IkyvI05kNzzQZvOjVQu0Jmshuix7DeeThUeLzUGsR
RPRX+7Cwvb+8SL99CJeSAqWwQoj87q9TnDSD1uWuvYq4Rh30NvnIwfSXh/Drp6gUKGvFbi95L793
2H5YAkw1YkcE60SzHyARqLISbBhSX8e01ePsdfVrLLV7/re/r7rUzMrztWFbFe9+39Hygn5YUrMC
G272kZph8/tkFf/5KpfC+McKBtUe6aRs8oovDE34+00iqyziqdAyNXPRfFHxnDLzz1I6UbHI63rT
BEJZNxHKV+IyYE7rvzzaXz4Zh7/AwVUgJHuU9/718hZI5h0w4VVTERjfh3hYVhIjxGEqLtECoNDz
7Z/v+PJKvLtj0EiO5zgU0WgN332kkA+qOGKZv0Qly+JZBmAMUUv0oTwu8P79v+yPv7yhjstpz/V9
qRCsCyF+/n5E5aKc9bRiyjKKjR8wrS/L6V9vUpersKJSxGuKa/Pu/JM142CqyL0omNMWL3LpoPaS
LVwH4ayJbai+4tod/vLb/XqYRYWvFN8d5ROX999dtVi6oBkABuEMZQRcONNrrJ0Phe/dmKh9Uvnw
WQYRtpPhCeNb/7erX6rPn39ICJqkxWENRlgO1fPnJ9t1SzfieGVATc7y1sKEdIxCRkEpCJM7jZnl
E1iD5L5u+3FvtaJFxKHGWn798+v07velfkT3evkzqOgAi9rvnkHilEVBqikobph6KE6Yh9ELn/5S
rP7uKlopFgIXVrSR7+41S8N5qWI/B/WJKD6uI2KLSVL9yyO9nMV/eKKS90exm1ABUKJ6/OPPTzQu
xMhCRECKvwCIZxqr/bcEOF6zNQXR3IcOj3q5CYA0JLsZ0FG100Nr6k9/fqLvPtDLX+ELGtXUlNQA
fKk//xVKwOqIFqiE8HWsB/aPQaxKV09iB/iaRu2/vRo7HC4U41Eps8FdnvwPa7umURZi3SfcImQY
gX/9QqFIE0xw2htNsvnz1b5Xiz8/Ysnoh29GGx9vi3y3YU3OEjTklDAeJc2hZFUYfGBWGjzXuMcR
MHU4ej0fI6rT6Pmp9vmDtrqgP8+EPAM6Jht/gXDeMx/Rbw3kJ28jhxYMlYft/mkAbBkx2oy9Kr3H
4zVJrJ1O7zGI1PanORONDQrIubhv0ewjHOion8tXUlFl8vb9Tv8PZoL/7wDEl3fkD5L5soCK+7NF
iqLhfxTzPp4oNnQl/lsX/5/DQeNhbnKhFbmcMtDGa7aK/1LMKyaCnODooOlLOfCDI4qJIjMk3FVM
HH0A8tL7V8NCx3n39XF1m41EaqX/sx549/UFncWWYXv5OZIRwRee7BhXA6UlsLC2U+idbUqr1N3o
qs5HvMZ8y+ixCYUt0WkYYVXPCeF/9jcdsUvdsrPjwen1PH4WNXTPt9QPSvvAyEDqt7RqR4dGpzsQ
PwF7fbki6qDq7whTSgvo87LZtKLByG51WbC368QeI+KMOiIa6To7zh3kG5YJ8De6BaBnxU9Zq9x1
ojgxPbX4VsY73Ykiv7Z8mT0M3aDtoxcthDiERdrek8EoPxB/lFgg5FRSvsglcfNwAy+mPVhWgMML
l26OGAy7v+eCihzbPD47YYMFWKffc0B9ktHqbNJMXJqpT8JHjhYe0Iixq81XXVnmWiQOOZzk0fWo
JIZ+QAQSjfmWzN8Mtl9RdMW5BXmEmnFQjJYwp9hzelhGDoSnPHLsZXuZFHav+ZgKD/eTH0dH0aiy
xapWifYr7gVcwOQ9AFq2+jH7FLJ0QsuPrfHWgTmI37yMvPiZXgoUC1uRjSgMkHYtx3bfq3baO3l3
QbkmQj6NdufVO5OHUCGhUwI6DpUBoaoqGL/RlNKyToLRIldWYQr/FoNvQ0FVyIJZV9oB2wnzliS+
eBlFhSg8Nory1TS1T883WW7CrqfWyqlI3Ws9jAlw/ylyYntbtfCgENyTFk6jM551EpBd0ZDoURbk
IhKOwl96nzM0Cq4kTHuyaGthHbwpQU05lt4Dla2FrDcLYQkLb0plvSWvweof89xA9uuNF6PWIwy9
bO6UqUIIKSrHJ7lOuqFSZBq6OWCMlR/mC+Kr1jDpuclM7qQvtSsLBfw5IHPbcFQyB6bBkQ/ZQ/bG
fCUeLpXHEY/SrNBEptW8GsbZzXZO4gT9Tlu58jaDP3cjyg/TXS8OrvuPDm+C+zJWNqKioWjyHhX6
dPHmrwgjU8W2GFLhPsuxt5G/tV2uKRw9ZG5qYC58BPUzRndkabgLb3/aWOO2HHIFCbMInemTdCOA
dUs1jf0jhn9kO3Nh4G/4OgxCyIjSitejDY/14AcxJIFiwuGxnZSI0ePZRRwfgr7FbT/g2QXg4S6N
5bw2pi/gU0DmQOnqcOfzZsrayucnZ2KYnPFTwb6BkBsaDipUxORaavIygW13FVPRaCOVnBoP8nOV
LOU6A0gHixVDPUsBRvlW+S/+YPsQUAl1iedvXjSV6nPnybFhjShVajt4y1J67yu7ZsS8jZOyUh8q
szBJYgzomxSZLaw77xxhHUcDkAGtLnfMvLOuu4r7SxrzVW95Osf2j+BBPeolZvQ2zWPjfqrcGZ2j
67edWXt26+qngOETIkWnI8C6y/0hex4AxhIxW4AM32bQGElbowJ+CGxii1dS4AU/xMamoR24Mi9P
PtMy1KOzihmGupbn34UlwU3rMTHVV4JczdbuZmlduN9WDjorsYiiJTsCQ1wg5VNuFYavp4gT5Hax
rTDje23svmpTziyMimSifT/TL34dfU7im3SwJQrHoJpfdWz18b6eYrt+qst5RrwGXAuMZF/K1xxO
x6aenOko08hvTkGa99ft1JLgCw9puQbFw9gxqVFFFvRj1V6X5JOnK+nYVo2EKB4eiNkqX+swXG5c
5pwrUtf9k8ogqLVMtsmXg6ZwKzH9owxGdLyOi3jS6/6i2IiqirYuaW0fw8XqPqYt4kBGxGCGy6zx
3MM4EtZhk63KgJz/FmgvJRjB1MWVZtZ6NBUtOONUwS2xqgY5aj6EH8zshQi5MixJjPhrwpaW9H50
RvgNkMteAyd2L5R6OVc7IG2TOvZLM4XEtjJ/vG1rUUHwjojoXc3zaBsUhY06yyQqP6egoV7TCfbS
um/r8Ex+Zjo/CgtBlcaQvrK7eq6OcwFD4jI2t+dz0PZYTNfgpA3+eUjNmFOqwNLnwLKBSOgu7h9L
5jC4UMfW5v9KuQ+zW0e7QEAL6xkXo1gmxonwEgiRZOcQIXpnL9lTmuI1Rd7pPTErdDhwBd/D/phx
TauEWQH8/MZqn0MBhRX8Vpx0L3M9ph9CRVjHlntgoOwTjL4OQ1md68qZP+bFXB9HL61vQ2jVKEJG
BfHIiR6mLrOusrgPrwFVsP4QNHSqZdEEj1IO1mkOF75IDavvHKqG+Poa1NhxDBzR7lsr4dAOeYc4
9Nm1PsJv4VDfSx/UZq+v2qwz53GM5qsmBfIEBxCaHPEyr6ZjLo5Num5OprUX7qBtn4e5J/agma2z
IelmLUYlTlp2j7hlARoCyCVXYzYAuUg9L6GPkBke943Nu4xWZxR5/FVb1SFO4H8tbZjeN16bPKaM
NA7IG9A9u5A9V32DNhxem3mFIJN9FOB1tiRF8O4Q0HIVzFX40V5a9If9Mt6IKZtPwQj7P4fQfpQZ
Gwgs+PjKwEhGzupcDHmCaGHby/pyM8cNqvd48B70svRk/mjGXGCI9aptaFQFXn85OhOO8CYTI+lL
Eqm8svPGAqtS9byhme0/gm1Lbu2pSlb15JrTmCwwCvEHY19e0ufYGsp1kAdYErzEv9FjxmvZC+cN
UBKLAbiNx4D51bhKh9R/FZBU0TKGzo0nkvRYp1RPslvcDeG4/g2ZCeYt1PO3NCNwuQo6D2SWlPve
AclRofU6RHgt7xvbB9EZo8BdJKlGq0FY7i1SLqgPnEs3VZHd1TTkOT4h/JhJat4EFFOryhmKq77w
/MOQRsWJxRgHN4qrPTZ2mnZzSJwXceanxFFosJK8Nid0T/Fh8gbvqXXCfJ3arb6eZO7dWxDXX0Qa
FFc+ryXLJQYZZB93Eo0Z/F+17DRM6pdw6UhUtkGbr1uU12u6J09ludzME5xd0pVdvHiEU5+1T0na
9cs+cSpioWv5UXXDl4j05H2o3QClWJIcWgf1ck1/d5Xa4ZduIEPBNEAVY7bVQ5InGevtLLZthRCO
yMerrIvt66rDY+S7+d1Mqtmx9dBgVnFy47l5d6gtvGqLCao9Z7/yWvbFhV0YXVwedR3Gd7wTLjbC
2PWxOAeM8u/KJG1uZB+E36TnJ59c8iYevBysXlt2wF91NF8nwVQh2GW3mFjsDAzlvIzyr8XiNB9q
mWEcRBLBw7fvYNnigU+m9tGIS3gmK82GcPsdnJIIojBa2zRHi54vo0fMrp9/Qr02arzaYGpIQZXJ
XWgAmKymTnb3FTXhtUtj4FQu/bxjsw4xM5JrDsEYmKkVRYNBP974JzeLlmPhj4QgFPqZuje561qS
kNKhz6KDOwUXe2At51NeQQgQ3VCe0aItAHt4Y6GqMBxdBfXgEmjJrGCYYiQMpVdAcI3+sSzd7Rey
hRC7jbN67JhswzkaLOutx3F8CrK2v2lc8sOI36r6Hfsrpg0SUb9EDFrW0tg5qV1N/cxrbdbNBOYf
zg2Wj9nxN3kXBRyHWgyikyduWg2eapmw2nRTWJ5LRe2mKIf2IP/CbyLiDAA2K4GHJvARupxa9hFt
DcjnA1WhyqcVEdP826iHxBfF5tRWafwyEKNLhQ0Iq9RucZ745poJtZ1XyPaIRC/Y+eTBwYpykS7a
9Lk2bYfZs844WKwsdFSfwqEOdqNI+xN0VHs3DYP4CMtvONKUZ++AU7C5SNH+iTr7hoy9GQzX3Jzz
gkjByIOZLWSf70zdTidnqW876TgPMBWSg8xS75j7i3nVUftcRGRfACzyl1WUYU1ZjB1saqu4Lim9
jqFbZDvb9ot96aNsJ9FDPkaLifY+5tJHR9avfZqrFUxL5gnIOmED9Sw4U5HwPTYomKLJXXHWQpUW
JtlB1RFe/TblsJAl7U1d54aHxGRz0/gkuI2TXxzpJyHVCv1LuAGutS7Ip9d+7D7VfpSdVBprwr1y
zUdefOyg9lEVLvYeFQyaSQM7eNyAy7I3nbtUu0QP5ppYHecUxfFDNziXcI4ywDKT8hKLRDymvqme
ihhEUwiR65Xl9xMSxJoAAbJ4pKa2sRyzqWvAwpqR/Q404hsv2HxA9Eu07izLh7msvE2Z8awbFzvF
pIP0zvFzXA1DkZ9h+csNxQAprVP1KD2FrcaV85XqchpHzeX8C6vun8zFIrg4UwQsBOuBPSNMz4fW
WcFUix68CUsL9TBJfixgiHtVciqyzDp0ibsc5gW7TTtXiiOHAPVFblpwg0iX2EyQr8HOEGl75RBq
hiVtqZAIk0sPqcJrQPeiAyCqojozF0mPRavHrUtuziOnfEAqlBmX13rMORpdRG7RfO8mVXgflsZ6
BJ0k9wugr1NnAwEmeZJJkcVaugZP9txakf/m92N1H1968pxQOSL7S072zqysjx2c6R1MDaTviGMe
Ky9IsXFl/SMhfV9a6YcjTot0oJVQMwkuY9LkVDhCnq9QD9wSw5be8z+aHggvJ0zNuMlxifLimcPu
8HE2s30XkNJ2SmXlbvHe5LfIYpKruaQIyXqXtgCIqH1bAJxCjVdiy5heJOeCFx8Z6ScjYMPhQ/W2
fJqYOtlitqFusyviGJGMlv1T6XT3TpPCDRuS6eTbU/0GBmu5YpvpD45dyY9xj+jwEmh8Gw7l9KHi
Y3mpBhf+MGBB8lGjvj9RHHyoS8fZxqrNznnCsttwjn7TEQWBmQkFoEl4Hjw57EuCMk4kZuDasDlo
FyZKr1zPA0pLFFSOUhVzWJfuplzM5G3iCWeOpl85oUyAtB0NMprg233HOnxV2WY+d1FDSAduqgWV
xK4Iie6BZIUWtItOkyZNnWFAeAR6T7eD1IVNkAU9AnM3QL3r3JBrE2wjb3muUJBvO/JoWKVoJ8RN
d8uCPX5bGt1xlAirYo8IxBxdqKrrSvpEAUjlHL2pu5NZ7+yR4gwfYtI6t3RR2VS0P5GriaA1Nn29
D+B0PpW+voc9ApuS3AawK9TIUdOatWvcHOcSsRlVGsCVd5p6VY6c6y3b7u8azyM7L0kUtt9xptUe
0YKF/hXWzdFgpNjPvnvjleryyYKbQ1z0VttBeAjhQK4CfomVSAZ9SJq4OSxeiv+zhtgAibE4sp/3
J2iH8/3ie/F9YNLmRDwHZ0/HbSg0InXFzRdXeVsZFOlVTeEpnlTVulvfBhHmpDBUSrt/8rsiw2IU
W09L2+YPtg3amFRqtGhhLT+N6bysiwr9bFwE1smSokVnYuv4UJswvG3p2O8br/oKQzg6Eao6E0Ne
eSvBcfdbyiR4EzhlioSOBuEVVKQROBhFG+lHUbilaenvJr7FE9PzkWqzl68CRflbttS45IxwnA19
m3Y/E2V11zQV/k6OQaSJesjzV6yW4cELU4ifND4/296i8DlZakvYoKa8ATCs45GE5XpuhiubInrd
Eeu4sdFxrTm6FleZ3fYvOeP7tUsdcteSbbHPHFDatqeCD2zJAUZMnb4lbgD8YQHhVkImoZYvk5MN
qPQw2LBqrRjkWW0YkFEmY42mAubAqIrsOort4SRHbe/pZjlIxhfranSSMw7PYVuAZYWHsABjEnFR
YTLIlm9kqduA9wOeb7tMgLb78CO9lHDXLvBwM4eOHfMgP7+Lp9jB5xf1GO9bvAHaVW9NVDnXZgRY
U08VZ+hycc0WHciwj5O6eJ0TCNV21acHWvbWekjq7k5NRXye54IvdSqAMxZzsZNVBGaP0d4n8hbA
MTpkgBO/bebbyVvESwexc1eIqHySMcfEFVk6zTmD9LEOsljd1rM779lAgCnA/viqyUoECEROxwZA
cvqxMNb00Cbma+CJ5TqflvEoItoyq8oIslTz0OzibMZ0Z2IcHhzvz7rBAcrMf9hZBWw4HSKtpp+D
gASGYGG2iWtZ9/RM6YMJPd6rZI4fo4GeD11ntbc7udx0UaFjUtPsZVNp5FegnIlibJbuZAnbPET9
Ml37KWTRzAN9N8L1BnY7gEm3QoTXXcFuSHIcTHPO7bupumi6NbpQYjSBZ18il9rEa7DuL+m6D2qX
nU+4uKw0CDnOp2gf6c73+9R047MDJg/2v+taYF8N6RJND3wLTPi8tbpoQaPrX9qcqfId9iTXImbU
Yv279HbpTdDQ0Uc40TLakH5QwQAue9hZzDI3g3LUFpRk/0gbfqoPrZnAA/D5ZluT2EhHQo61i8i7
I3rwkMNR1GzxaUBRnL2h/axzosEoQ3vnzWq76EnPKZAxdprxOWo5zkpRmr2eJ8wSyISOtrrkyMlm
ooquNc2fYFLgqXLoqdjW57cxzMRNP1JvillSUVpmejS9nW1zsLHfSpKuvtqxI/kzPOcTBB3r8tUM
9xK46fXAR+xwcAdUaXSkPoQlJ3USBt1bu/YGvLYT/iFt0R7vJQ1jx26tdRos7j7pI5jlhOVc1J/3
JIABeOTt5JyqkPxpFKI6EJ9yTXxHFVN0DKFdvLTDNEEc7YntrScikOvlGsYy5xOXbKKucr+mSTIe
KG2/mbi/tpK2WtM1+mIacvX4wcFNeo1zt8CsBBXi1KAfx2UXJakNCGFJSfYg2ifVS7PTvI+EPgxg
FOZeXxJoaS2YD3JiQZ/YXKlZKkCO5dX3mSxBOfeiwqBI8coIDoPCPH0OQ+tjCymStJ5FfcyT+msY
pSnNCuNQgSTkuUuR385OhWFU8sQpI2qUSS49idntHhFhYXT1S5OtxyCFlwBFdUeGA0denXKu0nn1
T5c52cuSxAehWDS1S1s86mnqDAR2rRGHxRz7C7fBD6yct7lmueBgrvYs24+TpB/hQu7e0Ew7L11N
HWi3hONObXofD+T6pVCJeZPt16YIpw9YsLpNY2t9aZhHa93Q6WisJb5rxqi6DpUKzhqh5bZ25AM9
9Oc6JA+wsqxnNSt1E5gay2+1bPieYpJ6J3NnJeYEDHe6oW1jeNM4i079cE7JxfjSSRbE3qumrZfQ
UYBBzDEIMOixCjmRitmyV3Iah203QcUzSWo+OQ4p0aPwqdzA8h/h47ef3EFATQqE4KitQsLZ2uLR
TRt9Wua0PdpNPe4kh71DsJQWLZRZ7BiZ+HcaevlJXwSNTpSCeVM+dOFkaB9s1cPEqJLxoZR8lOOC
DjCSYfcBs0u64igE8z29LLIyRRGYOyPdNZWD3SQunGTf2OIjrgUyBHvG2kWW+rhPqhafVQ9mfBVH
8pNxaLCWM+bokaC7Ve0U1ueWlsC99qxmMxJwzWVoo5V21d6FhKTsWyI/z4TIj0+h45PfBSYWho4b
00XDLbazFnSSrOfRISRO8240Ub+F+docCHxWTwyiyn1Fw+6qc72Y4b4GDtgqdcwdmsEB/rlRk9Y0
GTrSskTh4Nh5cN1k43LVo3S+Kritb4vxIHVA9Ced2GtXTJqgZTuhv50sK3mYyoh1Len1zorH4Bln
G53ahIjNZY7wwTtLMz55YGOwUhGWe2ozt+MsMfAlDDOUwvZ7gGMg1Zmsz9lmoxuBCeQLwk8USvaa
ClnDw0gqTW1nNSvBsObMEIymS16YmyxFS7BFYgtIomw/ejhn7tlIQncNNg5uP7vKVk50kcitpM3d
9t6d7RoWBwTD+PhCPyGuujoXDYyqwO5vpEgfA0K97lQbOCcaEoFH56zLD2laxjf0daO1V/fxU1fN
wOEzj4wB6Lbp9mLy23o93XU4xvFTPHSPfZDlt2XsdzfcCPVR6wTU2tk0kKah6G6StlGy68/lfogJ
nPS7rDwPFfh1SASc4JlTnc2QF3c+4qI3EVl0PGl5TA+JjFH5doY0GxDABwsq+jVTFxDWpidTGlb+
Z2vu34q0Tgm0g+X+gcZUEhLIraPbTsNsUIKEwKpiK4Qeq5jJlYRSpAshyZyb/M2CUG3TCIWjm+bv
KnPG5B6uOGbukEroYGpxTzrJ+KXOi5EcQ9+ie9a8+oLDyMpWdU3bvf28RN545Hg304ykSPJw5wEw
voPeWJ7R+DlHoithMRDU3QMRXOZpKwAlg6PgQjRvmob4a5jq4wKkqbgELrP5BVV1z1A5f0jqkPrf
T6X7xMFey2vQjPplTjyEF2tseUW5btk2HagD+GLXQixd9yXvejoqlhiZwRiVeISleH6nXnG7kqEL
VljWBwLwKg5YqNParepj8YVgAp8hbSdIXZADjkhQ2eKB2EPRbPrcG8PdVDpjtZvUAJMHF2hnrxhl
IJ4RGST4cBTuA9KNrMS715XPZcMOT6eyrDfTNBd3TOIKIJ06vMLdJsNjXBdxhxG/1fMGp6r5hHUy
R0I7j/xz0ZMWyt6j95cf+qXvQnVuFstc0R3r71ky6S/g6dIrKxc1Xv46e7TmNvriKf9+qBbv88xw
aCui0Vk3hbmDkk4fsogNLExmHQ9xrt2RjyCYr51ygSFZOK37ZAlRtLsFX8qxyhoJ7jMLym9lIcd7
e1B89QMntvFoBZ66b9JQvsbR6NrHPqmS+4QDLDSBaQTBozMTme3il8ONBLi6AC+Oav8plQa9Ct5H
S71dYJ/deuyDtt1KnwCFNVk+/h3rL8fXbHJ5iD0dtIitW6bVTRt1Fh0pWMGPBLgTVZV40h6eI79t
rGPWyTD60lmy55Bm8fYoklg4orTlP2IIZXLQkue6uGK4HeYw3qcBpdnBGdri48zmtdNpCmYi7xQM
j5JcRIQBfYwNOY4HOqfW8BRrS+14YOLUWXYDOYJQG52Jr3JkQb8siarxxx3nvvpgoC7fKI4KRyCm
/WdKXuyqbnOZMrfZhkzijrzKCJCCSpsdDskKIPhInmstl3MZJ3LdCJmv7cGdwZgG6jEXfgM5kwPL
88VcdA+OGVKbXuTTMo7mxa6DcutbsUeGcMokNyBh+honKJkgzKu/lKrqdnNSgKvDxzLu55pRLaN3
la8YsNXXmAAMXa+azi+ZCLSAvGF0vw5tnR+GmuFUOrYvcuhZTN36SpU10QkYRusnXFjViqyD6R+6
nvambS/lFWGTH5FCvoVVW54QDjoAXFQHA8UQYhKQZ7eKQ6pdVmjM0xHFpkg6WsLNqK/sAElsXfDJ
jgNVb85btDZENdzP8yQOkaXLM0GZvMLWNDtkd3TFRjvIFgSVwTnmqzzmnvOSTZH4BNDfwefL+wOR
PXqahlnf+A1ki8pnllKjgdsMcialcEnSJy8dliOzmUfKbgEmK0O1hSaBnzhezBmCPVOsHkH0yY1d
c+Dt9x77orOfNciae1P2+gVoPttsTNL2prcqcPvhgIYhrskiYomyb1DNuAASy+HFVG36FDbRdLbF
NGyQPZRnV7vPrEji6RKzetXnzGfBXHBmFWntMTN0i5STji8YynQjgg3a04tWJdTF/soePe/Rynq1
ngdSc2v76zSHIyFxMU0Hh27rVWEvpHbizWG8GDtbVZKOR+Kqu+bbLVCF0Iirmbqt4BucWtqim9R4
5tDaOjqmRCxw4nZrvVtYvNYTi+6HdAyWXeeRQBAKlgwWx3BlBi0e4s4p11rSqplxXhBdNAAso7S5
fHRpdlOXiAG0jipSrFw+r9Cl2A9HtMc1QP5z49RiS2Ppc+OGmjKUZIV1ZpppHXYDw90ZaliZq/bA
5yUOjKoV2VUU8RkvIuDfxTzMJvC3JLgQAaqBMrp9/yHKsvgfeMCOAVczNF/9YRIXXnz5eaoX93Fk
CQD04aOwK7rhH3QK0z+1X3oHsAniMuJ7kG5fE+4STNeW4DPzQ/EQCucu8Xr1HPvBll2B9FzhZsc0
8AGhQD0xooZFwt9Apg5Jm7eMomok/OhP8KOnqwv3/CFJ5uaOyMkvcxq9DZ5L0428QXJns/RJS13u
Bret7+hbDuOuaigugta5xunP0FdWOjj50wRfqAYzvLt0YVeWx4g1Zv88NKIg/mrwWqbBE7OAaSIz
0pb/Qd2Z7catZdn2X+47E+w3CRTuQwQZnXrLaqwXQpZs9j252Xx9DfoUKh0hlwK+T7eAhDNPZloU
yc3drDXnmIRspUYZXaRh8uxEUYQOPE26RzgHVJ7N1PrK0ABUUpsYUxzb3qUhM0Yta34lOYvLHv0Y
RT9L3zjFDBorh/aiqjN+d5kbRFvXLimMpOS6V7hyjds6T7ZkPDfeZKjDK6Ne8WZ2aPdJKVO/c1Gc
RAN/14kQn1ol2w+t78zXkZ7BzjaWDCc5ajpE/6K6D5U0uqdVNHwFMq3v4zYAxdVJdghAEFDOEK4G
thKJ61NJK2GXZO6zCk/6IALXvGhKaQK9D6Mf7Japx0a5kmK3ifj8QSINVvRemjnQtCDO5+LSIat1
26XNvtT4ZoldMNObUQnn9hIVjr0JYzISNm0MD7xI4wSuPgBLRhntqnau7xktwbeuKxVurouMm6a3
O8p5KGHZLRr47Ii36nfurIu9tiT+popp7xR7TtaVkXSXtg3K+zEnoOygziHkPaextmkVtj6uV0iS
XddckeZjBaCU7XYiKUottEMq0siM2VAPYU3kqYm5moZpYnpSJxDrMNcoNzZ0SABE2WK+zPQEBhLp
kQ3pIrNtxN8SlWo2HFFljIdtV8Ra9zN3emCgAQpWsHZTVid32Ej1DoJobX0VJao8z4zmXltY5JOl
PpqEAjh3C53buFQI+OCkTnNXxr6bE28/U7ZyCQMqw9FSvg4GKdtXfYrq6MLMDTJVCVSAZNakUd59
7ybdVG7QkmXhHa3cgdyM2jRxRZmuTJGBxYqSP89KHSRkzjnEgcJ8oi6vkiuFa1FEr26launPCDI2
0ZgarRi+p3lnsYM99FY956upoqxhyjrH5NLO14U+zmvVgcQQU1y+px5DHryGtPAia4rpWuWb30VO
20T7Kcjd2us01DOjW4W+VudiE/TwsGSsul6vmsF9p+u7wh6oKaLDIZDrMqFV/pNaUvMi7Ml4tRQr
ExTPdDv1CvAHP6hQTO9zNWiHDhDzq9SMThyGvKyy23LisLUpFJmYh7GsGXNTa+nvWByUdVWCLBMo
o2jZBB1iziBVCBqxhumnHXFcGk2TrPpxyhuDwC3pWv5I+wg9vWNpm87hTJSHfbWzWEtGPy8bi6Ww
p93wpVMD/acz2nLfECe2S8cF8p2APQkoUSDELMlppcx2Z1Xz2F2ENr7jfk1TgvBoK67K0OvyJCEp
LBqHWH/ua42c7/WopSMJT2YTUU0jqbHp5VcltcvsJpcaiSt+YUyir29JEJoUAJqZmaHkypy6F9dd
PIr0QKJA6pL0OMRssR2n67+YeqUaCfJC1YLmhU4kpOQf9USc8GCiuNxO4Zg9iUZvHa+r+rH1hAiG
a0raQ6twhMorSH5GA989CF9oJMhvRTmLhLihAGWB4VJFmjxNBDSafRARefjE5JilT23L4QvReQsj
fZyaJZGyDMrdIF2NukKhiA6ZRkayLmcOw8D9L52ykTfJkDXpVzRERgdDrAqkcvt/FiXyX4myP5Vb
H8GaruK3pmTT2/0vwDUtjpf/WZO9/VE24bEke/kL/+CaTPtfAioSDjo0taYNceK/cU3qv9jLLCQK
21wspws66b8U2SZ0c2T8WE8IfCIzeiEO/Be+CUm2arnIuwEsmH8tyeZXOXZl8OONxdlGo4bzmY5v
4NihkNeJK6TRgxF1ujrdgi1SIZdjeHukCYgKmfGsQtkLpWFvbMq8D8B2nFd+Y7IL6H6wGZztpdUR
cV7kw5oJnVFVAUqnTQ332aKwRvGUTiZhCohkrS11naFZWbOUN6MuCMABXkOZOw9bmE2ZjZiudVXU
rrNbB1cF+VfIBQGjIAUQJdi0PBWVgUhmGC87It4DykH9IiTXZHozyCDZxWyfLjs7m65DvS5fTSup
Ac4AkKOHpr7O8wSFponBnJdukRGSNgHNAP8WqddxnI7fulqKB5f2QrzlBMXSLpPIxa3BSS1m02RS
hRqyfDZXI2LkVzutATQUucb6PseohjpeNbLC0BhWQTcjmh41JBMexy0OK1rXpM8EYc4XRZza9l7R
YW3HWnajmw28nx7E+YHzaJ5u87ZQrpvMohDvlknyThV5AQSZdOkbCuPqSpULkgZ2CX1unqqmrZd5
lBA42ABUWVCaQokNCmjFpuLQkkwywwj8oOirYmMXRnVVorkmN1Tp9RezLWggIVZo7oRKiI/PPrB8
TjpkbZ6aIkPDLt85Nw3UG2Wdhbhn1nUOU4oZPld1X1HM5slgU/2dAhPF7ppkT4pp+aC9SlIyiTSM
SJ9ajqndQUaNg45SRQq5MqoERQLLXNcDzzRrZyUI57gleEsjE3eYhgqar0nDIRQpyiEFSM1OjiU2
NxRnKGjAfjgP1IHiHBRYIqgymWkCSazTptiDGh5TsRxdoXimyb70ULcVanoOElRL64LD47KAtSwc
QV/pO+okxE+ZLjYDlSqd9CM3QpVKt5U8dzdpdNJuO/GlGLtoX3DhL0iJAOiRPEeeiW0wxsKQwD4Y
7a18GNNlARc4yHnnbg99eCZyimKTKszXLJzo6wWwMi6omgWNPyG5zVHNB+TSY5sAHGjllRGvI+or
V2IubbRDg3Am5AcB8MMgU2x0fUiF5l1ST0G4MuPGsnYEi9oc1woDn1hEjkvsTyZy7aIb3W+VAl0N
LZ6DjMBpTfyYgTuxmDvZMG3UqXG/sy3mJ9U9h6Roqpqr2Sg0a01jEelaLimlDEnJZ4tPagAzbUcC
VBen35/UF+Nvol98lUJ2nUGHG7zZPrKpR61dhI8s1mrd/NRCB05hUiomvlYr1UIPIhF3kxlKma37
OLCeRF4WaLAQLJIk55o1D9M0m0ckytnPTA7KS041C+UO6eE/uqpCQsAXOFzj3yJYJKts1JJ9W+ba
AkmqqSi4DfoOTprRE6GB+rAeOD5qa0EoPeTTDrnDOo01NoZuRuQ65CpSWdeZ5oCOnTTW4RX7DoFy
zUpacSjMrqb03uFawe8oR6g5JhXzreUq862DxpvaH5nkpFI6XY5Zw656fFKOUgReEbVC3dutMyQQ
fxuyaKoMy+amnMlp20xKyNRkJ+yCdxNeOOjJE/GRK4NCIOnvcwPmNzYr8iLZoCnNJpqX6mFQj5m7
Ucm+ei6tpl4y6sf40elK972klPxM1oapeIMat3Jrox/XN2XfdV/ZLCzNzwzdzq6v8K74xtSTwhUo
iaCRy16vYuZhS/PGrzP2ezQu1KPYmpsvo2uCXObG+y/ACcLIzytFDrum7Om20a7Wui9srRghChg3
+9bJOcT4FnGvZDCoGgnZw9AOFTi/NntXEgw1icC2keSoaCrkO25ijMzCdU9KT1QKwKd4HdjFggqw
EMCvmznmvWLt4/1ZLmUNCwuHbeVbqi3m5VwWV8mg09PIg73Fu3diCMjldOvqSBxCzpMkgq60HFZp
iLWI7ziv5I1Zq29tFd+pFkUHI+EU0/Rbg0RU6J5UN2xElDJFuuUUFzbJMi4qTPZk801b1UvobkXi
pUU2nfk+0foZU8itFGOlpr9q4a3s6itk5kBFCVloo33bJbSXXH+CejCrxVoLs5sxnvy8jp4b6Sjs
4GD3CvoVPTQ95IjxuDNs6tMF3LQcVK9bY74lmLSIiGXMastXa2aY/o30t2ItZekNLlfL1HCboAqG
F+gcXCN5siaieLtMBaecAEKmZ62gDx4AzXk0LD2Ux4d4rtKDSX/5AJzua5hipbfM1qvKgR0lAoEy
51OF24RHFJNO4eyaMN9kjvzSav1eouVwiZAoHar85vh9lmq3LgYx7fn7Tyh2ntrExNhRmPdZGh9w
8V84qXGZyok6jzO7TLbTVtY0cBUixTdVaN5FlCMsJSn8XEatux4sTQpgSO1jwZmxwEDVNh12XH0T
cahOx/kiqdRDVmgXgwYvPod6XFnmTR8BBmiYctCI78OgJbDHcernBidDnqQ/Stv1axXIcaLTMHMe
q1YgBp9RAhJWnT7OKnBtu7pp9dhH3w9P2kE2Z3KQscc89ql8leR/0oeLCu1R0DZdddqyk8m6t7ik
Rl/nzrrna1z3s+oJJdvUZf1V6skz8+nast1orxT6nRxUiv+EecCWpBVi1qYwNux97muBJL7OXvUs
ehqDzmEfrWlfxyLa9BaJ9WC33BXmLbRtznjVDmrvJTSHeqsc72TEz6z4gPyyr8lRVxTdvMBz8OaY
nGpKIbWrQdNIERmfzQqRPGeMH1zOS5z0OgIULDyqXMhRrYA9Wq5dJZrpE/5bU0cRtqdXyvusEIoB
ennO5uDAobJCMS/Ym+gzlh7loKCTTjDSFcaXREV0nbk9lnTdnpDESPNb38j5ck7p09XQcLO6p4c8
3enEHeQJQSAFyd4UqvDiFOZtXlTbprluaGDSzjHINU7XldLtmwwuRFTE3+c4upoh3s5I9YwxvFag
HneTfStQ/LHDQNFZqV6RG/e6BcWZFg/OodCPTNFTn5vRvFcE0U8pulm17nS6kAHpTZw4O5DHtH2u
pia8SFP7VtfyL4UIVq1IfYspNVTdW52FxoLzm2rkuPZBunNrBpuLTBNsDKG3RvYSpYunuH1gl/Ec
I/Ug1LeonEszu4una6VHFlKU9/1kHOyA128RetI4yjp24exn8c4Iib/pw0dKh2uhNZug6RB7v9Ok
v8TA5vddEFyhfr5QOxSuWZ6jYiS4S/8xUFHFM6f5dYRZArFrhbGDib2d9RkJAWpAijnU4NGJLJdq
4+IlcEvof6GqbQMDYLOhQrdObXcjh/QGkMkqc21yKgJmZn1+S+sJ0URqzZ6GmpcIT3Yj6ty9F220
KYdKesncs0cuzJ1r59eD1V4UI6rbNGM6aWOMhlHjcWsl2jiKfKlVv7K3lju3fB2xd0LZUOmCrOwu
j15Exwvah7Mq3o0MId+Ah4BzQYd0IFJU+O5j66g0sdK+mXaNnacvLokkzpp6u5NsmtId/bjt1MiD
D4DyuQt6ZZOnCWtBW/XxtSlRAa9lvEhtazs33xoryV81M58Aq7t2UPnwFJGQBBUo1HVgWUhPzaKI
G+oUmbazbEnKgTvaLImd0MWK0Mn2osLWV9IYaAnAduv+B882lXtU2iJGgxYMsMMrBwFhmOek8WlI
nAO1qb40CgY3psSakvk4hsWjmolIXioj+6sbZCrdrXBlFPk0Ts17opQx6VCwpBYdjblJ3vk0IryT
M+aWsckadZNLQUu9R4afUnDhxrxKdHiHkI0Fd8Ogt8Abum66yZRKdn6uoXX2xo5OB33IUUVlNYYL
WN9M+AWRbyfZQa1oqa4iR192lm6mIxSgEvY0oG+4Zmcy1Rf4K1OI7JN4X1xt9qoiui4Hn5DM3/++
zvA/Vg+OagyfViP+P8RCAw35rNBw9Zq9x/JHexSXtvyVf0oNgrQ0S+DfhtsDckWzgI/8Y/4W+r/Y
K9k4uTUitpF9/dv8Lf6FHxY4Cn8AvNDBUP13qUFR/0W6mqXyNy04X2CoqB783//gCf+bgdme/PPv
wWULrOJ3OoEAgsBVXAcmjAM67IROEE/jFNt8kB4dDdf+AhKyWONyy1Zaxkotmia+0Nwz6EZqKMfX
dADALOmgVGKXGzyBTgTuGBW4SlHf1wVHD5Yjzkh65//2Gm7/uYff70z88TKmBXxb0NGzT8FrGnOE
wdSmeha2DmpBvhHsWk7IBIpNHNC+lelTmu0qLJjZoZ792l3HFXsTtMGrKdzXD2xdFHGws+tK8YKS
88m6A8GrIQVdOyayULb/VHNp33v0IumUZTSlNB8vgnOpXZOFJUp/kBeLPbhZ2SQIRATXrJPX9N14
dcutBclW8VW4D1jhCat6m97qYdVREwk3ZiRZvL14vhDuJVnwM2viONDf8arUFxJxhhecwY18GAe8
E4qyVJw45S5EkOOS09DQNdAk46DW0byq6Uwhg0TtJJFfUiuDygw9dT3N9t3nL+lP72hhj/0iUbJh
OLlsRmjnVIZcVo1KjjX0DlZLyPWZ+C3jpKBmCu5O6Do3BrGOocen9jvyQ7b6BDsRNXAkiCH3ahAa
xTZqrwaIuaV8M5kYddIWmte8eGyza826ycucUImNw/CfcMqvx1Vj7jW8tWtnvG3cpxSoeaHeCP2g
CdprN7FEmjoH+3H4NhkPdo4cR34L++sx/S6LM9/PH2/HUSlR8ujApZzWB5spEmMuEtULnbVm3+Aq
IYYv2UTh5TCpBIuQ7pQs2VEZkbGjNwLLsobbxOIfGcmYIZ1tX93k6iaqL7L51Yp/KtFe1qaXQbFh
c2SHl1nT+tWwT2s/6j2RXLsmBSxrhVsV0eqd3WOCo1renyGznFC3fr0mxxYqcyGDUHNOJoawnYNx
QI7pZZARVkY9bxAOjjSdA3K3e8nXwrn68wGonTCFfl0TtjHlWyZpsKsntVbDmnNMA2ydQpPwrvg1
i9PgOrJMXNEVtfoaL1ec9rvSZTrsKyPaOvM5pNkyyI/mYCBjv9h7FucM7vsE9VOiZBJNYY9eLygt
kJ9otI1P2vXbMHXqGfrXn67lCGrYwEb43N2T26Xs1qs4q2bPibFTjT37GyEwdpXYsQaqzJ8/3T98
d6xiLH0uA5XC+vL5/4bamSp4/7rFhfTOuCwTmNmY5aZVrltkmGXNYyrEOklBkyfOmU/+DxMLVxZg
q6FFUU85WdfGcaxJNLe4xYTIs8Hsku0kOWl8fn9/uAoLO3hnoWkLePZkwOK30wuTe/SiLmxWPXEG
fmAak/f5VU6pW8sYtVTCIVjLoMVQkTx+jGlslIXRo4+HSeA7iFnxJ0W+0QM5pMJH9m1yUygprsuR
A4zSDWcm6T+sDRYAGBPyFYs1883x5Wd3QD+Fc8mjF77I1V/rDguOOkms6+00HUKLXAnRnLnqHyYD
WJ860wAFGxXm4fFV0eJgg4OdikNwTLeRrqGUczHIEwWJ3B4xWHCO8/zHKy6NH1XHWKCqy1Tx22hN
tToNhxHRMmw4c2Wi56VzHJAaBJWcUy5F6jlxwzMv9w8fJCAfcHAc4RaS2/JL/XbRKsjBfchx8nLt
xmoI3Att0kdBuf+cHOPMcP3jtXAKL989H6O9/O+/XSswh0hJU66FdHIzTLHilyPZpZQ6lwOpduYT
/NPVuNICFFZ1ZpuTxwn3LgszBoiX9g9y0ge07iXqywnt80xSzuffyPIJnMyhFOJ5jrrNv5hIj2/N
UMMRVTG9WT3mWKnDSyHJEafM51f5eEswisXC8UU8iP/pZKYGVjhQaOAqZPiYvpW9SJl+nyzq+Drd
gc+v9WHuhAQLL9g1obPaIM5PBkZMjnY/UKf2XJPlD4TIsOv7kKi6VH2cII6qjTbvl9jy1o7OgEa1
ZT909DS5Nm1RsmgE2yVmtuOnGU1ThRhQXzYY8RsF74c2gQY1Ys/02hIDjUpgA9Z3Knr5RoaoeZq5
fcBqcO7j+PBF8nu4KrhBmJgOO9OTtxqM2JfboVG9gWqGztfhV6q5nYJ0m+pY92IFVejnT/2Pt852
lI0AvHDoWievOKmdOR9lr3pGin5n8QANtXtn16jrateMIK3pd3FfDivXoj3Wu+bPQrqoUab03G+y
XOnkJeBRtzj9wXe0TfdkcVEVgNFC4JTHydL7QDMX8o5yUJMaR6hj3SxKBtQQhkOBksjTcVB8qToH
avHXiimjM5vOD4sAB04OibSloecxH58sAoQ+o1XWkhmzVxWizoyW2XhdF5NXD40NBCM65FX08/O3
YX74rF0UaK4Oq4/DAafdk4Goh/aoZ7EzeSoVnD7/KTkghOFzWf3gm1lBClxBawjIwaIMY2/c+TG3
r830Wm1fMvnY93tdeYmIhQWUBG3jLl4iaYddOFBNTdei2OKhT60f2O3J7DPJ18zugwiChV/pJNY/
JtM3GSF6uhvSq7G9+fzWtF/z3/H7Zae7bPxgw7F5tk5G2qzYWgLlg+Wm2ZnqQeH0Kaz3ybnN0ZE3
7be6wFZs3wTTV6JiAodT61cnvaChAfDPQ0PcDI8aDuiwvjOpC8Xds91vO/Hs0KThWFtu6XRP7qau
t/g7yBWTXpWtwQ5Vyjr0a/s2HPym25ftxho2QbLPjEtGdtHfKeG7nl1J/cKoXmniUAb+NqY7A/mM
7fX2naGR0uYZz+O3TN/03ZOM7rPsGsuN1V+Sh2Zb5KZZ0fMYP8sZEADy3/vZ3BvEbcZrsnChAAyB
P31ZjOPzSh2wKne4lW675kKXcDAeShfdH+Pq6/CWwLKIvxQBnZ1tmq2DxNMfBNpr9Taar9mOwyxB
fdrOvksXi9Io5XHjgs6VY0FVIrkUPdvwIIL7ul874lLILdsXxdkvW1GMDLW4wKroqDv5DYTQCPkB
91VHmLVH1vmlFazt/kbVKU6Sakf/YpUrB3grCRw17TYK0k3c7Wf5PY++j4UPvh7biDrvzGYjcrL2
SAQkSALSwKtqX9V7mL46lCnpB+MFse+aRcr1flws2mdW+I8TJmOKADGH0hKSjlP2rMPqRCITm6ao
NND4aiQJNmHih0r+JJNMXzvM62fWxD99ooRIsPulpGM6S6rZ75sKfNWk04zLHp//sM4lLSAng6tx
5nP5VRU6/VzYmakQi1mZtFOu9+LdqMEhTd4gb7B5wW2y9TvEJiAQ5jfa5476UjVfp/7LaL4b5o8W
so4k0paWgq7uo5ZGBnmlK5pOs/R6xwcU1MW+5W6HxWGO6KH1bOc5gctW9L6Uz9Hdosj9olzkLYGX
K5pLdxxaqOvSO5mJKQ0P4irHo29voovuqrM8pAklP7xeu1uMGNf1PeVnbIw2UZKxl5PFdkdJgf4T
LubwWmaXVb/L6S3lqz1BsUWxyt5k99WJ72HLEuk8b0LVRx1MJCf9MT56lBGriT7qEGdr1Xqq5jcI
MFZw0ZJEKD1nuo7hhbTQQp7pz1TRTtdwcHujvKci4Ah6KJjntv3syeHKIGu34BNZRfXGdA5t+w2F
eHcXzE9l9pCbI0z9eCW1FwdOW5cPh05bcgRoACiv+NvN6sZoKYfhemzqW5kfyn4nEFVP75+/8Q97
Lc6MCOaocSxCLP79eFx1BH6JGi6MN9hJ7VmxfLMaYo4Uy7yYyTjw/v5qGuItFwynw5njdKGxC1O2
+JO8YkATYVLFG0hYWgl8X15xFgr78URHyZdaFPE1Kp507MLHN9ek7aICnCZwQA4KkRzTfWjgUsaz
CguEkWenYoTKkq6Rd9/jTrDOLD9/+GrZJrOXtbSF+/+rLPLbUSARVRn1Kfc7zi7LeRbjfNPd9sxX
+4d3CNDc0EmJoFoNsfT4NvXMlYaJZdHLhbXJ5kYstBMICxrCFuHM+pmX+HGPslyLOg4YKvo0p1ki
ZA26eS+JW29KG/eWcnBVKlwLgLuzCi8o8GQLJ6rOzLmnN+nQVKOYTUWegjxmjZPiolMFc22B3fGM
YvhGjx00lXOlz9/rNlbO3ODpmYBLcRlCbtgvoBB2T0ZpIscixAlOxRkN0xUrX5ViHrFr92GRkevB
QdIJE0Y8bT7/Ok6XlaVg73BrlO0RdPBbHL9HTcEahX+1hbvBJFjnfbKClGmjl4VDJwZPnRVx5pIf
PhFqHkRwWBxE2AFzKj/5RIxIBTopBTVvq0KkrTRXQE08MUz46pXUn7EKkHWob/u+3o/qrP3l0OXy
wOkBY6tgdgVnsONbjjMFZ3vqlp4LXQPZGPb+kh1NM1EG6Gb3y+cP+OMYIv8GGgl0JRox9um6TdSB
jac8qZjsw95X6X46NTJ61GkkGdO5O7Nmf3if/EC+EUEYGHvPXyrX39dskFTdzPaSZHNnJJ5QJxFd
4HP1aigH66bqf6Z5GZ8Zu78KNr8v4MQJsSGhFMDWXFCWOxlESFcVreyD3Cud25notRSjSHDpNA+i
Nm76hrTHin0czdYG65FLxDNuoPySf0AUPQ8vabqZFWKVEeu8RPIBET/S802MAsWqLvvyij+nMvEH
l4OoXAnyyPn/utVtrz3wM4BG8AMsoH3seLN0+atKnq+0AKXSw1++S+5TOJQH2IYtBeWT+3TA21mT
kxYeor37YGiUdV2ZkG2I7URMWBlnBuqHOYHKCoNmaW4QOUCiwvFAHYdqsscojz2WaW/CIcay7mL6
rHQ/y7KfsxFhf1XjW4l84/Mb/eOVNS7PltNYiljHV541LHxdWcfehHwnGrXBFwORjbUkcxYZ9cYl
rREPlD67Zy784WtZbpkyHXVslmyiHY4v3Otx2hp1EtM7VLeTGoLEiQVHoKlz16ScnpnfP7QIHJ4t
z5VMOyoiVEJPpgIkv/iUu3kE39XSPmq9psEHhdx2bw32dF2246ZwZXFN+yr07KwtPeA7Z76eXwXr
469HmCgWOCdyIF5aJMf3bFTCGvNmHD0Ds0QOqFlVcBI+IGX2dF1Z9Wbsq/gid6oWfpUE4mG6tOK9
GbXbItsz4OeSGHc1vegUf0oxXoHI1oEIAbbAmMYHUtxH9IucbqPat26957jN6RD8Vq+hjsSgjKQl
qF9piaDx4GPiTz5CDRZlQ9kBHvWcPQ7xpgMEQ5EDITEXuwz40VHHDvGvuza8Emt5+8wjtA6p8B8/
DZloTpgDwaE4fB1rIy5DK+8uMo4HUEG09VCoK1iJlteE1l3ZoQPTrSg680pOdxvLeYc9FK19wrZs
2ObHv4OKQggeCRt0TWbKagZqPTrKqpKPYkT5jDfGn0Nl8/kn93HkswhjQ9B/dWuZR4+vmSHPSrqm
7r25m72+75HyJug5Q5NihXkuj4rWAj/uaNAZFKAo4SJcWBLajJNbHIoeApIydJ56Z7yVX5hb1Ec0
vfbkp+EdLIRg8vlH5a0AFUGTsfHK/lJSikEGlK71dNWaK/Vhvgj3Y+FpuZdD8bXe+bMfn3r3BoNO
gopNI6q9Y8KGCWS8LrA1hpCyJrnWNfcVUEVUlo1f6F/K6dto7tJoWqHaLOlUKutcReFImuYasymk
EuBdCYlg9brNPaRr2LKQaFqGT26zqD2n8ES/W3hALua8nRJvWwoM0QZAXm1tg2RtADtmLxxAZFgV
t8bNfNsBXUpW2VfxpHXIIUmSXU/KTit2ZrJ1za0ZvhcOyKEtFeH52uWgJdd0JSg16fd26JX2DnhV
5l5X1qZpNk2y7hqW9H3VbjptW6gg+a4rUNOIYV3AHlv+S/CMQBRnfTt1e4j4Vri2h03y0iY3RnjQ
vqF5VaN1dKlfj8/Dz/zCftG3ymXxA92uTC0/tG7gyw7TZWl0uJI3qfEQTG/gLav0Lc7vcrBS5kq7
xaQWage8aQr6J3XtviPZOzNDf1galoGzpAa4RHvQaziZoZVMwxsVzAycFrVT61aw2ASlFgNBvTYa
0WEGxb+OibDwYEzb+8+/ko97x1+XR/WxtB6QuCzj+rfTTYzsEmCV1nmWWvhlk6yg/XnDRPwecCve
lkWHZfFFYPKlbS/zc4lDHz5Trm/ToKcSI0ga/LBf5oYTuwkZakp7yKOow5Pa3wNOo1ZRjGfWpw/z
EFtyyi8Wa5O6TEcnc4ITR6ITLbSexGwIwZ6CK+rmmwoE0MqYstewYzAkU30uC+hX2s7J5MB1kfAQ
pkiX+DQLKE/jusGa36HexXuqSX1RVeBpRZpmbpm184vYMhZlgramqz/e4CSyfEWiGqdzOXs52zSf
MPWLeaA6UyCTxGnrHNi36fl6tiQi6Vih6hd3SxAqivzPx8jHp8YWgsG5bO5NFenT8RCBaqJLxR1q
Tyr1RWP1IF3weqKEXPVttiDMyqchOXPoXt7E8RPjmjpw7kXgQLbYyaoFwclpMU/VbNPqeQvMdWvb
/UHW+gXtFYVpNT8ngvo4EFE2UGF2CdVBH2me3KUMsFSbEqES5YjukCnfEReCwenRB0711799okuH
5levmiQRQv6On2hclrIVcUMoHWvRtlapkUEkZZ5RfEzxXhG67oFtcbH5/LIfHypjD7/CouuxKUCe
nIndeMEYFSWYKF0irgXVgghG3WaBPoHkA+eekOzz+SU/7ggNBsxSiaRBTUPQOalrFFarWWh5S08b
pbGiM5Myi1BptOc+2Bc67mPcbgMk+Fyuul6vAQ8P0Vpq6V9PsyTALNopjqn4GRe34u/zHPwTAIi1
gccl1eEyW/oqdzNCEfBfBfUA+ZshPNqRN1rz3eeP4OPAOr7yyVOHxNMLSLdcWXhidAJfurELnskS
fpicedwfF5Pja518NhVVYcF0RhperbxMDkf9qDcQJyKL7q7n7tLUk3pDIE905rrL0zv+XLku0ypT
Ae1edJjHTxcbh+VWfURpjuCVdT/hTEuUIjxzfvvTk2RbzxGDhQKt4sknGs6kSyuRXnho+4t1jNB7
wqnY4m6FSxSdkwD8Yei6JtofBq4h6JifLk0JZnF3JvXcS8bsLbbTn2AJ4INowdXAylEGtV+yp44y
Ifb0A0N6FedW518JgyfPlV/BYgI0iDhCb3j8XMOGFiKLI5xR+VJFS5G7wLuGyrC4hLaGKaGR8UUJ
b3/VmdqrOSlQ2CjPwxEPVilG+8uGwsaaSzR+31tk6iTsOZ0IQ1akYNJuo+KvV1iemdAXYQhHLx7b
8S/cG1ZiaIhVvShRbipJHEpokoTWpF5mTxsqVcOKcA7tzAr1YWCYdH2pBiGRpRBu2Sd7KEcJ4K+0
SeotlK4NCQYvyjDiqBRPRp46/y8XA0WJiZmTPDWa41ssAwfcTBulsPqakNU7pdOQat/6CpcC3dS/
nDxAW5DkizaL8rP+QQCMmkgdmog2BLkN35u6LXaV424BaHmFRhrD319s0YGxF8WEQ/Po+M6CtocM
BW7Ko3S5A2CytQKTVF/2p6sxtn9+frEPixF3Jqjtsx9bHOanX9ekjEjNoGh5RGRQdEps+Lau87rg
lbRcyH0eDefyNLVz1zxZjBTA4ELGVEOcAEUCJMdtWdkdJp5efcZK6FO5oLlca5tUs8e1FjW7MNLd
Q8rWnXzhp3nmcGaPinkhAgeipSHOqEk+7LR4JrTwqdPQxrHVU/nYOIGkoxwJBrLCVddnBubq7ntd
BuTMkCnrptEtptdq//mbWF7r0SSD5IaQRpMNF6MMStXxa89HG1iQngGY50PaZ8r8HVrfudL/r+bm
v6/iUA0ybCgCi8R/GcinGicHRVCo6yRepFlUbdS4RG4bUZlW8+EOekr1HSzXHQQcbTcpsLp7V3tv
0/55MueLKILdrAxztSB2X5l4q/2gLqhdzbhvGxgWnz+P40X0n98UmgCbBMp1DPOT2YQcoGYIlCih
KmlfGW5+3dUBzM02xAXJGdc1vkVxeBnbk3nm9WvHb4Ir61TPKaYvgXXgoU4r6VERmj2dIL6JuNsl
0O1WmA52TZ1lm6ls9K2KVrm10PkGWoiPZYz8mDCIcl9YTfMSDvPj5w/i5HD46/exXeony7KOotE6
WXDH/+TuzJYbN7J2+yr/C8CRmIFbgjMpitQs3SBUKgljYgYSwNOfxbJPt13H7Yq+O/FHdDs62naJ
IoBE5t7fXivVlCvwSi1BozpLkxkxy1tqkdus/JZqe1SWm7nzX8jDiIXMqC//88//6+P6x4+naGQx
c8Eu+edcY4KxeBhSfvzQkjUAX/bAZBIRf3EGyQM9bdB+JTP+6wP4f38ipzSbVqr5/xzUqhFOPy2F
lHkLIwqqwh9vEzOYSw9cfjyZ23qAlQqx7/c77r9Cj/wvHQm6Ou//M3vk9AkE/S/zQNd//vd5IM/7
jRuPBoGpM93ze0ntDxkk6BHHpNlkXP+C8JV/5w/0iCl+Yw0n+sAulD4qp45/zQMZzm+ceUwEo8SI
UCrTOfpp+uefpoH4KH+9PcFbXBNJNunGv66XqSanqFNEkVwwn5dW1v1tHKOea3x9XtkeFG9hIMEk
IjNIneQdzYiN0bTaJo3cnrkhjWSDKKF9NjLcJvEE5Mk0+i8pE2eZ2VP2TZn9sPUyV88XEWMln3mc
MDKNkjEoVW8s3ahk4BQR6kY4VnwPyak9xUDBFhY7RHALulkGRq/GG0+GTMTkxbyKZl18Zqr0qXxM
TbNA+uBu8ZNlF1/IZF8yzPvASGnJ6GoSeneZ9PSd43feyyBsY8eRO//GGTx9ZUUeEaRpdb120M7C
4pXeAUxGKhaRyOjl1mEX2C2zSl6jFXs1sjcmIpHsoB26d6GMppMZq/q5Rm8yM8LDeh9Yls7grt5Z
5nqs6/ITp9t4qSGJQFfsY+3VVdeHfWjC6lQnU33jiAFWfCJJQnkuAkcRHdok00+dtMdtHarpbkir
/IXkfPSYZDUxKyP11bZmNjlFZmbOb0PZdQcpEYEscjhJLyGir5FWouMRnrK6I/zS6m20FXvVyWm/
zL7WTgQd+u/Z3Ilj2vpjGyB/8xiUjMFy99mg7+p09p5HJ9OXTTubeyYao2Rh9HGULyYXfeSyjgGN
hAihWwq2nv5R1ZP8KA1Z7Oaurb5ndmWKRapxSJ6xPxJzEdOyxWyEesJqVs3Q3uuFJzdm98Aovon1
DylbnZXPI8OczsRG3rEi3FhZWDNt1ad3MMEvleXvdPsBq6CzTG3lrrC4yY2bkbHRIn8Jq3NdR7G1
jfXuZF4x/POsLSO2a3dlMunbMFUmbdYvKO/6JoEjHuD6qKEy9auCsUhnard4WTaantFKt6kdDpzz
DQ4jQ2/dtQWIyVrm8xayFkCSaKUS/12lzJCn3hnmrf2VFgyOuRQ5xwXBAfFdGWRIC0//qqpBPTGA
1a5qz+JpyWm+WPzXG/V3Ey7WFtf7s/Klum3NJjs0nocF85vD+DWIrCHoNH/jKvAX1cj+wnizdT5W
xqBWGGs7kH0bV/OLNwadsFLKO93C1cxQwGM2+DAIHnp225iCb6rec2gHcZBCDdcWP7DBw0UXDFxb
Up2VGUJY6fpNBMjKiIsPCLTkyDzJPGr47BTjjrMQFehkdoICT8Ki88SuETXkBi3Zw4ImP2e/ekn0
3dVTmrqNw1bb/oQ+es6YtIWCQI9XZxh8aU1EsawrsMUFJ7tUOfqKLjrKGXBRm+n80ursxlAbGbSi
joc3uaHLgmPwDpbwRYZu81j7GgXxLsk2TZ9uWshDkEeYMIdTKR3AvR1i0tGF5p33+QIMrb3oXC/d
VhCMF8xWFcsOPJAgqtaasgbHASKPRp+1wx95b9TFV58/qit7hIMDh0wT2YLJ82nkbOrhWVorQfdz
P2akwLTJ3Pl6B2WEp+7BHQzvrGbBDTJ+OvOU7D03fERpW5x7Rm+XwN+RgrnkdjU4YayxsI/XsWQq
MenN+6LWAthWF49RawDlo7gw8+5+FR2n33gKV3gbrjjZzDy51vzuhpVIaTpIj4NyxWxvXPpQj9OY
rU0IDOjiNE3/PmI3DPSxaG6VZUcbDUHnSRgVQ91RhWeholK6HEBv7/GEpRPcpFl/LAdRLWOW2IMf
c31tVX1MajbftVKRCY/94tOUwjxHTWsBKoatzli1vYSjUi1LpZ7sTms3JWP0W1vTn/KSkVKoFExU
pJpNtw5yieOrZj9nlQ7BDpBdgGDXgTFnHpqIhiEIbmahPFGu2r57g/a57KaiWlpIVA460t59UQl3
lY8WUPGuPXlmVCHtHKyHiprNxbDGQ1G4FSaO4R2CSXYuTK8kgSkQsrlleAvsR36EZeh+5BIU/MLs
C+vkpzyqWcjM+wL3jQcThPnYlael5QU8c3p9ccErCtsHTQ0QTyP9gj7xY7ZmkFx2oq/hSBk0Xxm4
lyUAO4BvDJDXFJbBK3oIWOLZfenG+r6WQunYSrrwnWpDFSACrWF/q80Ypce0jBF88fpgSY0k6o/Z
453j6/lWMrqxGKXaQDM1lzADLLVMxtZGiBhTtAjC2GngCRfu1s5LdegGC/Fa7ikcNte6CC93i5tv
VijzWMZgDeMfYtxf9aBpM+6zprnRk67jDxp2lpGLdT8w7uKnNNGgTQegbY5o7JxT373kVSO/lQ1h
BtCSOuSTMVyNorBX11ig7gKAiDuazlwKycsYd0mqufnaSrUtF5FLn02rMja022bkF10Is58Xuovw
EE/LW6hnM8kUS8CWGJX/nMYZWVbG7ng1+BgOkJR4TdD4dBnNoilhKMH8nKuG9ld8jmxg754f3RQW
bQPsAYx5av1y6Gw3GNMiqB3w1V7z0oBZVqP15YkROBhy1FXstCHfzvCowKxACandm0QzKSnzKHnr
3KEIBTG3MqFHJ2zGDp7jDYtJZgZVz3kKQCy12/n6p2ryNStxspXGd7B/w0pG/vvo8jmdwt6VlsM1
7NU3mdVHr2T+TcK5xKyrPgeiHC2OBULtSadWhmL1GyxB3DQfjK2pMRIJLzFw3Ikyugr8IQp6V4el
VTtB6xjwfMIKdY7JJJpmi/2c+8s4yXcFHWkxaW+jUxenWXdBSLFnOEwDra94Nr9cg05n1OfLwlR7
U4MRkaU3aQY/ZWyZgZ3HelE44sPNmEJJpplOrU/nzuZ/6MqsVxBqvybhnMbx1rGbV6Cv59GKpk1p
avV+EMCxIKPEbi0/ATwt6shbshYlQRnVb2xyukPf0XOlkJ1scKzhQDHVTT/Y2QV/kphCbYH3A5ZC
XB3c6SHMoLM6OnVYp75pHXN4SYZ+a453OnhHiB8fcR0ax0h3yLqCd8y7bElFMLDa7lRo8XpAHBLl
w7rtiue46Ds0tfJJt+k2QYOajLPXWzd5NyHOc8Q+reloc1k4IsXviZDeybKcAPY/nBRzvtgMyU5J
eWpzF7LQQJZWWltSVeHWNqipkBxbe2O3s7P2xiMmM2yTLnL31jAsalxvCDuSxcgOYO8WMRPHmnVf
zN6XUeLWbu6ROddB0WUv1VXgEsXhh+/O84owVKZGRpHz4Rsi44uprngwyc2qZYoAiHzDE5Ue69pm
QAfOy6zPlzi0T26e6XBwzWUhxhdYOslt1SNav35NgHPztYNIGpKOZp0y577O0ycPgZWNYrquk/zO
7McvZHWwUctSkKjW5p3yrOY7fJwDxQNz0YfFI6TTB0UNnboHSFxLYMeY5YvnJylLgAJ0nXuE/ets
bWWl4pUHB8Ox57OHgwcUO6nejuLvwtcyL2hk/urmFMAHKHWO1a51W2ErmnjSoF5o4caWwNGntK5W
WZGe6PwcZcWmth+Luz5ythUJtlHzHhieYqehO/F9r2foL2CwK6rebVLyRJcY6pPvqWefe1NsVOQs
Y7vifsYhBb/NP+rVvLGseunoPXqQ/JD59k08Vzk+9whneFIM2yrrvHIZcb9NM9DtCI0Z4znMh2sQ
+bDscb5HLbCyRxxF/vCR8lStbbcCegs0aGM7/a7xqphzzfTJwq/J6DCxFwVmPe1BibCnmreSvSmq
5HVr+GNALqm6t6dIC9xMOI9aZu6JZdlHUeGdhnjPEOidwZ+21K18i5wvXijvkGrioWHLY9Tmt3og
gGB19u3QsoiimQuMWb8NbXzgQ1oeeScdRVg+aSMRdjKg+4hF3PPKTSnQwOKHDby0uxX6beIZu9aZ
LkUKz1gWTtiCuOFhBfnGVq46hK52b4nOJwUSv2mtvElnG0M6CUMs07aWsE431YPTKmbkReMXp0GF
zito+YWNCWlZD+obNyzv4amJNwl0PC3uiewZ3pdtqw5eXXxEInWdhYIuNIJ29MQLm6krn96zl2nS
s/HxBVm0prh3E/dUFgYYalyAT4Njc2MSwWRNSrkdZpQrTmnsimHCOq/VO7/53jihYgKIS53E873L
uyUIwydNH/auk1tbmT+YV7K9lcO91AVvFqdqgzDDnYGzJwYTC9ehIDn0AQh6fOsdho+0faJ15LaY
Pp6leaSpiHW9Gxi5NKiHulHNBqi7YmNST63drtn4Wfmojc5WOcb3jKwrawEQejOzAEtbm6KKHov2
ug3xayJ2Hdrp0iZaglVyCYfrXioz5hGjFGxfpxlSx7kUmckURNLdlm3y4XbaxdXn7eDackOXKGZK
aK83RrSpexEoB/PdQlN6vI6TIRhMvgg5nIwUITzErMA0Sga5u09kY8mp8ls0U0bxjQD7qQuNnFRF
SIhdI5Xi6y+DIejKRnp7R2FvJKQLrc2iRbxMcicFvu2/JYSdifJEw1l6cr54MbeUnqB5aWyLneIM
sK8qzmXd3aGjsgLS3TCx4SmYldPshqpvlhrGHFyi3+c6fnetrKWiio9clD78OKd5ccuqeQF+diuh
8S05R1TLqPP5Naps4+j5UbjQfxw77ZBjWd4d7MCHWsunLcPFIDZt7Mt+9dnEVyyHaMYDGUg6q2aL
HYxiJZC9mvDpuDeVuOPKyxVNL2ZKCGTlLakeAH8eARhYedye8qbrKH1khmKsgwIB1jMX+pCBmwK+
FhmAJYUNuF3jWjWVvtG0Lrualw51KLdOGj3ojaw2IyXUTWtIsfR89zKzE0gH66NNeiJRtyk0iKj3
PqKUJc7v0s8i9Zg7aqyVblAUAKi8RQ99lr6il8mW2mXnhZmUP6pkL1s+DmhcSOUznhInhxoAI1LP
giMbWbtgZOJaKXrYRgTrWU1Wt+hSwYNquKsqJccFZXmKfUbEXZtwmmj07ayR2qpBJ7P1X4ZX2Bga
HNCamgV7mhTIsdKcr94VB+zNA7mQ6NYSmOJbBcpUUQfmqi6a+rlhld4pnahf7DjIWKrwlaX2ZPnh
PVx8SPcptaOMF4bRKAQ3TXwLMuwFfPcZ2Fq2cpRqjzHovaoS3xLlffZlAu9v0tOgF5pcszm/6IVO
QCwlvCdp0y54r64xlPaXAq2KPpiPHnC5wBm7TR1CKcN1IWDWQI/Ogi6Xa3+0HpDJrIwKt6VqOx5S
WHJJcraM9lsns0d8S4GVlmeqZX0QZV5LBih5yKf80hj1VxgCQyQWPQVA86GLpIi8Ik1ba3ZxJGLw
lblOGUSmdmdq6VlUM3e6xGRjX31p/dX2wLsv4+6x4pDndta+kddjwHpKZ1bj3KaQo9qPFk4XADlr
HRlgIiMbUOVs3ZQTA3QRGDMr/kr1ZK06eyFINDxGzbDJNDajFeUVcu+cTqqpfjIT4xsJRIIMVcs/
ict9lQrjFgK+u6lqIXb5GBoQJSwNgVU+94yKsn/g4LSMhvmFTxyYg7yTsl51GaaAWja3YVwVe7NL
6ufBtJn/axlnKLvktffm8zSV7aoxnfsy4kucjRG9OpsAI7afqnHk4DG5y5x2Gga++j6N81UcJi+F
k44b2TgPje7eFLO6STEczZW8ye3HH1rdTBbPSWPsgPd+0go/tlpzC1Z21fMSXeOUAsjm9dAMNetV
FtZSw5u+Svg+sD8HFQv9KudWZMZvVQ7lzrC1LZzM66SWuZL2FfGTR9UCWPjeqRhQptpD+9YV6XNz
XVwcawGy7DnBKwAbOV67WrVri/nYOvO68ZK7wauKABHKU4YjWuoiXfdWBnZwOOm9vlZ6femj/oYj
bAk1U92W3syJQ5HPtaLsSF2A77U4NFbOGFjmLutZrUXunwekcQvenYFrXBHwVToubFGekIXf+rWR
sn/ObkPLSjbpFG1D8jm5RbGW91MmYsR1xbM1jmLtDHq1tF3kHB2j0FOmA48uxCXijGCm8NJdhd6s
0lh6Bsx992P73OMWSMw1qR2gi3bEbCC1n8kHLKnkBwWxVZuKjhly3T0rO5sWM0JIPQo3qRF6a/ho
twO3+m4wb/05PWiWd3T9ksm/Zo+H53tYke/PdOwtebsSufYUl5Sw2tJlUz8999FVkWewB6juHVdj
gKN8ps/4RA6efEBDz0ON94Jx1aHh7N+HyQaY6bRORc/gsK6/aaI9oDBfmVrY7KmetkEpHDBuV32Q
1Z47n2DmHE8PsHpvh67b80gdzTl7HAYflKernoqENNDElGk2lQcbM1k5I2h0oFKGc6VfcAyDNcSa
Yg/dgYcC+hYJWt18CjkTgIfWtmZanVPVvKQVuzadaYaNAaOSxEtYHYwGsFtMmQ+oJhG7e2Hk+Gq9
25rOUWNkIE/yT7enyEU5Mgt0amR5zdHOuJ6Vm7eqcsCHOJRlDQXufyOM6WRjCgxhTu+NVM5LpCW4
dQy29pHdrFwwzEvBRt9C7hkgD0Nmz9kPA+RCgqyL6xo1Nyj+wkKKi+2EbPaHiLUnsysEkw9duYS3
/pnEZJUbn/tbDKx1Q5ZPd33bJyvgidUztUUzxQ0eK04yEbvzGP1yPdmv4E1ecw5Ly1yo7BiOaccy
2UQnz2+2dqb2Tj2n68SAn9WUbLMY0LFka27L5t4i76aDKWZaKn50hNOsLdvF0ztzUYbMHy7FbLD1
SYinNm3drJzOUxtfclj10v5AEp/Ab56huNe3hfuScfxYTW1L3prUTNqvZovimYTTNY6kSh12Sk31
6Nnhay59fUn9ZZGId8TYD2IY0YeEaznf5QYbx9peisH7itipW3QmPNd8M/LmoxAVIOFkNdrtKrO1
Z7txd4QIV7PKt944PM1ZvJuL9PvEtZ1stitdfK8ZF41zXme5B+HkF0PkRKgd89h70TFMq1Xltlss
HgjrEc6tfAM8M44GFSTOMB0EHpqbBAVv0EAP1HwKU9NTatRGQMFa8eb1z+WcPsxNfqY/wvbWoykQ
UjpqON6th5QRsFFFD05DGdrzWVOoGLHeob2oLYayivi9Exnb2HCN7M3EjWU9OiF+dLvVz9moAUpF
uw28ELVwosislWjQkJ1agNimGyPxPsbqrumt2KUoqhbuVHzw9uZI2EXpwIFDbYw4OnUdalLbfe+U
Dp1N2WtXgMXWKY648Ku4WQxNQmwCCwYoU5xa7qzWGe85wN3arBP8bcc52l6584165SfsXW3LiI72
kLvLZtTe+ia7GRJK3VrynS3lk3e11GQV90zG/m2nTTozviMi4swQ+1hea6CwEBIThVRUUEXUaRAk
/qfhsTa5cbod4+TijGCujYEZ8FITW4PqN2Xi5quj1qHx5sQ9BSm5oOUC2HmZyBK93pwkW0781cFP
2KJRiL6CW8FxaaVfrQbDDxqO2kGrC2dDzw5QwuBgmIX9KbRz1QNdLduQ+uoothiZMKPVXdAkxpvZ
8+DMpraMq/Rg14zujAKhPUx8nr7cKNm3TI4mbgbbbrfSSqnnAMV+KGq/KwP0V9V5hDGPAMXz34jE
TDdNWJTvGApm+gJjxGhzq+v9ugfbzIa0xXDfZqO3MPEzUyK6gJP3xbInIDZS7B+dh7wSA2ruUFY3
qk9zGoNYv7p1oVv1jnWH4gEaciNJvslJMGZttwgDSwi1TvohpvxY6u56TBnqGrP5RtdgHA8hvBLP
qU4z5YJvdRUWmJXSiMcz9VBBDRTu+4lSGkoR0kBDlKebqiMqxNmyeU/FUPCIswc2AtHIdg0E2liW
ejHvpeamLgeYkQ1I5dQbFHLxbTH14j6O0d079STWxVzqkoKx6X+v9FSjdUPhuumuElSTmEPOwWsV
YjdZjwbRHbYZ+mru+uSYMWJ6igksLysFUHZh2fWEtK1qPicwUMFkg1p2ez7jNd9TLsZZgV7gHLFX
eZSdrryQOzcd3CxQnj3vwrng6MfOHqtu1rfYAKOk73b4IfpvkVPnO8fNODT7NbIbGLRYizn8a2wp
q3rmtpGTOvKNdrhVGhtybkp6PRi5ttuOfY4RhEYzpCzYlhzXs+tEkMXzZtwIO0F0i8PrGGqu1wVR
pTdfY1THkvMcj4yv3PRxHlqZBFY/UC0SuuY+92mtVm1WldsG42sZzJlv7mTtD1C92Vut01DjTWTH
Ba7YubX0Y004ZN0MsmPPFOVro/eSN7yV2ndNnyi0xE3vrM1Gj3ahLqu1zY/Dut37NS9Rz3+PQIQt
qX7MJ7uKsZaRnIAQ0GXG6yj18WLNlbFEkdOsOx4RNPFhiOrc6apDRCEIA458hQw7P+i6Vm5Mn1MG
7yumCad6PHnsZ87UMKZdWo5ybeoNWqCc2Q5se9bOAWh+p6hi3cb9mK0EDPUN/o4Sw0JcWuqWsw5t
Oa8rGjbvbdLMOx25IxV1nv5vTZy6p3bqx7Ndav6dZ3JgD0ThaDcmtR3sigkYby31k9fOj5sbK/by
W6WX1kHHZPHq+2Ez7bPWFukWqaM8UmNvw4VwE619dTO3C+ZhZFeJb1Z+RVplbqpIC8d1VNAH3DLV
hqKViOZAUSSaaD8Wh7wgXR3nA6MkMsOuwXmkr+iWG6N9ZgFxqNFktXcynDqJtzkq2mjpVnSz1VA6
xpqJ824zW1p4JyrtjvE0LoHmsSyGeiH3pHDGp1kb2mePWu6qzvU+yF3I03WF1K/xSnNjeG/SY3rH
afXYXwyd7t8nM6nk0TCr1czwfQXxPokvbTbUrEFlx2xO2WAJ6Fni70IVm+epS5xyw9MeRkdrUBwF
FaiJkpS8clAYQveBjRLOh5oRa8qMfVMDH/OoyKy9tjsbTh4GiCTiG49jZLMQwPZXg6zdwAxTP//O
/1eZH6mglAeTp2w2jSwmihx+1I0L7D8EHITqHiLgnChUEmU/9RyunmvHVRQ33Ente6sfj1TZul1X
2uJYTmP41mutTUmE+nlQFvOEy4T8bkMAclVmVPGpVLOLEGn0Lq0+g+s6VcN19+0dIj+3XuoxihbD
lXEgCoAvtVtbW9Ob7XVWjONTW8f3wNFieMhDtNaJg+oMmdXuK4GBSK0V0710BAt3bSEfFWcgyb12
PzXKPbnKfbXyWnz21Iqxdis6fbZFB4UoAOe1hjBwoFzp77IRheJZzwvngfHU+VHyUnJaaEbkRh7p
V/r3Q2IJqs0w5xfVdG3z4QLWkpFVYSzIni/bkTCEb5vW3YRX7TmxJmul8rJd2BgXKO+kfr+UpjM9
83XLo7J8CnqaFmYH1HRWkE+UcQqnboKhy+LjBHcSjrtlma8i9vznmTbDxrYkonDKU9HgRsuCahkj
a9K9ENEQ7s6P+U7BpA76Khk79SBTZe8HEi8r/FWcZXp7zgnVWemDWfZUtmt6tokJqAOCdLROU9pD
rexSYgfuCGCzzuSSxAvvcDLTt7kxtIcpy8NLa6j2YYojqqF5J2/CeBL08YyMMy2cupLaEdEYJk10
zlQZLYJUH7xTlQGp58YtwUhUxSyGYM57f1xE3C83jdV0zXaixwhjQsjhPE8OpdPQraybCacuu95i
Uksp3FlfFVXFaYMJ/ZbDwmgdOed1q6guLpS2fdhTZJEXfs+cHwhLKoGMHpmsfXRQ3KZW30LGvfl9
x+EWUZa9cELo/XY5FIFW2Ha+ZGWevGWCi+1hKHO69MzFJ4LsSlS9O2qGnmta7I1K2VJv1aIcikOr
17AcBe8jE0R4glQXhu/kNT4zz+RVbqZmGN4xmRiXNNfpW2WwBVHrpOol/dFqY7KS0Tcv48RP61fi
+Omddos/FdoXt9hmrsgIGBoALRc+x5IicbGfOtV8OTSoFqp057Nhi/ZojWaET7yHw2+b2Ot/hMX+
q9zcQyn5z88Wrr9wtDFcnd7lZ/vzP/T/I0L7Ohv7n/Ny5/fm/eMz/59dm78X39u/JOeu/+bvyTld
N34DJepDvyA3Tn6Tv/N7ck7X9d8gtoHIu4bzCZaTXfsjOae7v+ms8gS/PZMJEOL7/0rO6Tb8begO
PyChV0y0998k535KYf+Rm7tClP+am9NC5I9ZOLR7okKnNMMaFMp91uHXLBF6jPCGTe2F99ppZFLB
aCi3+ww9JiaTFaHTL5RZfRRjGPCu3f7pOzz/HkL+M//a5vv4UwL635/op6TvaHdGie6j3adYOLAN
R8CgKlpskKEO+ODXfdl4C2J6K82cuiPua4+eZEvWde6/U019qj3MgaM17/WB6QsXNoSueUz5tAat
Y+nKtV4wEet37ppmKQsymtzAKek+EeEjd0ThI5ToP/rk1TLn/TyXD7NMT/xCT9PcIvobG6hfeRtt
ZaPZKM7KbsX2PKIzM3/aXriLJO6LOTqLsnwgifYAbuTk4hjjrBgzrWmnL6ZKkPto+gdowCe9Hx1m
3MX9ZJeoegb+0nfO7Ty3y3/+Qs2/DmT8+wv9aZpU7ypH6+px2PspEaShRiSi8ztHsUfIkSBHRRrD
uaoyE4KRIRiKKn0tCxeEXAZGdMSr1BKFoY3JUFq5lZHz2SCXkMMb7ftFoY3nLrW1pZflEQ5VJXcq
qqgaGgT7/NQYVs3E3LWah36ZWWMezPXVKmM5D9Tv6eu6w6Wu3V+E5w377+8d2PJ/GSijyI3BSPOH
/RSqM02/Q1OkRIjMG77kLW1u3snWkAexHbrPocn9O7nqlSxJuhpmtqh2V9O1oiJTRfdsbja2b3z0
Xhdu5hYTsBvlL2YJ5o2bvbjEU4RLg8blP18l4xpU/Xck/19X6WdAYcb5fKLfWe+bMGKymtqWvU/g
q/sky8EGbfBw3nk0pyKK5pQkXgdHPDkYxn0ZL7NGQbDF25Zn3L46ohe6g3SrqOUcfbOlnFDeRaO6
/+ePeo3t/u1HvWZw/zSeHBdVbGdu3OyZ4CdjVFxnI1fZEC6nge4lxyu0F9w+XvmQm+n93LTst+NI
bNlxBU1ZHSWPCtXIXw1q/KeLfv2Yf/o4DrsGxosJt3gmUuYEO3rPk/WrFPoPhs3fXZjrj/3TH1/E
Pv0r0TR7AmpHiolHemPANB2mw+1r8WJwCyT3wqEQZzEW/4NgEidk8Qx5H0nqy6mIb8NrVKRtG4Q+
2ca0Y3rNefIq8uxeN9ptmbqf/3xt/jYGzUzHT9NCbgbifCrLZj8WBKSiT1/ik2EXalPxZSbuF0vK
T7MI/75Zrzfxn74Tm/UvkUlf7/VSYSKBwVtLvp9oQ3RwYV33TU116umy+fYU/PNv9oOO8nfX4ac3
VVhEbTHmRU2YbMabTDogI8EE0zRftMr5yhLMaM00ao9Z1AfJlG5Tx6Y6oc1LjX0fNwaK0nGg9phH
4iXFC0YlffjmEwdcSG9qAmZkfkX9+/s0Opfhp3eYY0+aE05ete/UAPVgMmhfX5t9FkExz5qNRVLn
GyfyHw2jJXs3jygZ5HNjxFRUIxJ1vF5Wk+heZA/xPqJQqLOn9WG5WoRjYuegxuSjTow7dS0UsOcQ
y0rXVq0UN7/4sv/TavTTO2P22lrFllnv54SdcUbYtC0gdJnOg5iNZ4IMVNn7jbSyYIiQYVfOGvg7
xwbmC/32ZkIwxNTRhcmQxWz0d6qkTdq6Hyy021AmtAGi+le0D/M/fNSfAY5FQcNbhn69T1uNiEFv
eMe5I6Q3c8w4+Wp2VhFnziAeCagSGqs4SGR3pVOJW1uPHFg0ZHsIVlJgikCySorcdkjUqwilSUOq
bbe5QfpVpU/U0h8x1r/5Or0AleUbqhvvgpM7OxEGUpDcMFDtTgdPMi7u2NaDWfS/eDv8YOn/zc3/
8xBaWF/jOpZe0eGIA6dIDo4T7qXjfw62vi0LNHTNC5frYM/mmiPSgZLKusiLXwHcfoxZ/d3P/2nJ
L7yu6Q3uTBK2OUb3ecJyJNn0kGaLzxVbCkyZaknVA+mIUN+wwX1UGnXapHdLXldms3E4QwlvojI7
0Sn1+++j5Igz2nrP+fqqepN6z3RPA/cyHtFYE+y9VFVmbccocCWDTlVzkPlwsBhhxpkUKzSInr3y
PeAh0BeOXqWyja9FWybn32dD89iagfepJWFxAHDtkqPz4+zlO7Ml2s5LiXZALe6Y4FJrHKJvdkiP
qLbDsz3FNNFREA1F95jl7nNsZq8DizipGcJakbmt4mg1KloyjA+8/uKBuz5Yf/cF//QSc8X/Ye47
miPHtTX/y+x5g57gYjY06Zgpr5JUG4ZKVUVPgg40v34+6s68SaETybiKt3jREb1QRxMJdwCc85l2
ICZbnG5HXGjbqH5qGRBclCHjA5AXMjmxindjo8EJqu80Bxazqm8iKHo4ibMNmHy1i7L0O0iCuJ7T
5fUfwlMxRHWvGUYY3o64CF//rbrghs7La4OpEdVM69kBlfebhp0sdqMB56JrcOgF79vRe+OAyrvq
jZYCkgS8ahWYGNggAdi4MLRRvh0L1MnjGWSD5hYOubCFP1kS2dbI81BS7yjsZ4bEdFpL3zWzts31
CH0NDyhP4IpjelAQ8rPqJ9Kg0CBVFXeymocM7qeVhkI3SpFTqPioLuXmEbEXiZNjwX6PqrWJTGAc
UGm/Pg4cIfy/TsFP5uDZKRjOiHPxwJqDIUFNB9nv/CkrUbnulCbZKwRykSEB/aCS4cVeIc+JlSl7
0gyqsGLM74kEuRM9nSH8BTssv5Vh66LVoCooKiwdNR0UkHYa57UfuxyTlxYYd2RLE0H+BKC4Q1pk
EBSqbJgEJWY6ncIyDnFXJreAAw1etWxAAJotVwdOyo3s6qibSgTmSAIl2diIkzuCAuLjUMBYbp71
5gTpMAjzlhVcGsEZcLFnU99sV+4zpii6c6c+TMOqhaxVHZD07bxZh3xt1sFsNGuBLGQ2neElSDvg
LFLg3nSgM1kBt1oT/vXwf66P6Zw8WHUIyOi0MxQAFqmBOzPN09gHrVB3GWSwnATyaa5WpB0U5wDz
NkFlc1Q1hauOVcB8GFKmKE4B1GFHd11VRAARqfoO5BTISqPg6NQSg4FmjP9QKyBTAJ48ObQDl6GZ
0gcjxKVvuTXCi7fy4qzdsSl/I018l0C5l8IS/oRdtK9DFIWl0k9DANMcqwfVN9Lg6gmZ+3YfTlmG
fbTc6uVy3LbMfOmyBdlnVZHPgGt01Txf1OuItllZ2qLVwl1gYCVh9ni80kMowTiKUjwm2nagOPeK
cFzSjhDtipC8s6r+z6iD49NJkIJSxpb6dtkPfqW1hl9XyovSGods1u5ZqgFiENd4nWgGbLrZEb53
8M2CHvf1nyx6lXzeVc92I4wCS91KaX7IMvISs+5nB/c5QEUGKFmp8R1sJV7AqH0p1Ph2BL5tm4Ol
4iWmhGpMCXxZrSZ3baG8T2ny8L1fJHOvUQ0hNx6tEpmMGpZ7CmzQEX6Y2j2GWrmLJRMsExUiXyrE
QfxY0RUPLLthl9fSodGr2NoiwADWOyNndIrCOQFNKIxW9pUo74Ps0ZcbvMomq2s7mR4iuI5iw0Nz
0dAg4qV9qhz16gj9LliZS+ZtF+HZDItEGRJlBmTUC4UBwz0u5Z9Khod2ryKfIFcI3IAhroyc4DTk
tXgUIMwI7YFaLfVsD5zvdqgWpS2YV6PYbWKrk37eGAZxCyW+X2lT8KqVuRO4ACxRUXNULGDwvO2y
cCsXBuTbEhIAfwfBc3nb2rZXGxbIJsATpOFz24ZbFexHZFAAwZ41IMLjLlj5OYJDltcLx6QbQ60o
48Fi7FlLc9PVOgaoXTbehemIV12LPIqRlX9QzQ1KRAkIZT7qePVD/nk2fK0DZgL2yx9VogOs0KTv
JpFWHFI+X5MXzpJ/aFLMk0x7aewPfQx4BnI40c8Qd+a/yqTYh4ZVSEoDFuzUuIwmCQsyZMPytv0p
G9WxgYE0lIQ0iKkRUPyQMUgOuF0O911kJhCHzB8Mpvmzmb5Z1mJ1LU8Ap3UrQlaiE5tnCcPoHLrE
HekPSs2ejc4mAHGNUB6SiEOb4k3Jup9DhAMC9RhUoTpAcnMUwSkqDEYf3xQoU7ZJVOGCA1vdaMZ6
xyCowBAlf6ISt9qVqV/iw6XhXYLyWSQzqTTHoNH0B1UBot+W05NSQ5AwkcvfWt3j9VRFt3D/AL50
BglHr45KhePOkuGMrhf4eYiwTzPBgVWHL1aDy1k/eBJVu+3n7/vvTvQLOfT/AzP9qoyD7kqmH4Sj
hNKk/OqX+fl//d8sPwjtkAmBLoIC5TwZ8rn/P8tv/gvJf+T9bZRtFvXP/8ryq/K/YCQJfxKInQHW
t9jytABXx//7f+n/MiHEZy9KQ7CvUqA/8Z8k+S+FEmsRyfm6noZOAtzQKObjaA57fRg/1LzQQdwC
rGiG6q0BessmnOVfZ0Nz9+91ep7Av5SCWlrjUlAwpY+iJLSnY692v3WtfBuT8VWXyyd4Kb+nSr8W
IJfv8btkaYe70MpTgsIiNsYR+I1p9sfQVu6RVIxu8jTt7s1Bnu6rcMGr4FrwozRgbuZA2jc+AVkI
P5G8KuWHUZ2Rn8vhgL12ci1DeulHcVs3KrVpSJp4OpakebchhOqZfTEfNArQ/vXhvXRMLd3mbmZV
Aw++CinVoyKFu9qCmtS8WGxH01utVZb/vUa49A+057JBJgUsZToCuDTyGkDxy3CdYN9rgE/U60UK
IoVRw444t7Pf0IUYgZpJoSE4k+K+Y5K8MloXIz6Gi0+rW1HRECuhw9GmVv2Mwn61AX8WkPQJ1Y+4
aiHWikDv1g1oQhTAp3dUQvoNNikU9xMQZKAznMQvUFAgqhtBA+BhGG0IK7SNmtwCMKOpDiN6dohr
Vq9dRC5dfpafzOVagEbSCi3u2DHNp/jd7mClasBK+6nPJ+gwEWQzQb4jZvE6qbCGhkkHKgJlUgMo
dX3yhWPG3YRCpZlDQ6rYEeUEF9i/u1prPyp52sFNw6F57fa1cTfoL0SlW9Q0QTNEITy1fYP1+wFA
bZRCkcHU7+cIRboy3SbWytAIdtdn2efsYKQMRExpxMiw6U6ONvApSOm/D7UvBsPnUUuwrfjEuc7a
egJQgB1jorspCDdI0c8gPLSA/F4fVkG8+iz8nP14VY4HU5XQgt780OlJG1ZytaJfzoWcuIkaCQ9M
dozoD7qAFlFcTMMbu1kLBqIfzkWcuYeIm44LEzh2gQb4Xg/q6feGhAszCqD1lZosP125lzHgLFxx
/RIsFD4nbPb9pECykgSw3El9gIhObWHsM6DAVn65qAHu+VTYKovi3kyApYDVbLlUFvUCgn56N91d
HxvBMfr5cDtbLkaetLTWqBX0YKboIFg6YWL/BhP+MBvRwmBcUwUVrJ/P9/RZQ3IFw3sIuZAgiext
B4BOqvZIfIMrZa0kNwULiM8X9lWRyJBbIQHt+10+ltu6KlYuG6JPL38///G1DsyV0ZGgiPp+k2by
H60BSvT6FIg+rn39OODJkdxRfDyUVUSxmEDEcZJXxARFK4jbtjlSAkVMLStQDOU4ddmD2aR34VQ/
XP/tos9zm5YN4IFISWgFUWI9tHBU0XTjXoZox/c+z+1cNgLxBz8jM6gGsA2VMIDsF6Sx9TXQgmDo
+dSJCrrEKNHIDOqlxJw9A5C18ssFl2E+8ZHKtTqUc2kGcWmC6dCEP4g+vEVZdNPG6uPUQqshJs33
NjGfx5DCqSsHGhrBJAEAUkbGNonoB/zpH9KSQhAWKMzr8yGIFnzyop2ZXWsZGqqqIqjlZMN60Amj
MNwvQnULiWbtdiAIF3xeom0BjOgHtJSCGYvCGZqB+CZsbiEm0yUoAl7vkGgBcBsbqIJsIBWa6YCK
csAgVx2izSvRW/RxbmPDew76KDVWV1FL+gFs28adUIBZ+bpohLid3QzITdfJ8tOhnJm/6/0pom9s
Wgmmoq9zGzsHPbRNygRxo7ovuxOOuc2Aglbfjt71kRdEDpnb2vD5GdRyQuQoKz3ehaz6k6VSjwGK
zJX80cUuQF9/yXucBe2yABAXqiJYrOpUbqPl0oJn00J7bmWQVNWVebg4y2iGO6NlGyxAfRysoDPB
ZVQjywGz+P0bg4Rvc3f0nNUxNHThwchCQnZRpfoKlAu3I12z7L04C2hgGbuzMVIhJNVUbQRqlAQ8
blWEEHhrII3WFiv6lqLRWRo+ayCmtjQTwBSgfAAoRC7rXmYO/5kE9b8rY1Am44W9wQZJJ6jJmYGi
LlZ0DTh8JEq/c+HFx7ndi0oCVczBNoOmRZUfYnRVTYDOahQKxHWzEn9E489t4kmLNKpXFoYn0Z6R
435jUf2uAjr4ze9z2xhWT0PUQ2I/SLpjCAgFpOwcuZ9315enaIdxexgs2KQqdNMM2mRfJfd1190W
uuVJUJG53oBgeHj7gRIaKFWMR2hQdMlHqTX2a5FFzWMOavXK7hW1wO1egHsIQZ7VDOABFHmthmRw
xUbVi5uxWmlCMEpIrn3ZAj3qc2mboBMsBO1L2jQqlNEARZjDNfVawSbjHRMaCA5Ouknp0Sj67ocW
EW1rm1m7vz4JyrJY/pFtUpFO+tqBSAOBsNeN/DjHeeSmRgc7mJDl+U9iSuGN3I3WC8vNEv7C0GCC
nheRUMdTrJY9xanWrfyKi8hFbHaydP4skrShTJSwbGHJNLSpn0dD8wtacj00WSNopPRFqoHBm8sJ
gAG6ZDuoeeLOYBfAYWxzSdW3kKKZghiKlPewrDbcPJ9hbQtN/Nibkym8S2BSdpCbcILaoBR6SRyi
+qFElnSkrF49tC9eC9EJLqjAAGts4OHdHLWxgbPvNFvAgzYUGBKHlTEiJLgsUPFLcgrabQLFvbXE
w8VK3DJ8XKTJClANayDqjqijeEPIXsfahPhneIDX52lRMMvi9CBppw4/q6ksWDmP0IiHroxibiGK
eWfODO6xKMx/LzIRLjIhkZMQ1iX5MWIowHV6bewVAHxvUhs+wysLdxnVSwuXi09gtmQyFBryo2LA
U+TGBopidjLofuKa0Zi7MougNq3jU7FnTgz8MnCjwa0wkIprxxjE34JORyDnu98rP0gQbQxuDRfg
HFYqqCMBKD8bHOZe4j/cQbXNQfXdQcvbdCXmfIJDLnSd9xSd+izMgVWERDQUBV/zt+wwAyBzZ/nt
h/bXhDxB5CpQnPi10jHBuuZdC5UG+6iK0Bxqp7fRzejBjBZwBRConI/0Bq7HG8CrRlfz49248rIV
BD2DW0CpnaJkWVVTEI36IyzanqZOf1rpjmieuIWjgKwwqrieBrWPF7Nb+K07OlAYcjRXcyHk5zXu
mie14HTgvWdMWoCkMRRTkA7DbUetOz3JQDoi1JcGmX5vs31CrM5iJywGWT/bGaanlu9SWbpvEmCn
Fp216wMm6ATvzgGj75p1Fc2OVJdgbWQq8D43QtAcoXbk99AMXdnRn6YiF5b1ohh9fgiAGQmVXM0u
j8hHZj8R7MuDDImVAwxfFeCEVMipoEDTOK2ZAd6OeAIbeCDV8MxvjhWbih9QKR0P5TTRvwxijoUz
yRLoEnoIEhRk2Ri702HximKsRaIARj7DXTdC2xM0b+W1TDvF7dNo7t3Y7qbvvVJ4rzoIq+isMckY
pCC90OpnDZGcop/3dlStDJpgMevLpJ1Nfqsj6k3EHoOu2edgVRYgGEvq4/WZXx5TFyZEXxo9+/gA
Tm2bg04b9Kzv3rqMwqMburzaLXyMzCPC3bipQ8XYp4t4Za7ZykrEEXTK4i5V8KSAqqWCFZfbt0qW
HePqDuaWK3ld0XLmRqwnkKNK9CI7DmDMOAmdqh34cDr4jXYUNNJEV4ACghBmcYMXwTZs7tMqO7Km
093Kyn2q9WtpxYvoeZz4FnfYdH1sk2GG8h+1q0XP2dViJKnnvwagdw30YghyvqYDDZLrK0E0aNzV
pm+rtCYWLDNN4EblpHF19bEEyEFdK8uIGlC/LjW7p7E1mxQNpIdYPnbJMYaYRonder0DojOTt6ko
wWjuID9WHqlK5l/zNJNNgxqZ18ZyuatoDL3BlJYv2mBMR5omuEMSVh6g0No8mxEQZh1l6a6sm2Ll
hBN1mD+FdFhClIZeglFKdoAM3dJK/shGAyLloK5e7/RFvgNWyYIkON/AhEIJM+6b6ji4o5dv6i0s
zje6b20UDzpbHpjszrBnW7ZtTuUWCuHe9Xa1pRMXAofJRXJU/0KUY3Gd77zJNza/FKff1m7kV+4f
5rwcjzea+/78COkTH3rRjuo8/v7dr1yOBLHD5GIHFPo6za4WNccBgtgj0x06DvfAw26u902wrc1l
Ps9iIkQaQ00ex/QYgRr8riZKuemqXl8JGsuvvDRwXNBIoTuUyAOCUySfsujJgDgu1e+z+QP3+eu/
X7DueJejvIFvY9SjhV4aSrc0IJgkd7rfy9o9Uau1+CSaBS5ejHZW2gpw80c4S/oMaoDA70Pd9nsh
3OSCxShNU6niCnxUZ2guSL8Z4PwETvNUWnmPigaJu37KbaTK7XJGAHsJ8bIEwsBAgFq3kJu4Pgui
VcTtfgP1z5JAe/poJ9p9W1Z7eCmtbD7Bp3lvF0gmM0QtlFWGxuyOkgFdNylcg+0J5vWTcHu2+ls8
5VLFhMSuHNM/kC956aJiH6qpuhKxRN/nd6+M9VnKeXqEsvhpTNQ/aagcgJP6c33YL5KqEBB5GzNr
ssoIqjxTABy4l/n5JvGxPvftDbvNvXn3Af2mDVx6u/fGgZb6n3ILNqALcXk/d7WVLormZ+n62RAq
4C5IxYjnhw6IUSIbcMFtvrVszc9wfPbpglACRV3Lhj/HswKJ/gpODTZ96Lu/14fv8kPQ5BE3EJ+M
sxCC6QfA2yE5afeaDzNm2Yt0LIByMvJfUqM1+1kleIpfb/LygjB57E2eNkOFExJavFCfVk9610LD
7z/zH/x/KWbzHyiZqR11aWTkoMjNC2noPorjQK3T50IfViBmot/PHRdGpPQE2l7kAIK8O+h6kBr0
R1vEa2Cxy5HK5OEsk1oYoCea1sFuM8tyqAzBD+RxmqcYwv2y24GBsXKwilpa1vPZ4mJJR+0waQjy
SKkD6Qi3sBpom8BReni6PteXDz/o7n5tIZViOhqFRg4jhKsM4IQKCHeQ9pW2EgxU1i5FolbUr61A
dwN+FaVCgIytfukkP7U2rC8gl/zaZ/2JtVq/ud4d0dRzh4gxGmCMxBFk8quUQtS+8GujLlxo+7x/
rwHuENGnjMTQZZoDsESfwCUMa+PJMr71dIXF/Ndh0qfBtKiM6dZi3YH6PrS03yHxyKQ1CphgeHg6
Yq/YHVQaW3KwImMvR1PnQDTAC5Pw5froCNYrD36ZpThDwgLDPxcJdJMBrjsZyBFC+bxqt4Xchv73
2lnaP9sXMAUYwBCFWjjRXgcpddsK7rNtstWkP9cbEA3U8vezBgYkqOM2SedgiFmP5FHzYUfGa5qu
YbNEA8Vt7LDuaxZFsEPEv8Coi12J/YXmm1/NKx34PB/+eas1PxmpZz2wYijdyxkcF8y8kh9mU63v
gOmHK0Gsajs89OkBajcgVEJes/LCGvT7XoKKdNJrIQS2ZmnbSMTYAoVgbGMrM495SOhJUlrYw2oK
QExs0a6b4SGLPDt8BkN1higU1Nv8uZFaL9GhRwa/vX5X9JH9ghNKhZVQG2srd3bB/PBohgl+slM5
zEmA03F2ocXzliVa42uT5F9fAIIJ4qkSVKsKtZHZHPRx/hKy8TYPMyjlgSUpgduyctAKwiJPa5Ck
CEZKcTkH0GtP1WGXWRPUb6G6ezsl1vZ6Ry5ffUyZC71FSmyz7U01oBmkHrsmz50xUn9c/7jgsWsu
MPzzfVLVBnSzjMo+aKZV7xqtzaAW0oPQ0HbGtCumjD2EU9I85y1eb1NhYMm0Nb3LQ0r/TFBf2cwQ
t06gwZJAzBuIKuIMUGZyWjhGHmUQi3dDpFh0U6Om8BF3Vj6uHKyC9cMbpkK4uNPUcIDvu2b/rSyG
9CqUn0bTWLkVir7PjYvWVpE9s3AMIl2rt4U1ab7MNIgeQ9p3ZfGImuBOIhNKFmBhG+TAiLSJuwY+
EEn0KiWQILs+uaLVyZ1G2ZQMWQn2w4FA1mw3GWV4EzX6M8vTfjFUwSW6KqzvHas8uqtkKQqdMw6m
YT7F+q8KvONJX6vZizqy/P0sFGplRJMu7NKANgSC7RO0kLS7cLSDPPwZR2ubWbTRuDMJLg+EsBaH
N6acgEGcBdDXSVbmQjDZPLgnlIeUsKKdA6ZLrsL+jCD1mvnT9Ym+/MSAg+LX8ZlhoqoMUNwB8KnT
f8pVzn7COF561lhjQJy8CHMoVCpl/SFrkIdbWb6XAyxM+r42WgwNgoCOSzQdaggT4K2PMLJt8uom
ydaYnJenxCDcFpkNFQFbRi69USF5lFIGTYOs+VYIAf/sawcQlpoWsrbGQe5RmItRX4KjSAItvPB7
WCLomHAtmL2i0Yaah85mXj/RPfyrvCSxvnWGIq319fOGDFxB2eplECG/PJWwQ5tL3+i/93UexZXT
blJVPI0PZJqdIf4NFU0Aih6vr9jL2wHr8+tPzzTcY1kn46JsjYcotF7zrN/Lcbyy2wRrkwdxyRrk
U63csA6q9diXLxG03lkSuwWkg67/fsHCtJd+nUWkVhqLrGTKFGhDLzvUlB0NYr4rO0s0OEujZx8f
iA1bthLPd5A896NBfgwW3LxKJf9WNhNesl+/z2g4wwcVoyNBEhuCnVYPW0fjb149XB8c0eirX79v
QlyibqpoDpTkGMI6XMsfZ/O2lMqVwb98HECl8uv3k9aEoZNR4xFUAlwTjtZRgmq128j5DaP6Y1gU
K4A30URw4aeZYpQ5pYocihQ+YZDe2moK8r/GvIa1EiwjHs1lj0OdaiifBYt4VZGhYPc9MAlOrq9j
pEIbPm01PHMjEB8hDzrvqYIIkajW98aGx3BBRT1J62i2D1CBmJ6KUYHEAzWn3ZjDfvL6OhIMPw/i
grsO69JpGX4DRo1q907T/L0e1lINgmXEg7jKIZ6bOMbgdx30TOYBboa9lKtOHLfjgap9Bj3q5tf1
rgi2BA/VyhPArqIungO7vFUiqFyUEFCEUc73+I+wzOX29KKXVNhsiXh6hXp25XaEOAUcoq7/ftFU
cFs6jMsacm8j8j8d7F8hitsZskvmtfSS4PPWMmxnES/sGLPClvVBi9wcNNOMEi+MwXJh4ipvr/dA
sNX4ynJSQ0Vk1hX4nODFm+ugrKz9eNGXl7+f/fjJVhtIjhMIfLM6hP62lrqztBarRR/n5jVnA6D9
cMIEHD9yovpZ6j+uj4fgzmhxM5olRq6BqIK7idw9Wtl0M9oMxrktg1Le5GlhoboQD9pdb0w0v1zE
Dq0iSmiW1yDFjAqSSXAdyNpC8lAvWsm8CcCQoHl/nQUFeR7FqMwJEm1dujELa5GQgEZ5majVY2N3
xk6azDQoAQW9j8ZYO1SLkFRPo96LIAjnd2HJNgORTahRRpTsTSSEvdxQgToM45i6RRmXr4gMqt+X
EdRaCURMWpbbT9dHSDDPfIW0h+i3pEHzOkgrSd3UFCr/uQ6F+u99fZmXsyUq5WaCdWnUAWG9iwL3
z1TSX69/WjC1fGl0sAmL4fIC8BQwsDqksmAf9Fsn1Pve57n1D/9G0IRbyzhoFYN7iQKrkirVvBkO
MtcbEERmvtpv5It0ISMAwrKXBo4SuKY7sOaB1ES80oJohLijuIMRV9eqOaxTZe1DWtySoYgreQ3M
1f3rfRAAW+Cb9XV+IyhISQbM7INuAeamZco2sJUF0Kjtc7eF+60zSkMO0VnY28NBBiJdRbKmAioa
QC6QhJ0EFzpo/AX66Odh7Lb6S1tRSIG9Xe+c6Ptc7Gio0mVwqK4DcN/Ah2+aCuQxmGaOUL/bWDTb
fK8ZLn6YMnwu406CaBLAFxY06jII32THpFrDGwuWAV9i7maW9DpQckED58umvMGNO4Ud5fVfLwgf
fIkZ/oNdm2dZCC+j1J3GFkTkNUag4KAwuLUFT4qxqrqswvyC4GlFsBLuFdikQ97NnHdTO0Dm1g7H
B2hTzStQBVFvlqVwFq5qKZQTqLPbh1SxwjsZQvO+kg32SkgR3PuMZYLOvq71YS+pbQqcN/DsVNW8
0HicCdzQCMT+5jV5TFEflr+ftRLC30qeNUM/zLVkupIBcz2zVVfe5qKPc1FRa1qIpkX4eKveA9r/
Z5bI7+sLSTQ43G62lbSneZNUcFfUpBvkKHd418quJhPLwRXtvjDzlTuBqA/cvrahY4vzGsavps1O
AEPuB2mNJCv6NLeX4fml6XYKg1stIcRtGzWEomHmXR8hwT7m4cl9XUtxXcbWIQM/AkRMKO2ezKps
J6eQ8r/X2xDEPB6d3MI7PUoItrOCZ5WW1R4ECZ0QxttR9vS9FrhdbWYlhAOppAQxbIfnVHM7WAER
E8pj6a/rLSxptH/WrwweZBsj2TIb42gd4oaNLkznCwSlQXbLCbp5Rq5sayZ/2HP3K+yalU4J5p2H
3kpTZzIlDYtAgjGH7Y5J04JbNMBD43qXLn/f1pe/n+3paco0yFYBN1xbffWYSsA69rK+lq4XfZ3b
1BlsNEq1t8ZAgqjBCEognb+XUbJ1blePhECaCqmYYNLvaQU3XQgkhyv7+PJatXVuH7eZASqyqowB
mU9F9jvTbvTmjaYr9/rL8cjWua08D3IFiZfcDmLj96QBEQB7wiLMHLg3gYL44/q8ChrRuExwBCP2
2LanMZhZ7heqBEfoo2EXm0mH72X853ojgnHSuGtg3pYKyhhgHFg9rMDtj6zvjqr+kVjySi9EDXBb
msEwGO6tWD8KIH3jDH/6mrbHJqO/kSj+lv4GFLOWxs+3AArrOoRgxiCE/wTrjzb80edu7RJ2Obba
/xDMYnBuVztjDHJYRUk5vHtBk1m7h39Wzv8ZkWxeIIvFDB7YVB8DfRv+hdHzcKpOrcd8+2/7BLmq
x2oFvvQJ97jUEL+T4a9LKMYpiPcdMCD+fLQ2MAP0Sg8meVvrFN4ah+I32dSbclusNCqIHryfSK1O
Wg04ODqXs3zTmlAIl0vj+fraFQ4dt8nz2CxkKUKP6saZN5qHF/Ze3kMO5dg4U5C7ZOWtJOoFt92L
ODS0EDfOIFFUj+qvi1H49S4IEgRQhPu6chkUxMnYDmPQ2lp6k7XUvlNKQP5hlRDu594wMxwYWraJ
Vaaf8trMPTKGyl6Bd9Ij/H36LWk6+wg/sGRn27UOX1g67As5LOFrzjK3GJTWVaZYu6HpkHjghdqd
QxOrW6u3faLTLqwqHtUHRbeonHGkgipX7sn9+BreFzfmgWwrJ3ZrFLCc+Na6YQ4s+bzsrUN9cSMd
2ifqromhf4b0S7+AizCzDClsUCbHAMbzHjanKzmv+R6QSef2yX/YJ86vfFPejs72+PY+eYqLxSE7
73cLUWxBzUNg3E82cCzx1+B1gnjxSYo6i0Zm0Q9kaNoxkPVNDLiVzZ4VdVhbMcvivtTdpdWzrxcZ
rI5bE92Vdq0/epJj7KBf5kjun86xEDk6HzbpTuZBHQAbQF458YSjzN0y5LKf4CKNvTa48wZ62450
NJZNh38mf3IHd8I/6b7zKsd2ALXwDa93IOvtwB7OyUGghCTsrjv0H/bP9Mb8CCEwOzmGC03ylU16
WadMtXnMYaxHMC+t8AsbrALlGAXlpnItt/EHjElyjLbUN0FRgDuHDxOhNU63aLK5S0w3SrWVjD2m
AzuriqgHQpqprEQ4QeD5xMeczTXrdTKFy+bqkRq2bnP2ayXsCE7lzzE8+3Aa9oCaZvgw+4h+wPbM
WRaS5vU3yS7c/oQGuQMpaYe5vTf+1Q7LTB3gnenQU7tyP/uMDxeWMQ9KhBx6mYUEv8BA2xDO9bMd
SqF+5He78BgeLbf2Gt8+yRtQdfzUh/GFT3xt3216t3hZ26maYDPxyMXBqkvI1eIKOtxPPhy/b8MD
O86egiiSY/WwADJ2D+pe3dNd6bxTt3TjQ3eqbumhvVV3KLrdGd7KlCzH8KUB4cJYXbMRlhUYEKv2
RgSw6MHCkbZQbbod3WXYVj+lnyF8wm+gcO/YHjy9n+rdWvOfJ/Kl5rkrVMNKvB7KZUV4uvuKorqT
eKFLtvHv9C7aGcyZbrQAJ+BzuCG37ZG965vCqzYQTsLsKD7zYT/rrc2LiOLFa4SN6ZyTJF7uKkDG
3XZPyKzNL+ad9RzhgnRsbyHJ+ku5uz7yomvE54842wySPdso86Cx+dZ6LO+kX8UJXB1/2hgH9YhZ
XqlNii5gn+2ftYMTfMgh8IrFdqDH8q6+GbbVFr6dG/JobWdQrg0XPuY+jKb20/Z63wQBhAek2YD3
2EODWR1ixYVTmqtE+Uq8FQS+TxWKs95Mc13FmYxRo70Nz44tmVDshujK9R8uulfw+u2y1ZSwOcch
2mzKysG31XtjX++im2KnBfUzdNI/cmOj37YbVEl+ZSfdKXGUl6f4j7aS4r1o9QSGCa86ZpZ4RLbL
kcc2k1vu6Z5so12/zb3sAK7JNnNbb/BGLP5+TxCk6HaNaSBa/jxuTZ7tWaW2iostjD5f6d1wyp7V
/XSb7ZHgecsPySNbu0+IVj8vStaHLDSaShsDc5vs2JN8Sh9N3KHJK9lVt2XtxN9birwmGSrlUaGF
6FNkTF6KaomGOtj1xXJR7H+ZKe5ONMAqbSIxvh0fx425NV7hxbCLDuSY7OVNve/38Em6XcvUChY+
j+Ftm75UIHg3BnZ4a5E3Sd6H9cs3O7IcDmebaiQtofEIb235vngAIy78m7/pz+pbXTkwz06cOHKS
AdVcR9qvEeRE3eEuMKBVEk0q0GTdAPKcBKFdeEbxrZw5vC6/9gfCZMMg6chhSGbupOV2XoUWCCIb
D11sFfCYoxgJnqbVfSn+VXTjChBpSX388yQkPG6xHochWjivAWOG08M1fYo/5PSZjh96ibFvVp7G
guMAnp5fxwZQ85jGqrzcqPWD6ufg86ae9ECDxoex0D7dJZv0ZO1r3HvWCA6XB43wALd5DNG1GhGt
neFN8wxFl5XD4PJ9Etjvr31R4hkWs/DTDpDccUJwfSJ9cLtQ82A/t7bJRfPCbXLZjKTOXAJI482v
yXt0ox6SXblRAunG8qVTtY/u4ofmpjyEK28e4Qwtw3i2GyEfNhCrwU4Pfzag3yWO8mS8FPfVc/iG
Aj2ej369mcxtGKjH6KPfafvrUUCgnkF4KJylQ+DCjNBTuNbAfux23HTe4Dd7zVsuyJkLjT8vvqF/
s32xp+/2oXxQoXSy3BzWgvXloEBsLigUMylLs8J8tt3w2pDNEBunVmXe9Q5+5rYubTEuLGhxNFsZ
RQdrv/ZhBIYne7sdTi2ei4338ynG1TvfGL+qbXYiXhm0eLXjme40f3IfYAkf//btu/y0xuMU9ZbL
7xDG5maG8yp0psbEUQ2w4kgpu5RZm+sdFuw7HlE3D6kGNUPE2AZQOjYe4+zP9Q8L8kcQQfu6RPPK
MEsrxRKFNrUv3ULCNKCbcW9v0ttxZ3rw3zkphwmrozyBOHFr7hqElOttC0aNx9q1bQeprgGTOHaK
09L3xID5kb0yYqKPcwEl6+Dk3QyIVAODyfUiaT7vJMPwr/90wQULTgtfhy0Z1CitZvx27dZ4bZ70
H/Ipf2yCcNP9SH5bP4DlV1ZukTa+eGGp8xi7SJ/tOMvQkmUnngzfji6mDg1fyHCvJX//D2dX0tw2
rwR/EauwECB4JSnJorzbsZNcWMmXhPu+89e/Vk5+iClW6WgfABGYGQAzPd0WyNAWOmydtmeD/Wwy
7fpg5Wg+YQTW8JW53wFN916/36UOHvh3P2N//7N09rHzHHnIFKFdx7UPEsle4vyJkBBLnD+nt6fM
fbu8wmsWrwUQKCum1dDjcMsI/yNkveOSbgy90h2kdIw/BMAyUMFh7HJX/uGZO5UORCTnL9WL9Wx/
L+7bY71PQP4kniZ/2AlXnpKr7rBKR/7PRAFyWGMzxVn7qumdclw2YuLaYaMD/4MAAqV0QcgNvswu
2fV3sZ88BMcAkgPIUw4740BumVfgcZiBiuP58jatuJneCwB5uiUhBe5nI7kzzdc8+jHbN5eH/vtW
/8QY9UaACiRt0OLEYg1742G4Faf4Kf+ibie/fsT++PGD5dUbc61Ym47UrCA+ZgkTa9dPvVuq2ems
jeSA9blH6QDN3B7JxM/uuyRfStAZ00h43Sh2Qi1QFd+4cf59jn+2VOfv+nDRyNBD0tQWZpke+MPs
V0fbAQsT8m/kodkF/13ekJVIZGnBgeUQRLUn7DWhwe3Q3bMaqTdiO5BquoWY6I7M4iaP842FW9sS
LQC0OBpknmA2Ub1W/EfNN8Zd+wrt6pAP0NOj7PxCOhfs5/sEYi/zKLy8fcmi1pUDWMLYhlmt7ss5
zn7YFz6ieol2O1wMgMCOi2NT1m575q80keGGlqSgpcPML+iKva3rxz4VzuWtWnFLHf43EprIIUOE
64PHQN4n5Vuovl8e+nyAfmJqOp9PoQwKDirsS9MvX6oAIoKW5c9j/tQa2cYWrWy9jvub+ZxVU9lZ
RzsZFki/F+2zoHzLsFYe+0oHpaZLFuSLkVtHynmHBgVgIg+D6DmUXKg8GiAb3VtZAVXRMqseZ8Ps
D8ABAHvW2upmsn7XLOhcXpR15UB6dlK7Qal04wBeiRZSu1Y0QW+XTWVC7dwYnaT+hmZNz16ebIg9
8zjcXd7BNePQgoVMIfM65LY6NsPIH6KFyQeeSMADknIrdq9NoYUKaau069DWfwTxaPNjTOIB4s5x
+MA5MTeO0rUptPhA5QI8JqRijhkyok6whHclaX6Fy5YOyt9j5jND1wJFoIA1GCizjpyF/YmZke1k
S5d4iyxnh46x+hWDV2OvzEkd7D4JXlnZQW5xUPyGh2UNYdGmmpFRTFpxZCAd3rVm0D4sBqduZ5gR
/qTpnoDmcB/OFLnAqGrfckbKVxqVxQubZISTO8lu4mWxnxhLF681rWqXybA5spB2Xtw2y95qbcgi
JwU6/MLFeGWLldyCvAlYkqkHAZbD0ng6DtyOF2dZalSYSOi3U0X8M1PxMY9T8k6bcvolWVr+tNKc
SbcngD6D4Hygx9os26NJKH+boBL8ms9js8uJENW+kwSluTBhlpuNyKA0xQjSsBpKtRYDqzVqTiPZ
p1AZBUdckjLcOFQ3eG3e07u2yIVTT51VHRYzRwkvDHuniGrbKycbWj8UlL23s1V2T4Y9dw9LPiK3
PZHm61XmryPdMjtLChE16hgSecwa0J8N013N6f7y8CsurIPcskWGdZ0q+2hPfFHO1KB1eEhlCj4W
8C8VYNIxvXIsouPl6VZipY5cqea4zdOu7k4QDDwTuw8JlMO32g9WfEwHruRjZslCMOiAG69Gfk/n
V2ggX/7dK0NL7WTM+yCQfQtBidZgNRzLvO0iiztTG163zTowuSVzFU9MWMfJiHM3KyHMWGegC2rq
gnhXfYMOT7a60IqXLDSOEPt1J/jMGN8mtHIvj75iSDpCmdvAJcS8VMc+6V9hNpBCD+SNza3vc6UM
T8jy9fJEKyakE2EVSkDEL7Xtoyyyxwp4gyybNk7ytTu8jkoeDFGYNDPtY8Hb/Aix3sHNug6URyNU
vx94II0DuIo8xVvHLvIACPKsvEEiPuQg7sa1HBowI1TK5raLT2hn2FLuXLnE6PzMRcn40E6GhU+m
hzk7mLKB8JoAh+VGrW5tTbUDsO3KpLczyz6mXfVYQsealvPGpXJtaO3gGywm4hZNa8dAyOowhRV6
+4JMboy+tjLaqcesUZDQyuCXwP+4CUTGwPYDUA5pH0JwYmzcT9e+QfP+NMyKYIht65i28jlU8w0p
x62C1MoX6ES7XRkCa2KUwRHnjroDN4h6E6oe7htWkWdrIVsvu5UIpiOBednFQEAo61jJZd/QwGFT
fzN1112zddBv13JjyK3cOKIJpXPnXNavg+T8yHiXfBuIsZWRWPuK8w59eKEQEOSAoBOrhf6Z90Ko
V9Ac+FY8/LkcW9Y2Q/MDHoBxSS1EHckEQMh0u9DQU7WfThvHyNr4mjM0qZkkAM4GR9uECuMoMtNt
wuCuTpv7Ja82JllbI80nLDOISsiDBsdylscyo4VjqgJKiXW/u26VNHdI0mBJmUCoT9OXJBzcgvpt
DsSC2AjDK0eJjgSuyEhTuwF+tjFn5aqhRq2haO+6bor8gMPzMmva8OyVDfkHDzwEVjy2Ez1V4m2K
K2cUqHrUuZOMG7mOlc3g52/8YLDlspgZm5ruRAO1KwvcylkXPUBD+/3yXqxlxHU8bSztsQvrgp7q
MjFuBnQev2Wlnd90A/qpLW6lL2lDsz30r+c/s5nXD4zOIPa3lhjZnbGLHgNY/JMdVbJ1y6BQt3ws
emj6Da1TVdH4WEp77t3QPl8YSDhm9n6AjO2xq0bQEF3+BvX5G51rXmfQxO4WVc2nNEiE2+etBwkX
0CBVg0Pz+gnqSF/HcKsDbEU2ROkYXWLYRRaYLT0NZW9B5iEoXvH+S0evN6vOU9EA8b+5R1uGFyQG
UGJZgpaPjlu9O458K479zUJ98lz7i9D6YBdd1oSmMkFaFVgj2kpaU9YQXAjwovbMIMbVYlY8/WmX
Ga6bY03K72Kch5uomVoH1E/8wJoQj5QMCQFSUtNZpqJ5LaxlcCR49dy069X9OMn4R5vm2feMdtlD
Xlfdj2HJZ2cMo+AhqOfpZbJMspOi4o1bt7RkeIVxXHaWujmJeSoeAaapHkHvbDdOAqXdA2TJ0LY4
FPPboLrlkYC60ZOibHeElEPr2arnXjMb/VMyNrbHqoodQhKa7zMAu5DoLqabvmnFAak50FxNRgtP
HplHOpF7Rc27L3OeZ70jknm+tSEk5kNOetmPBgEgLSzSA0ULhcvMuUBjQGY+4enS7WYuOfodcwJ5
AhQ+IuaOE4lLLy9b5C+tdGj9ZSjGU9RUeenIggnqFNPQ/HfZdleuBjpxaZ9C0T0ehu4kp2X2aihc
exCSUtdFDx0uHaJmHsTl0JyaPPwPigB+Iu3CSWEGG663Ev90OLM9MFWFeHqfavqtQWSl+V0Z/AiL
rZ6XlVCu85Ry8GEulZT1qcjwCAA4ay/xknYJGl8Ti38Dx/LrVfugg5DbJTRbyGyro52ipBCR7325
Rce49g3n0P7BVdGD10VFV1K0rSOr0WWlF+bVMTaHh7nDI7a3k/1136BdbuKSZ4NxTouHE/uS8PJL
HtXe5aFXjiEdLDyNxZn6CpldhBXkhGhGjwWBXFvWiK2i74op6SCuKQo6kdk9PWUif2LNaDhxT96G
unoyLPXj8md87m1cx6qwXlUkT+36lLe3ViGcqDbdyyN/fgZxHZ0iO9OIKHAAflac5f7kyI8ZEyca
2TfGModITEVfimV6vjzb52vFdWBKo8pppI1E9B88yKw8Df10m0/JCYRkT5dn+NxouY5QmSvKce2e
wLxIxc5uS4dbnVuA5THKogNYFzbix9qGaL4hMtFHUA1dTs2c7Swg3abwqkwR10X0UnDZVDnl9FTO
k2t1UP3OZ/vb5cVZ+9XahYOOPJsNuwcTA84mNOG/F13x6/LQnzsa15EkWTvMquhMehKpubgdcPt+
UQdiJ8dm43a8NoN2vWdVVKDT3IIPJFFyWjo7vYummu9ABy02XtVr66Nd8IUyQL0YjMWJNMm3Lsru
02qLFGxlaB0agrzWJMfZMvxKlG5U/ymC6xhguA4NSViCxkUOim+DV7tCnNoy34gNKyuuIz860U/N
0qa2b+ZVj4Q6bwBT4kX6K6zyaGPJ1+Y4R4oPhwyJe0tQJgFu6mtHkNSbpu8m32JKW4k3Ov4jSaK8
SVkU+Mo85cB2yeVryd4o2jevsnod9dFCZ0SAKNf22XzXhxKaxX/K7irpeMZ1VqW2tsaha9gCltqh
3ncBNbzIruQGLnFl4fWy/RJ1OR2Koj5FoPl1ZNw+KTu/x0Vz4wr3eQGX67X6CGnCBimeAPLAJXeM
vAZfJvOyaQSOiPwa8qpxzLH2IzPdsKQVST2u1/ChDooSieLDafjaL27zzX4XANDmjrzlM2C11T15
nb6/VE8qdJaXy/u/AuHjuqjP2NbLAtXQ5jSVgnoBuHtMtxpV8ZONS/BblCLfCxn14H42cgC2mk68
zGma7qs5GHdDldWhU7czYa4R1/WfGiIDD+CpjX9nJZdOTylwDunYjIcUqjAo9jRp887jRLF9ppjZ
O2GODjRnmbP4lxHSfIvjbsVt9NJrVp4tI8zxtq4K9KnONZYzY5lnl1zcp8YSbrjP2jxn2/zg/PGk
ui5oGwoStNEZYmgRnEDq5s3tho2vBF2dHqjDA3uEQCk92SpwKKIK9Huui41SO0qhlCyhq0ZAYVBE
wx5lfLkDq0d9sM1pS7dm5Sqja6bILANix+zNU1/L+ED7YMcme0YFsr+DjPxhbOINAOxKKJDayVrl
gzEskRpPFcTD3gylmDt0uCs7xO6vY1XhOioFDLFkYkOTniAy6Q+jeUsL/n7ZCVd2+R8yMYNljZmA
veosX4lLyGtZ0F+Xh14xUF2CqoyyziwKRk8W+WPbP8P0vxj98zy9cnjtvqEKFVHWB+bJCrMHVo+P
U2H8Ak6rcEgVf73qE3SMSaBG4P4J7pMVIoWiuVOYC/oLnsDeeqUXq//34nZphYiXyTwVk7mr48Ud
xu8qzBHjti4iK/UpsIH//xRRFw6iCS3zRKF8e6RNHe8jcKB9byi1f4k6jB5A1GXezs3YuVPaqF1G
alQSiWnGp7HNJcwC1EEgMYnMPRmn6aryEdero7JuzCJfQPNu0FveTQ6ztiLjikvqZdEKpX+BHzuc
akghi9GpjdTh15XVuF4QnRPS8NhE3jFTP3oZFhCsUhyLo77yJZ12l+1u7Qu0LaMCCK6FI6g0cTbs
+gHZj5QOmSOjaePwXfF7vSDayhJyHcIaT6hNU8eMCOj2lq2y7trPP///w9EEJmmAImLDgJTlDPxn
2UHiDYREyXMa9bO1cYisfcH5/x8mQa8IaGOlmZziNvZEOz8OXf98efnXbkO64mycFYNEEi3BW6Zc
bjg4FNDnWuXEwZ2FHoxsJJ5pKvG0WBLV3VoZy3dS8yVwbFm2bpEVIZgGwvJH0lT2Ex/s5Nk08b/O
luy6yCS06GcGTWR056f6aMO6VQ5NM1qPqH7UQX1j9sFWj+HfXsJ/c85cV8MdRY1Wn+H8rJvCxeOs
jxyrav15DgDMNr62kfEY4H5qCSSGVb+VAlxJuHOhHasQRiXEllAJiDq5C2L0lbRgDA6FTFxkmkNv
yWpxQ5o+ATW0iG6SvlVO2PQb1bCV+7eOn4k5kXay2DMS7f37YFe/YtClO11m3C8B9ewqax1jau5N
CTm5yya34jI6pAZ93sxIetBqxwPeiZMEKOBrE9CN0dd2US8YYwexjhFIZpUZulkk3NBodw1hDgve
+Fzv2nJ+mZLOYfnGg2Ll8Ncrx8iNxA2ed5ZvsnpHjW8leB6S4LZPN06PtfG1EEP7tAoSMi4nUt2D
EvtY9XiYQP22TeeNZNjajmjxhdIMdRSeFCe7ukvnzKPDD9vkG8Fr7edrN+AioakV2TmkuFDHsZca
MEuUPqC+sMwbW75yAdaJoxJBIbmXpGgM6nInah6YGR95+lICbTqmVy6R5qQzhNDMaICbWMWDBFtF
YP5Sm/iJtQ/QIpxqClPElgV6zzF0bYh99dN9D26cgC9u2r9ddruVSfSqMVRxWlKFip5Mg9/kTRaj
d1GChllFDp5qmWPS63R4uV40FpFN0DRpFMjAvSv06sR25FUhmoLYFs3MisHqVWOkVYvUtEAVW9Lx
j1lDonxJxptR8Nm7vFhrE5yN+cOJi9pfCDKIWfpZWkxuNEzlDYJ09MgXtiWlCuF5DPbJeaPj8YqF
yJYkIOnL50j6fAgSj9Ud8fpg7kAcVtMG5DUyKE9qhsbmiA6afQC19sSzAPn1jcW0IaxVip1awgTk
h0NxU+XWAvnSJSydHrW++9oi1YlHVnVLoeaN6v3c+GhuQz3UmoJbqGcBQNf25pcxyPsHoezyQIaq
e+17K3ieWVt5ad2qZx5WaBQDONerU1Y5UHNgHvptF68x4p9yaAAElSp8iLu63gHyOe6SbowfWAeY
lzOVZH6YCoX2oinJnUw18T6ehvltttrRM+0mOWZDvNxINU5+KYzUl4GFvnY+/CfKJNijAy/2cf8J
7+d0zt/7zA5/ohie2E4MdZg/cZDOB5l05aFeSH1bBkvm1lFfHwoKjtGgCtr7NijNXTyDkX0aeO2O
lb28p/ZS7hNuNDtZZ9Gd6rJ0JztmnBlVa0gjyRJiaHWlmBMy1txk0C1576X9RwKR6VYJuDIRY+zT
QrvxMCjK3Xlo1GlI7dZVJFI/5SjLfUHK/N1iS/je8TDyIhV2rj2ThwjRFmjwgu+WZWyPfZv8rhXE
rbJozG9ETUFiOoRvLZRKv2ThiOZOAd3KGVUWl8fWjyEn0WsOXcA7ZWbZbW21xXNs9cKRY6/2NoMg
XbVs6XutuIHOuzF3hdUGeBf5vG0PJc1Cp2+bp35KN5J/K2eDDs4YLLKk3TmqmjwKnDIGNjDtku9T
wyBB0kxb78KVz9ABFEOHnM4wJM3JqI0nCF0+hkPzlsXBlcGC/X+wkDTkOTFBmitEAuTIY9GGzjBf
x9HKdSSE3fdQygT8xG8S67Gk6SsCxc/LUe58vn8WgLRzRw4qiksB3uo6544w7hm5bmC9Li+qOhoT
w65O0STeZDzf99TcqHut7KVekY/zvhzmeZzxmqNOVx9aST0ZbDw11gbXHqNGlJlo1xigmAINOwUp
itrgDnTYNy4qa8Nrp0q3pLRfyqU8LWbRelEklAsiR7Q7WImxYYsrHvWXP+XDwZXPwjCKqpD+EAAk
k8no3TQ6j0ZT6UmASq6yG3a2pw+T1DKIJyF5ccqqb6z80nfv142rXRXBlR3XeY4AOPCofUCLNETb
2JJHG1a5cgPSiX2SmE+GMLG7YwY/hcob7Z6z+KVspMPZRo50ZY6/5DEfliaUZYReB1GdJsnAAgoV
Ugizi7bbd+dbqaXm+Z6SqhmutCjtWmoAqmWZMziWC4Ytb+Seho0DcvuNu/va12gBgjYVC5rYMPE0
jRs/6yHUVVMconicVqD8zewdS9rk5fLur3jH307YD0tHCmJmUcfn02QD8Ql2MfJkV1tqwyu9e1yn
9oqjqu+CBaMvWWb69WhNRyNglj+gwuIGiRnsp7ktTsyIv7Ak7A8zkGHuUE78CORGubv8iSuP7b9J
mA+f2EEtpsuzCJ3lbZC8TOfO0aAcg30pbMcupXVsJrvfcwjV3ZRVRTee+Cth/m/n3IdZCTHGgZ/J
73upcL4+tPEWMvHTLaOmYv8fCGayxCwfzcznIoycvE2+BNP435xlvy+v16e/HONr5h3PaDboojLz
xcIOTFmP0gyuYSfH0LppK4h199EU+vmk0ruwM5aDHTTmxkavLIzevd2oOIxNUYY+icK9ubxGgu9z
ukUTurIsept20wG2l4x4A0zpd4JEFOD8G/FkbeRzIPhgKgD5KENOGLlJByePE0f0WzXwT08mauqF
3ipBBrm169C3GPJKQNskQbi35uqxSB8vW8vaop///+HHh0MZL8mUg+gJkBjBvgz94hiAPV4e/dNY
iN9/XrIPozNqtdBhGRK/rzi4wuuRpCOydAm7HeMufe7mBculIjJcU5TEfNphWARNic7sIfJnaxru
lhCdzHVKr5Ktwuia51ZtVcouUaFfGyBps2T82ID2ybU2e0bXLElzXZYWKotrHiMxHt+adXGQrbER
z9Z2QnPdCX2acdTVsT+KwUFH0l4A5msuwmstumP9xkm+8gF6QcyymBXP+Aa/WRb2Us8ZUAJmvJCN
e+yKO+iN1yqWBoR7FkidLPSPXOgB0r+Ng+TrOfW7eT9Y+wjNn5cUWkCRNcd+J2PI8r4r689lb/j0
JKOmXvoPaVKe9e1iPx8ZbgLkm2pRjUzKk2gyF6T6v/PFOsZb2beVHf+nkZpapO6aEcE64W8BJB5A
JBXeRsZ416hUeWd+vA0vX9sWzcsNPrBoGLBg1vQetalv8Vc2BhDbURsTKISLf95cWDjNrUPChp4n
LPZJ1f+yqv52IsoRgxAOjwo0603djWFbV7EyYjbNzRMrScEdUMELk/5OdCAsSyZ5B0G/q5L5mEBz
84jysKYjiXw72Mfz7JnieR62FKFWArpeN+3BlbPEcQOi+OLbDHqVxn60462lWXENvXTKu7RKGZqj
/TQm9z2UPbO+3UhrrOyxXjit5lCgDac2jgCWJB63eeSb6RS5phVV+znqxJ0VlfFTOEuy8SJbMVu9
u7QQqRxKFRtHtoDXu+7G3FPWPDsMeEKvaYdk41Ba2RG9ljqFM+QrEjv0kyhC2/zE4vtiQsNcCaXR
jSnW9kU7xWdp9AVybWhlasYcOm8dUuKSXRd19U7RwUxTy7DK2DeT+nVG7dMLW3XTJSZEy3nxdDk2
rn2B5uJR3VpdksyRX7ICtTzhikJ6l4desyzNn5cCIkaRKWPfqGpvKRB+89EFCniP9qC7VJEvucHc
y1OtfYXm2VA2CsyA4wDnqKGlffFLRvPG4bE2tHaAI59FywBq7H6UGo+NXXmSNRuut+IIejkzby3o
JM9T7LeyOcro91TIPTpSHTlvIeFXziK9fNnzlpsVw+2Dc3Aapg+UMkgnv8TsZ662tnllgfQa5mDh
cK0I1r4WhdNXP5JrDUgvVkItoI2TIEBAYvI2Q8+Sw/rpG2mtH6aKHxdpnFKRP1+2oJVgoTe9WgrY
ITtFhDWD3bwINw8ekm7aMM/P6XgpYDv/fx8vFbBcyzJxf8xmkrkkMJVTCtKeiogav5JS9q4RxdNt
MAfFsSO5uK0JH3dRz+bvoFUd3VzQFNAWFKXGVpH7Ll+o18f0nYVBv0eLKAXlR1vuGamN+3ns0t3l
VVmzUC06oJswRLFYBkfsMjlNS1U82TIKf4+9rJysHrZoI1duaHpVdIboSd2bGZ5yNPsW5ypzB8af
yNw8Epb8SPPlsUxaeg6w19SpsSFawACZtZGVpQiOQt4sAYqYFRQc7+NsCxq/Zk5a1DDjNFJEWAGK
Q8n3POO/2vrMB9i+XN6XleH1+ui5M2E2Tfx8OwRVYtxD2CAqfEsVb5fHXwndelUUnYGxpAvoJSwQ
34oZyjcR6X5a1PQh3ydQyRsOEITyLk+2EkD0AmlelWEwUoBkYoNEaMEyXppzg+rlwddW6mzZH17C
Ztrjl9MZgiTsbZpC59xCXZONoLH2y8+TfhgcWBT0Ly3UOC5FA0Fx0MwkD3ym8f66365FjYZBnHPK
l8hn0uP5tKcVuESl3Hgzrvi2XmiC/G1rWAQnf1UfB6gDtXm5Gws8UuGGl3//52ghaurtubQ3GxlS
fECWJuXenGr2DD7M+r6ekVLhaUj3NO8zLyNWfEODKn4ZJSqHllldxY6KH6C5OcTwQntuS+PYFowT
xxAWj5wE7BgerekWK8aaiWm+XmYmadGrDWcU2J8UgldZ4kK+bmMVV4xMr09ZfZp1dcmCY9WIo8zA
fcSMa9/c/1SoBgbAQ28Ex3k+BgBic1VvON7az9Zf8x1HUvh8dHSyIGDmDpBwKoHK2zCtlZuN3iMq
DQvPuSrlfm327WNQpPymaBuybwYO0YW0SO7LyTTcrqw7tDIjz1tH8rewexF5iDbKndjcnUhesqOy
EuuUTlBThmVEcuOAWTEKvX5jqGLMF1YExyJ8Ftkro7d0y3HXhtYO5cxE47dJquDIJj4nrjRKG2mY
zOicxIrtH5cXeGX7dPWF2h6L3AqRFB7NsXEze4n+gzo5/XJ59JXYowswdG3HWcGYOs45us5rI3+o
skGAL7r/jcavDRtZ+QS9vNiaNTSjGCxQsvg2DcddFVcbPrmyBXpRsavMrkZsA3XJdF+IakfqGabW
b1wXV1ZHb/BVRmWASQCn7zQp18oWz5xswNyXXb6Fr1r7/ez/D64OLf6laM+/vyyB04kTry3tVyNt
trDeKxcIXf0nIUgQtWUY+xkEhVuPSJo8GapJ/KE36q+AH+fU7U18zxLzrTrGyrL9BVl+OI07cN7W
TJrG0TSNU9XET8XYHJqw/8kI/X3ZblfWTZfVYAljkoA46JjXhl+H5JfByNMMdYjrgqbed62qPJws
QKB8o22UVxX0SKJiS5lm5ZKtq2XYPeAI6Dct/DywoM+DhNJ36H3Zu5aBfiJm5gKAUZ85WUHqyo2S
Ysuc12xBOx/zOJiyFF0Lft7fDvkeWOuKpsh//5eS0W2zrQNnZW/0kmxZIzECLDSyofUIzCn3RJ06
uEJtOOXnvNvU1IuyEzr6q37i5zcKVI7HCcopeTSWeJRYmScSEnozU4UXzMCj8SakuLWJ3rMpyDPM
MQXeK5fqQYEeY+MHrZm7dsCm6dTwfoKLyX5oDyba4L905pJYTiFmVEemFArAl61+5azVa7KRBItM
TpDatIrKSdPfcQNialDJiuE2UVexGmB5z9v6wXuHXhgqBdHDEXKqXqNAQQT16LL4evkTVs4Ccl7E
D6PXaGsHV0+Q+3wCGq0LQIXciDbbXx59zbO03w5cUtLGBit8M6qg+GOltHw2pAx3fDFGb1HNf+NS
QPYnYNU7a+dwoyy8si+6mkvXQCs3yVrpW2ZDThaNuwOH6Ppzl9vyIKsRiSXe2NeZG+H/v4J0GMey
hgSUjzuTX7PoJkVzM6nT22iL/21tj7RDKakCo0vBF3NqjKW460eoxcTdEm0U4lbcRZdzAfcOS62g
Jqc0PxBrPozB77YJXbEJ5l/7+VqYY5BrL+UgFjRlV/s+sPZjIF8u29fnQ/9DldEi9w52wpyc2pGA
jzV4RBP4VifJ5+vyL1kGUi/KtCl+9vglRswn1mHskcYOf13+7Z+H5X/oMWgclmAztorTJM4q1V8D
y3AHY2PwtYXR3Bq0Sn2jGsPym5g/oS3wQap+w6fXhtZ8Ggs8pixnzJ+MPHHs2q6dIdpqkvq88YP+
w4hRVSm4bdDj5U9ZD4WsLK7cMGLfwwr3JfCTqPYU1qy/7SN0EWUiTA9N2s4bRYu1Hdc8OS1nErJF
Un+aQV8suP3NTqKdXKa9It2WrPHaJJoziwYUMn1XEqBt8p8sKt5bVnu22dzw7ioEHtZQf9xT1sRL
HnKfLinaxml6EMl4pcdpzmynzTiMskKDP3Lzh2mJRk9l1lUgXMp14gypukmgOkz8PrXugcE+UVwn
yWBtPHxWXE5nz5h434jcBm1pHpqu4uQw8/Q2SYabyx694hk6hQY6F7KSZHTy7RINRDXOtSr6c3no
zw9Srs7W9OGYToXM0YAjRtTOI+laMvyzDDbUYOf6WYVicnubowsEdM9GZGx4w+e3U67TaQQgAlKI
2pPfUelKU0AP8DGEfLHlLstBZd3u8pf9rZn/W0vnOq3GXBGAH0GLgGeD1aB3rgRccAjs1K2CZXxA
Vh1UtCWK6u3Auyd7sGs8XfB+Cacqv4G0hrrNxn56RU9V71gDz0+DXCxsrMpuwHo3/agWsuyWwqDH
th/QKlNCrwUNXkHo26DVzB2eN+FbaInIlWFObqYhag6wOtuT6JbbdZxKr5/AOG4WUXcTB7E4VFa8
60Tx3xzZ015kKnzkXUb+Q7/rcz0lFXhloQ+z58ZYfe2jPr75H2dX1tworoV/EVVCEgK9gu04IXvS
6aRfqJ6eaYTY9+XX38/z1KNrTJWfpirThUHSkY7O+RYNU52A1BKuWUtjQT7IbrS3S+yiPQrO2aEc
s+Wm8ggLh96e7xmv0dCsaLvTudUcKpX3L/EEIbqib7gIiLStPevG7sEiFXuI0DLZmImV6DBRABT6
25ULpci7uv2nyT5d8iT11q639mxj24DknwfDdbAyKS8A5mqTBAlfVo/wfwLzdmPFno0/6pmwXWyq
SQFOTBdC1cBF86hQr1mGROzyQl17urGrVrklYEzeTWHukE/m5ns70tdUTfDixuiU8G8AcXuxwzmX
T2xInmN3fhZDvLEvnR186pkXwFxCtraYmyasWjtI05Pkjg8a1OVhOXue4eGn7eOPnakDmSZtioaF
UfGo268K1Gni/tLJr+seb1zmoLe7tMXSdqHLO8uf5+ZECprAzrYgdS/FNUU9fISxvcp5Gtm8QNZt
RHqaZd4h4VueBWvjc5qUP8aHiRTWAQsWZcRquuu8ge5riaazI1PvmHGkxJcH6uydB59wWrZ//E7D
QDoeFwkpsVLdxLiD7EdeZb7XQuJ/SSuodtdbOvFrn2TkSWi/pDZPIf+VsZz9k6oRLgwVfBZkn5Eb
Puh2d/mTViLOLLWWheRunHRQs+Ddg4iq4+LRj8uPXgsJI5hLBg584yLiNOvLY2ovzm0FYeQHGY1X
3QsxIWZQN2mEFs+MNeWRg8WXyY+n6Vfb6neIf1wnTeeZdbepVVhbuUQfoZnJo5MRfoxrr7puAv6v
MEaceehR7worsEXuWp62+4TFW+buK9Nrlh7GboSA0tj3oXTkXc0dJPVy48VXgsH0ji2zWmdjDYHX
iULh122OcQFFip4eRg57e3vjvFmJA7PMoFFO8IYma0LP1v+QzEpurXJ6mSLJfOhgWRulz5WlatYX
IL4aFfBVxzqCEIodi8If7GVCYY2r4HIwnM30qEeMKwnLGCxFIpCK2yrx+/S5jt5oxm71qataucFY
WBu9n7UBM6IOnNZkKTJGQtZ9ghcEC5bHxflyYrlRj1v7ECPkFIQ+IQLuEFgsUagSaKve9Z19dGLv
HtTOMqjkMAbekm/M//kF7JpCnbqzykyMsgGBWd9zW/huEb9cnpLzk+6aSp39wse5Btog7CY4sfeP
fFKQU/u67uHGmeoUYwtBJmx+8Xhv8WQnSe67br2xmtZe/TT5fxxEBTjALCkcO1zc5diVoPDTU2/Z
u85F0pWn3/3j+QB45NgoINPEOxrQuX7rUnXTw8jo8uCsTerp7388vlRMz6Tsu7CL6q/eoa9DCQ/l
y88+vy25pgdsXHQnXUUou1ZeAkbiF+Sxj656Q0s8sOrrxMpcU5wT1xaVjzUyptly34tU2L5d6bcO
C3VjQ1obISOKHd6SHpTyOUz6/InJ/KaqnJ+XB2jt0UYA59qbs/yk4TZ0+ccU6XuqsqvSd9csLRA9
gynu4DjOtOUTeP+IZvMKi6XxfzdYCkTcf5dMNaioclu0zZOkHG04zoBvxpdsPNZwTdt7PJUbG85K
aJkFBs+lrQQmlYS5KIqgV6Dma1uA3DqQLaLy2k8Y0Stw4feWIarDdN7PiQ37hqB1y93l6V3h77lm
TQH2AACtM+j45w3k9q1i57XZiX/Tf48mdpw1/82sCkK4w97uFsCq9D1YIa9X/rgR2a2lvbb1LJw+
Va+CIoLhml9HaMj67kRLX8+c7GqKGZMEcie+EFLuJujGow9cDM/SidqPy2+ysspNrc9oimWiZ9gl
RGXnF4zfw0BoA7u09mjjKB9YRXoPCXo4CjbA0rAiz1Da3+LFrj3diPyyKKFQ31ddyN1PZ/ig8z+X
B2Rt0RlhX/EZtjwVnisgcoFM+ogySoj33l9+/Pm0wDV5fHHKRRvNSPtm8UlB6a+h01/E+kBQebVR
aOrbm8s/tPIdJqUP7LixyuuJhGh4Pvc54z62D+2zqdyqo5zPoFzXOLrtlMpMsbyDA6fwAqsh1QGN
fL1zUAQLcvRtrttpTJ6fZw8qFiMszLTHfkxA1xKWf0Aj+fI4rX3Fafz+OGPhwY7DtccZ20acBJET
WW+lYOUTKmv6RtpxvHHers2HEfGlyBwpawQa00tDkJT31m5BGxVM1JRsZGorZ7rJ8CPoQOFSgbWb
2SqIveyu67+xFv4T9a8SoPjLA7YSeCbRz1269uRF2CHTBB9Ek/RLdnILW7H2BUZUyzTnWdO3LORz
+pNU+k5IekvT6RDH7gEYjo3Eam0yjCAfoBLCVSRpGEc1uHJl45fx/GAV8xa302bnz2GT7JdnzjQt
bYY6qq77f6Bg1+wkqo37KLKjm7pmLdAp3N3J2IreIzhZwwAmIz/hIep+4GjIQyklO1w1YSYxUKS8
TDj2HNgpNN86eJtBrGfLG25lIE19TKmAr3KGgYWpRR0/cZqvpVQx8pnyeN3Ln8L2j/CEJmDG2njE
yy/QblDL8H0m3e/Lz15ZbCYJ0EndLGekcsKeflWV2Fexs2PkNneWuyz/uPwbawNkhL0zCFLk+UBD
K35NXS+g0Czq2cbgnAbhTLJnUv8IpH1m2+mwjIFacfP0NS7kTyHJ+yL0xhitvb9xiFtl5xFA8FlY
RvB74zRPnio1NX6kxmVj11r7CiPmlYC8RT4LDg2D2W/gAATketBVU5A0150gJu3Pk1z1PLJ5yKva
3lFa0Yc+i+K9YyXTdT9hkv9UPDttDJujsI4jBHnsu6MbiO7KpxtZvUSnCsThPA9VRaBRlmkoYets
Gd6dUoBXf9VSNSl/SQ0XFyUhWE+Lx6l9J92XkD8uP3rlzDBZfkuDntFsqxZSl2kRzLZn3dG+LDZK
LStxbJpIJk5iAWCM3Rwb+X0SD/+UpP3otPqsWufvEpDMyx+xsk5Nqh+0RKAYznAhHEVx5Mg9feiX
wP+pZ0Fc8/Rw3a+cDpQ/NjwvtdyEymYO41K/xZN+nefhkbXdy5xtcS7XPsSIaSTiA3ClUFmfu1eC
HLSanoj4SIZ/Ln/B2nQY8exxGLfqsrZDHDzNfnbzOvLJSXmnY/mXJUCIalmvv13+sZX9ydRyhVAZ
xNAZgqIVoKPMVV4d2yl6r/Nsi3u7snZNAmBMWJoojvJXNjpHNbnw1ew2Fq48v3+bzL9idHQTpzBz
seEqDuID+khRTR+KorhHlfuHg2H0JQwdob0HovXlAVuZHZMJWCwdicQAHzR8ioL1gphuGvjxqdve
c7sfRYRG7w5YjeL35Z9bue+Y9EDA9yba8XkJFz0kPx1ayUOsc3KwJ/S9A4HiGZQWnQiZ99SKrZvJ
yqIweYIwb7VsL6ZDqPgerIN9lt86/VaArj3cONGtZelSi0W49sTE9stxGn1Lqfeqmzcq02s/YOwA
VuvJRDZDdAfI6MNEyF+1lx16y2o2VsDagjbCH7DO2NUMjjAnoFoZw/JKx3Z/c3m+117eCH4X3d0W
QyLvbOvn1D0uDXQHrzsEuZG0szZKmnlYLLjCPI4wWBJz4pdiIwlZeW+TrAfjPAhQ6jm6m+VzOQNa
3b62Tbpx91sZcZOp18PLCjWkxLrTpHrLc+gwg7S5BVOj54mrFBaT/z0ycNUvIjRN9CnBHwpAb4by
t0hy+ZqKmKTB0ng6812dd0cIXbKgL/V3NujlV4tUHZJlzIGFO7Qzo150tw0SjLtYQwRUJ3P5s5U5
Rbt20TSEys4Cfe4OmPeotcYoyDNI7i+iksTXqm8f87ZOd2hu0Z+n4yWIOj2GWR21wZz2/RO3lgiV
gkLIIO8n+aMvqrryJdcSDtwWsNCDF4HYNiU9ROzasvqs5eQ0fuF203sLHZaHNm3zNkjaDpLlk1TW
P8JKnXZXw0P6qYks4AhK6rTJXgregcojYEY4eKnzS2sdEeygSnwAeL0EYwsBVmciboj7Xv2dx1b/
Y9TC1f6QghXNErDrmlLdQhOV+UpH9A7i6M1uEQSGlF3bv0Nt7XfG4/JBKexbng3hgpcsSYtoR2Rc
/aVgP+pnmtR+l+ccP5V645F5U/cikrg50KgqXqN5WvC/u79aMbUwdBxhZ93L7g7cZuwreiDPnoe4
9Gzb+cUd4dwU2BUeEyGcA02AuYnBkNwpJ6W3HUw0g4pNVTCIqQ7cmbqHBYTyJwgMD78JwLrqIWuw
sxYD5F79vIDiWh6RyudD0f+wJC2+NxZYzNrm6GD0bApKLmCGRFS+m8aEBV5UJw90pgpmpdO4s+CY
Nu7TSEF8zqv6gR9Vpao8sGAD0+w0bSEglc7DawkAzNfIEzLteeu42cGmlsyDvogyEKjZcrsMRNS7
2S7F9zqRSwvJIKqPy6DYPgNqKvC8hPVB6aQOlIRj29tNvBw/izFF3SR23HIPnMqQBVnL7BvReuwh
Edp7babEtWGqCZHxHn3DYzPIvPHzQWQQphUQkNy33Kp84mTlcsuGMeN713ZUWNfOdHC1DmCUyY/Q
pmv9BdsArglk+JZZCxt3rqLFIXPK6EX283QLllqvkOk3QIGIrNnXqVccorQcTvahXkmCpupg/5Rm
4jdq/daXVHH8UeoUgaOKknV7wL6rWxZxdlMmjngeylLXEKMvygcNpV53rxq9fEIEh/ju0owf6Ony
FHCthDfB2DRFty8Z2CDdaDkH3DlGQIAc67ZoSfYRpZP3zRskfCHsgcPACTxwry7nl7i02mNTCY0K
QD+EvesW+7wiyUdeoj3pwY32M+pb69gXhbX3dP6O4oV9O1eybX24wA8/6njC6xBZ7OaKEx+zTe7I
kuvnBMyn7MaWriM29sy1Ddk4ZsVJXBFbQR1KoBUwFyn0RyQJ4iXbX3VSmdRa4fEqEUnXhbHrfsXe
cNJWnB2f11tdnn9hR2eu5yazlvJ46TR6NHfLE2l89Tx+zD/hLls/JN+mF+sH/fQ+x/fupXuIHvnr
5Y9aSe1NLq2qRclV4kEbvV5yHy2GCPikdLG03wiwRgu1bKlNn58fYaqXpXXSzk7M+rBM7GkXuUD1
5DT7u7C2CvEriSo7feIfF6GIzSlclCiM6+Tsd6KDGbLYxeq16uGLXC2HywN2/jNcUzI7I2kFD6ix
C3No/B+GImrf9TRMtp9ZW46153+C/Vsi/ONDOkD3gRprylA07AEYwF+wKjiSOLpSBNaEJgEwBBHD
vKzDKHbvi7Y9FLmGEW9BNlL489kLM3mgqSgj5lgxbqQef1YO/47c5apUl/0fLslusiFzvDw80bVc
BogYbfxBPF+e25UXNwFJw8CHkucUdjPWfKtcdiPd+KquATM5gLmTc4C2kiWM+2+d+A1YIIjTX6Lf
UsFae3UzpbNhwgexDfdOoc/6UAoYgBf9pDaS9POhBUOO/4bWLJ1FQIk7D2mlkT3kLOwd+Tjq8qFV
ZBfXFblqE2cm9qnrvAiIT8yvDe7EVNj+AEhmj6zi8gSf3vf/N1hmgp4mScG4ybIlrIjaWa26jXob
vtoVKqxbjMKV4DURTzWXrUj7aQidhIy3s9sj11t65B3SrX9e/orzV2RmQp6QutuO46gZaPH6UCSV
3kGd5yeSL2TbS/aKG/qhH6aroAfMZFjlcYp6dGoXoZUWftTfki3Y6tpcGLezuYxgRsztKrRz+ktN
KFB29gJ1uJreQzNwiwh1Pi6oCXNqgaIvxkHyOzJm7403f6uLeWO3+PdY/v/VRE2c09KXzhxB/ips
pc3e8pLLo8ilQjopLRiloAYEp/a47qdADMDSB3IU3WtTVfFNXM/kZuQEapEWTICTm16Ow98tLHXh
XyizBIJAOSUBUsTk0DvCvqdlC8Ut2xpfYM9gf9iDBfcA2cjfKoqhie/ShPp1XqPyszhJ+Ug65A+k
daa/EjSPYX+RNO+X19755U1NX+TUSZCrZin08pfqjsbFtPOa6K0uvW/XPd/YaWRHh6nRSRm2tAra
0flJ5uomrdqr0h1q4q9Uh3tJ1cDAm0fZrariY1yVB0XaQ7UkGwFzPjqpaYvsxTHt+miqQiFndeQL
e2OU3agINiRW571RqY9JV25R8s9HETVRWYr0soTlWhmmdRagmumr7J9afJT9xiJfm2+j9jNGfC6S
CB0jZg+4O3ss+x6zzLkbaoduDNj5w4WajK9M0hg2vRPOlGoJZgKTqeF7MX1TAuo1Ww2dtWEyNhv0
ShfoIQO7MwnvEVbxMTJC57g09X0MI6uN0+VfoYgzG4IJ04rTOQVoKm/CIgumQ/JI73jQBtmOWL4V
cL+BJebOehj25BD5d2/xLnrMv4v91s+vbHUmkourGViHrKDhNNT5Rzkqdujr2N5i4q8MoYnfciUQ
zyfsXJiWf1cODKDY0xRlO76lsLr2+kbk2zZqih2FOaOqvUB67r07X8VBhgDJaXH/kVCPU0I1quI0
JHbzhtrxi8i3WHlro3L6mj8erevEzpYMj6aiv81tQLEc2N74eVQSlObHLVzqSoyYqKuqnh278iZ4
TsRQGva6dIKgGo+/T5qIoKJJGvvQktuyFFz7KCPoUxr1TZqjSS+gzufWT239g3mDX6Ubhdm15xs1
Xx7rAvUIeBEr67AsOC/TT4C4A9ptbFr/qiidC0Qj3Cva2AUqfDwkAbiSHyOEZ/38W+c/L3fNPg2a
I/2CURd/I4d8Z91aX/338nv+F3mdtO/u3Ftkaxtbwsr2aaK3vKFMlzhWaJE28oYDnbiTbfEWOXWz
v3xerkSNidpa2h7AkVmwsLbl8tjGlYb/j71FKl57+mk5/rG6s5nLsu9jjKPNboc6+1m63Ub9fO3R
Rrh7UVvZBdBtYTNWGgWpoXiDtRJsMS6Py9rAGyGPJQy2F3dYmE/WjUdQrHGmpPajbsuVfO39T3//
Y2iQO4Ak6WJmxRTfNs10n0by5rp3Z/99dO5YtTcsPWAmdnnTFQ+LFwWw7NhYkmsvbgQ3aIDWKCGr
ClRA/3dDBKrp0eG6Fzfiumaj4wy0dMK5d/2s/Z5D9jSet5wB1qbUCOoEtpsTz1saiqR66IS770nv
7tOkXTbGfWVkTAiWaJRKaOKycGLqtq4rJGy53Br2lR3cBFVB6JI6hNhuOLlg0WaTAtcteqRprnzw
ZZvAndwNQubaZxhBi9aENw5R44RO7eZB0o3tLs74RrK2Mgmm6rqcQL+A+9YQpvTdmaGeUMPtZb7u
fg4pnf+ufHBJacwJB2drGH95ZPkUin/qSD5GdnadCTSko/77G7F0G2mXI6KLecsLQLtqP7YpKuVi
EUGT8np/ORjO3wNs1/gWHdlwT2CAASha/3Jhv3y3zHMBbX3eFDt0Gcg30ol28NGjjP6+/JPnz1Uo
Ixqfxk6MiVR7dw0f9tBblzvPmfUOUtb3luZXQhWpiSLLmpxECiis0GqglwQAZnpoY5jutbVyD9Dn
42ig1NVwN09VBY55PR6gl9oercrtjxVJ6ZeX4J57+ZPXFruxm4kpXfLCkyxsi1mi8Wj39heAZ25y
3Tli8srLRhVRfTqmXHhxM/aTa+e2W7YIC2ubgrGlLZk7N9LVQwj59Bs5fyioCyH9PWjvt6t/XR6h
84uCmkCzIbIKwdtTClK7vlMBjZIfQYL1AXjYGKOVOTDF5rPBhYuiVE6YFLEMYg1RSFEVG4XT8wpd
lJoos0nV7hx32BOAq+kCSPCoV9UVzXMzDNZjl8Bgwodi13K/SFLcJqxoDnBxqm6WwareRzqyxu/i
NAribKk3KGhr32ukLm4KVjQ2EB7GQ/YwjNartyxXPtrYNGbuoC6fNhR9cDd+KOpBocCnkutOBhOQ
ZkW60i2sH8JMDfOxRxcRkkals5HRnd7xTNL9fz7ePHN5X2Exj93PxXqqqwLN+c/Li3jt2UaY02SO
eOYkA4yxm0MxK9+O5L6Iv19++lqIGHlLVhSoC2UIkaarfUXu9Qg1KZ75VnYdDxYn/X935skVXT6h
IQsCl3c75jzxJ82/7NLeqnOeP22oCTrLVakd1Umko149+CRvvywOATulcZRarZ9CQh8/uUVKWZkO
E4eG+zSFCip+TUsHyrWxs2+Uq3xpxRt9npUZMUFnLvxPtVthvMYxhdvsWO4pq1of0skvcoLr0eV5
X/sMI5CjNNNlB2mPkJ+SvVJ7L7wY7tl8HTCLmrCyig7t2DJ8BXIBP8k6XwCfp+Yt/O3KPmTqz0/1
ZMVj3hVh0UKJae7ei45t9ZNW2G7UzCW6EaQcp8ImNznDfq4hsO3q6EMoS/mex+FLBxfdFNbppVf/
HGf9SJLpR6ajK5N9UzvezpCHww4YIYmiyicZVHpnce7t7YJvmXavrTEj6qEaXcNXHreVSYo3Nzsd
iW11TIDAD9Ce+7i8xNbmyAj8oocgPVtwNnpjcmyyDo2z5Pnyo1fe30Sg2Ykb50sDJnQRc78YHyfP
DQj7HYEmfvkHVvYUE4VWuLOjizF2QqgsvhWLDmombgbwZst0fBk4DOar6yhb1ESkkaWgcwSb+TC1
sX2hGI/2HLqK0DPdEvddmQgTHTD1np1LPYhQIAfP3W9wxLk8SmvTcNpc/igENHFUjEAdEXh6Zi4M
goriPYYxewCBSH3w0nzL8nRlszKdim23YxLmDAKwYttnMAzEfxa2kWWtTbVxc5hbh0B0ahTwhUXy
NtxHMvPnBcC2qPbt8o3U+e7yaJ3XyKPUxLgo3WZREqOV3E/avYla5t1FLC3fx5GQI8uUo/YkjyDO
N7tOHyR1m2U7L63VVhl75QWAUvvvfAkBGwfPadApHyDCE5D5phxh/OzPwKSJgFlQndk4Xs4vOcBk
//tLLZrmiRb1CB7i/DzE83NauRsV1POPpiZsR7RojTly6MKmpT+nKfvZlFs6FGvr2dixcj46ObGx
FEqib+bmkcSvbv3K9XXKKdRUvreGbBqiEc93ATWFyQwcjjeS55UIMWXve8o8kqQZDe0iyQOIdWSH
qXRoUHb5llDRSpxQo7aCqjLEeecIbHmIAjP2HNHyndjPTcturAbgvSszE1MI365LuxhAQQ+hSBFk
duwXw98QD99fDsJ/R+RMqm6KqE91NSHdxalU7dgbvRNBftd+c/+SYXXb7p3nOeB7gODfkhfvi7zJ
B/uuv9fH7CX7UfwQdL/lFL2yiE299byI+xyqw1XokOI9d7uHft4y0Vt7tLGfwRk6cpuGoOND2xdW
9x9ebW+civ/O9bnBMzYQCG6ToqtPijPw/wFa162CSMXd25DqGVqDZHICV0M6vijH5alw+2iv25F9
KiqaJ3iLtT6UheNdslT8DhosKGMmXv7DWlDYlJAMnfyUR50/i479VN0wHuB/QJ7yPO6CoauzGwtK
g4Ezxt7OTrL+qguQbSLl7UJWlJxUMeb8b0v0h0Vmu9b6C/Y9G1vh+U0Fsp7/3QqzxvbKYfDgrFw+
dFruG2e6zeaH3vq8vKLPP5+ayvTjROphAFU2XJodtXxcReEL/aWmYWPS19aTsSlWHfhoYkQb3Fb8
yYajlz3kb5dffeXRpsDdCFTIgIIY2rYLc/dFPXs3dCm24IorA/N/CneqH0dViCbsUvLRRO5RzQrE
Kj29VLmzQdY7TeL/BQSET41gK3NXzYiH6Y707DA5S+JHcvpOJ+L4wA78zBzLz/Jl3oth4desJ/yk
EYMJTCtYPVGASa1o8FHmSYCrxyFeZoUTzDDouDw3/0oGnPs04whPLAV4QtKpMNdDgR4blwjudKH3
Yozjg7OMYgclLYB0eu6lPp/SeF/GLT3MjIKS6lXTtzlTAlq20trVchmfx8ES321eWmUA1Lf6wSKv
f17aiTA4r0b0J8TEk7dZFZDziB2r2s1JyiCY7nW7Sil716BW8VyUnb1PS1kfoQ/f2n5Sd/H3WkXD
nexYe2h1j8TNKwSwWtLepUtdwgigt3Bfq/hHKkT698DKYu+JEYqoHDBpa9fGNH/MAL97hiZbu2OR
HveZrcfjUNbLQae82mW6SXwpbHnIl4zuMtcaHvSgOByAMsDQpumrhZ1lwDMqH1zXm+48UChuNCRC
4CmOkncO75FdbpfTU183kJtScCCZM9wqoJ4yvFliSHyyjNkOE/trBNj10Etshpfn8WxmADlKY/sp
y2xJhVdMd3E2gLx0L9s+kHrLK+9sjOHpp2ThjxsAipGTtD1dhxSU6sdaIaXVVnqY7CoJPYWKwuWP
OLtR4GeM3CNh6ZRVoJGEtvwlFWrEWynx2vuf/v7H+2elHsAyh2rJ1OuDUyKeJg+6H/NNOl7no8pM
xm1bR15XjbQIiQLXpe3uVJP7QFHvLg/NyvyaVuqZh/ULCBF2IOl8ymR+GRz2fYibrXRsZYTMNn4N
N9WUlOjZCcgyqFgHrAXHoElB2rY3crKVTdRs5Htlz4Dkc9H6gip1Yo3zg2T8N0+9j3ouHsqmoZBL
AsUHlRG68ZMrC8rUY2mZsFREsyQEDepx8VIwhrfEktYebSypaUojNPe7MRRi9KXz0kMI+fJUrz35
tAT+WKyzE6Ww3MiTEAfni5hAEYKTxVU3NpuZHAVlaXuqcLcKnTmEsvFuzquNsT693pmDxFRa6Yii
luVSFeJC+JImydFp4nurLV8uj8ra443zkBCeqrrGAnWK+cfIsl1fn2ChJd/q8Zy9+GBkjIOws5C+
FpYcQk/ACGXI78To9f5syfvEU/spiezD1MmteVj7HCPdInNHoTXKFVZm9R0AGhzz9Fgrerw8Witr
yGz0U4u0JB4aFVqj3R/yvoH/a1W3G7WUlc3C7PRbNhz94hwcMSf/4okVgJfi54vcqfTj8uuvjI6p
oZJU8MJtFEKgbH4hH91b5MGZxv3lh7N/E88zS9Vs8au07Jy65dEd4VaODKCV0TF1+gbea0o0KDOy
+nc2Wj25HRfchn2axM5dNNVNs0t6Yr2wcZ4+nZLk7m0X8+qtn7vkc+698cdYchJ6XRZ/K7gWn7qO
8x1kBQcV0JoVcHOGn/ANRAbpPYhQ03MBC9XnqZbVnSJMfFQ4AA9tyiBZDpv3Qwu7l2AYWvFXbLfe
lxeDgtcXicwCKDG5r+BBs68qR3/L19RJE5/nZfk4qU7vqK2BwW3ycicVEGjcoWmY2In+yhwq9nas
mr1gE8r1em6He67i7BgBrAGPkWg+jjYOS1Bma3WvQVt+JW2n73rpVjdzO9K9BF3wdwrlZ5yiVUV+
6ZnWT8rLrNhvtNPdAP3R3swiL26bhbR7CL26f02LjJ6yynMOldNDXFGBhRUOdle8lfnYhAxQTuq7
SV5qH/K4+YvrWTWYg1H8Lev6HBJ0sdM8LVHC9oLUzu9clrBIGgv+Mk0Sny8KJX0Xavs70aTdwXbS
8m4eyjhgdTL8gktt+2YPPQiBCmWxH3ymbF+3o5jvs972insS1c2zVyWPDo8amB6VduBNorynGRcQ
XHUbuPNxvcu7mh1cYeUP+FuxG2XKA5HUyd7rbCvQcZwFdU27wINX1T1MbiEttlRuEQi3cYOpaZd9
2tvtBxPE+dbp/gTOVfOuGMA9TJoefTkWkQQmJguDNx6sURvHxkyq2PPhES1uZ4s5vuuMkQ9kQnQX
JXq5L+sqeocWaXSsqnq58xCMR0gXzBCFFclNKwa283SFjvVQ2X81LG2+xzMWUSMt+bbUszw46TI9
QVST/gULTe+XXJLxwy2xPKyYJL8sNybBDAOUOcBFwAuqhc5/EymDyGq7QFKnWPZ1wuX9wPEvpg6K
sUvmp6N8y+fCHxfvBzhwSZAOcbFvUrhMNgKYnax+BQamOFQlK/etAAUXX8sOrE/avZtr+2cHQMVe
5dnwbXRr72EgqAx4WdEcUeJ278C/1Ps6H9y9m9RozTnleFRu3/hc9zlImeWQ3mTpkj14UcwOkbLG
QxzF1buWeOckQ70/WFgLMqoFc8MZ9liPidVDcR16JU+FXUHhX1TsiXnRsIeu/+jnAgLth6EmZMdz
y/0b6hoiUIjKGl15a/BrPo93tJqXj3jANBEQx58dqNMc7SGJQg0fvMDikfu42K77ypeyvWlZSY6N
SFF5HhJYvCdjK3eRLfujk/yPszNZkhTnlvATYSYkEGgLxJzznL3BqrqqQIAEYkZPfz16VZe/IsOs
dt1p3UQEIOnoyP1zMWwXy0isW9zBhjQViGhjlfAAflMvJXxbNgqRrXB0Qy7XdLKCKxhIEauoZEdY
6OGdbVhGE1HSMvE7/K85AJFA7uOlPhuyY43+4ZZIRndA8euEI7R7V0k2fpNBUZcJwLPVPx14FCde
6vopD1W3M6TO3/kimu8Y1nUs2szEwutcL1qywCADoWwcvm01ELv5UkLKRxyvvq9MJV3kiM0g/4C7
aU9Fg3sTg3pCbMxdeK1iZUr9OCKyt9pwv+yqSFDuJoiKnd8qf1S3oyB451tGliewIfmuKLTzbKkH
rtZCCfGRKgt4auT7XvdZ5W36jzNX8zFtMmvikhl7P7V5OEeITBUPGBqQdHte0WOm8ari0GAPsPeB
0JqiuVna6ZjqDoEKoT/6d9OE+amW1gb7KlByuG+IHSI4IUt30zlafsurPosN0AGo9a0zulHfjk2d
tEWjNLZFLqwdA1Qdj4sekQ2sZ2C18M7IawiRS+vj+e+/lYhsQCxdZ+r5OLrsPs0k6hQtP2deXSPa
nXdcf1ohz3XFbx+gwiaVHQ5jTnZob0TbxaWANT5Vzy4qL4zba0qrS3XKqrHiBNXQ9R4aK/MoH70+
2GZl+1eCAZfxVcWI3gMxRYiElILLcGsKdgOdgITrl+do33QHx/r3XjpdOSS78EjWyhO3R6+mRtv5
ZMpnZL9vqHNf+e6V3f2FgmstPEFQOkOwU1OfSGnqXyHKu2PvUfPs1T0ABoNzTWt26UesbllWDAtx
VYUNeIa46VB9DuU/gxpfvi68Ll19VWFznE9mWWb1SVF/Y6Zu2rptG0SW5vmV+/RnKRU6CKuyug/G
sYF1oD5JHMEcc9oq9Kvz5m0SULRJzD83YF0A8oSejMzMDWjn2b6xY79R5ZTdl7aUd3qQ1/aIFx7b
WrKCxwSmAAQMMHxALQRAQwdsCFjb/SvARg9f31T6X4fhD2N1LVVxWkBGxtptTy0WwOdlmILbqTdp
G/cTmnVWjRPkMgYNtbwaYNBBfq34NHNKn1kJfDfAD+Pwrec1yPUlX/Rdq7GHywBcfPJy7LoSt1zY
N6D0Q4WBj8yfqG1aT8HqE9Rx2BQ2Vj7IMzql2LAyL3yt+DKksSe0f8iI1703nbf0SUjR2UFIumrS
aJ56gmLCF90GPZnBjxRL9cPguPOj7woZ54ZJJ6I4FEqKbp4/GmFCsnFaFb6zeVo2zcjTDWGzA4Vf
63yrrB/+41qkduPooGrfQhbWS4zT5OW5qf0+WebCoq1IDICSRbAHRd+7HcdKn0qdNfcDqPQxEB4A
fFM6FHNSDL0vNkjOAhugpQJfvSbOkORD67zn5MwNaLTT7zq/rmLpZWWdAGSalxHYu+kjcfwUt5z3
r65a3BfI3KeIUIAAaFg89EHj7Sn8bHFVh/QHU47ItkZLqEcdt3mePbLcNwVp94pqVE7SHieLVVBV
IdRg/dAf0SAVB+1X6GVI2UbIpXEj0jfjFpbFGbE9NqCJHQr10Hp+kdQhQjVTRzo7lVJoWkrfue39
1iQtmerPcrT51i4SJzZM5dshcPW27JxvOIiGX5Cz1I/ycS5BSbBGRzk817FA2DHoWyLDAfqs2QO4
T/oE63LzUboA6sQago0HF1JjmZh2Du+HlkJi1uROdrfkEw1iiMFw41DEndB3M3dQVbUIUZ71TZcb
DYSBhwk6Hru6OqNaJ/fVOooe/DTD/FYucKr/qGXnHztaAhCNJiq64UUweLEROv1YJoDDQyjoYy/0
TOwspEqcRrjYpYiM3JHZE/j8adlX2CK8gNQ97cucng9RvO7Yito9UbuADKLK7pTLunomCy+27UQQ
G2EqL3ZE3e1zBg9innrFfTDNWcznsT1iWzeAv2uaxPeb4NbzKN01tdPHi3S8e7jxUr1d8F+feprZ
mDo+vZ0ahjpGz96eT6SNR1EWH4iyR/pPmDabftZ5xIaMPWo8XzVRem8mvKZRv3RgnlWk4acM6/9N
PqflpuWt969qRu9WkYFsMoteWtm1/BMtymK/tMDpihQVUBSCOHhHu9y5E8s46W2QKvm9yJGbWKL2
fHOC6RdwMuWuMQL7mnYMYgrE21bD6Hkr+2F+W0JR3deQgU9xNtn6GfwDgayuocMGZULbfu+n4Xgn
KzBpo4bVob/pwrDZ16Hbb6uF9QlZDGbiqkpfhyIddwWr6ITcMMfFRCLc5ocrTCmRAuGVew7lPUtw
WspegLXGMUtBq9ZEnijqF1Sett30fATdbnL78aYidvnIBMG/C89zYxe0sDsHQRNFVHHSyLimkIUi
tWwCHgu1tsbUmFU4viDB7H7/ehq+MNWv5T0hoDzjUiCdyzl/TZzYAGMTVVMV1/WVAuPSJ5z//ltJ
Ji3ex9R1xqOxvY9NpiExVeMRTJvXENE1V1bQCwXZWpaIU5y2aw0Kv0pNT34PDl/dP319i/5sHnXZ
GnyXV6Pw+wHtff4IKOW+i3i87aJDkaSfwPGYhD3aY3B0dnrznB/3fhGV7/MVuvGln7UqmLUBB7oe
uT7xvopb8qquegUuFDVrieJStJ2yOQ5elp485336CFzTbaX4r69v2oWu5FqkiHENA026NCfqVDsO
ykLquk9F02/aikWqnT4FuXaCfeke0f//gmEJEihhcY/6FoaapQUXx6m8cPv1D7mwo1hLhZaUkkCA
snXSeXV0XQYyGHvs6bKz9XejrmU9XLpdq/qvAiLC1WU9IVXYOzSe0hH6bO8tXe5NMT2VTD9kVVdf
OTK/8OjXR/4lNntY2m1+Oqu3PnvJ6XvW1lViOiytX9+1C7/nfwSKE3CQBMcjJ8xdT6Egt70j3jXt
d6otj4yZZ541u68/6jyP/KGMXGN/cliqG5lVy1FgB7aAywyMw2Ye/pVteqUpfekTzi/ebzOYC7kY
8aZ0PiIk/jhnCujQao/chydYn5Kvf8SFt2xNsHJJJYAw86EJL1Wc0Sqh0zHHibZlTaSLt68/xL30
4FcjpXCVw4yS5NR+sA9zZ1/K41TgvDoaPuZv3f1RfKJAJn+nPVgL4VoBO0Prku7UIXUICvS21pB/
jG64XcpMH90yQ5ZcgZBrEPbO0AzuXIVEX5gR2Go0NQXgda41ASoIfZSc7f3ymmfnwi1ca+TcjFEv
hzDkKPMPJs7D9B3115VF7NLFz6PptxcNDWk2mcHyI9XLi1z0z2WA9jkz6d+tJmuNHHw5aUvHMkDm
WtDv3JDx/WRYfeUU/MI7vFbGTUxno5MjBrcMeLODxrYEYspBU6q2DSx9TP5UMrjW6LlwKLvWyWkU
RgNOBPmRqzSqx3+XusM2aYmgT46Z7KLZMfFY/eUSs9bDZXzOQ/iK8hOE9W2ETnX+SQMbfPt6XF6Y
X+iqmVQLBcJ14c3H3PuxuBYiawAwoSEW9Xxlxr8wINYRpqUMJ9GAt3MawvKX8mCWm8cr55uXHsSq
ORIuM3qVxOD41BSxZ+kJ/fDHQVgc3pQvULQkwZhGU1j9/Lt7tRrafRAa7LzIfESWGY5ODBCoCE+v
z917d/v1R1y4Wf8j+1oIB9C8Xo6ccFT4UiY4bLqmUbx0hreWfS2hYgNge/o0et6wSe2CJKSxBcAl
n707m3VdIoyot41L+Zt2SwJYInYpLPI7J7/TAU68lB79CvunrH3v59Q7pAgSOnVFV3wM/qR/OFV4
LcLj0p1YvZjcQcZk0LnVCQ4+CcHRvHEq0V+5zRemizXrjqDPmY/U0SeRzfsMJxm1ciIYveO5dg91
U135mAuVyBp5hxCttNALGU4qd7fc1zu0VuN5yO7CvDh6ZHwjvrx2FH/pfq1eTl+XPUFXpzh1/odh
p0X/FRfQZWv8XTO2LFyCc5N2LA66Nq8zFfsxzH/81Ru/RuBZ4vK5mCXOiqUHCVz4Qkn36+tL/1nU
j69+fvy/rWmhH3QhIiHCIz2fW2WIso4zH++vdmS3R29H7pvUGSKwaPXJ00u6acrZ/7vCzV19NmEK
QZozLqym82kGGAIRousfChekfFXYK4XOpTeM//9f2Lr12EpfNacavQc910tEx4MCdrVCtLcO1VHO
V/QLF+qD/+q63+4lTjZSV1psRO2IeJPiySB2tMqfv35Sly5+fql/u3g4MKtYEWI8luUQp4YjtNNr
nxZ7jbhyvh//U6jTYF2VtQ5amZ1Nw+MUjkcnLF7yYv5nKdJjkdfX1Kd//BE0WJdnfeMy6E9peJTF
oag/dPXTOvrKInrp2qvqjCxZiEQ3RI+Moz1QDm0NT7dteE1zf+H2rIuz2RidB3xcIH3JvjcEAQJN
D+2pSYuPbgwOXz/kS2FG6yKNMSt7P2hAAHWR75XO9Tao21e3rt/ZgM5yNd/zYnphbGkjh/hTpHX+
gG17H8nsWmLTHyd+PKPz/f3tRRP53BnWetUJiXJylzvlkMCfpe97v3GSXATuzu3D6kpJ/ccpGR+2
eqsHnLUvrQYhv3DC8RYIPhuff9zL17fz0tVXC6TiudbDwMBfdj/H7lmbn3933dVGbbCZglKhSnFa
xukdmkDY0Qr027+++qUXeVWyjSItjLO0wykUfWejFPEKUTc46a311HJlNrl0Z1ZLocNxNhJ62XxC
Qnx96Mdm3DmWtz++/gUXrr4u0Zy0rQ2F5uHEB79/EN04HMY56//y6quB3juggVBN06M3IstRqvEO
MeR58vVXv3Dz12tSWAHCHoqgBP4ozBOrU36wGZkSCyDIFQvapY9YLUiVnFIcKjTpEQeUsZBBEsol
ya7ZNS8M3/Ui5HuGazLwEq4IKiKmwZlXeY7j0EZ/z3AmGrOroViXfsj58f82U0w4wQOpccYKEe6s
4JiR7EaJ8cpceOnqq8E7Vx6rcGhcnpARGU/LrkGVrYPmb2oPGvxPeVuG2Ee4xXCai3/Ay4lo+X2g
2K6IK/uuS0NgNYhtM7s4xRETToxLk/iCV6+pE+hr8+aF1ei/cu63W8+WPvCWGiEahdFx0YNTYO7p
nEbetUF24e6vS1pDpcAZx5Ae1VR8Ui0OUJu9QNH38+thduH2rEvaBvcm6xyRHlk7ZTeDIQhFMuJv
6jAarGtanJgCV0xAJ8BhxhHKum+y8o5addfUJRdu/hrqPHEHcLoZ8ShSvEN3jsXyUObARWS7r2/O
hSG8ZjnzPAuCMsvFsamqGp6C4s6FKEr0OJmBLNCpnZevP+fSQzj//beXaIB+SKIQBDUfAqwYPBP6
SHoqr4ywS2/QavwaB/0mracBrMIyqUbYR5qfXH18/dUvPYLVCoyAmpIGReedHEZxVv1jFtAK5B8l
YpG//oDzYvKHanhNb+4znxfCwdyGkA4JaEMnnqB9HONRs9RBAkjWPyCFpesh3rPXtpGXnsdqUR7r
wGtKA4GJ8Zed8JoH0qR/NR0hw3j1qENa6xx5uEfjcQs6bAjA8vBXHRnK1zjnOi+LvklR1TtleLsM
zQcdrjEC/nxL+JqabAYYuiwwvafaCHrTOlLEbVanV1qif35FuVivxA288xDShHA3dWfBStzjiHwa
r8U//Xkc8zUzGWkepuzzHnvrpv634T9ndStdhNC4CiHNwd/FD/M1NtnhyEQpB3yKaV0sw8Wzbqad
NfzKZPrnkcbXnOSCDmQm4jwQnGeaSfgjkCWEyMjxmsLt0geshjIE/9o1xE+Psv3uIMd623jOqZic
OxyAXgsUvPSgV6txZrIun3w8aDKqzWTJviPvzaTir+eKS1dfjVsE18xemzm4OgybXrsJjYh4e+Xi
F0bAGo2s3A6pMiMGF7IoTbRU3feR9T+//uJ/bA5TvgYfp1CcVIC8h0ck5gBXIXgcGoQtIvfjMDK0
eoL0JmVaRfDWXsETXbhVaxbyhOQbEoQacJxsSMIF9XvnswQOwytHKP/V6f87b/NwNaSDqSktbJzz
qagdu2ttiN2NlOZVF9ZNpr4robjR3bbvUHb4SNJ5xXYXgfAiV7uKuiJp/Ym7kbd07h5CkmkzVEBM
ommRXiseLj3P8535bdGlIaihLjbCcMTVPwJOVBmlhRv++PqJXrq/50/97eqV6Ur0m2txzKGrd+d/
5Pjh2Ctr7qVrrxZ0OadM1NC2nBbHpdGsxXcOLEeNe/h33301EVQjg+brjDUJeAlR0lvZvJT9lffu
wlQcriaAcZxVWS+oNykE14iV3M7DCTbiqFuajbmWo3Pp0a7mAaSxT4XMUhS1YngtCTmRuryi0rnw
/dc+SgD8WpVBa3Z0Oud9FMsvSlVAoqV1hxt3gF6rzK9CLi5MyGtDJaLG3KaaGlD6ivyB9nrfZvzk
BOq+CK5RAS59xPln/vaaupgH5qwgWBmH1EadzNOoEsqPXETKptJPvn6hLjyPdZw9YtB8eKXxQ1zu
batZ7ZDfc2VVvHTp1ShuXRvkDC2CYzs0PJpbKzfa7b5//b0vDLS15VGEbtCJEauVGbMEDYJjoPjT
bP8O6c+D1ThzWJa2LkdQaLpUD07uxGmL7ZFB+MW1T7j0tq5GW00oazVb3FMaylORDiwpJi+xLcSG
iukmmXG4dmV5dMP/3Ht/mPKD1bDT6LazxjYWEqCWbqhM/ReGZvZhSk2zo3XV/urgaP7A+Mlfh6UL
d4pJUJFCOBe3GuF37xqpMJsKQYE6Cknr/DPrUu7EPOdPpivY24icLyQ1T/0eMMX8oeNhdsNTNcRB
W4WnFufqt8bz+IGB85+QGjTxUvnLA51bucPyqhNCRhfaVlFn27pf1CasXPenKYXaULognbBs6yQT
zfA5IFRsiUdoa79JNZQvlI91H43Ynp2WgqcgcbPhIXVy+a8mMui3+M+9JPdgMulb8AQCuHV+TQAL
vpneYVutZfsu0JB5QH4n1DGm9w/AGdpHxw0mEfdktodplI4EVyUjB1Kl031Z2BpWgy79IZwu24oy
z5Kmz/MP5Jl131snIDeShyPklOVUlFskxo9AkOMIcq44tFcNSLLcIfNjNTrpu62hg3Sw10eKYS+f
Ari2mqjIciCGmA98s5EDKhoplgWWpJLB6sWRY+l0zV0z52qD7Sm1EUbwMhzxw20Kt5hL6qQAuXqT
e9MU9al2To2/kGfl1xK3OEz9m6Dr3eMYgMNVBn74Mnh1wTZBU2eg00nYiqQMgy1GWKW3pGiCx9qj
C9sgtAq2JY924Z2bdjSMEWxYRvCxja+c1PZ54sZJgj518TpkZgup+rAtTHe2m9ni6Jh6PNQ4qTzO
Uo4b+PX1BrbJs0i8b5MwpwicHPtxTxtrjkTX7YGGA92oufcf09D0H0NIccTaEEX30Ei1kUX24x71
CI/6mnU6wgsrHmfSzU8wt0NdTKnzDm5vutNzSLdhQDXCpLS3W2Z4Ox01hpFc7PzDD/P2RiH+8w2o
lOqWtMokWEbM/dwHy0dajzoeW5weuBMbtzlDpD3EjAw4SrzTtdHhZgz9Om56o34G6Fs+QA/uJ1hu
hhuYtTQAFjJNkDt6Jjql2BbU3niPbONhS8taIh5qrJ9dDqpegNgepAagu3+bdXX4ns1uvfXbUj4A
Mt/CKEjdJOwYXGTlDL3m4lQxnAFi0zO3f/PGpYZceILOnoTVJhskbjoZxk2Q4yrIWYFuGE/i1hLm
3vDOnbaDJ0I8uoVvvZxXG0agzC0aP70zOH+Kcs+tYP6CJ1qosvnHa89C46rRN1JqD4OxUzd+64WP
dkrlrdukc9x5efBBFneKieuQx4mqNqkUQVwrLAPscW4quud14O7JjDezdEd7p0Y0JOaM598tIjZ3
ovLSnRNS6CuZ17+5bPlskLp58EEh3HVLR/Zzv3gRJXa+dUJkZkYMDtItYvmqfZDO3kfYD3ZTk7Zw
o9ppoWvqIUdoUEDHxWJwQC4WnyekLH8RTtWp6lrxg4LTAYcr7KNgr2SAj0gxvuHM8y21sMoGHigs
fl/u/aUmyG91Jv+tyKbshy2zOpa6mpdjxXl3HAYfESxnMbXTlvY5RAx4EwsxpdtJseqBekXzVA4l
6Ed03JI8qJ9MPahjbwP2PpWcyLgaBwa5flXDXinYXeDDgVkxA1G522afUBsS+M2aALNdMQZwnIVN
QqwL9I0RLMnq+nNSpXPoSGHfYJlQL1k91qC+V/kn4k9HFuNkIf8mZmq9fVeM5V0GJudOL5mCSaCt
6ufFLaqDgPA/Ui6yrLwJbdjNxP10V83+hPyRpfvGhhkKXtk79R3UsP0Jg0z89NvciZA/5G4Q04nf
SyYedUrN8TSWfjwHcCfKQbv7SU4sgf+WnkLWogVeqNSJZF+Q7Qy1gbf10yDbSVU1bdT18P3GVZDL
2ANbelelvLhPAyTfzF2LG+mm7oY2vEFyrOsel2yWsNswg9dX5PeZ54fP1jrN8zSo5RWss3BHQEG/
CcN5TrxQB9j398vODwGWicUZ8CNZJ98t5PgJ18LbWYj9IFXvxlO/1PrVjk0IAT++fZW6NOaYdEBG
FP4ry5h5Ukvdb6Qh/fdMO2gtTGWVweaQP/Ya2eItrYdd2zhYSXNLhqS1CO3y3cHZsLDoPvjE8gf4
MrxdBiBq0gXeGJeOU8YZGdQtDmv77ZS3+c2ixvGHaWp9F2Li38o6rP6poLM5BUPhFTHOXtit47nO
YSxYvcdrgTck9NVBQYW5nZCpvVEGSS5+Ow0R6DphbPCYenC+VLgF/oi81sgZk1EDk/jjAJTNEhei
cX506GvcGpGW9/5kzrG2nr2Tk8reKqTgfEhSFQjDbMpbIDL4LuxDlkxzao7wdcMEbY3C/N1CqQBl
0DF35SSgjqHyJXAYrPQ89R4V3FMRIheq54VkQPVk4wDTugBr6F2Hs3us0aNGzm5Z7phSxTsAkhUm
Zh9RzwvvHqoh4Ag9YyxOfSCJTGibXWdk86rNMGxF2JRv3lL822kgV5MxCJYbr8azCoDyekExgSEP
IYI8LGyaDh6Cfz14VbtSxG42IPjZx9Rqnxh2Wp9kBuFqU1US1mPaPNmguaukiDSG+FhhWiyhb50X
Lw1hl8mZe+8rQN03FKoNhKhl+k0EpD1S5WBotVrtWQDLexS0sh5iNUue3cJUk7fx4LBx3HaYHvfQ
FY0UXl+svnbQNVznJVHPRLngLc1AaI5F5T7XJQWYdWbYGij0I5jRczTCoORsnCXlj7Z2yQbTFkhP
7jT9ImHXbBAfNZt7uPNxJj5xC+9+ikNqX7Q/QusbG2UKyT8uWFuw9bs587CyFYIkLeqfD+P0zasr
fCUiU1IFJtU4xCPeFhXNnKZF7C5e9slTLACscX8ZGEOel1ELyBjSATCPtiSMxtPkI0s5AJYvMkUd
bp20muMh9Kdb5jnDDlMhkpPrcDyMNXCZSPT2GigjRT/EbuNkn74jypOmHtkoYqYx5phKIx+FmpMo
zjAlLkGAaM1g2CHs1t6PYS1evWAhJ7SqGXKz4OxvMBR+IPqujJbFjIkdDSKNAXoA8wrRijs7S2Ig
mEttnjQS24Bo9BA6DkqAMz/4mRy3M3xup65iOFICfmlTcltCDSzr46B4iaBplpX3PMxhg4RO4cUb
kS4e5XPr3DEnq8HfMwWme9Y79FWBbfZrcPziGxFgbsSBhR1KWtTLhcKZtktMtR97+MqaPtQPczBV
u9Snw0s78vZRFVhAqrlkCYWEJkAmAkdMUyVyG0a9IfYFQCyEeSMJqaoiOLpHflSICgJ8gVavnVFF
krUFpRudLuo+5CRlieaK3gfK45iKeDUxKPuU8061hZ9Ry5r9ygJmT2xuzR1UHThLk9xuJtiIkYvu
Fio2/OyWU9qkvzyzdHHTpv4/Q69gxplBENFewJ77kM53ZX82xWWL9RCenTXpj44Ejr8vcakC5eWZ
vQMFTK/jsKv6rcPNvmiMB1BwkKFxCPvVDnyB8uRwzZF+OJdka6UQSHqidH7oFIRF2YTdLA9bm0zd
gKB3MS42LibrmlgzhWJmnqV+JkMmN4Ox5t7OUzBEvUWodqQab34E+dpuuT63tBxhi3Np7+Af20FG
gCkilQSqxo3bdSia6hY1fmvQKKmmmcJYb8pjizVWxaUZMMNJeP157PG0fqpSMuqonfCNa9RpB4DY
sMNEvtYBZv70JOWATc7YpwfD4DaKROWQzexSdeigbdsYX+tbho3ZEbfXjUHEcbcjRFuQwLjFXTvX
6W44oxG6s8AKxQsxN63rlvEseuj9BeJ+gQUy/0wcYq9DuDjt1lGyfjShoJsuG/hN4WO9gOZheQjy
rn/QrB141MIlikTTYrpHQJtt47krlj3QG5zgLBtR9g7PzSuxDYsD18ngLR7Uq1P1/NZjDShBpq7N
rhClv2VygOWsRwkSaSg14pb6xS7VOTl6iN1FYKVon0jm1P9YFNn7+qwRG/lYqQgVWAVAXFrBirbA
hJ2Utc1jvyHTJ1yMwYdpTAk4jA+CSQaZPugXGLjbmrkEuswq+LecNGIciqrs4rxCIjhqu/wmlG22
cRToF5AnwX4TS9vjD2WXvRJu1Q38j9lPZMwTgO1Ss6uschGxBTRdCdtj4ls8JLQ+84e56G2xmZrM
30rqIEKd13IHm5x/IxZVYdxU4PXBeYWNZ+UeM+IbGVM21q95V5rvM5JTPlUo/W/4/pAVVmFD3+YU
7FrEcToIXafqvS0zMkYUDYOtqc2QUKLF3iv9/oM3cNqAZG1fWjInwtplioa264cA2zrAHw5drvRT
zVAnJZ0qpEYXiYwCRsi0SXJeLFvg5GyKmtg9f6na1gm2eHBt5qJRe4mV4F6HXfhIWiNOkGNM4TYL
s/qmDaZu0y9pAFAKgtZw/OoU8hOJT2G5M2ONXYycGuy6GHBmDcLIpARKgvAixA5ejLEIJEHhOqi3
CiSFb8BcFOOGLqUf3MtGqfaZSqiSPnOcZOWbAptmGRNl7BukAvQETg3dB1YYuDEwz+s2QyBe5s3o
nDzzOkxhm4HDHfajRia10O4hpS6wExVuAhDsZmq+47RAR1QP/YcfFF4ylYN3QCXWNTGbtHkpxgIm
St9ZDJAvOHN5tcb18yQbfIZ+SC3coz8xcGNya/m+GxVmhAzb0W0v0n+pLfUDapU2ypAvSJMzQj+I
jaxmL8nS/YD9AQCLAZ2a2Hoh+DQNM+CtiFrmoJA0cGA66Gr9TKdm2k5DDT82WiF6JwqgXfoJ+Zsh
64HSTVWO30bFgTl2+p6FIQydS1vGI27iExULeTEVT5O+9xgmIeBqT5Bbs2hQNekiw9PuMPa9vltK
XoANo8sthFrOB2AD81GgRjtWRGQ3wQRUR6RJTbZAchTJoHq5n0JH7QLjl7f16KLZglY60Del5+08
BoPnIuzRotqO0APCQWFW27sKe6OETSgAoyoj7t5zFoW3EfsimKYHDYu1UHzDs6rdOQ7c8nnP5Tbl
cr6dhwV0GaWD2LVjvRGIlrltKp1hKxCIXee1YwRh9/RpgJJELbeUW6rc5iGdgh7P1xZqgzn7uc6w
VaKinJ6DElY+5g3e3kuHJU7LPkQ2eR3etyKlh4GCHAFGlJdCldrPmwbI4GOIIdyjWu7Ft8XHMI1M
M4Q3jZOKvW6HAdlpEEGZfpQvctb22/9xdl7NjWrdFv1FVJE24RUJSZZkObfb/UJ1MjnHza+/Q+ep
P65lVfm16xyEgZ3WmnNMto/Z90QZBsjTLOHrfiZjzRNDNp20TClmduCUMeLesu7ytE+OSt82x5LG
ISs09aPNzMH0oS/a/q87Kprj2bZq/44LaFjewMl6rZSu2q2sQDAr1xyRWtvRfCbiNzfKbgMNk4Io
cNErWU6dCx4S1NI49wM1I6DOQslAb4esIXC2xnoI3WEjEseizmjE5BaTnsTpEeN9NJXhdxUG3gOj
KTx7EuKjnZrhupyFyV5T9r5+PpZ56MuyyUO4EKw5bOr7FiZERF8Ms+fKSPXwjT2U6iObw6sjp3rv
JuB5G6WYdnXRVCfLMccHm0iuLWGv+qGxo+qYGmn+yw05OQHDcLaARTBzjckUbCkl2jfTVOieoWbj
myYNubWtYIRFZZTJCbOGekg0rX20ola8RGmqrbMwN6JVn6rmno2gelMpA/dvD/V2yKm0Noq0jpTW
AVRnGBgcTkAs+Gq/C2oM5l6SRCihQ7p7rBRVxq5Asf64U8LKGRQ5C5teNvqz2tWasxvzwNnl1eT4
DQgk1w+6ap68JnQSaiB2WjrnU103rDghu37UT9OR4dptQeLDYYRB70kxzu9tY0bbGQ7ryQlN3pit
68OxwSPyWPROA7lxovmeKgF70kAZp0PGGalYtTWHQSp/5l+tQHVLMQ2oUyAMcafoNC2VsbUJZhI2
ogCSlMIfRjbET0OldQJgfDXoa6GFDSmf1ti/206WPFMXs2+nsDVHwBFxcZd2NmmzoFTvCri4a16T
uB80iAKEI1XvYe+mj04ddeuu53RDf9SsfGdwCMI0s9pXSVghdddVj4ZeObup1OtNmeX6popLjkK4
n6iFgph4Ddq42bHLKe8DJlLfQTCy69sq/JMlxM6X7eCc5mCatoFl1DdGURfPen8GPLT0XL4D6qqA
4EH5gjBi7DorbbbVEKvH3lGnnYmoQ3qRS7fZYTl+V0wdwEImG6taI+HW74PJyXdqH7NjkwUneGAI
kcIt5HrthYmigRNFStwaWrY1eai3E9KR3ouKKMm8snLCU6O40Tqw43bDjlB/q4sqGNZh6xqc4Wp0
Bkk1P85GTvwkmZG0cxW++C2YuTjYYvZPfzvsofZOltump4aOPFYzRbEVlDRrMwp0s8mUzz/LqUk1
ZGxWsx0GoX8Lxqny517vx3XVt87KYtQ/DhMh3RAG1J9qAeDsfDsrBSzFMahN1XNJ1tkRDpfeBmCh
14qWuH/STnlX1QbKFvHVL1Unsg24heo7RjT9ralFdWdUk/zRGwmVWQdsSDtE1UvJJsMviG9fq1G5
ZhFbq0SEjjtHjsp2MoVl7oax1L9ZtTXNHij2Sj6Q9U49tsMl4WnWRFFe0BF4sc97s1AJsz2bBMeH
i5mtRwUUVyd6ZaUBAOOTjsFNcNaen3tSiLxUEeovdZjdG33Wsoeib5ojpYvi3Ct3NhzF3F0fsD+r
YgrqKevYtsz7c7hLnu8jTnnjCv2NuRVRXm6HWfs124H9WOI5YvXjr0lDqnVTm6d/xFBGx456GsEh
WvusNvAW+zC3WPaCHmAhuNaWRqDnzh07gbJajxbHoLlwhlVkUXLVSBl6o2Wb3CoG07UxhRNYPGkf
dKxxft2l8c8i06gt0NO4xTXLPJ8iqeINxjgwJC0VwB+lWfgDphagd5nxyMQQbGahlOxdjeLWkQFe
/ZB94JOuhIjU2Dhty7SYb7IRRhdHMU4eU9KyxaYObuAE38YwVp5CBABrdh0sq72M/ShQQC12iu2u
aIDUJ9FH+Q+yzxJPjwQD2AWhpZszG6JwTH1jirWVXp3L9/X06mr2OepCTbmyzF+nMmrvZF5pz9os
XodGCfygCcNX8Obvk6pIL6mHXKxjR4MYmJpiTRP+3ZDF+AdGBwW5aRRUmt3eT8c0kr4Jw43nQWFO
9WZTpdLr2u3GyVzn+1zm83MlozxcQfRLOcgZieslljv5kYHzw4Sb6OcR06VtU4YGsDHfDKkyHUMk
j49mKBn+XZc+pkNUb/RAdW56dilwgniuaucEd3HTlG/BNM7bEPf6FuB/vTL7OFsPJBd59VDNXs6u
pMCw2YuNrdnWJpKU/thwpqeJbaALOy5ENBjYim82hgutTddXeNDcnVH3Krzq1vFtq0eIkZs43hpp
fBfxOPnZXLrH1Jxz35qD/qEZG7x2IOIosihAk+rOPaGKaH0cqc067YpyzXa13wYdmdDeENqdFwTO
/I09oThZSaq9E6rpUm21JsiAQnaeErrFSsXdjpFp/BWFnN+8ssvEixapTyQJZ63fFGn/7ipGv9KB
h2xiW6tOnU7FPrGS6tWUkb2Xcy99AatqTWTI+fPidDLFFfEDeeqAelBHT1NYo8wijn9kcHXXBKGZ
mxTgJjCQputvXBmUW3jghq9QT3qLY1PdhUo0bOhKc1AKmyo6BphWjx11UC8CD7uxne6NOYhCQVC6
6zyvuucsdcVmoFixC01LPODQMfhDbPouqWJoDWQ8KqTbiS7AedquAHYEiar/RpCnfVfaQLsLOElt
S8xdXtAPZLfMNGrinKxW4CWNR/eoWZMjL9aTpNOZROP3zKrmNTsdrjqU6aZQUnXfpmN1o+u2vcqp
bW8TMDdrd4i71aSU+TrInX4XaXz1U0GJwJPswx8dpUq3ah8Fh2ksx/XkzsW+TDlKimR0bwJzZifd
JekzlKNftGAKf8yz2Hc7M6QMT8VUGWN1O80Dr3VKUjCM7KxOfKGA/NiI3MiMUG0qP3If9BEsNnp0
a9lxPs2DpOcrNof7JiyGLfsLx2Zsm/W6DoOMSDQrkBBGm2gXNHG3PyMmh+KuQF1uY+V2ul+Yr5kq
ilFqXi8Ke48Pu91O4RCf7f6tuEdIjIk5bkuBRnNs/1QU+u+EkTTDU0SBNfRiB7TOJAcGpgpdbWOm
WvFTM6UJ0KHT7vSsi/etjXRpNfYpnao46eyQqrZCChJ9HQeAoQRy6E3aQO+s6qlmRmGRr0Su5SDt
2Z/4aSW07447zLduPpsd8Lna2hTjrK9tALPrPGJGJNWhsjZKUbU/9VrJNkjpkzX8smxdsT18HdtZ
IHSq3eQn2Y/lAAy3yg0foGj3G0NLOeOPU4eDm+jx3jIs6wcAtGIf2sX0u6PFBWUlLKxbuwm1ezdi
U0mlUrvV29Lke44Sj4P+bUzQ1q0LCP92aPm/PYfGmYBMmsNnMml4A0Rywm3RaVnuG2HR7oyWHG6P
HlVy0yhp4sdtGt1MVTX/aCPZTytgnUAJwC39HDJ7fIWqO53GOjQ3SmYBnuTw4ZmQG2/rbGhOuQEh
zYp180nLTEVdF/3Yn0Gg05rh3m3ronWPWZLLh2nuXF+EUm61MiLRJapzCpZtlG7mtuN8zuxEibbS
2f9n+YkKXuQDhQXdZKtGuIr6bvjZKzauVV1PVQpjE+PCNYvgh9lWhp8McbglxjXeEC/cPeQaqXAl
9ZKV3ctwTwG9eFCnUCOfs9Y3IRTUJzsMp2c7LsRWBY5/W/12NKV/RoNPaFzU6g0uhcqoylPfTn3v
JXx+K3Ok1OqN1CK/Cxnw6fR2erT11OZ2ZbABHCmPaZJyelP7RpxUa6h+0fbWJ44YuvXGRqczPVhb
xrDudLuLwM6mlDpapcmOlMRFclS7qERvNPc0kM1xeACaTc3AEoblj6mWZn4cDP3O6ozMd4weHpZj
TuH3oBbKJqhE6myGMVeOk8648bRCK35EUGHei0yNZ6RkInjl7JOuUQVpN8KuIyw9Te5LZAGch2ZT
0nQ2u2lVOc65M99HvjA5ELENne4Cl7v3zJCQciGT+daBB/InjhRlVaaD4g8axr1VoSbTXSr1+VFT
p+iH4xTzdgbiqMOYmrKVlLQwmSXi/lRjwDtII3pz5iLdTq7I/vZ9m+4pMfUvem+IVWcolG26kii0
Tozfq7jg+wBw8D4y7l4qevwGbNO027kROwRoefadO8bGbW6Cy566tn1XJzXF7JZVGyXm/pCipIpH
nf7sfhszeKJtPdoG53SZaZxS8/nUZBEHvphVcN3H6HW2mWJErWenNpuyQFVVXwiAjfTh8+rZ7dlO
e72t0yaJ3boQvojUbhO1NFDc2e78jlPfvpcYwLw0Udw/dmTlT1mH1cPr2q5+nMtiaDmCy8pZFWYP
EC+K5K7TwOuVBCDd5ylhB6ucEsBvm+w5bd9JGGG1rFtfcoKg0asMRgG8lDg3Cli2i+xDY4mskpyG
Fwodd0UlK3yYTU6+8WDIY0cr4i11HPFs12Z2y6apeyTjN9vVMs3XXUGbwoFDR3Gn0bedw3l65P3c
F4WW+6zr4GqFET7UMhjv7XG8taryb9QW2qkWAjBdOtAJJ6dw23BS8VRp5v5U8pV6yTm/Whix9j7S
5L+pgwgeNAvjWqRdvqUcXG7CcHQPMp45ZDuW8IEbqJ5liJa6jlW+M9qSey13x00diPFeH+f4hpKO
fU9siFg1fRKt67qkdqA3HTXyfgp8OkZyJ8GeeCOH0m+mY2V3QnXMk2t02pE2T7SyeEG+0fPY6mEe
141EBtEaRXtsWt18MIzQfOdsXe6qvOlaVCmjujX7gNqUoQf6w6jpyebcgx7QdaR4YHXOIHREbeq2
oKBX2hRnvqrwbSYdFajSSqtbraQc3kfUdNb4AoMd33RyKK0GkKAhoGhlpIOFWAYatvSF3QS6H0Ze
e6LqETWFFF7PuXhv09Cjv8SqO9TUzM3ImE60P3pvDLvkjUyVaVzBRsh/FWnxLrOg2qZxZPllwhf0
uXLugq5wyadP7bTObCfXiGNCOpMXqtggMjgmCrkcwxh8Tai65NSbeQDaEOXGwaJsCCyL8epStM/S
58//igv6v/+Ebv+oI5tW47zp1vIQVy7GeCV3ShRUuvMegSv0P/+NCwLGJatezqi/ykEfDkPKaeiB
Gffz615wMFvLJHqOFKnmTI6yr5Nun3Qpx9AkIl5TB5JdrZO43k+JQQFo2BqIxbTIumnQ1CnVFe3k
pb/r/O//PDs3bGcmN4EAOn9p7KcKMffnf9ill7JQP+ehw6kNf87BzOiY1F6v/LHQ+X9+8Uvf7UKS
SY0s7ZhIMRRLHGtas1JEyrh9grn6+Q9cuvuFIrNSWBjGMA4Pg0w5Uu7iASAkKrHPr37p9hcKTChI
ltrRPD7MdPrMUA/WnEo3wqI3rqrkSn3pV5ZZRNLV5koNo/CA1pG9zkk1ql3QCi8W85Xp48LHs8wj
Ct3G7Hmp4yEFtB2af4qwWX9+75euvBA8U3eNQEp27l5N8m1ppL46NS+fX/pjp5olzi/lny++1Dtk
UKE4n4bqE+rDv21oQjefco7CeuOupDO8KnN4bRxceNfi/IX983Na1dLHC+buYGlvIrzXNWfVJo9l
o1x5y5ee1Pnf/7l+x6nEVYCPHuhwdLdhXboHrXbiX58/rEtXX4zivhlLhIA1bpoh2ae9c5dR0Pra
pRdjeEKKFtPNcvdidgIvqXylsNMr174wfMVi+EqOuITcoZcHf0rPyBh3Ld0eX03z+89v/tIPLEZw
1g0U9eiJH/qiOhkxBwWMoX8hW799fv0LTqMlsppwXzEF7ZSjOZfRegxK4y5Uz1sK6N3G1s6q/qGn
j/AAi8y5ncux6L42NS0p1hYRJ8NsYSpxZI9TVFdOIxuPVTqez8Fmc5UbdX5QH4jQl4DTNmQnZrr4
pRG4biPEKHpW3yGoY085/Zqgz2imeArKfldrc7z+/KH+58j46EcXQz80tEJXDJDTrj0ZJ0UDpCvR
9c1rSv+UZZyw8iOUL5tM6YU3wMBeC92ONgSvwPzSTWXVKsCCk2YC/yuCZDNUZBIgZhRbOt3mwPl7
QlIQUUHyFNuo3ineE4uQZE2yizooawiI5Hyrd1XyamRlt4OL3Jzi2ZlutXlK79s4MLZmp7XH1umm
p7iNOVU0XWZSOCl6v4v5iH1uN3+O+14n4H10HCoHVcHGoKQxfVTtRD6YTeauhDuFm2CyrK0bOHbi
0Z5De+Q0cfwtMOoX5NfgqFPN+J1TXdvR78y2VdP0N71pn5XGDvmTmDQOQ2DNayh+ciXTRD9Jt8/8
RCGDFoK84aczcSytNdNedxVBV3XsplsZoLeO2vMuMsus+8Qyh01ZC45Kk9PZnN1kWm7TyU42tpDG
EcGpem3RuDAol+jMgVqdTiuGnGcEKpQHtaC/sborFIoLM+EyFTs3BiQCGIz3Npt0/JxhdM3GfGGs
L2GZQgplThLT2WtVc18Fbb8WgfI8D2G7UtnJ1l3pd2ZyoyHm/nwcXPpTFjMv9MhYbQ22ZjZQhM2U
4znH8aFf2RRceAvm+d//WZCcyEhoCSnu3qBB7ZDZZYlHZuEr89OFe19yfgmhGZx6nJmfKDbfuDnS
rXowrd3nT+bSvS+Wu6aXmdMI1iRnIMuDVm9JWdylzvi1yy8evKJUla2WZLCg+72f5wk5s0oCr249
fO36i2VvAOdJ05/b12SxKoJgnZWnOLkWiHfp4SzWPLWlLp/0jICARri2a2Ob5tQ1Vqj23+f+weS8
xPgG6awmmV4G+7kiBIDSbX83DnLj0s8/2EU+rObGtND8KMa6c83fcV7lv8ac/17pMw7tozRezCYy
1lN0ru25+Cx99H7hpoCmi1ahil+Imcq2qpI1R5poqD6LUFoProGoFjqYfUc3sN2aUadtA60jr1qN
5E1InF7kEUiKCo018FkNA2fDQWx6aNTuZ6QRSoN8aRjvITRnG7IVszfXAj9ObTig+l6aT5PL/FY6
rrGhscV5Hpn9nc1EFa7absoOphM7iOdUmyW2J/rBGEhFMdN52ytdfwhmDdU9hHe/SzRlbw0IEyib
upSDJ/MnJbzhp8izYl/oU/luxV2JEKKzvkexZr20SjfeTWo3n6w8nM8NAAF8tcvmjatr2YvWVN1p
lAq1CjvvMQlp02uf2cb3wdXKkwKqtV6jl02O0oWkRyiUSTkm1n4GRda+OaY5F+ugUbUzI7PYguAS
jzYtzz0y4uZRnwc4+LOFGl+SkrLrxzLeWe0wfastxTmSnanRKUuRleoa2hYGWEwJz0QlXgkAvonM
sLdIhHyVOnkx+qxn7G3WoetrDfk6zUB4qBPBCLGO9cKaKLH0QfEHq4DyZCRadWj12PyhiK7+pUXB
tAHZNBzjIEXfjJ36aMKWXAXYnm6wrFDm05AwNZH2EgeKQLXgmNExs3sm3wiYr9HX6bNSWcmqy1pD
vTIRXDr1G4uRitsqb7RWY/MrJnEIZd+9oFCLnmcIVmjTmsLcqbSx78g+gmNf1N0a2xGlOCwmt2lg
Tj712/nKynZhXC/h1sHQmaDZRnffKsdB9ifVVY6lNlzZdF04/yyJ/MMg2U26qru3+p9YElYyRANs
nfLx6sxxnj0/mjgWu7rMQq9OoQeW9TjtyYIgiienkdUY79iUBnJtJjK7DGLgjLZ7UnX3dXITIsjs
a+CW/1BR//8GtCWOdrYlDcyinQ5hkWBVKKbmVM+D/OXoIakS0fxHTRtzrYcclKHxhz4JV2jBrBkD
l5728hj2AXLIpGapDIkm+Xwt+Hih1JZB5Xlh1cZsOBOe0tE39Hmft43/+aU//mA0fbEQBGzRkQKy
YRHzqxUO+7H7TgjglxgjVO7+d/vQW6ifJ71KwI3SQqVKu+kQmQSWbmw+v/uPP0jml//9gSo0WhMN
FhH0DYq36a9FDPVo/66Ben/+AxcezxKJhlalJ8ovMQ6Kbt3LJjtYYGE9XUmvPP6PCxiatvje20yM
DTt5eQBO3TyUuhFiEDBRq2vYkPzKyOhN0JqB4jQa1ypWHzuUtSUljYC5kAbSEB/UEMWPO6frJu+3
bdt9t8swoMBf/f784V36ofPn/M/uMTNLjl1TNB8U95aAohWOJU8hoQ+MOPbV6MqkdOkRLvZ5o13P
Wt65yYGYbkLUaBUGry0CcdrKWasdEXWMx0A1jDc6c+aXNme0EP/3LwttVU2aIJAHsKT7jITRqH0K
p/b58+d26aNbLCiogo0hddv5QFLxDunXjREgDyeW7muXXwx5JaGDPrTEPhZhtk4rZMjdWqseP7/4
halqyU4b0swdpsSyyf/pH7C0nqw6vvn80v9xkT+Ym5fgNBzV+C/QLvLUp7swjU5IRinYKFtNChJD
3aeubKgE1Oy6asXcEgB65YldmGaWUDV2nY3e2ulMvDPZlgrG9Ju5t9GakvmI75KQmivTzX8f0Ed/
4mI+oCc4a4mUnB+H3NgGs9LeNINS3ERZ/i1I0/zUBtXojVLqOyTbhVcajnLq0OVxqB/ltbPNxSd9
/jL/Gbm600EZbxx5mFR5LGtIDEXF+Ao2aa4G38GCmRxJgMB1pLttAj0JbjoxtVcKfhcGtLqYNiRx
hZoxMKlXGFyT6RvMaaxx435of/XJXRdf4wheGGbqYuLAktINfZHNB6yfBcLgbl41U6Bhzc+/Nk2o
i2kCPetgzi2kDHP6Mah/CgontiKvPKZLt7+YJfoGvVYbVQ7u+hfbwv2hkfoWZLvPB9ulcbyYJFQt
ITw07J39EMh7o3NvRNFfufGP3y+qjv/9uMAPUR3u7fEww7GLva6LJOXoSlu5qSx+OU2g/tALQpks
fa6vbSw/XorUJabNzF21nkNIUrOReK36I5Hf3PZdaX7b8d/PH9jHr0Nd0trsQS+QDqEy65FLnQoF
B5lCDdzkGLb5/Bc+fiXqktjmCNwkFm6gg9oY39iIYyIZfnx+6f/yHP7/vMOh7X/ficq0o+c1X6oK
s2KNuXFC8FU3K90c/qY2Ei2Q6CoRzioHSdXKtv3UaA8OB/O9QO9wi3fwdUKGeNMiennrabV7BFtj
JCXj1cd4N7w2Y+z69PnU3QjCx3NzG7XT5zd/6ckv5gudKNp4HvhUczE/gS08mImLJC8UX7z+Yp4w
bICH1TjMh6YPSRaOWl9V3Y1KPPiVAfFfu+qjp7+YJ9qqt6Fe5vJQykr5kXfRH2kmwyMiRxs8V92/
l1LmWyt1bnXTkWuSFZPj5NQDxhPVfStqR0GdbBME3GTpfYDv7wf+W9S7RjDcjlbQ/CxxZYABkFjz
NYLTm8YwsEplv9FaJv6cFdmqS3tsMlJq3/Q+S1ckPcr3nn3HNkVq9wANoPIbNDo31kB3tsZWSahc
1+wKnSAlGP2/whqJiSiCche4CfUYNIDdAR1g1AAi4NK6bqAYd53y3jJL8oPGBzGW6n3eAIGRRpb8
LIeKyPtIOtWtAJ+zqvTenb74BhdTpUsoXulYdXkY1bdJRR5UEmoxvX/++V0alouZckhlHeRK2RyM
qq9JsmyQtkFs+RrHW10y8EaXdHo4jdZ+5GVa0/TbVZSv3fkSgWc7KeqgKNSJsq67TTDjbLOauLqi
hviPY/7BV73k3VkB4Q0qVe8D1oQ1VRIvqrV1Vz2lowoTwfFwJd2M5rx3NaaLNBt2Sf/YSuknOKrK
ZthKiUkTd0kkal+65ilU0m06UwdjoatpwIhruo0Lb3DJzYtFRUlKjuTkFaL0pDWf4ym/tAWgzvO/
E2sNi2NCECYPY9F6HZFJXf8i6mvhORemPmcx9XVADBMSTO09W6X4tjeJGMZKnu6DJh+uQfsu/cZi
+ouQTgMUaOx9mu7G+QG3a278+nzoXFiVncW8RzK7SJLzpeuWWIcR80cCe6EFpfGjcK+RSC/d/2Lw
j2DYB31Srb2WFCe7y741g7YdM3v7+d9w6eNZDH9bt6FomAVHwZKCWNXgMSUe70vXXpLvBkqHJfs8
edCARUXqzyq7MjYvPPgl5i4zVTBolewPpamuszjf9Vbpqe6j2ia0CMMvFSNV+/zr/5wibPr2/QiI
4HBWejva65C8N7b/+aPR/ptGPpheloQ7Jl0pCCseDrqC7bNSrWaHu3LEQI9lSVmLBMkJVe95GlZa
r+lrI866XTaAPXJNAgaN+AaOtb6tw6q8aTr8Yi42eWvVG+dyEmJe1RsDJaSKgG8IE7hRdZNnAcaC
9VSYMU7C0U22I/a3t0Btvo8Ruj48HtIP1bLZqPCC1q6jjBuWT+fOsmqNygoNCSo7TVZ9d0WQr2xT
z0iFDCJ9OpKjDH4AYVrlQwwRTymWh7WOw9hDXpodW5HEhyy2k52BLt+va3N8T0M7+TlE0Dtt0SQ+
foCEdTvV6cg20xOufQGzg4ihZ7cGHPUgtRDNgV3mqI6JecoPg5JaN6UaiS1UvPBphMV0k4xaAPto
sEF4RNM6SPPiJusBllQxcThqoyPWHrp+p5G47Rlxih8QCWPuZWbbb7u8N7cldqMC9j66Xo4jhD0D
Bwla7FY5tudR4A8rDaU8hIbePuOWxMmJFosmS5BYO0VI+1VxXccPxk6CVtKl7xZ4BO3C6p6gOOcb
M7QdvzYGbG9I9hPoTVNl3iedZkF/ScStOcT2SuW+d6kzGC+BPmPKtmWL5FTRsulXlk8zxPgZZIya
J7cRPke/Gdv8TiuSYtMVmNV7UbW7fCBslrS+AE5mqxMWOTcTbLMKHbfp6IYf1n1ywmCW3kI9K/9C
TKMtUjZzClAsKmTt27ZV7rLJdvc6eIH72qnhV2VuSxXbjNrQ12xphH4u0ds7atCuFI7zr/XYKNyn
SQBp0eLRvlV0F5V5VuZJhLUE83U0JMqmkEpEyrX47wiArrrHNkoK07jVqnrwNUtUT1mhi9+ikqqf
BcEIxdtyyrO5wo1fmgh3jlePjvFQuS3nUSoMWNSyeR6fZle2uAwkDgdAXz1f6bqynxSTtdZwFfP3
UPf1Y9Zp8UbNyupbEsTPtDDkVidQU9xY0YDRxYnoqM9zt2rDvN2RHPo669ZsgYJrMXkr6pjjXUQ0
t6qbwBDHUIXAk/bGGK/NNOy/BiZW7cXaYlJDkzBfnH1iKP2qnJ1tZugvQiU45vMZ6MK6Yi/WFahJ
dCTh7R10mNP9xNEgbBo/0BGWf/4D55rPRxPcYmXBB6P3ZqyIfYWuBnQbwdiwyYBl2DaOzCAKrtTV
LqxgS+FwPkmrDucxgWPYh7+wsilAgUknv3K6uXT5cxngn1UgxsiBLUQDrWimOlkxSXEDsltff+kh
LfXCinCkRHMu9nA8QHSsQrZAunaaBvXK7V94zUuxcCSNQpBEbe5BQOgU+mr3Nrl27L507fO///No
aI5no+6kQHNRit9LRLB/JyVQ14MbiSt7/AvFFnvxE3o4TeRRIv9pJZipZHK+475mTtOiXaopdwi4
t5nVfnFbcf4E/vl73AS3UWeiho/FdywCq4ZGnRmzp6uxaxSt//krv/BBLRGxWD9FNMuaul0Bl6I8
E4C7cup+fn71Cw/MWvwNEE0pPuFCPuhiHg+9FuE9jRDMFejSfZPBcc7AlJ7t5s0VffKFcW4tNtiG
Xdq2yC2qqXV/LDRsjK7W/h6d9qbNrCvP7NJvLGZDLFFdoAB5OETQjb8JfZRPbVUq+I0S4RtRpFzZ
8n2cqaer1nJWtAxK1a2ID8J2sI5i4/Qb2zZWTawBV0uyMX5xE9s9lAEuJBQfoT80zfj4+bu78GVY
ixmz0ADVjQ5CRB1mUDWeDaEu/abPL34uT34wHS8l2HqYmXkzZazngVN6QTN361Ft/qhusBocfpLd
ZjLqt7j//37+g+ch+tEPLibOMkIJMRnINw3bqXaaNe4Ul/2oGmn1la/i418QSwFWFGVn9pZNuBpk
3qLGxBICg73//PY/fhliGbOuaJj/4I01h0FPj4mesDRqv7926eXX7GpWBQXM3rsGlSX7myyuDMVL
97z4euPZCPOE0xzUbMtzplMdvnx+xx+PP2EuvsxpHNS0SjLikwfrW96gYqK17AEOGTx1bK5FDF64
/aXsSuBthrLXk9MXZCsrxmsyGva1OsCliy8+R9OdyKrDr31oOS3Ah8F9nhRXPsSPx5ZYCktKYThZ
r4TzocY5NuNup6u/xcJ0LHrjRHFg3evtpgqtK2f2C9+9cX5L/6xTQ5WaiVIn86Gqbh06PqHxnl6V
gF66+Pnf/7m4G9iOomJ5PrAl9jLFXtlG6SnjNbnRpddw/vd/Lq9UohnV0skPwuCRFBk5Z0k8XJnj
LnymS/mqKQPch60h9loIsBZvqPYu2m8aBtkvDQNjMXATHDF6rjblQTqnEgExovjUeVT7r005SyWW
lKaFS74tD4jPY7yO9h+4LFf2gZcezWIE50IYs2om5cFIgNskou39SKeh5/Sxs4mpWn/+hC60XsUy
JjSP4ykpVAzibVHXBzhkw+jFIz5qM3aK7QgUgj20HA9Kqesby/w/zq6uOU6c6f4iqoQQIG5hPF/Y
ju3YTrI31CbZByS+BIjPX/+eyXvj1Q5Dle+2vClpkNStVvfpc2ywuNoQjEVhkcjd7d+wcsSoYel9
D7ZLDZM8a6t8kXTet7V+/dzQRkqoyAba5p6WMVqRKxSVxgjsmdXG6boeurmmgCiD9AmUKPHinsEK
XYNvt2bLk5h+ePNX0G8Dsd9sneMVG6eGjRdCg70cwMkz6MqmSAcViQhoMkPURLZqFivnzVQHLZax
IGSm7BwA6ikI6Fg5SDG7V6d6ub0Va99ghJ3CU+gSrnElFcxDkuvb0oqdPW4B4df2wrB0MG6BlJPp
Oi4lRSPxbHf7rPL5sShYc+nRB/IXjDniVHSF//tzH2Rc3mOPXmjQonpnxe5GAJmWS+/uNG4YxdoH
GfbvtnkyT4nHzlZRPcyEQZA2fZ+nfB8Q5N6sLA37rrc3JlvZGxM4J5rUApzcc8Hvg1YPMaaP0hf3
tkw3S45XY0vkSf99i4CZuy8CH19z6RZBlHZPuvasnE96EBM2N+kRFGD08rCtkYAKOGDK+fFTu2wi
5sBvPNojrxrw8zkhQM1RP38NPpnUcU1sHG8qIXu+wOoAOacDWHEqkAnnG+/jFZu22b9X3deLVmWB
XEJzUVx66YN/aH/u5FZGam14w6JnjlZLN8CPp/JUduzZa0ZUs5DiLV8/t/aGUU+2btEq509xS/qD
53nvs0RcA/bJT2Wi3D934ofYpgahDwMa1cblBs45EFWq8MLF/LkfbxhwXUsA9ghUm/ys+FICsHtJ
gYLWdzNC+LON/32wuSb2bbZ41wVFVgG3B7CwPy7To8OBKqqRO4aQghOEHfeC2PNBa9osNH1DJz26
MMGMcO/7ZfnF0x2IO+0i7zcuxOsHAlIH/z5vM14xExhLGHAFtQtgZ/ZrUgTM7f4jyUHWc3td1yYx
DnVbFiWoKDo3bkqUOFKw/7yIkgNe8P32+Cu+0ET9gTKvTAUuwJhYAxryfo85aB/IJ8M6E9rng42W
4EEDwScB0gQwrPBJR2pi6B/ewo9cFuLasbgs3IdTzVlJvTQNWKzdJRJQYlNb18T1pUfu+t8ju4uX
5W2DH+95u5L9aPKf7fizTj4X8Zo4vKmuhzInNQjWvZ+sfatpFy7NS+5u9JatLYvhrVDf4GmTJF58
IbsLoQt54XpMN26JtZUxPJVbAc6c0cvKjGXYJ/eWdHY9/7txhw1XtXYqjWADxoyeZ0ciDIB8bM6c
CI02kHPcsKnr9VmXmL6KdmgyamZ0btbdl4aB3LgAhxSIwYE78hx0vPR640q6XPj/PZzMBOORFoq+
LW3dOLCnsIOKstO+AkEQDrSMmPgb3LEbn3R9waBC8++z2rSiISMcUuzW/AihCr5PNMjeepDh3fYT
188TMwF4PC/k1GT4ElBkgn7nayY2HND1zWAm7k7NRZr5HvXiARWsU1A35Q5luxm4qaYIAxcczpBt
+1xDAAsMq4D61JJoF2giviwBCJPz8YesxgQNjIB7Fb6kYMwEHccxW7Lg6fbCrXyf2b5NbH+05wLE
MV1xtPvqUDFwEbY/y7L/mm9Jjq9sDjN8YOouAn14dhO3WoCOrEke2qUKNhzV2tEyjL2nvQek0eTH
ytJhV3uAoIEm0t2KlVdy2iwwbJ3nTpuPls9isIqFGrLULTkoYCJHiI0sKAik7EsAbnBab3bUryxX
YNi/BEFyArAAGEWh7BX4P8XyE5y+4dQ8EPnudL8If6rENwItK8Rfnfui8di9fRj+xNFXHIKJNyuq
KaeQFgP6muooa8t3zwYPlypFCCjTETIFEDnTp6nNDn2l/5k4OJqywXslWXoStrsHaeud3fjl57yG
CVFjurfqhDVQ0xMMPOSsegYP7Mmv6g33t7LQJkZtgCzL1OeVG2dQFUi0c0zn5u32Sq4NbRx5II61
myW+FxMFLPAE6LfaahO4frsxE1Q2KmjENSVKzwWKzZKDXr69dwH4WtAWefvH/0mFXjsGl6/6ELRo
UTrKhauLJXMmEF11+QH0JB36lJIAmbU8uWCdrGOL+gGwBK1dHy20w33xIAd8tEdvggwJimY5o20W
FbKbj45G2XHo5vF/weKK3eIH4q5goCWtuE3el6zUPz3bAnXWWOv0O5QJUIGbRPbDSan7LOy+nELd
0PHe7RNvn4Kw/jG1wb/qtlAqU6UnXwEgmSfw6YF/f2MR1nbQsHs0pC/1LGeN/qXmNVsEZCfYP7fX
d6XRg3HDwjVDV2rfgxujqJvhd1Ixa58moj5OxO9+pbgCHqe5cKtoFnX2NHY24LzINyVPy9yPh7Hr
s62ztOI8uXHh2AODHpRf4/R3kLHhTv5eau8rmEm2EtZrExjeuYCsNata7sYS0nYp2BYq4Du19XJ7
IVcuLxMip90OBOB0BsdIZTkPQGcxCnjvHDzVgwupNRBoQFOoB+f756YzohgLrITSBqgpTgpI/SE/
euoqCcfsTU8Vzx7Z2GxEx9crIszEzqWzBg1ap2gMZMxFiqLtQd9c5BTKP+j6iEDGCm5u1urIrwcQ
lUDAPdu6Ala8i8lXk7TSgyZAQmLglIaoVfQIkRIBcHj9C0JtG4XitUmMhSxk3Vhj3tpxnnzrc6Dp
imeIRoYd/XV7o1ZOnYkOXHKoLhU+QZ7cZ+/ColCxAFqAKDAXb/JXrM1x+fsHH2lBAKjo0E0Xz9n8
LtJxOC8gMIZi9ibh1IoH8g0v3OC6bSANBoS24z4Wrvqtp2ELF7uyAyaMInEDEHWKcozBpvirbOss
BPOlHdUz/T4S9Xx7G9Y+wDB+CKCh1uZn4NKl6RcBMUtgdTZMcc1CDO9s94s1Jg7AsX2V7nsB4QrP
v89m6I4JZFEAebNR/3S8reVa22zDYYMwMPn/TuC2qu+dan7SFfsJVuWtSGdlO0wUVqYKUulUOXGS
zgHk/EgPhaeyDu745Z4tQJihd7f35GJiV652k9SlKoCjbNvFiyuIfhwHmjzoNHuEgs+dcFMvRGzx
lzducRKufJZZavUh60VJS6rYh0hw98qZBfpNKF5PxcbXrE1gGOE4AcfiunjpK6VC2pWHangLhlPp
Nxsv/ZUJTMbL0gPoF8QcTbwsj1X9wOb6Jeu9ow1ltdv7sWIjJoSNeEQpUogm9pJvnv9UQ9z39sAr
G21C12YAkXnNahrP9bgvZuuna1lLCITMPbp9fjmL+suz8p+351r7CGMbUK5inddnLO4hdAu+cjQT
Td3x9th/Co9XTqyJyQKzsaIyE0jSLbT52tCJPzlOzgH75dPbmC3uLkDDzf9SpaBA4AVg350ayL7l
xUXfefT8LCTQ0QRZrJ/ejcUAKWoAkyDUSwMAl0vk/MDeerRGZz5BMZ0/U3eczx64dMFY3HCgqxtr
36Vd/1DWfgdhHY9ubNBK8OJeFvPDBVI1IHXMQQEQc4F0MMwvb54cqCL+4F41Pk4qQXUJ/L+H28u4
4sFcM9KzWFva0CyNVQAt01HvKNAzeLZ9bnTD089lnlaOqHBVjeWz2yRnkQYPedn++NzwhrdXOfRw
PFuj7IOEnlIl9PS+o1FuYyPWlsZw7tAJB0Ool85x2lyUr5P6izOxX37SfQqNbHOzxcjRUK3IeEpA
xZYvf41NC7hJBn2RMJgG6/vtJbp6mjCHYYIzKtCQdHeg84WA/m1u/eVLLvzybNM0i5K69Q5JmhUv
tye7umKYzDi6mZ84WeND5nBy/slVH2UuXne8290e/arPxejGUW1b7iPzWDlnEKuUYQaJ2kMhOGR7
yPz9Uuf95DTGme1Afu03Q2+foRN3Coo+Zi5Bya/P79DHs1WEuazIf5wXvsU4uSKgrKor0J9mejpr
IZ6Ccth4JKwtk3Fs/VqCU2W2AO4FdVpqzcfAHkHkol6zDLIjt7diZaPNBxZqDFAyaKWKNbF3c7dA
l3fMftLEef/c+JfL64MPzBgYFdPCC85VDxbFUkzzva94tbOgWfB0e4qVHTDfUrPjWRkUbMlZgio2
AnXXr4bxjQTS2vJctubDzx8SP7FddNyevaAr7iByV7zVzaV3CJfvxs9fm+Ly9w9TNGmBRvymI2cN
EZ7zAD0cqLvkSJ9DpeP2Aq14DvOZgT4nKw9KQoCnhLwbwAxQ/ta/ESbeVfXyTUxsI2Rf+xLDrEHK
5kDIq+3iJmBP7QTcY+GoMwhYt3A519FT6BUzLBoq8DUyUrN39vIBaHf0TEPKzrMiDvLwCpjOdimi
NsFDbSweKBFboK2LwV2xcbMXZPFy4c4QizhjU76AY9N+gxCtdVbaKd9SBw9ObZHgHz+fxm+dZ58b
0CtsLOna2TZcQOsHtsip08Rg9IPK549p2jL8lZHNBwm1CshHDayJoUYEYRchXzl42m4fuKuRKZpr
DaMnLt60XOg2bpf2fpohtJrHngIWgoCdf/7q1G+351k52GZoPbu5lTauoGCmLSFC0g+v2aX9LfXb
/0GP4UvJlo1tWPHEZqi91MkydZ5IzkOVRnkJ9j0NMJiMmv5TLAdYMsMLMM6DHkR+GqwZwwQnJopT
PyZIAi1Lt0Fzs2KeZpiNga0WurHeWVpSP9qlLcMcCui7Solft/djbQbDAWTpDIVhdDWdoQAdQiT2
jqSgh6y2Wo3WhjesH30MkGgMGhUrqSIvh4794IdtQI6f+/XGTe57aPqYoDR8Jry/czgBy0E6v4Mi
davStGYWhjGDe3Jho0CFvZD+s0qqEzLcUzRWFHpEQOah7RQqMmRjt1eOrNnPgE5WXkHRiMQz9D92
hEImtaDNEkH+5C7lnyItsblJK79YLi1L7qHhM8jfBpXc59Cg/dR2uBej/3AvKgtCprx1gPbNWgGs
5xRDQhnRYg7JkdszrLhAk16+TGuLKSDO4tnqT64zHiAqtr899MpRNankoaHadGyG3247N7y0K49V
yJbftwdfcXvmuxK9Bm1NFGniZLD7XVUk3zMnf3FyANGhe5GFOS83Xn1rK2QYNCmmWuAiJyCHKk8s
Gfa5r7/e/oi1FTKMGULredPmHYnJQCPHR+gMCShyuD342goZplx3dVrkl6oH2ExDO/2LQz4241+5
B7nEdkuRZW0Sw5x9X1E6Akh95hl76kGsMXYo0PVQBtwh4XMHVZ6tGsuKLZsp+3YsuA04QnKW/oAu
ZTARlC4n0QKu05DJaYMlaG0W49bul4a09gKDY/NR2kE4ogEZneRhKeXd7W1Zm+Gykh9MmuEVWbkQ
mjpbLkBqKTQcdm6HPrJMyu4QzJn8nCc34Qh9UPUdd9vgrAP+l1s2b7VlPfjC3nCtK1ZhZlh90rZK
9W4TX3TDlELp1914bqyNfPn7hwUCEarvKW2BbGaC/HfKBnvXWGm7Mfp1BCPYcQ1ztoauHSZ/quNa
qScFdeE9qJA5ms7L6VQ0JdShcYU3T7mDFDtoCRJIT6XBXugScGuwpspQOt18kGr65HkwfEBZACDD
GRo6ynxOIaQJweSHkZf6bIveiUsQz214+rWDZ/iD3M6oQHIBmYCUlDvwCQ6/at/Wd3i8Zw+eZNWG
31m54c0+MBvapmCpqvBBzkUnVIdyqiJ60V+z4qAqHmu8UW6b0spJMXvB2GIjoy9LEvfjX1ZOjxDg
/dymmBzDgS7SEYcBgQMhu7HtAFCBkHnyVYh5d/u3r7h+sx0MIVDhMIJMpTPlANa0kGS8g76Cg673
dNpwASs7YYJ1eVWlAwODd6zc310FpXYQhjZpE2oHLIfkHgXrjY+5zg9tcxPAyqTTpE4PGAEoE8XB
SkVxSEEU8g/Ywu9SgYoPKCw8VK+UgrwZy54Sjw+HkvLpmEC675gvtN/4KWtn4nL6P3gPaNaJMSsS
iI77EmiXBKBXtXEoVpbT1GuwwbNh9aCHixPifk8n+qMnPtAYdfMd/VE7p4f2XDmTz0V+pn5DAVk2
cIwVzjln8xlsgnVk6eQhtbaqlmsfY7jBKQNzmidKaPuNKfBVsgGFiNK/OjfTh2IA9mqGetvr7bO+
4nnMljhG66kbxoKeO3HyIM4nkt++nACp8aLbE6wZk+HaBATQib4kd1TuPwdD+54NI3Cl/ZY01dr4
RpTDkcb2OSAXZ7+GmDK0WrPhHZXZz2212Q5nT27XQsgP2BtFTxAdRmYN+iwh+H2H/e31WTEKs9tN
pImEJkC7nD2+PDKZH6u83lj6lb2lRjjTaLvvof8JxqzcjSGhFg6ZOqnse+JsrM7aBJe/fzDojGuk
GV3dxRNrj3WSeyFoyk/pmP3oy3YLBrUSxprNbhArBaVRunRx4rtRYX+zIa5IgbRMsp8LrzaWam0X
Ln//8CVuvpSoseKUSkneZ9p/xdN9I6oJMMSV5NwfzssPQ/uOLjO8ocmZK/VN1NYL2K/cCHfKI6wg
ypQNUCoDH/9SbGEFrqO7bG6yyCfF3AcQyKVn6HefwMx7TtCRaEE/1mNfBWBQdU6+zAXdk2ZADgFo
uPT35w6zYezQmYUAeeFgGTV9Ak/Fi7NZpr7OEYqPMgwdZDe54kvQxCxR4sDpoM91V0zyTjdTeV80
oyzDpQykClnHizYqoAv91Z6W+QT9IYjJ+1A/x8OE2fbecdmSQk+iZhWo/JpfYzPoEs/SzIWQvGu3
T2WjdBOO+ZDKg+qXPEJj37wBPVpxWP9prtOja0P8k5ztunqZEg1cadGHfSG3wJNrE1yulQ8HDsqb
QTWNuD4I9ANivZTtN9DU1PfQ5c2ebu/ziuGbDXbUy6yy87HPGdaGt490bKKJPS9yw2b+LMYVozHb
7IYJ3gQsn9MZonHJzlLC2Qtwfj0hey+ObQWtVFIl/XthWb4E7lRJMLAF7d6FatNxkm6w6/25fLFb
lN0J0eiQdIoFD0bIJmS1rI7eRcT7c0tx2YUPq00DF9D4fOriQQSPOFIvJEA6Yg7OCxpPb0+x4pzM
vj3QvU6AgUAPYkm7IyjCoKkMt/s5z/cnbPzw+7mFHBwHidm58ekDclqPlrOlZrH2u43nUwDKhpJ2
qA+W2dT8BeoJ9ej7jbdFqrx2CA1nIwWqGvmMHv4iTc55UR8cG7qw43RcQBl7e+VX7p4/kPwPi0Mn
WXKbdiOQHw+lv3co8D36hdYBSNS2YDIr5mq2gHWLDbQgNOxi9MqBwCth3RMlkt6VQJB+7jFGjHu6
Y03D1ZDpmNKkP3YltLeHrgk2knBrH2BYgJMRj/uWB5CdPtR+GjmgcXHEFl332ujGzTxlRbY49KKx
yWfwluRz0u1En9NHMZRqI7O0ss0mFXubO6xwu1EjLvXzvTXX87vr2KoPGx6AOCYvIBPU+P2gNmzu
+ny+iS+oVQqpurzUca3718Knf9UyaKJ8Cf5K7O4JOii/bh9f53I3/teN+ibD6aKBsZk9i56rkb+o
wmvAM6+KyHWSEQLyybTruyTdObJ5TJH5Cj3fPeT2fMAF1YRF7+4oNLcPs8iWPW7QLhKtv1cECOe2
c0LQakOIHIpK+6LNrSOoB+poWNJ+BxRDc5f1FFnlC9Vsl0vnm9WgE9vtg62S8XXXQszUuN+kxAHC
BI/aHAJ9rL7v7GoD1bA2tHGcJx8SHgRPLVSJvaPo3L2n7Y1C7drQxlnOaiEDizQQcKWvSf2SBxv7
fN1GiAmtYlAbGQU6MuJRzmAMRaevk9pPXrYR5l9/jxLX8OPUretOjU19rlmWvejS8uN59ocd9KZ5
BCgG8N9DXZ89Z9nqi7kOubOJqbqaedjetK1SNIV1mQxLNS+vRTnw/TLzabewukTOp0JDl43G5r0t
k+wRjbQu6Pw7AWYUVgj0WSfs4DTMqaKlG8cfli1S+D1nYUfK50VEbp0KO9RcIesu55GcijbAe9vr
ZAcO8KDf1VZtIYz0hzcrQGP4iwcxmffblrmyY6Y2aiAhw+lCuuzspx1/bkBsesdR7watO683Dtt1
AmybmDc7gdxYW+d5hvbrYVGR65ZD6CXWt7Gu8/rkpa4KIBRfWPEI+ohIIGG8Q9w8njVNZR2hI0mn
+P92uQN+JXi3m5KFPFD99xQLNEeD3zU/A6XSJcppXjzV2rZ+OHM66Ltm8MZHLkAWfnuxrl/0xDUi
/1z7Xtei7eGEYjM5MPAsvvpVGsiwIZ4fQ3QSzamfmsksZEiS2m4HtdZTzavk92C5UPTpBq6sMAC5
ugzTyrM3jGrFF5htjwNkXJau5fIcZMBdh/Y46EgCevQZwKJNzBKDHmSLtHmXnknHfoLA7UHPVRoW
EhKBt5dq7fcbbjL17aaqkEM8AYH02Cb0i6vV6+2hV/bb5IVLxgH9Rj33T4NtQWPAj3u5PEoU78Ox
sv++Pcfaz3f+HbYTnsPEqeXj5+uvbcN3lSg3dnbt5xvusuxmT0me8RNPlzMRX2kj75wGauByC79y
PaVAmBH5jnmflH45+ifqBg/QW9270jlL9STAAdSocQcc7O9afIq8EUfJML8alteCk9I/5e70Qm31
DX2Qh4I5AnzCW/CSlTX7T7nAchtmcZ+dZJMsRw9axs2sWVT6zrLLum5jZ1a8rlk6GJDg6YExSE6D
l3/l2rt37eml5d7GuV0b/hLufXgt2C1+dxJUwYl7Ivg+eXX30hRJADIoIsbft8/t2hyXBfwwx+SB
TlhOHj+ldjVC5WqWPRiieyukEuzQG7a9Nsnl7x8mGb0h8GVX8JPdWF/sZfiWWfVJNOOG7a0Nf7HJ
D8NDCBVpGQhUn8rJfe4EeQNxzKGphrvPLZFh2nmrW6RtA+eUcgKKN/SVJPhPvvvc6IZ1D97Q6VFz
59TyA0R90Bo3R2g73fjt118GxKSQa9ppsBVc0wk028m4PATJD4/3B6D5Isr3t79gzdYMe066pLNa
WNYpKZLfqgLd8uijydrzCxm51bCRwrls5n+fHtDC/Pcmc55WmcqYc8LD6s12FejW+BbR6soqmTnz
bqkzKMlS52TXwW7o1F9MA1hZSfdp9iYVKtF8vb1UaxMZFg1RRGhQU+Gf2paq70sx61Oi6n5XBG36
q15sDQ7ZQm4kBtcmM0zbmvUoRlXyk7aWaJJHjwX3eXsslwX0/2+3P2gFoUrMbLoUHmjJXds70cnP
Keq/o/drqb1EA3iSpndeDiVRokZ73y69RuHMnr5CnCGRofAttpWPWLm/TJqrtKMA3846Q9NUf4SQ
wX4uvd1oZzHxloMsA9wuceJsKcGszWa4m8kdkipw5yymi3ciFg/tJQkZr+9htg/gvt9346WNfUs+
cWU6kzmP8q4G4fTknSbX42jrYfBtKiCnlAXQLIB1h5YuwSZQgEHwpIXqN6Lk6zwRNjELDY22JG8s
yzkVMrEgYjK3yHZ2FH3woNVIvwTgRQ79POHgJibJvNNicd+pSLYIUFbQG8SsOgiHd9LlOTvNalpe
aWZfurr72WE71Bpy/8zKfATBQe8MZ8AkhyTkTa7UjjQ2DW0pizvB5n7noKfy+9xVwYZHdVf8kBEr
1Z3wusLO3JMTzM/JVKP5W/ZTaMnp6bZJrTk6w52OgwMmIWmxE2jh2hJQ657t6QAQ1MZl/Edm94on
NQsGQCSJObO1f+Ii2XWLuFPZ+KK6NprQmY1u3wi8UeGy1IeiK3cjcJQIm+8Azxn1m1RLRMirC+0r
5n6RdhuWTnmE4MPG4q5cJSaPXwMWTbdJZ4SGEjLmloga71gV85eKf/vU4pqFhjlrq2EeXR9Pv/St
xlu2sNONfVsBRkAl7N83lNcTImib8pNc5gqxJvPBZDEl/WkcO7GbKXqX5oUFO6ub3DsIxkEQ1yrd
gxjrIayWVu8Y95zft7/z+o+hzGRhhxjZmI0qdYGXkflBIOCGXNmsy28gXJjv1dyVr0tVil2qhbVz
/CrZzZaTRdNArb1SRRaNqs/fb/+YPyW1/5w4yswHWNlPfX9h+Yh7iw9Pw1yKY2aluBlQIksPMgiy
N+X7A8p7tifafZsy7e4KqCoALGPhSsaNWezTgksSZVJj4ZbUGU4WmGt/66CD5JpCzvtHwDJ4RM+q
xJaa9FVTpMwEZgR0gmYcKEBiqEU+VqUXU7kFV77qRjC0EVQmQdC5HphFIKQ1AywjoonjFGyFrCs/
3DODyoHXUGJGnzrtJWjql7GK+izdgANed8w4W4YLFELrwckGByCG+oIsWkKdLehJKf7Ok1yd6r77
uXTFa9Xncj8m7V3nLce+lgielzIN7eBT0RR+h+EpG/TQzVWfATmn6l+u0LH2yx3Voxc1dfOzcSHZ
c/sAX3VLlJnYcmjWtHaHZwCU5dwpLCskA6vs1ZrBqQdS2Ofbk6zsmQktp+DVJplGPTqhJUB0CV5K
stgoSKyNbcSd6STztHByO9alA1XCZHzS0ya5ztrght+jVAw6oQ0uZz7sWy/Om/xwe0muRrBY94vx
fHjYiUKwvODaiWeIkD0D5Dw9W0XTnCyHOrtWlcOj8nJvw0utWKQJFuXpCD+dl+A1BGElu5AID4/T
uPElV4M4eEDDIOuBIA146SdHU03Y9y/+AmnvHAlQcM9DYjFEr3dIqmDjvK59imGgRNRBBqNnMdw8
CPkdRI02+mY3HjEr1mDmbwqZKj+wEFLrvA5HaDmAZh0w8Cqs+i05tJWNN9M3uhqsUVqJE7dgUOK9
PgbQQ7WsEbjSOrT7rU78tWkMZMOUD34LbvUmnuw8UvMYQR3n1PexM0PmU/19+xCvLJeJ/qz8pOfI
iIOSUDPIUaSgPev37oK273orv4Lk2bWoFNeJcb4oWN5838J1r+RSRtNS8WddS6iGAY6SREWfJE+5
BGFvyHpS/10pbn9Ng9R7kKTD/g1uHU10oZEe8U/DoLGCA1p3IK2Kil95ZNqG3JvT02I3TQSsevMY
IM2cjffcotkdK0v/qBK3v1d+5e8qj3ZHkS9QTRWu5K82EdWdVfd+KEst7hKpoS4HZZFR9+AinvGc
qQTktBQD1VoVJGhs5AE79Zn2nougqSM/q6svNcAbjwi0k/sR2lzYK1D8hR7gGEcJFRFwJKI203r6
wh82BsuunxTYlNUyv05KpwefQi/Nccfx1KL775SA6yQIsyGRj3kX8MhzgiDqF0GXiBGH/UpA9xy3
eEM+eMs0v1eO/cy0+JlAAnbsKNI0E3TuUE/qn3Kv22Vpv08thNLDIMR5JlLsXL+BTQc8CU7O5Kr7
ChWQbteDcRtU4YuDvtqmi5jvJLtlUvJlBl/CmcBW5a5yUNmMMuLrn8iR2ZGdVvy1pEGy7MohtY+k
gYYOtpQyLDtvdhC2krtBMxKyIC+fdArqpjsLL8Z8l7V59UlWLTONlNe2HojkPQI4dz7SwUpid0ra
vUdd+anrzzFLy7Zdzg3Bw/os5BhBZS0J7WrTQFYc4p969oeLxOpkxaTya7T3gxNo1GkXuUx0ETRA
PlWDp8zMTzlDBVJ+ldRxy6AcPLV9pIn1t4W9grjIcJ+N1pa1r3yMma1SPm/AIOygvb9vplNmzdlz
N2cOqJb58u1TPstEegYMeuYBwARxQ60ZUpNeeQgm0f1YSjmj0djPN3zj9fQRVs2IHaBY3xWqA2jc
8x11L4umPdStyn6jM7FmaEoET6Pd1f1451cFe64Jyf8nOya/oV/Hp3e3P3bFd/4nhVUhm5N2norT
sZVR3cz7Erd0dHvwFe9vZm+4ZwVzLmwVL7IFwUv5u+sR6MOD7/wJ+oe3J7l+IhyTk6FC+sd3Mo+f
J/57oCTU5TuUNjaCibXlMV4q3ox0nrU4ChYvzr0njzz7VH8Udt+4tapp8rtuKVRc9f2zJxMokg7j
HDagwy9m1Opur87aFhjRkD85nuhnpuJJVZHMu++0q/e1nzw6tbu/PcX1DWAmllSMtrYdVygAMXrw
PhYCgloWeaiAJ91If/8xvStvaDNr01JQpQXlQuOJyBbQ61xn78Vko83Dznx1ArS/ekqcJb+b+mQ4
Du3oHzF9+jVNnDHKamQ/OdqwD0EeLF9dOreRG7T2F6ROu12A4uiBKTt95cnMmtDpLHJ2utEOLWQy
TqnmaEziIMisQlDcQeMEGOQtcOlKCGYmTXxUyEkJcqI4o78H7oXDmKE5n4TC+rvrt57DKyfAzA9T
3L8p0MPoE3CB3ZyqKf2SBbb8Tcjk/s+u3C3k2oqpmOmraeIttqXvYqj1vs3N8JxWy/H2CfuTuLm2
/5cF/HCFVX0wWCUBbB1XyqPt6AytcgvNHjNKQXAh82U+tiR3hh0oAfQ3Xdj9Xwoh9H3hWOVB0sq+
V13fvkGn1j1NOisfGpj1Ha+9IkbHYEMi9Ly0R8UzO0LFi/3tLk225yq1fzW91jEBZdshkVUD/Q5P
93fI1IGcOAnsYzdYyx5sRvwg6mk+sgaN6oxl6omTTL6TQlOgtZjYJ5nmgFKm6q7KveEd2Iv6lGaT
H/al7e78NhuP05xXJ6ab8SFPp+WY8oZFnVOIs7zo7ICX2lHRZI08PXKeDXeu35ZzWHf9XERdRtVj
WXC27HKAeeQp8LLqd8YDCBboDABLW5B3e8Lr9/Z+XMUwUXTH/3s7WlXNfl9m/NzODrLidZh7O9aO
OzsNDqpJw6463Z7oumtxTMIaDdhLwnLlnxe9tGcmEnvHvX7Z1Zxu8X2sTWE8g+i8XLIz4xzL5Byo
U7U8iK3WpjWLuPz9w6nVgJ+2S9IA8ArZ6ZC7vf02AEm9EaZc3wT2J/n5YXSI3M8O2oBI3DY5+v7J
M4BD5yIfX0ZfHHTB/zeTeWMb1lyIcVU1ZSOz/+PsOnYj17HoFxEglShtFSqonEPb7o3QUTlH8uvn
VK88fKUSYMxiAL+GVGK4vLz3hAHxFkkCOPl9cgTT0S3styIR++sTvfYG5ZjqEmnD3BSy3GQe7+gy
ofSPXnMMj2kXpJstLsfluTZUBDKbSthux9p0GtCD08aPPA1ilPy/9AkqCZHWjcPjsolC2b00xuDW
UFqpxC1x/l5//spqUqmHAyHaXCXgOSdtVvr1JD3WJ1uUv3/VvAsRVgVOL3qdaWWXnqvUEtismsJs
adJiE7WNlPuaacQPyzykXtXkzs2c1PAdb+qk8bJUN4MGujW7ImqhSRB9M124bWvG6KaaDf/eHBJH
IDM5XptA1aYRADq5pp0mgQYhYc+0ozQsps4MAB9qHuGIPd8apt0ESxRM0TLdQSzD3DW1lVa4QUMP
J9bF5FvowT0zrbbcVLTZ4Ik5jV6deuIfPdHZg8a68Safi+XoAHz7tmRRfJOR2pjdOsv/dmQivmbX
vbssY58iIPftbTObC0wSjEQi+SLLsdKpMP2haXJ0cYW2HzKb3EMZpqHB9dm8TCvSDBVGDg8ILak0
OMWiLrArm9yvhzKAAhjE0faUmK88eiNWemOMLxAEC3BD2IjdKzmH6jOCXJnHad1F4Uzbv1y2fjY2
oDJVTxlsDg2+1cBc2dCq4YgAUNlaNGy1aIEpe6H7OYMerfUKYqF/fQTX3qCk5n0laSbOOglnh3Vp
S5faP3r40id8A+C0NlJK1CMxw0WzoyS0IwqpYRg/suqQ2iGrXki6fDFqKIHPIM2gzzW+onWeZ5QQ
o0TAE/BmGLY8r9fChnJWj4lZmk4sUHy1a/hcDOZDlDhbfIKLQwQ6tDJEJq9tMgucnIaZecLUmB8V
3S3MGv8AYKh5ZWW/Xp/sy9sFb1LGqQZt39FlP526RS5wmEnQ+a/lt7Run+LR0gLLkB/N7DyWpR5C
WfQ2AirKzZMthOPFkwOvV0YxapyispBQhV2T+YNNoDXaB/OyJTl1cZIYV51bKq1aOi3VIUUeF096
2n1Ph/ZrwjdcNWsxLQcVUwYIfmcDwi2aWzbD6+T6tFzcg/jd53XxKQeZrY5yUhUDlO/hNdI/j+hB
NkKcs+SNXX6xd4A3nN/86Q0AtzjUFCD09EvBA5nJbyXV77uk2SWMH1OUP+O6fChJtdHfW/ui8wL4
9D4zae20NrIBrqbQSJyY5C82c7TdLMgHo/2wEf4vryfunBfCp9dM1jhKRkh/Ggt/1jIPOB1v23Nk
bTkpobHuJpKOVgzWhf2eAo0ktzS/1h6s7Hd4NsCpgqPZqLX6RwOl9LZp9teX0uVQAqm7/x+RRlRR
bE7dmfiU7UzNvBsb556hVu6W1Mn8aJy3LpN44H8yHawoZSvHTZ1yoTVYUd2ZWlX5Vvw7NZ9kW3zt
BarrCumJ3YxNMp5wt4DgAMiz0UMMTODYPV8fqhUyAledVJDox4s+RjCzOEw74UV7GiReGeiHpfHn
W3myfOndzDfN3XBXHKpH7S2/j3fFxom1Ao3i//FZiZOh1p3z20e3Ltw4d/M5IEtQ7yzbNRuX/77+
mSt7RNXZJQLCeTbAdCfDuWtHTBNUH/3rj15Zx6q87hBzSxo9OdMEC7+Gjnk25F989PmVn3Y2HAn0
dsrwqyWh36JscmvebcSmy9gDxtVSp2PCZUSziugoGDMOc5agcVrMmlG7jqWVp9LWx9s6BVpuFgZ8
akgndxqCwfscTdEUQOluekvpKF8hcKhtfO7KtlVLAXPVMJvEzRSi6yLcQXP8CvyCFtYjfQ3ttqw0
o40AsUJj5moxIG/HCNKmXXTMYHMSzKk0nnQ4k55v1vYCYmFVPsagKL1XZvEXIgG7XlreKOSDDuYp
JN77Af7O0/Q2LVr1AjwmzC5TThOPlFHkRhaLXq+vrZUTS9XaZG062TpNhxB2kfPdUGXJQzcnhsfz
Irkp+RQfdSPvUexrl+whMowtHsPKTKg6nDMYSmkv6BgOQL3mbW0HTiuOmV5AhAa+mNIeNzh9Ky/i
asVkySTnEV5UmBCVlB0s8+54qrlW+6En3UaUWXvJ+e+ftpEoEq6zQu/CGY2raKpBFxJ24RpLFSy6
iSq/kXwJKcxVd5E2cspELnUfTsygQWqXH0nZPw3O8NRpue0D2DlsfJOmXz56+DnSffooNjmoRUdJ
fIoicxJeLNs+CWYzE3/rVgO6UFhZ91vCuX0I9LjJH8rRYD/EkvD7IWMtTitrThLXotkEgcHZNA6O
ZYr7Ji6no5yyKXZlTBzfRuXw12hx+cvW4rzysxwnqj4t+gYXbiV4qkKsMDiwRhTMu9BO8/quL4S5
6zKyVa5eO15U+dUxtsuW5bwNB5Hh1m/bcrzLFxgAAPMeoZ8PjiJ5yPIJeM1GOnzX60MKPElbdX+v
b+CVFFBVUO6JWQnQH8dQwrf5uS5TXF55R+7sbqaHchyHjeR55Xzj51XyaTWkWcOSCUToUIOXw4s1
Na0HTq/hQtWJbMSilalSJZSBZ0W1lGpdCOXc5IdZ5rkHyaro/fpArT1dSdnQWiqxFFoEAmlau0Gr
nDs9bo2NMLM2DUqeVnaicPIoasME7ub7Frz155nOPBTakgN5u0wfX/oKVYy37KACi5StDfWYdB51
nNnrY+3haw8/D92nOeYm6lfFNMQne+ZeGeU+J3+uP5n9A5BeSGRVlGvcJNqcmXj26Ttx303XdEv3
N/dtb/ZM9/bW/566u9a9fT+d/Nsd/nd/PO6Ou1vfv719uX8qvdg9Prm/9vs/+6c/xz+T+2cIbh72
x6O7P74c3eOfG9v1gn3hBndhGATB6+GA//sIn71DuL8LPTzH908HD/8m8ELvcLr1d7t3//H8zzzP
f/f9g/9+SNytVuxqYFAuH5zHs77MiDuQDBu+p6ZjPEbNDE1UW09x0FfWPUsbOyC8YG6Vla3XUb19
uT7aK0tdRX2CihslMD0Fd2XmewsIilykG0tkLatTkZxilmbSZxY/CrRPQE6CLSU50OlnbqFyKtuD
QZ7mdHpocU3EyzWevoLCHzBry+B9JQ6pAE+9kgYaz0MHFA41jgsR7L1hpPxFkij/9aXhU+GdFPet
chk4kOd96tbaNzPfCqL8HGwu7AJVOZjQNG61zkB3CN47B7vJv+cOdC6AnNJF5tKMsT/jYiQxPA3z
2s+nhr6Mhihe6ii1/i4AXu/hQMkqL0VznEJyK8o8gHGYv5gySLvcR7Y4H+bF0B8bVI9vWkq6H90k
cygNyVqmLjG7RIN5/WTMnjFq+EQnA7fW6ee9lCVqnhwQ4SLtUfZOljmFMbhET0OilAiDMSjaY0FF
+7okzh+nlkCrZQaawFbFgI9s4oEUbgIsEwBXwMbaoEPuQQFxhDvaYwQqPnDBPW4ACYTKuTGjxQuV
3SDVRvyLDN34ew38NJ8IXQZWGVt30MmaXiDMpPtRN0S4UZWdBxxA8d5Nc3Vv9dbkGYudBMAl9LM7
EQpb8yhDhUIfdKDfOt3L+qG7sQjfErtd2VcqNDRzpoL1jHZhH0PGyXVoYQSyyvOvEau5Km2Rpkui
JU3WhRl0pR+iLM69tGq3lJVWjigVogv2Ik1mTCD0pJ8W+0lKAMFJaGRiI2FcqXpyVfzZzHqW2VOD
prXT3o0z2fO4OPa1A/U8x4PKiEfqzi9r/SHudNi053D1KKONMsbK1Kg6GDEk9AyrQJENlRkgOu77
+Nv1YLCS2qsKGIKyGTbqTRfmDen3GahEhzqz2nvOB+0OtOIiHGBoF1x/2doUKTlKqUNUa6jzMmy0
ooN5Vjbc5rPhnAyaD9Arm7qv6ZxytUCddLpu9snUwiKW/qkhdTYwM3ehib+RLV7+EEu9+/NlSeIM
xVx4wlhBXeq6bxXpHev4nTW0ze5ro6XkXDpN+IKLAz/C1r6dQGTgbj/e1T+vP/0y4I1xVRFiSfOp
BvwzD01npIYbgVk8H1ibQAxDwpu187phgM0XeNkDc5tpNHU3g85I62rDaAApm28KXa6sQVUyJB7O
TLPeKgCusOsdiav05zJOOvN0a+mCWE7lCYTULQD8ygmrylOY0m4GhyNO0MoOraG5oYn+SLi5cSG7
7POMcT2vmU9Z5iRyKqsGpLal5gIHgtbMUORLlu4NOdNyY8apdtQtbXhi5dKlLlrt2ikuDXF0AIvO
YUoQzX5ZLcQ3aqJ/WwyYUsRVGW/8vMsrl/9HQft80iaV0YQOqOkHGUUsTJJJ3jZS7zVX9k60ARNb
m9RzJPs0DPFSgOdhmUW4pBr8R+Hn04ZkycujZfHcZwnSxGYWW1qsK/FRpUwsdCrNtLC6sBI55H1Z
3e9HXvON6HuxiqRp/+HqFaI1sT7HE3wYLFdfnOneiTMZSIC0/bQx9kkzdoEWo+AGhv636xv04ifh
pco6avXW0mYbYMG5Yd/7Mv7NUsO//uiLWwCPPv/909zgsTUcWqgGUlb9k2ogs4A/VT5Yo6j319+w
9uPPf//0BjANeFOkiXZKnGp2R8Lvkfe8XH/2xZWFX69c1SsmWUeFzaDuM3mWkflz3scgl8D5Ej2w
e/yXjcvA2jApd5yYtXpc4mUgZbDUtywndwurnAGF75uNmVgbJ+VEHNDzt5lF5tNgpq9cRLsuWr44
TMrx4YgUJzeTy8mofsulhePMh01qb+xvY5Asrk/FygipMJtmALOucig7cd0cgARpem/qyxbk7691
NTVNRdpwAu600+AVCbE4rhRTVvt6VNQHiIyK0IFQ6lZvdu1jzuvt05rtKZTciF0ap3KJ+LeZj/Ee
koVn5yEzfrs+XpevzfgaZVPDs6WB3mrNTulM4yPcqgavTIzpLY9zsW8d6FZRNJ+PeWfExyVPSk+S
vtyorVwM/Xi3suthgo4+ZAP7dxBV/ubmdJK9CXl2ljylNftK1Mc7zuv80xhmLNWE1qXs5CD933d1
JALQFRMfd1oWTDzp3tChSP5sjOZ5I/7nuom3KZEgpk5ct04L/pc9m88oRDShZCJ+slnahybIz69Q
rvkQTgeV60lQwORGXlK3yB3+WCQ1SDDXf8jaylEChV3kMcmk3Z5MMvn0bDqTAN89b2yylXinJrP5
MJRdyyZ2KvS/hIyQIsyRg7XuaP3Qoy0A/MoRp2IqimygOSjGC+zeswenzckRwA1P08y9CYYP6nJ7
I50+ljLaEiO8PGbwTFBWitWLFubr7GQjKgVZZUfIEdrSzepxqzey9gqlN1LOpV065iRPNmxVqscp
epDx8/UZvzwnoHj8/6+X1Why2ZDlNI1WwPN5t3Q9CL/1j96qgtactswmLu9ZpiIumLnYRjGm9NRX
YQp5dtEveyoqvxMbZeO1MTr//dOGtagmsHbhnzok5JlGiV+S4qMvtvKyf4fyf7coU7EVcT5A/UrK
5jROKbDVchQHveQWLheRAJigaKAXXuYnfdL0G8JH6JUUlpndmbnF4H8BC+o94K5bVey1j1XixSxm
QyYWy088Hzq3t9oAHmMazBS29N3WloUSCEahlRaxaH7KiskDZz+oDYiwaNa3sazuZtL3GwHnctrA
VHzGoFdFXJkRAs5UgbKiF/6QLYl/fW2vrTklcZinsbZNEklo2MReXxHQF/sDKIOoFW4J16z8fhWV
4eSxwyGiAn/VIvdHG+cDdBmv//qVKVDhGK1mEI5eGAyoxjEwM8hgTq84dYOlt910yxxyZSGpqAuj
JVZV60KeOtF6s76LICmgb63Sy4UmDVyY/9+Tqd7mEDbuuxOTcReONjjUXtJ2JIYcV+oA6SHSnaMP
PCCpWexRMYZNt10P7jxwAvao+bVrAu42//879LE146lKKEyLvjk6/D3ZnlhbOrdrQ6hkCtQgWZLV
yEb6s1gTK1xmvJjDBjhjbREoGx2KAhJcoQq/fM5lYDYWWMVjabtFZXbeuDgcfayFfW2/qNp7s5hq
oykTcYLKX+FCYUV3q26sIUVBPSsTW24RK3tGZW87aQocwQATSYiAUzcaDXRzHGMjb1ubDSVwdRAp
GtLZxFHJcuRpH4NlukX3tcyaqeWy3gbtxrCRXGQjwKFOtR9HDRJ5W7BEfo5MFw4ZFfcyxHkjzMEC
dYub5M/cjVHhGR1yUQ/SLiJojVl8NxeIyQCGwtIdPJxtw9eMODn1+gKPKH3szmipITF3M4tG2Mta
WcAgF697HBjae6OUwl0yOCd79twYPoGIZ+xlZt/fQvoj8YekqI8a7OcOIs2tXckNdpO0o/gxajJ6
j/pZPvMKGoa2A+GoCRZPbkxm55BkkDeCH8TiD7yHmCIzavFWgV7qCgzYQYL87smyaVMPduPjywSL
iMCaR+1nXdnZc980TShI3TyBFSW9dpHJUdfHBXbh+gSvksLkwVRJ+3bimfQ1yyEHuF6a3LXKwgnr
hnNvhHqjW5Bi3M0LytuBmeQ6Knuk2vd1goDSRUkDd5tF/yHzkcd+UUCgEyo507SB6l45alQUkb1U
QACKQZ7k2I0u+DOWl+ZgRsk8y7yp7R+vnwkrW0cFyXSCddDpM5cTnGQTr50S4UJyeUPRZO0blFSw
TMYWhWw8PJ8QlsvvIvnNY+hEmFvshLVfrxwHuKBldcuQKY+L9mrHS/PQoDK8sfHXHn7++6f8L4GH
MpslNCGGfKJBAeSL1xDw5r428EoczmrW5waKDycz6kxXUvqeLMvx+rMvA3hQlFNiFoS046boO8jU
pBylmbQb5QPI+/IbMyKELrORxKva0n6E0LUZWLRfDtSGRUZnOGgVth2HZs40IP1LM/0W2Gbdreeu
uodGoe1NrLAPEKPQbm2wYI6QGdH81DGN3k2jimyM/cop9a+L+mnshYXuQVdY46no4Y821dZbzIYb
WRSwdOENunDJlorJSnj/Fzg/vYmbpkkXXRtP1MEHZ85wlzu28FAz869PxsoLVJxdMjozaRch4Fgx
gffIwPTtusj6yEBH3sK3r7xDV/aBTRotxhUfnK4RDjbDt4I6e6DqNpbq2tPPf/80RHVjp9mC6Bl2
OFhTlhxaeiPjLYzrytNVPCBx0FwhM2SwSPNi6L3fLT+KcauvuhKBVAxYXEOSD03jKEy0wVvM2I3N
uwnlaY1s5R5rP18ZekeLKl3aQ34aoZQJ0S2I8T3NtNwor689XRl6LilgOWK2QwMno9ndkOKOzr++
tjCV+FbPOitrG1VQs5l2hakL0KvqwdOMrd7A2uArIS5nll5BQY6doG4EJ6Y8jOHeScvsYH6pYYU+
gBLngAuIoI0oEP/n76x5J8a5a7VxkVwbeqX+zIY04QikqC3x+tBA7MTlBWTuZ7p1U10bHuUyOYg2
AVSUGScOL7t9OrB+h7txBWW9BvI+4DNuZPwrH6LiZmaxZMh4Znaaqg9Of5kUCodb6etKnFYBMy2y
KlQzkaWUafLd5NqpNrRj26KGiMJMUm+x9NY+QUkkLFyJ27SR8gRfnuTYOix+g6VxtS/Lasg25vtc
+rqQKasQDDmz2mp6XIxwthwWOZ5QxELbbzwrLEAsCSqr3+E2uTEnK9VupkIyeo1BlddmaMMTxr8L
HMMOVBHHLAmY07f3kPEfPQb3Hg/c4sAAwjAwx2XrdF1ZeapkokZTaGkhxQ6h+x49WWfJ+pbDIHDo
W3qwsznaOPrOkeTCkKq6KlPBm5bCh+JEUAZ2W539zCEb+qXo9S/1+XQoYUFDhZKCB2vUbD9UKXBO
SX7Od4yN9bAySCqmpRXoLOsEN7Na3ubDb/gUu1Tc5VG3MThrz1eiow71pEjPDHZqp+m7NZXlXVMW
JDCXxf6VNs7WCbi2dZQQCYuQdk4X1MOKrsiDohIAkDeteTKItlUgX3uFEinrvoVcKcGX1PVvGLb5
rRa7SZoG1yd6bZyUMFmlQwUvyBLZR5uG0cTf6jnexZWeBqUAOeL6S1Y+QUV84O5WVUZn87DjkTuz
+7E/E2K20rOVfaCiOGRhJhbu306YddOOGcmjI6qf13/45eYEUyEbY9obCcxQ7LBOjNZjwPgd6rIC
6Io7j/Hc8+9FkpRHVmbNLq+hynj9rWvDdZ6rT5uPkIUN9Tw4YTFnd1rWgr0n72nfvl5//MqUq0iM
Me4BdBFMnkYL7jTJIymbjznLcnfLH3nt958n6tPvr7q+qGqLaSdU1IW/DAC0apAO9cxBkq9tb1U7
tira1Cni1g77ZjpapP47trYnuLOnFYCT18dp5TP+IyhICV0kJOpOVWmyfRn11EuLpffjMt7a2ytT
oYrKOXyRGdWSKKxbaLuIEjrTmZugcjiILa3rlRxC1X2r20aMDKiFsGJGQCT1qXUTyediqtGUfPnS
SKnCb6Lom3TU8A5HDkFZ0WMVFw/wR9s4zlc+QVV7s+M8qmu7FSeaNfSJFrO1q7s8ferLMfccA+Bo
UvL87fq3rCQqqu5bTu2payuoOwIw+qTZupdaeuxGjXy3ptHxstH8O9RbgrdrX6bsdLlkBVkgJHpy
0io6cRvmFzAeEQFNlqxzYyhRvxaQTPjiZVmVeSuHrMjNOkM+WemllzLtDmLXr4auP10fu8s7hqoo
bOgOO3S2MycEG9HHYQJQVAz7xexLRbv/OtR1rXDmBjXEhfbvA7F2PK1uxj5+1jdZbZcDPlUTRyuD
g5ltcmAvhmXcT3q+bzW4eDcl+lFG5TPCu10CnftI3xJPWBszJVgmXVNk+qxHYQyzUJYtEP9Lgqyj
G6We82P+myT+x8cuJnmaQiQU5zsfgl6SD6tzPr4229r/h3kj7+TUj8wJbftNdNKDyX3QFPuvPVzJ
ehZK2jTm1A7LtADt3vrQ23hnT+kmj+ScCF4aGCXxsbWembhGQTBQR7neGHl23zet4RsRm4Ixq+l9
ZNpVYET1GJKp6fyqL8neqinsQxxT+tJa6MZhtrIE1PSoxm2F0wZz5LSJX1WN6caJgNh6+SVUMrAx
51j36UAue8ola3QeTi3YEM0oIs8wy5eebrVVV7aNmifNY5plVg9VFNgZ5u7ILEh/ztpdXUc7XFkf
Rc1LT1TiGTqTv6+vj5Ur3n/c2EbNbBmqE+f5Y9EuHfqgqfVd0lq/MkP2rtSzb2dufJ2mL0sNPuT1
165sJzV3ihi0bUuWWCEbC+Im1rwcp7QrgutPv3wcUNUkIEH7xo7LvoYyVQFV3+SbZWjvLKP70hnB
JlnEllvM5byDqqjVXme1XkwFwpwZ/Y1o9N0R5T16ZCeb6FsVnrWPUcJDPszcriunOelWXntY4uKX
ZrPSI4Zg31HMnm6hUte9XR85dpkBhDWuBIwMtCxWAsYBJTpS/ORz3KWHxrJ005vjPBmPWQFOz2zo
DQnnyTBeQVvs30hDTHjKLemNmbISLsTL2ZEQEtDPBrxddAz5lB6yJp1/OpmdveltajduGgOWZ099
dcOAWQ8MwlrNH0aaP0K2ufdIoWlQr2ogSTg2MH0I+ATSt7vk39Lil6nBV5VK3CByJt+bKMO8QsPv
u90WvaunS/OLScAI3Aj9uw434qz7Fte5c8hwVAWQuJ1uxrbva5xGtP+VCnvYT3A18DqLsh1vaQI0
PVgzlt7bOypi9qYZfeK3Du5blpYmpxlaOPuFLPPiAUBA3kzYI+20EW1dzpcBQrrmU1Sas1eSujjY
RlzNRzMhFXNpOQ072RW/wetHqzkm5DZNTOZJ8HS9Sks1v3IgiZgty0c/R7pXJbPlkwmdwGyxtV0E
o98XWVpQcxNToz9hSOWfuMoMcMV59ziLw2T3Z/c7Mxa5pzfc+N3V2Z/E0uLKlQ3XfLMpYSQqLZMh
OiL5A6nLMr9VE3RMTTiHhIao5p2cOorfCrTfK0Uns3G1kmDW7UiP0WPp0SSPoHfupsaweMVsjqXr
FKYRmLD9uK8kpNyjnPb8pmumyZ3EELs8yZCUd/Bp48BH9umusedKw/fHyw97RhNll+Z2dMhLWoYW
nbSDMUcU7ul6BOCKk5Wvhiz5mzlO7QGq1RGaPxrMUZDSGQdd2OaMXB91EOBcMAhEnxx0OmUvfgHD
XoWN7ST7wqyTj4qPjXlIhHAiT5vjBZ3ECELw5miSMWhyYbs1FERfDJ401CXwWr7teJ7d0dKOgzxP
C4/2xeTDV8H8KRwD6p82eiVux42zT0sMhfTaBlWuhpbCg+2UAuhJrb8Ds7y+r2GB95TpGTl0g5XC
gniiluEaRZxMflnAnxR4qbiAy6ZOtefrO3ktwirnslPqjTBKpz9xqEqK9gkiMBvXiJWgpyrqt1Gb
SdDohhNMKt9oU/7RbONoJ/JQgqB3/cf/kzm9kFWokIwI2AJRG7w4xRkGrQUk+WdVT4Y7aloSauNY
PRRZUvtzx4bI42gNOLsY3LGfMAQWiUs6h8J/iLTa38SI4xfUqyEZOWa9VvsFtxh37bJGx+76j10Z
aRXXIZ1OQEvQ7qHYCxkCGNhOnpPzjYdfvkZRtWeW2LODXbP0J42i8Ve10WlOy/tEwpzbhLJ+NM3e
hHbU9S9Zm9lzYvUpv6lmMeICCmFYiR4UvIVgg3VIk7sh3sJ2rWRoakmXlnqNFd6NoU2nQxvFLTL0
PsjiTfPttS9QypWZXcFFbmj7k+g4bB4slHa9tsqsV9Th678Izlt+ImtfopzKC+Ex4WkCJWgNHs2W
Yf+IeHZXO1tF6bUPUY7hmvFMc0r4cU9Ov1tgISis313cI2ZsXAzWVq0SHwbNokYJb2x8QA6RSTm8
92O+ccFcGRy1jsE7CVOb0WhPiRiejQhSsLEBI+7p8UvLVK1jdMJxiKAOC/tcjF6OQ8kzRYVUo7md
tH5LlndlBtQCRmr3ZUHruUZl3Tpyqj3GafxQTv2fXBMbkXRlDlTJ+qWvhG4ZDZo5fO5uhB2n93KJ
243dvHKZUKsUS2KVSYtayMkq9hOHRA5/H50iMEbDratppxfJLqZfHa3zJ34KHbkkk3Pu054KCUAl
u+dmCKqHVxUbujL/fvWFE0HtpJRyKIelodCv2kf79LA81+FwP9/CtcMnHvcgyeNpO3Fj7YpDF7b3
9ACQ2sEKrOD6mlubKmW/67LicM7Akp7MFIrifw3nS+gj+s9a79PATUhRhj4a0WJLx5e4HFOfLdFT
CyyPBYXAjVNk7dcrmx3IsrHq24Ke4B8TALn92BpbHa6VA0oVk4fRH7zvbMMJS516kVnBm2Rxk3iB
ptDHgn5a3n1Nb5iqkuh0tEvS2JMN/KQTjjr0i6yqf4lk/OP6FK9seJUk2M6kyWeby1OdeI2w3MS4
F33jdlO5kdWshEWVEJjrfUNLbgLwXceeE0U9kGztK+wDNqihK7OssgIJhH7mpNTliTfjLcSKAh1J
+PWxWbmE/lPb+LRKDfjtxHo6V2DSfdPamya1ThFtPUe+SLPfOJEuu0lq9B8F4dNLxGJNE+CrdhhZ
zcuU6hEWT2LeMo1Hf5gDmzQgkopHFkUwLB8BpRwzQgP4sfBAZFZ+3xpZdwLEsr2pK/QY6nqxBUwo
q3gvR2sC4ojkECEm1RvR6RaP/DIJW6OqZqutFRKCyECFFhVkL8wpnZB+ViCSwm4QOsquo0/cM01M
Rkdt8Wwkeg7e7Jhqi9s3X9T3clQA0bnIZ1WVXMK8fCvbm1J3XJAoGxkuJNlYvBd3B3gs579/mhwD
8smjGMzmxNv3AXczmvbBpIcl32LLr+0OJcISChAUKc/uYgbKBBLeQ5rYVfSLRe9/E/jp94tMT6OW
IqGqZXy0JusvehK+08evGmk3AsjaFyhRNs8Mi9Y9EPFtNKee1RTQv9eDMu5K//ouXIm1KlsTNYlU
0AUWCrLXnkkLF2RAHd8x+6Y/kfhJFHCkp9TY2PNrbzv//dOI2WZhsKi1eFhn5o8+nkNJnROfm9kf
9BI1m+hvw+ju+pethC5VMD1yoJtt1j2kb4vqm2UPt+0y/b7+6JVZURmbOeyI+yjNxlPV1dRtl+q3
FjGvWUS0cbiuxEaVlkltA4Uu3mlhHr215QP4SUfw7+DAme9k8cUTXOVlasDfDrAwbE5tCp0KqYUi
azcGaO33K3emPGvKVm+Af8kcKw6J4TgHWsfRGwrR9Q6+OqMHecfk1/XZWAvyKhly4GaUmGOvhbAl
eBxKOt8kWq7fQCV4CjTeol8LQ6/s0OlEhkn8P86uY0lSXYl+EREIry1FOdqbsRtiLCAkkLASX/9O
vVUPtykiejk9EaiQlImUeYw/HkrV/vEmT+0jz7aSAZRDiPsObDjJ2oaYRTCgBVfBRfTEQN6881Gk
+047p70Daz7fWOF3cx+S/CKwR3jc5XmNuFOjTPqshmCQt2vyz45+vj4r7+5RUCkvR/g3oWYxI1Gz
DHD00KAN5M5XCdc2CoblRvJ+N5Tx/EUow2CNW6Hq7LREWybhPnBIOq/4nhEpTrzIAODKomonJkje
fuyNLpvtzRuRvi5yISY7zQP/rg/5sbey1yjfIh+tyHzRJa+yjuy278aBpLUYn/umfnV6vZ8FqdII
VrhpH6C6FzGfnVUR9KfckfxLE0zw5OJmiC13gpVsDXGUj73sZVnfvKwFTRzfG3KSomz52+HlwzBm
OawTtzTF3o1QLN8la755flc1roU6VphKYXZ1+xooK3bpuBv4bYbD/MdeYpEGGsaE0QPIYmFRQ0fr
cZQmdtrjxx7u/PsGVQ4KqZkxQyRqnb1nYLFeRw7K/RRSzteHeDdIMUnk3yF63mq3rbD2FdS/PQ73
sjO0r+DtuhGjl8n+zwUUz18kASiNOuNYdDMsJghs4isBaZi+pxsTtLLES0Jl1Pe+P800SN0I/WVK
4yxzYvRJ4oiFycQ+tsZLbiXvIIHlVpabZsyyPkd+W+90rzNYZPru6foyrKSyJbMyh40jHXNfp5F1
G4li57rH1tlq8q9o89AlszJzJl4PipibYi7Lcldqt35mFhBxVVDMECmuI/Wzmag2se1xD/qc0Rg4
MQw6oDDXtFPzualC5w8gSBD1tov2b1hXOMtKDreO66//fj8V5+RFLpDQoud2By4pGu1wS42KOIzg
Aozv6KGFUzy6DeYkFNeJqofbMfTP18ddmfZgkSIm1oVey4CAEgBlJrYjIW3lw18oZ7ra2Dyrr7bI
EGNWFaoaei9l1BlftN/qO68Jo2NgoFPuBbneVcGQQUGnDVVc1CjBo5794/r7rUTfksqK3pUSNURv
0rwO4Tak8HCoTm+cPlcmL1pMXl3yuprURY1krJ/dDuZ0MJq9c0Py+fqPX0lN0WLi9FwOlm2P7KaW
DzVzjobkOwXBIVg27z82wiK/1q3XRWEZQCaDV1/nMMp2MG4+aAIRRpPN7cY8/b8U8k4OXPJA5x7u
vxKKPimDwOXIraRW0JeAL7sZT4BCPWTD2Rm+u4EN9qbZG4gr9dV3ExRf2KSArP6OS97G5WRtyRbZ
mMHWyAEUQ6dNRapvwA+4+3HMoJ4decVHCEVQiFgcymbHBnQA+E4YmfH04hZdtc2BRhsvsJLwl5RG
BftTp3c9F0TOPraCP1nlxmX00AUBcB9m45u4MkvhZfA3BweOk73kE+U3E+t1vesrNBM88HdVApec
D+E7CV1KGzpGt5anPVCPLWhaNlHW7EcpsySzW/HBjecv9jc0hQci6kDd1A7vingshPkJmUPvU5M3
3tOgNTI+7FE92Hi5hP720DOG1tM8hk3CIFiYx9GcozNgZejb7Cx3CABAvNwmbD7CZD5UG79zJdCX
6ufab0rX841OdW2eXGpDG2iMWQhRDvPzeqCvrejl729W1LFzOdVQR02zebZTNs/dMZotsldN5W/s
+5XLwlKx20BXLHDnfMJcm7+k8atkKpRObRxRRNyM/gQVV95i03az2X/srRYJss/ziUin6W68LLT2
YzF/K0kL7+a+3oi2tYVZ7B9VmSoqArxFACj64+yL8EGOsGJjhXsB26kt/8OVz9SSEZqVoEPzHGkp
Az1n8q29Te0PLssi49WcDwXRsrxBKyryXyyp4tbga9WDgf6Y91uK8StvsCSCjsSF47iqyxtgnG86
6b8Cl7NxNFx79OIWOgdsKkvf0amZ+lsgANOibDbOJu/2unDqWqxv33OcTKLQTTsf7vO7rJTj3gJ+
HqxhtzhS2bl7qwfMHVjd+i8ZrWYj4NfGJf+GYyVKAnUP6cAly3ya+lrGtSP3tKMQqRITDFb7bzaj
AM3gwLIRKysfjqXANVMl1tx09o1fg6nbTBOQPcDbxMyZMCgYeYdWhFvwzpUlW7LyXBhLuxVmNu15
8TDlYl/ndOukvPIiS1beoGuPFw5epOQACO35sB8+5fsi8eBPH+e/IzgS3DeP+p7v84f58XqiWckD
S2T1rDMx25lub2zjnksTkjugtvWeFpNMcqe1jteHWZu2y/BvszQkJbsWBc0bnFPssy6a+pNVuR8y
AscHd/ENAMTdnixwPlPOQNA2KIWVuX0eJTOHkZitiuPlae+c9f7DLNPWzAdAXm9IeGzyB1U8Kuv1
Y9OziBoX6KkOamvoe9PqC3fLl6DYIrSs/epFloRCKwfeKySpCfISSmv05DlwmPYHvtGzX9m1S5Dx
CE/S3jcgeVrwa4FCyFjCMif7DrBc7G5q66zsnyXQuLLDLLMIRL3yuXpiMAAeSxygPzT5S4yxO83h
wDS6FE5r4lb8sfUHD4JL4dzKgaiyGsFN7UuhbwHFgFilguQ1zR2y0eJcybdL3DDUCGjXN7BtbXu4
YELU2CliFJa8pKoV33eA69U7xX7kLTvMyuVfrk/Z2ppflulNOA913haVzUk6OoG/c0z1yqjtxL1s
7qtRvDY1XFs/NtLiIFQEdGAjgYxPG33SwV/IvyQK+8xXP8ruQ+wVCLotvpXzxSV2DoH45mwYD7O+
ABpgYnqAZOUWK9X/f3flneyxhBHXHgot2heoJlp5daB1j5osadSfELZb1u0MOPm907YQIxCoE1fH
oLSrU0dMXcJqINBlHAo1i9hFOxffhk6lQL7qXUR8D88K232jc/PN5g6HZ+0UJnzgs7dzFchN0B/0
szNafUEKKctq11C7T8Y5c/94sL47g8nuozhEyuje9bMGZyeRJ3Y/5AenD5zbsoAYmOFRcejNAEM2
ocMvtGPRKyEG1NpgKv0XXBfYQVMqg51XKXNnTSK/dcLeLeIoqOHKy5rsCORZnuawC/+JqhOECziS
UOdVYldE2j5EZcQPDi7mL7wfBWwqhvkYVJba5xEeHjuFCU+SkPATjcIc5fPBfoKyz3TXQwIkbUll
Ek652I0MjgZ2T9uYqz47WXlYn6KKTLFdwFSTtv78F2eT4OgDLRG3FN5ys9X7r2MlzI1lB/YRB4kx
YcwZE21qO55EiBf3pvrW6pt8ryEs/DJAICGGzGP07FgAY8ZDN4dQNvGdg1Y2xKCrFuedEqjqJlBT
0hCvAqmM1ofKD+aj5qr9ombPPTI9sU9tAO5Eq3At9CrAnHdzX4JP3kTuz94PpgRVefmifHB/TdEM
N03v33T+6OxHOlYQ457yPXyagyP4tG0iFShRvHTae6hukycIu4Q/3bxH6b1XIW4pzXQOasFxCc2H
m5AZfUc1yQ9GhvNF19tBVc771cKCEt0QNziUrh1D4QMwYF6FO68kc+zR4tESlnPWQGkfQip+533r
n1EztV+I171WvOpPcI9yfgGQ0NU72qjxm+OYcTcNFx0xXCsFRHtzH74jWSX+tqaRu9poAzsxaE1G
kFdOALgMHxlwzS+ij/R92wu6j6Sev9U+aT4p1XT3+RTkt2Np/hpPtwBWa/YQdmGGCdDFXRd2nwIl
y3SYnREL0ogbDTHE+4IE6gBEloxd3XwOYapxTxVmmFRSnDM88ZxJbzg2XPhiJ8euSmQU6C8Zm6bU
uKV9xC3aTZw5h8QM3KIPgaF+3MgO3htB0x6lM7s/HWHEbVs2YEL2Bv4mncvP1OgRR8SiPbo47e9L
YmcgfwGwqhA/wa6xZnnb+rzeRa6LlxQwoMKOlglVKOFmLRoCk+iKAxvC4ZGicxvPXk4TS5IJhGRR
nCDLGu1qpJSYlkAuRlA41VTLXTXpGq4eQSHAMKTR10AG/IkrpZ8GiIIlshryxNeBOkE0zh6g7wlb
ItRdoCzHcSE4YLjwprOsctdqG0yCPOLzUwvfuceqZdlORI1Mddubo3A7Dx1Y9idzay+NfJYluYv2
fuYG5SmAs2kUF7SD0mIbyubsq3m8pzXcc3aZJvSrsEs/LpwQdWkiMvAampFGcJms6u8ErIsSKnqV
fNSzcOukGxxIOtSgNzxEuonuuUfz7wGxPmsh2hC5o8Vdo0AK2de6ogehTHc7KyD9ag+DWDBduUMN
ZjgEJVpGQY0SRK3gYxgDAj0/zgV2YcGDObFVHt1MVA17Sos2oRL2Ki68Q+5JP/b3GiWcQ4Xb0l0B
97gbmJWqz9jV7HPm2u4n7J3pGQXfCfkUyph+TCfT0tiGfxXcXKg5Vq1jPaP1KL8CGW2D0FGMcG0a
5K2juWsl2YQy5cWwOQTz20DXT0ZuiIK1DJBITcFPZLLoxVYcsSmcwnlteTnvrCKne4vP+ns3tU4C
xnoLGUWaQbmhKmmxL/0eXzWdoUvci9I5cUnrOCj4tOv7djpR13Uf5lb1CRxwxX0JlMbJjP4MFidF
2S1yPHHSBhBJ22X2w1Rz91EUVpO08zwcEMHYpg1iQYY1dFDsqT/CRQt9RJ51kEkaIcx0hu2D/MTh
apS4djXfcVn2CSkZOTBaR/eOPdFnLfQIDLcaDnTAzQ10A/JQFTlwxK2T/+qM2x+aQRX3OTLOTnqz
m7AAkt8V6F9xTm24jbv2zOLSzsyhvICPKkpxBsLxi6tdBtGJRwqUyHNdtfzF7oF6amoGVVvWVHcK
Yv6vdaWzWMy5fK1YFVTxhN1zhni2fagmxz5It32MYP6dlJ49n13j2d9RCw9OGQvbpDGS3gPeCy85
9DxjCEGYu6gwVMRBOcEuB5L6R1RV1FONnnmq+dx88eko9tytwiNQotFxNDCY5G7RxQUx3rkxZffa
uBU+XbLJnkduzM8CsMIjQFPhk9u3MHHXiiFObIhr2/DpGywVnIvIKVFvbrrbAWXOGw/J+5tLrOmV
9/K35g6BWWPQ/e5G+DPvNMrjd0On9b1Hre7H6MkSEo/5ABXGfDyA+mxuRzNXBaZYuzBcnhQ+5pXt
V0jg2EX7SqjWiYfRU4kHtfev6DOyF8jGFT8M9CoSWC94D07es299F/QgHUE92rFnBzNpd5986YCk
YAXAhodE4sOSsfa2dyb3xzDP8BM2BvYzXlNYZ24uh7EeUnovve0DPSt8Bq106Rx1DkiXzJ35PpON
/GMPjMaVH4XgT6HLXOmxA1SqKL/mHStvC58Nz8jb8y1Sr5vY2ew/C27qW4UUd+IW1MNdA+xE0qje
ScMRh66aQVCRdH2esNoGZ26s2NextvyDXTf83Agyngao190QIotEu7NH0MRy56S0iosbUFejYRlN
uQKnKBdI50109g3PLn5Owy9YKGV4S1Y/gnfsbVR8Vi56S4ZI5/We6WiHzl8JSsjE3CZxFMS1XQg8
btSrVooFS2JHC5mywG9DmiIOU5Bch12G71LbNPvI8q3d9RP/SrV1SfDwIxN4CtZHqT20UH7snVsp
rNucDQdfFGfL630UJtyNu9/aG10m881FBrXzCEn0IqvaQ0enqs9hXkERr1LnzBIbgOaVu+uS45G3
DQ3LQdppbxkJEiAYV3KLH7v27MX1CHIqdVgaZqeqUV8gAIgUIqMtdu/awxf3oqixHRENCooFMFhJ
jPRNCuKh+FhJyFsUJjwiuNcwWJB4rfW9Ms6v0dnSdVgLhUWjKpiA+5U8AB/CAvmp9cRZyureZt0H
V3RRroEedhMGU41Z96FPZ7SeYsWnb9f3/9qPX8yLGk1TcYHjH47C9cFjsHIzjvG/jG04bnD3V67v
SzqKaEFfRbUGIWYFLkpBAARPHkTq5m9NVD/Pcv5z/VVWomvJSwkFcUztQK4Bl6mdamH7A7msEQ6n
9bSFk1wb4vKKbwLYlTb8ivhI0nBSO01+dUKnLd1L8Dquv8NKECwpKUEOjy3auXNqSxyRuuG2q8KN
ytnKSi/5KGIay7mBG+1Nzr9Y+Bp17VM3bzV41tb48j5vJkaVWTsLSGGloV+yfTbjMwXH7irJZHVk
XdvFskfF5vocrY21yEJG8KrwexSh8imrb5QfHQdPJEELU8IBhkIgGkZbxs0rXwdnkZMonHOjjBrA
3LRHk0CU/o47gYxxc/bjac7rvTNNQGlm4ZaIwtoOWwQ7Tk+1B1QLw6ceLe9Au2MM/dcvcFHO4tCp
NurwK3U8ZxH1VWaXIH7nkALNnwco+E+dnYj5q8hFDB2JfTt8I+NGyXBltZYEFXfAaU4SDuSs/Ovq
z33/6Iv9hLUqra/X98PKxl4SU3woTIdTZ8HkzFbn2lM/aTYkzRB8SJgL15BF0Jswy5ltfJLOPtex
rZwvwwTB6Os/fm16LvvgTeD4dQMJKAeFOoYzZuyEzTF0wfIn5b739CeL5htJeG2SLn9/M05tQaMQ
twGSqmH+0zjWS9nri2Dl1nusJK4lQ8XRWolgAjQlaN3mLFCzve9HFCKuz9JKVCypKW1VE3A80bI0
ThPLSSSEfXWnct9YXnJ9hLX5WUS6rKnl0xo6KoZGRyqi3xkTsC6dg43z8tr8LOKauor5fgQ6I66d
UG5Qx2KQ5+s/fW0LLYK5I5VDhpngfJBDa0H9LfO/3M6TuUBfZ+OUsJIHl8wHXKZQRnBmqJRwyCOU
lPSPkZtVN/VoHsJcHlw3n/dWlocbq7Gy3kvTqk6ryB1wUU1rH+Lu09/BV4ld/uhRxrg+ZyvLvSQ8
yKC2Jq9BY9UMqBugRCHlH7/5cf3ha79+EdOuY3mQknAi3CnUya/EJ5Rb+M4a1QMqKt7++iArG2pJ
e4DDFUQcRo+kF5UDS8+fOPRBNr6wa7NzGfNNskAVqo86P49SKHN+zi37ebJgjBFuIClW9uvSdYr6
UQce4YUNybwdr1so9jl9hLuqfW5aT8WEgS12fZLWVmIR1RGUM83QwYqFqhOV1t4TP0uog6P8t7FR
12ZqEdZ5lduqBPPtRqFxQcPvjr5nYbOxxGu/fhHYdeWVKE0BwQKKwOemBlmYoBgtgIKOaSG3Mvf7
rxD9h/xgK+1kuTY3TF5MGJ3yqTG+gxKi3niN93dqtGQ/CLBZOkElSaesOUMZ+bfFog0Qw/szFC1t
pFCaG2qw+ZCXfO8WojhfTdncCpu8oK329/oWen+3RvQy9JtYaMpxthvttLABnHddgM6mlP6LqMKX
Loeoiq7ZFlpwbZ4uC/RmJNSZGWCQor8ZjETnoPW/Ok69cYdcQW5HSw5DyxwOraQGD2ee2XEN3267
8fq9KegpbEZYwdtHgCw/F7P57pD6AY7j3yZaPfaz9xSU9VPPyAsl9sv1Sf0/bfG//cmILs7wdmtD
cAZ9q7QaI/DEw8xHjZ5NRx9ejvdRrfIHw+XFP7CRN5bnwXnOcZ2znbvDD5hD0Gd31OBFza548aD6
EtcW7z6BpIQu/VAP+DfUS148BWRLPxjgou1JPnjO6Ny6RP52PXsCYL1xhpj6VDxAriq4nWroz7Qy
R80sr/kTbPB03AwSq9zOzpEzlh0wg1NsDUN2l+E2c4M6CLnjrj+dGW450OiR5EDmAb6sNtUKKEc0
fKD5LlKU/fg3LsMuqZ2ZnApN2B6Je05yhq+B5CSCo6DIQBkFimzO8B9A0UY72iEzzlTm95WmxZds
IuFpDHRzmHK7TGoPaZlN/Xg/0HBLZX9tBy7SpZSaSvfisRI44sF15dnzso1DylqWWSZKTjMQgwBn
od3R8m5Z+OTpjcvM/28t722mRZ6cVEUs7vnqZki9o7wFw1d1sX8bnsQu39cn56E6Zw9eGbf3uKrd
iYdhI/usvNOSNEJxUwPSwalvJBTa5V5MYhTx0EKg1KmiaYt3v7IoS9JIIcANhLFcfWPP5iccbr5y
WWyJm71/rouWbBE0pmDKCkX2tIVP5m3BPCvOJs/s+4ZOexSv7R047FGSc9O/Xo/89825IMZ/ybNv
slwWCZ45vt2lTjsdLDIc6y46+RkwNsKDuWr9qqYhoW6zcyGICs+hZIRy5fWx30/lwbK40lihPQD1
0IOW/VQ6070sxJ2SLEGn4n7up+RjoyzS+KjyYUAlv01LC61VJroBmAonVVn9varQlUUh/4MjXXbM
m6lEYwNCVnk7phCg+w7f0FeX8eLY5xqwjs789UZdHK6/0/s7PViqf4Ro2ysNg9e0ZRXdAYxDIHsE
qNuIlPqxERaph+AYJWywS1MAbaeHLqynxzxATy93xq0a1WVa/psmgqXUh3F0X/SGqpSG7U9fAFQw
oAl8/ee/fxAJlgWVvNcW0CD4+aZqj9R6dWZ7b6m/zN6C4K+swPJ+3aMlFk4O71NUnXAQhMJctW8I
Q6u3aZ2NQspKfCxv2cS2wtBzcpGKCTSWUl542gDNnB3KYUwjfS8OBz5uHAHWXmix4KME2giJjadl
B8P2UqER2/decFaVqD50yQuWmgNVMeZyJhUQcOQW/uP70Dll6NRdX/G137/46DQcIONobFTqOVIc
BXquZ9frOMQS+/rp+hDvZ+dgeeueKAMIi4dVqgi8eEEZJuoHq6LweazdhseCoN2su9BHiZBIujHo
SpQsCeLthMsAVRlPYaF2Z6T1cmlqX3+ftUcvpoyWQdOzsRWpX/PoYbD9vwNsmzc27/sP95fXGBS4
isyN2JgSBuW0rMu+g2GQb/zy9yPDX15hujGUfs4iaG5qm//guYG0iJq86o640DsZ58YLdlZHw42a
6creWpY/PB5UWYj8ilP59JOb6DUIzHep2g+dW4Jl8QONAIda8yRwawLUeyh1fbbDlgA7w7YY7++v
RrBUfbD8Dl60UeOfa5v0+zwLpmM3dVu2aCvZdln70I0aisFl4Zlf8Ej8gTY6FhfB0Pn5+k5dG+Dy
Wm++rAB2h7qFhGPqFXT6PnQlz+NhpvoghS4AEMyi8nh9pLWJcv8dyXgDgd0gQbhVpD92oB7fQoSK
Jx97+iLJTmhbOB7EN9N26Ia9m024Zjlts1HIeT8/+cvbt5prLxoGeWFjQ4+5ti3vyLKyilUkgGWC
Zu7O9aNfMNv9/JG38ZdX8Rbm2bkTOiqd5/q5KavXTmxJ5q0F+CUS3yw4MUJZjR2qNIDh0i7IgO4S
o3/n9eI01KW3E6zdaMO9v7X85UVcaC+fVCTbtMJtm431kZbe3lTWqRm7L9fn6f304f/ncu10/UCa
EcgQY71kpvsUheZ7Zyy5kQ3Xnr/YVWMhSxsw4hYIPA+qsvVesAjszPl0/ee/HxL+UknAMiO41BQ/
37jTfSObMeZgsm9ExNr0L75BrKsEC2nbpn2ZwW9MVFZMcP0fXfVgeVuIgJU3WF4MB6DsWO9hjTWM
Jm97q5iOvBMfOyr7ywth3Y5NN3ueSguY0ST5VPxqNAl3hn/s3AQY07/BEEwZLtTgYafQdx3hQ1j9
QlmqRDt6a35WNtBSRsCYltUTy7BBpy8q+NKbB55t3CPel64l/pKpXlkT55bfjBAyFh1AVUwHicJi
I2vblv4WukH7vXHV8FnqKdxn0cBu2OyZUzgRfSAsd/cqDyTQiqA2eDlUUzxu/xwClH7AbXEfr2/x
Ff0U3LD/nWLt4bgCfZ/sLCoOcDgf+u6ppcwPd7lCi8uVrDhVmehgWDVS/w6WM/UewPPgJoD1yVBF
FJTuKf9sZXzLJXUlmS9J+Fk91zm03cAtb7IbrYZbVUSPDWmfnQwq+Mp/AiFxjq+//kq2XRLyWTSi
8+ii7HBR13bowQJS25H23gZUFb2Y64OsRHq0mOLRK+ao9Ux2xjr/7nqUaed5vq+z+jc41BvruLaR
F1UtTTQTszTRORI3gaTHzrF2xVRv5Kq1py9yFSq1tg0XLuvClJsOqIA2Dw6QFd+zudlqtK0MsSTZ
K+hS1kQH1tnH3u5UAAJ3kB+V3dGPrcKSZw+FfjufQyc7t6CfJFYv7qYaiVdzfpoA/NwYZSXhLon2
FF7lupA1iCf0Szj8ddqNE87a9Fz21ptjgVUzwiLohp97cqthgj6NLwXOUNc36EpN3g8vo755elD7
lm2GOTvbGVx4rcl1b+FMTGK47+ZINwVRietw+RvyWsEe8v50R0xV3VhKzcdpRpMMjCGIpmchQRkf
sGwT2fOHrgj+koReZhZzCcGLN127g5Bi0s2Pfv0hp0bih4tDbx+RsikvT+/A4CryuGZnx/61MauX
2PtvmQf2y//OqoJ/fAaJcvz0kYm4K+dxF7oyZkj0opMHKPp3cRfhbqsvlBuj7D1cRzdQFiuJbekT
7MEqgIYdyc6OHB6yvIi1D1vuUhwMg8XXtLHbV0ZZcsQ7Wdmlp1SRitaNLdj4PgKeHx5y33uAIrmM
qbE32kYr+39pu8sgw8Rq2uQQHPHKU6aEOoRG/mEuWNbXl2slcpfSmUFR+C0A6UXq0S9yYjd2yDeO
kWu/fRG7LcnpDBfq7Ow2zo+gb/khxwk7yLota9a1AS5/fxO+DdSFrEbb2XlCyXxXWqX/IEk7PGcZ
Lz44O5dZezNEOEblTBtkCNmeBqjW2PVWZ3xt3hchOEyq17SvAHqvUG9vqS4TKUDAur6q9P0YXOoB
ZC7kI4YJv9vY0HmUffbVdv0fw1T8nBvnMTcRiY0FxoqKjtcHXPnYB4ug14NXN5llReeQ6e48EvI1
YPylo+0Qz8WWBNnagi++x3Pt934euhm4O1Pi1c+V18NuYtr4HKwcwJZcfwZtBr+WaLj1Lbsv3PZX
xfsH+LO8DjZ8Z0r3Mw8+Vp0B7ujfbRVYDIhVgxdx3OBO+1kSZGLjw7Gyr5YMfzMHpSuh+Hm2G/5U
QzQYxhobm2rt0YuALmnZiaaEv6db4HzuQgNyHmi/MfsrO3ZJ6reoJZuCtGXqVFS8oGjM/B0KlkG4
byTUySjucGNs66n9queQnjtamw+ewZZM/3LS2rFaA2MNyFb4QQnPkhtjvNcPRcZSHogLEyqrx4v1
MwxOqoNv810YwO0m2mpQroTFUhyozLrRYG3K1Kv6Khb6pAxIfBoil9ffYO35i9hmUgmKlrd1bkv/
XM1tonP6REu60RVcSR3+IqqRYZ2mvUQ1/HliWZC4tb9H/Mna6niuPH+pWBDCKQFXTcR1VbEmbgs7
ixnSOY/ka1lE5GPBsZQsaOHOYiZoC57B2jvZzD8M0vt8ff7XXuByDHnzEcrLUNEcaOGUSJXM/Snq
0EgnbQw938PHRriM/GaEgHaRKlscM8DT9asHi/iPVnY/+GTjmrZyYFrKFrgNsbyZ4FgG7usNqfM/
WUkRzWo4kVp9ARlnC5q+ksOXzme8IaPvVhkSK0yZOM6Xc3hH3TYxHJE9Pdes3EhXKzGxdD7LDYBt
oY6is6cfgH/e1dAhghLOxyJuKVEA5B8NDCTeziEZP7MQDlJTRV79bmu9VzL5Up1gChtFM9Nm57py
wZh3ksbqXq5vpbWJWUSzGv0RbtaIZsK8GOI5cUdNHMKQ9EOPX5ovFVxkjaMi62x874c/oDSiBM/B
J0bmuz7CSrQtiXXANAWBZeMDik8y6N0gnH7WPd/NbEtYZmXyl7Q6VBE8B6oU2TmS6lVASFCP4UYS
WvvtiziuiCjwWcSJ2Ixt4rJXWnk7XbHY5c/XJ2dldd3L398kCgC8Qggw8RxHgGI8tEhKZ29qw72c
rGzj2rD2DpdpezPESEDxry5Xnih6IQM+/MGxDl7c7IOnGNf99/kVKeey8sLoPDn9LbX1zs6mjWrF
SppbOj1rkN4DUyPNBSLwvsLxrtsZU/yV+eAC7Ee6F6HqYmOa1nbR8qPMoHMxmhE9xKmZ9sIS1d7T
/pavw9oiLKJYs6DhXj/wtLaBxovdTtgHW/IilgBJ3vGeio0pWxloyU0rA+pFgOnkKY3uSP8UlY9d
9sO3v17frv//xr9Ti1hS0mbWRoEftXn69evD2do/3JXP3tE73kwxZA1iqDvsnF0T32S739B3iK3Y
23VHtJ92boIDVDzGXdIlJPXT+XNzDo/qFvLsMpa7F0gnxkP8+/qvfD+ogHb8d0c20TjmmOc2HZoI
3oEdiEYd/CGbcctO7v1JDpfcS8P7ru19NCymet579DNpge6CqBj9/KEX+E9SnpsBQsQuJFFLgH+b
WLBfXrgFj35/o4fLfAwFGqKGqW5TUor6vres9sCKvEqu//T3DwzhMhn7bTRXfJrGVGcVsE5fS2JB
NJnEfXjwskM+exuFqbW3uCzNm6xG0acFV1EAKkaH/3F2ZkuO4my3viIiAI2cgqe0c87Kmk6IyhoY
JECISXD1e/nbJ9X85XREHnVHVTe2hcZXaz0LQAo6dqeybLzd+7/i0tNX03LOrSWwxLfHAQFdD0NW
gVEMMNeVNrrQfdaOZn80OgtBc0dqnbcPcFLCHUl717RIukLK9TX19YVRsJ6Xu3kec73M5ogroEPD
EPm2iFTHgXU/32+kf58wxXp25nCOcuL6EoaNzGznooWmoCZCb2tEhr6VJueJbA14RYAAEZOP145n
l7rYaniTmqP4VWX1sWk6GcMC/TPqjUjapclx2sxz4AJqccw9ee0ofak3rCbvKUU8blf27CbygzTO
GhDVzRQ2V7QxF56+nrFplS1aj6injgTilShvG9itc/mhZU2sJ+xx9AGomFV1bESRbVtk4j7gCv9a
ceQCwlusxa9U9qPIRghXiHW/goUi4rFmj5pUz0HRjvFUggTQT3fg5v0qPfqxerFY614nbrWHAl99
TNlJAxPOO7WzBHdJ7kCaj+2MxdpeDMp0X+melUckguQPrizAtYsKr7nPZVdceTsXxmh47hN/zWKZ
aYPJ50jjzItXl+7avkEJsbqy8b708NXGrEHMyJwS7xwpmS1gLJX9JitofWe5unY8vNR3w/9+f1U3
w8i6yJyCVt51Gb+JBLly7x3+T+j2f/caYi1vJQAPLKClRPDMWQsdN/RLDyS1aonHSg+PoskAsykX
niwhb/YZ1ROJ6QDCzayyfgNbez6BR2i7fVX04Tfpt2S4m3G5ieRW39r2EPq8ep4mT/rJHJbVr7wL
Ggt8WNPek1DxW4T3MiQTV9aeAq4bpIexfkp8KQtgxHKRLG2UJzOAYIlLo+iF171zcZuH9KGrOKKm
lrJ79CGcOI0ANd1p1oojAZApKQOyB8eMPVUqLZJqCN0X4rNoh3IH1uOCBJ9QMB1iqOP9XYrAapnQ
aco/lXlB7zpn6X2Xht6GBBV/mc5+V0SZ/YiKLH1jXYP7IT9oARvy/f3CveAXddr74kZDfnDDyl3h
KQqVOvPyrc9H+RyEljX3NVOINymMGx6VMcG97zXNrh5AOINswJMyQa7zDD5hKvUty3whk6xhw7AN
gf56LTIvAMjEA29qAZkRSUt9ucHM3O1h8/CnWHGtyMl2qTlmwUy2DYAn9ywv7TPqjvTIjLUP6RyO
dykB1idFlnYymZndjU5GT7nf8xtEEVSnXpHyDngd9qn1fegcFC4OMwcSHFBiwfcxCqoqIWfpgVFZ
lZSs1TeFbrpdWqb1z2qc/O0QzfogJCtugtmU+9H57V4sYX4gQxC9SeqBNpMzUOCClkxbN1Oz9UYO
aCAr8i8s7ZuvFX7Kkvh2jBxs5UN06vqJxahGijoOHZP4TyExlkvxKHke4iprISQpeasRJm5qXux7
OUeHuqnR+Rz4T1R33t4nZDoQvLu44Wm6D7sFe0o26htEEQdbBcrWrQVQ62R4lt+PdVQeIM6M4oYa
uvEbYpGsm7fTZwn+EHhpoXvK7CJ3U8p5E7uQAN9bsJZvpK7DDQxT+UlVAIY1o0DgNoLEtwgZ40he
8+WuJCxD+HE7YZMwLtsJQdjhdjaIYOAMC6wHdN+D12bA5nk2u4v8HKHiNVIzSgDabh185kdDUnCS
imayiUXVIs5x+B+B3BL9jvPR7ZhQ87euglvRtKQ7mU7YmxYArN+RUube2mbKk1D2aY5VduqQLOSg
/EocEEUyrhtVd5t2ybQBJYqCd4ik7njO+PJlIWG4TRufvoxdRu9LE6jtwOfqpPJqmY7RzGoPi0TV
b+si93FJG4JSN5SojnbwZIUmb174rIt9VdV+gk2l2k1Qv78EgdT7KIXvXufZc4ZBGLNFig1XKjgt
IfNil2Z/OGrqCfFHT2wYMPIbLYf5HpUUcRrVEiQC0pO46st6487iox6ZSI8dRzbrTUAG+Rt8d2BZ
YVTiMhlrSfYIXOvjKJqzjYNpFQ6SNAwQSb04EJnxbn4Gc2E3UpVePAgo1QoFqqEYc8DEMLSQ4WNR
nrvhxFCwckzzhlivKnGjK25aQu0283m7YbbJf6ein76VPhIX86VsDhU1028HP9Mdlzp8qzpvuGn8
pk64pvyQD9XygAh0mcykNRsLuNldUeblPotkt1tSsFGB1WSkTXKYEu5yBCnFE+sgT2cy0g9Kp2IX
tMbHydcx5MnDBde+hedw5RsP/6hiGTnug9U2lkgtmEJ110dz1yCObkLlXQSipyciCtQ339+6Xlga
12recZgDmGcQksqnHnTLWroNbp2rmFbwm3zsI84f/dfSjswSWuZ9055Uk+206U9GzKfRsI+dUNb5
bYJkIhpTaU6I0CDxWLM9HcdrKtsLB5S1oRkVX4ZJPDUn6X8q0K/mFEGXuFBV3jUt04WNwzrmksy6
s0JnLXCuzfc+iu5gor6iR73wbv+PcyWqfL8s5/QIhwTbulH2IK9xvIa6277/ai80z5oAMncuRfpF
nR5z6/a0Td/GlgCupoafqFxfiya60EJrCAhvI1IW6YCg9sk8nu2TQH1eaaF/l9Uwev7bNYGOwjaW
Vu3Jjsl8Z8OkKDfYOouPIf/FOpe2rxAGtRgWHZ2pfobhH6r4h4rhYp1IS0e/9jtQ8041uHbNUCa5
X8eBd+2gd+nFrrfjfhVKrCzolZo8qW45MChd0m7+QUx2ZVt76bWuNuU2n7wBd2dQR/VfWfFJ1G/v
98lLz13txBsAE6EBytuTaZcnMEw/B332/P6jL7XK6rw9Iq0DWbSpPVnCt6G81Xl1E+l7M30srUP8
73D511SJPBUeLgptgm0y0MiV2Dt25aLsQrOsHUd2MDlD/nV7isI/dfuCS4IPtcna0NJgjeoyD/nA
k3hBQWDnB9jz9ukeNN/4/U+49M1XgxQLvOepKYAHGIf2eGwq8CLLa+4ALs+1i38crvxVTcMO7ZQN
LcSkfTp6uzDT2WenG3kYyFTupgBmvM6EbstY3gTJwsr8qWxgBrahUFnCQKScdm1Uu5Ns0/7RK3W3
47QJHkaeiW8+OKE/CK+6O5UHxScoPCskeNMzGRiM4crCqVq4odkyMy97yLIXcNAtuStEhzwzYoHh
jpe6Nnk8D2Pwe248c45m/lMV0/xmKonITIU7k43vgJ/ZTD6lOTbZsvvkc5AT4rJl7XmfJQeB866u
b5ainm76FsrDBO45d5/nYSnB+bUGr437KFwTB+ztImB0dCTfSWjRn8ewb+Ou78cBzwbcqaZk9GKk
JMwbz1G3zWAL6TQif7wGJ8yBe+6el4t4W4h2tzOs/zvB2zkJxrOsMcgcyTYez8ut4pO6i0qzfAPS
VyaF7A2PzVhVh3wEchSxlox810OwKODgPbfTRYsjSFSUPkjEursHuym9z+ci2pdzUD6DqDxsAgnd
UxyJEgBnjNUs7oAuuhNM2++TlU0iey0OJXRpm4y1wdsi8/Eng3N/F0CcibqZ059m7Dg3wQI4shlm
csSxmvwMiFeeomgirylc+pvWZlxtsZGlO523GufYfsrmbSCWYueAykm0MHOSz83vAmfgH/M04uQe
+fS54r4BaTmiie+FxbeSR0USWk98zuGHeKGuA9BW4xdtGNJPTosYzQ3Hn8Y1sLKnshrYXolMvICu
PmCjU5gDtLFZHU+BJ6NN1dL8x+AD5Yr1V35twy4HM9nwQsfeWI/3gKPWe42cqtjaCUyWojL3KXTq
UJ814sbMKc4ULgVyC8hdS074mmVw4hnDeXFUXtUkphFTvQXXcva3Vqr6hIXTHjlj7sm5bNjCj7ns
VGnbFrDfHjFGDcIovoUBBXlBAeoG+S6B0ibE4P0cuZo/wKyB5TZg+nuJAOQ/vZ+WP2dULB9QBoS+
E34gAwZ37T4FlW8I2AvponeMSP4wwUeCA89gDXyraXeP6kh3HNi5ByxIgQ+BOngcGu5vZOc4YO6m
3IE+HmyZLayNhQWJNmwmD6mGszn4Y9oCulDqI6lorXD4dAgBxdbvaKUX7iikQ7vaWj9hOKVtsBVh
qE209iBE39+OGNdbHoAKwRGQs2fpUm6rqC12vuXnQ4ay23rucSBXQ3iLBBscooU/7a2z+mBbRTfA
M/dAO6v+a6hpjkvhpg42QDciRMzv3PhUzlmZFGLpn87HikfMVMtRzcEM50NJMmhyFoOeG4F/L3UP
DqxKy2cuJjhH0QDzXgYFNGZ5JtsbDfA1eHZLd1cHnb7BiVB+ynH231UYs78yiikHJ5kh7ibu4bm4
mt6MnTGvuRTsu0Y01mZsyvGu8qGcCkWFDGCvz7opcW2KV145kIkrOUMZqwiBEjOENOngBXzeuGH2
tj0f54MSUDW3lFZH1eoloVHvPbWD1AIAcyv3qhfLD3CcISAHHn6XEk2/WrAX3jIPEwZYlmavIn95
UXmafvYXUUIOmNu4ziNmUGyg+hYpROIpnKL5vqALEqPBeNkoP+IHNypER/l4vW3Js4fKz8cDPKvB
tgpnqGpEHW2Jy/ibRLBQvIxL/wMowiVOC+Jn8dK2HDm+fQGeiim3iAhqXr0F3mY7EFsmdSMzCHZ9
vTOU+HcqrNHL/QmnV+rN1da4Ot2VJclfKyQGIj0D4CsiHNHx7LcTtoagDmolcbRExbb1c5aMAKQc
qEEBr+qjTzKA4qTxsvOE7hcHn0JB0AgaPcqGT128cFSukPmq250F8/YU0NI92pGUMQ7X830Ex+kd
QjVctaFO0N1EiUWlhecHS3y8limjt34z6U9p6utPg9aY/fyabXgUFq/U7zXALZk6CenVuEb1s6cK
UVO7qragfQB5Xn3xOsBNEobBd/RqiroE1XafTpX7eQ62R92OdsiPsOCFt166WxoMgbCqVQK9BT/U
XV4A/+WNe7zdFuDAwo9JQMJEj9jL6gJACaRWT8vN0HUeRm7Vqr0/VQg4CCcBjx3mk6I8l/MB7EBA
BQ3a2yaLxi+T4Q47qFQivs3jIKvyLGlmab4YEGK2wdCVicxw/w/FePa1Smd1G4gBgIW0GZ/NGe2c
uYUcJsf7DXCdOI+LvkiyOuyOPkru4NaEDt8mlPOWU0V3aRUtiVIZAjRRUQ12bWX7BMky+jjljiQt
QIP7KQoVLP2YW7xoeQs6nn2npHVbEPvYFn+ZIqQwio5dG1n0K9i/mBiiW4W91IPvcHuFeqZnf+W6
ng5AULDPWH/CE9yMZImDEbPIDjccnwLPIeoi9U24qV0JnKxQuX5U/eR2TQM4Nqrs9UakI+I9Wq/t
f2B80K+dRH12mQK7CelontupC2/Solp2iGJhGMJ23kQpmZ9xfXLI61zvsVsa0XNaeouxSx+rOeI/
e9T5NgCdl1uhGnNAwXF8iDRpD2WakqSGsHPv5k7egMM8I0eLefe58cIkVb13j41pcBiBRN/wznUP
8FCmj0VZei+tCtvXvgj06+D6+thH5jEHRCJWCLTfYGko9j6tu/OyPtwirmnZOXTJA+2oj6pwOm4C
GCgSS4vuVkOQ/M2WWAAAtnfVrQ7q6K4f+YCDE4jQbvb6X2OHMhrW9uJRBSF7WDwIy0PUzj+3TVP9
UCj6xSZCQW1uA+QCIDbkifsseBKlah4BSCx/z7JvdkJqeQKt/BmM83JrMlrsG2mb22wOgxdAirxf
KSz+L6Or2N5XE3E7i5nmHrEL4qHXgYsjGgw/hlmGf8QgwyN+sNv6NjU3eZnSZxQLon20zPMrkp68
PXch/TWyev5WsS7Yyt6mO1xF1XGH2L+7dOn5zzrt1R1D4M1rhmIsAh7yenwpx6z4Yca6/4NlHsEo
Ee7efpRFZ57GgsOogrcbPnN1Dl8C+2YkcacylA6jxYHmoJXRZEuLSsHLMqY1CkeNyQ9YsDvUvQJa
3+c4q9/3VkX3deUNt7Oi4baB3+m1dYH3MGkfOKcFmSgoBU682lREDMdmkcOG+joXMe+4nDaD89wr
Es4b9PXGINyj6jY5cksecWkBEJTBFmxfeD6Knjr8HPgVKg8OOQ2SNOA85k2VzJ0OnurR6bua92Tf
aYKVq2zIbVpVLWKCZXaPJBvckEDHsBe9ZI8qTNVr5jSwVI7bcZvRiW0j640bLM4EeHsisIKISMYO
heKDdU30OPVIY1UgA6Jc75p5i/aLfqV5KV5Qt3bn65h+y8AsuS3h7gN4Ervj0zBG/ldZ9EM86SlI
oigMb2THg5tR93mIlzfP27DOsgdV+BVCaKx0uFtBwjzS7OsNVJT0mU1glm5DlNMfikHw+8giZYDB
O7gtejjCm5RmD03OinuPe8VuQfLHL68gDcSKoeMxJgf64FtvgxBC8CYKUT4KbDjvRxzLf3f+rIGd
z00YU5f1AM6jVsxZCwZ2apBNnGGr96RdCuxV66mnzotCusmxq8Ic35stGec9gRtzH6a13BM6t08o
V9BPYWm9RCu2bEtqhv2MvJIYbNFwjHPmYdse5Ob3YBx9LHTuI8Z34M+ITNE6mTNSsA1tomuUgX9X
xviaKBHWFgX+NDQnqP6Sbv6Ku8EYnen98+qlh59v6/86xJMp8LvcJ+bEUwMl7bG2vxBQ/P6z/12B
4GtffocS1uw5PLtHP8TUnyDXQ2abob9mEP73YZuvjfhNE/o9HaP2NDPvKPP8Qbhh8/53v/Toc3v9
1S6tNT5NrYc6cHSPZR8nkCu1sEsPPv/5Xw9GUiuNnKdS+II95PWwV1MVV4pJ/y4Q8rXfvmhbXC04
KmHpp0fX8y8q1be4K9BwYpFPbVpe+QmX+syqaCVpOSKXJbcnFGk2UBIk4FaV16I0L3WaVdkK9dkI
Z0OkLSCTJZ5CqJy8b00jk8W/FpJ96euvaigzUqHmLg/B7a5xfiQk3/bKPkz+eM0ocIkt9n989x5C
vOyIewrAsgGZ3luVIPv3lX8TSY/D2obPV8qSFxprbcFP4Y8Vrqvbk+5gjTOxwgEJZs6k1R/jFPC1
B7/w9ARcW2ZPkmGaho0Jh5Y4CJdYyd37I+1Cr12b8PtOTrVsUTFLxTQkDcmOdWEPZeMPG38SLhYF
ijnvf9SFN7/25FeVIsJM0D2UI5RP44OukaZzLfDi0sNXA7saer+cfZTn2/SlprglZh1iUMzH5um1
Vd3vpDcH3jn5mvUbr/jCKRJjQGZ/v2EuTEprj3qTW0TINQE29HLYetikd+IatfwCCOH/lzL/mvBq
P8UeHfXGm9J2KKGg2L1scqfGCbk/I/uOJBL+eYnSySRa2woAvLrAiVHPN5YgTmsL9CYsDGHYYU87
eb9chUv8HPq1eJJQW+TdlF5pgwtjaW1BD4PSd0oPBAal+2BQSYHJYYa+gocfur3kawt6G4YGF/0y
OKZOVbeI9IKIFonp39vCcx/8Decx9ldbV1lIKzU0EOo2PiyBN7WQeJUER5AP6ZS5ODfeXx+Q+izs
jCOICwoQpq5+6QguyjbW3pU2utAR11Z0XQqZAQRFj1aglFESfSja6u39Tn5hgIrVABVF3uAoMoQI
KnrumiGZoocZgX3vP/zSFyf/bZix64jwJr5g8hqfqtp7oqh0fezR4X8fXSGhK8gGVNKySX5ZdH3U
qtp87NGrxZYMgPk504dHnJu3gydQVLPBj/effam5V8ts10o5Cj/EmXCY4rGzcdeh15RXGuXCaF17
z0fSZzjlo6Oggh9psTEoVRTjC7AaVz7gwtdfW85zOhadG4LwiFJBXHH08eBbx6+0zYU1b+02J1EG
RU060CO29SBWUQCcl2r8FHF6bFj9xyrvYxZbiFr+23kyVCdmKoPlGKU/oPFI0qtUw0tv4Nxwf00F
iI5FvTBi4RHq2n6HK6PqEOF49BCMOIVWRVqVVya1S29iNW6XZVYREo2CYyhllEQeCngkyL8KL9p9
qKfy1dgtJhAlTNiGR9yXJg6Uu+XeNdfWv0vNtBq9Q2bEYBDoB+5CYjm0afXXsuVx2/CPTclry3mW
aSFRspshFa4j8DHUtk7ZDnvbV4s7kA++g9VgbuoKEKPzYM5klfTREnvA1yzXkswvDIe15Ry13KVs
NVYVv/48tyhoHepyx8Afwg3SlR9w4TWsrea99pz00yg8ViPBHWm2aWy+QygdDqhXJoxLP2K19lKU
K1oZFeEx7bF/yj5FZfaQ6z9l2SetoNfWxwuDgZ1/31+jriP1MFqk3N4YT2FvTEdyjKICDC4i2ldV
V+FTXpVOxrNQxQ5aoGnrlTnu2+oa1RzU4SENUwrxdQtSK29hgAluGpVTaBFll9jzVVaMwUAhfRv1
Am2YaFGW7BF6AeVSghg0c6u7rgJddDLdbe3VzT1yqlUCwiJ7RhkbbFO4sZBN1OefscEZUM+cDfTj
rcp7WESV2oRh1LM4mBBgDI0s4i91Ux8HkYO+jutH1GOHih5Yk/efeZheg3FdejWrqSpASGSLa9cQ
Fzmwh3G1G+o+dsv0tYEo0Y4f5FmuDfQBkT0lc2BO1h5aVGdLOBsgI73Sgy/sMNYGetT6wnFuF3Ni
oPJbUu9c8zHeOl8758ninEQJuz2V2bOEeW4Zfn5oZmWr/UVfFCrlsBSccvXdZqjf4aa0p18+9vDV
nNRWU54NAlq6lPpxWBRbIz5xlm4/9PS1XX5cgLwfZr0c+/HkuWjjDcgkKK48/AJ3DZlB/x3GM2w+
RSEXeVMg8VQnZTHQHUBxuI5FDmfCVG9OURWhcKyQA+0lEmCmLdI3qyTsuh6o/T7amXxuNx1DWvHH
fvBq/moJNPdtOfnI4lq+a1XCE9L6ew93xFc68IWpi66mrhAKb9JQTMFeyLdd8QLnz8Z0v9//9hdG
x9paHzA/zZrzdq1C+HlLyA/WmT8fe/Rq/4E0WSvCoguPEQQqaf4YDNda5NKXXm08ZFb3QDWhRVLf
zXEjsHmqQdd6/2tfWPFo+N8uNoyyGxU4EkeEeSE8J3hFOu2+BJk4LqfuymdceqWr8T1Yn9cUcqDj
ECJTuryDCyJ26poV7sK0vfZrpppDjdtQpG21b3qhW4OMddvEM5YZr7jyci+00tqzWUIZnksoiY5S
vFj5XXXRdrE2YcVwRXJ24UesfZspqc6OmBAJI61qYenl9FDUvp9uSuTcYHFWQ4C7HuHe3n/rF97I
2sjZL6aTfY+QS0L5yVdsiyjjA1ff3n/6hQ67TqkFjTMMEZyAQxEd45p9D+iVB1/62uc//2tbQyEm
75H1FBwRfSx2uHE5sc495tbz9+9/80sfsB7EXpi5okJyWyHHw1IMGRQ58qEIgt37z7/0mldDmZUA
SsHE5o7Z2NyN2E3FbUBemg6HOVK+CX4Nunrpc1ajuu65ivIcY6KfXbfNjb4TJQK1ZxDY8sg7cn3t
8uZSg62G9jyACayYtxyXfs62lc/SXeRFYst0RT/4TlYLeF42oULydXZq9HT0BP2ix/R7wT/mBORr
h2YVTUHFQDBEto9BYJ/cwHn2CiHylbmPnJv8/2ox+dqjiVvkxi/bFJMf2A9J1nnjroBecVv2PRwe
E8SBTbxoV/4QnQtOOBWb1zOrYAvFWraH/66oYlSMho1ZFBDV+Yj8ywri+oNr6ijaKJoV0FLB3Xbn
VdkM/aWX47ai8voHheSgL7UM88/LwpbfWTE0O8TUTU9wDodHFkCnVIZm3EwihOBuGefp14c6+VpB
bycNXWlK2qO0s47zqr9TpXxkUb8rp/GPIPmVzznvgv7RsmsRfR8SkUNk0h5d431LK0h7RnuTO/1Y
VVHCjfs6UXHlLV6Y0daieoghIbwxQABnQbiBISqLA30tCPjSs89rzl+TWjC5FpMCs8doGQ7lIJEs
ESw8fv9dXBifa039XNFqDErABmDvA1G9++70tAOP8dqVwAWPMFt7hI304I4yaXE0ucJtXKfCItYu
E5h0iu7oFfg32C95gYUs7X5xJgDaEkvJr6yb/16Y2dosDPExM0iVz44tO0VUx9TcOGhaBqavvPl/
NyBbG4Xl1CHhJ+LZESrZ/WS7EnIF8UpnSAfff0P/nqrZ2iUcTYpCvuCVR6EmtmuB4PzcL7AxMoDL
u7icSXOCa6G8Nt39u7exdTZOOnlFKtsxQ0V0fGDhfCihGPnYL1ktOjjCjawsRXHUtJgesmqIUyQN
7xR0wlsCscd58buyjl56K6tlx+mMhGPjARMHuJ6BIlezmwXGwvd/yIWbWbZ2GQ19NIX5gk69SLnt
l+W1rz151ILfGb/840MvBctsFat8+t4hLzqG9gKy1dR+ff/z/9e5/u/MxtYzaJrnKYX9CBdtFBO/
eSGwZlk6HDz6C96bWAU1THY/5JQvCeuLI5Qoe0huoKuHuxeCopBAVMvG7dldmhX+jojmrrTmPl/A
ChwOY7R8FUX4IcIBW8/CGraxTrGgOHJl/+RFlBR++/Z+O1wY3OtZN8hpaWSgiyMYDQCaRMCldJsK
ioXW8O37H3Fh9K3dTLIpBS6V8aaFp3dKfTZyuGnZwU8fffHBIbeegzvcmY4ZiLTHYElh+JpuCmOv
fP3/hR39q6ech/lfi8c5bC0MrEQTwekleb1BjMl+qsKNCb6lRH2v+k8QLce1A4NyxkGCDifYnK/M
jZfeD/nvh8++lrKfS3WE2K892Bq0PaQqVzuTueaYFnV75VdemLP+N0z/+pGQZvqSw5JzbIbpEUiY
45jX1+5C/z2T0LX6CKTMnsJVq44CiPs4R3RNUuIDcR/aZ1dm+EsfcW6+v75+1nY2rxm0+AhVAKiI
uLdstD8JPPTv92Hovv+9FWLr7CiBEq3q2EKO9RzkO3/o5odeZuZQ+1EHAXZXIjfYR7bvTyM7yPwx
7483Q7r4n8MIhc1j5JFWxH3Xk89MeDU86MZ7JaHNX3TvCRjNZfjAwABIBCnTz1m9aDQVKdltl4Xq
xtY8PQ21n39mTC+I3rWNvCVyztPYBpP64nCXTxLsS8XeZiTQJ+FD6Egjk3eoYYUiMXQwuJOoi6hB
5ST0Iajzg00NtgAMAzwEmRVxlDvorUkCB019sGdHRxuM2SH1KxlHrrS7ii7Az4FlfL5nnlm2Q+pU
f6gBp7tBbJ8+YEdJ4ZCpu3hKR0ghLc5CSdPNgHYZyl5CZ+p9583drp5TeQStgf50iAM8mWrwvoQz
TA/7PujNz36m3mGeRPsTue14ojFdUnRtB18ExSVBz0Qao0It63hkytsEUZc+BCncC0lbN8Imuizy
XzViq6KYM2cL6BThbG+gXI5h7EBuT9YDwJgtE7YzRR53IUsTjfZSiY/4ml8TLYIfQzbAfsEs7Fee
hmM7XObf02Kh4PLDjj0PUzdtO2sMjQ2H5UkMBaxJGgAf5FDNb50toDA3E083SDHof6YuG79EpZu/
yzIPXuoqUM+UNfUuDTLx1U0DTBPCL9WmmRe5N5N2P3lxTjYPcMwkcTNP7UPUtrNKMmhgt7B9uA1y
jBX0ugMuzxfVRshNLrwEcYaNS+B19+57+N5JMqLTwOmuudjoJvMRBa75KyOwhkN3CUTC7KYfiKqU
t5EO589wTbXbYI7G316RR9sGzAFIa9Ww0WIMX8EOEWGCfFMJkWc0fe5FxE94L/RZg+Vg4tRFM4pP
li2JBy2USKq8JMfAquwGbc/2QR1Gzy2sNX/c3C9TTGGERGme1z8XR7xHxKd5b9ofokcv6nE5mrUe
tO40rPZdSocull4VBLGqOruphwky5C6HgyEzkr7pwO+nXdTjiDZDsQzmrC4jsfFThzioTILLsC8Y
5HGeIvMAD14x3uCqUT73yD/C/8xkgnsI84kKzwSxB9F0H1cZNXtK5yIJKgF5i1CgW/i8bBLA6m0Z
tzrFQ1ORbnvmiltVhfaliqSAnETbR3i0ePf/ODuzJUd1rVs/ERFCtLq1wX06+8qsuiGqFSAQnRrg
6c/wOje1+dPpiLpae+VeYWwQauYc4xt46ULhpswhIyLFB2d4q4XSf4JeE8DcNHImo6mOT75Dg5S6
XVUhMWmeNwjdnA5RhLeu4NbsSul+LQcp75WpzY4G0r5zykHrqnz9UFrWwTzV1g+Dj1WJSCwSo9uB
IxXPwOGwYDyIFkhnaph3iDrfXQfGCzcjwp/OLVKM921YjavWrRxvXynjpi7iBX402HFB6QNTg4mk
h7iaul65AiYefNP4KzZtzaaY/OGcc6AZZgmHnK9BjVImiXEMYtpvDm6jHAOaDFNb0RZi6ytPq3UO
axJLPGPZXdtXWYKvHLwZ4j53Lb8YyEAjrpiH+I++qxPtzeUdQxqAXA/W0+cefr6UlECSmwZKY7CX
+2znlj3MHKow8JhJKKVTxEaG+1gIuoN1tflD6tp/G5D6t0NnDBaAwYw0RUKrgvGqjPpVXrbB6xCH
9Q72LS+Axi3TWyo6WEcmXZ8oM3QLakSZYr8K8EMV5ej35RZAD3RPcNDr1q4FyqbIMwdhiKycE8ur
GCAiR6KQafUJOmbyMgWls7Nw0SP114LYHmEbscLUK7ZxyeTWD4GX3rRiIKuQxMXKtk69avt2RDHB
oV9mp40eDMv9734f1eXGnQDQWGXMDF/H0g0fZeCWD043yO0Ym+xNoR/xljlTtO5tqVZZOGD69Eh1
mi2zR+NXYgfCBt8oTto0c4fooY2afOOTqXiH5ju/MyqLkiGM2tPMJDnwCmQaGfr0Po/qCqtHrhLa
NTxRMCae+s6JzqhxTD2gG8J9VMTnOwVV/DkuoBksprnfw+ADx56N3lVnwu8KBz7oUC4gxJXbeuq5
NtyW68wf+yQ0jgwT/DQ/EYNt9iUgxo8IN/HxND29QRVap0pmReLEgfnCjV8/dbwuHp1hZNuZecRf
t65LViMMnaC91pKeEf+QPbWi7n/WdQSkVgdfx66KUMmWXe7cGQvsC61xZA49a2s4hCRQzLMfhZcA
Gn4s/Kg5R00TfPNpGcAmVYkfNRfFwTGAu5QeekK8C9x9jOi8lHDEe4ZVzzD+I95AHA6cjQDrcI0h
1GywCc5+jTPaxjDEjPpxyGJ2yrDT/s5BVNlVMPvhED8U7m+E0tYvBpme59AfuvuJO963qWr1mxNf
Us6yJmhT+ONCH+ksGgZFJRu+Uo1HvkSAM6/Q5oJ9yJnZW5WZfk4KkttLpGaE0AnusW1bCXGXBfAg
j5YDoY38v5Q4TrDXjpdvA9opFDEcuL4CCa8AzCyrgFcwCUN9sO6gyE5AhyxTrN3dD401MhnUpNAD
R9Dsqh+afDtSEa68rMvuOh+54g68Ir9iNjsbNXrFdlZQDqoI75Ppmvxr5JI8GbSIXnNkQCWjydoE
6KbijMD5EvZg/5Ksbd94OOofyuvI2kSV+QVjcKc28HWIB1T2ybvtu+HO15iHXGJmZ1V5JoPHDuAl
vs7cdvjWUOntxpzWyNBu3Pk0ThylZ1bLNQp6zUnNlN3bOiZ4EfoOvY1OwmakmYuTJ2Abq1rP5NGP
wwKmJHBwRC7KP16ogyP68+bcg61yribHW88KWGn4nLvc7kUrApEwUJmnc10M87YOCv+7A4vIQwyj
6KVIFKS96qM98M3Vix9wsxN+Nsld5MvxEYUcb0PzoUuxzxLYOqHQU/CSJsQdnRKmaJ/BrYedF1tB
84a7FniwgkNbobcN4q0eUcAV5OK+rJBTA/cJoo3F+GxRn008gLTWUa+cHY4qOIWJua6TAZ5Vd83d
gs6JCmz7bnwBYrUYogYTgOnYvVQUk2DQdxqu1jxnkDMW5JuumX7NYMZaG9Y398Aa+Zd+YuDANFTk
ok3jzK23pQKsf6XrEnLCms663uhIhPsgrp1dCwe6o5HSDeMerL1eubYOQZRCa7stOjSsWhtTBDJR
smrGDbZGwQ+nH7tvzVz4j20bxbDISSUgsSxp81DEaEEbEgaPvAvZ97Fj1e8RedlJjgUwX8eTCzsl
tj/vGihojjCKon1jEfEx54reBUdV1N6lO66De9R2GRy8pLDvsrTxsybEP8Ru4D3xYaDw+4UDTQ03
eYK3Lbyv4ii+6ycOt9xUwsmGFcvFNspG5AwVG1Op7UqD29GzDeuEeYiruf3tawKAj3Bb97fSJjzD
JdcE62rQzsmjoX95Lp6A8fAS7wUnEdnChN8evFmJNyCk5JGbuUxEDgQPdk35AchIBcM7d9Vlk0zB
92vbYDf4dqxXUYaJAtV3Fxwqb0BJmlXwJDVOjKwg38GRlvrwf69ljnoNFhPP2TZ9STbWqhoQmDCA
S6mP/VeFYdJJfciRL7TDUsfe4R3rYEceYWrUcJx/q7oQHGM38ra9qSDlol3/k+ecyFTFIk90m83r
zKj5RzFDAgQSiYXMq2od9sKMiKaVL6z8WjhOmK2A4aR3vQiqOxVM5WslwymF3YHCuu9VB9EPlU7m
0oRrKIZdKCbKfPwdZF159kzcpPAdgQ2Wb1kQ2HMgZkSDMjFsAWibyjUMiAJNgggapMlxHyuqx21F
fSdewXo8pl2U6QM10XBkU6RSjcIieGfYfxQdI0c9Dhm8sVP0xQKH9FDFgjwUvm/2FbMcVkxYj2Td
x/eXOfROA8Z0HJ0WmXkRL05NFQCJULm8ProKiL6VvPieJuygBF43HR2Jb4B3yIMoBRJS/ynamh6n
WtbbiLfTTwTw8UOE8bDzeEs3RcXkY5W3dueysIKJMGabaCjNmjowfJfzHH4vAJ17HHDOq+EZd8yJ
s6y9KPx1CsM2XkhnaDq4CeIAtDBo52ez8iBGOoy8aR7Q+a1/943B8UIKPq2INd2mCsGqyvoCmC1H
5sMP3/IWbPvWFolfeTJhnA+vsqzck9OCHLjmAt5/xFPN4xdoLGH4rwv2U158oAk22uKpDIg8B02d
dSfkM8U7yub2cQQSY9crpbbd7GNzVMVj3cEkTKojQZEVW/UGEL22A2jGJ4ZPIFpwtZZdgbMn4GA/
MCMoWNnpgK47PGTlJPLfThsAd6uJgJ29wD5eZzJ30jEg0+8GrstHv5ZVubVTCFm1HLG5WHeir08Z
mpRwdBd1fcKPdON1EAZ4NSHTivDqKwUUEKLDY5n3e4XXf+36ZNiZsgrWVKOzAb9eOR0mzIZ7L4ih
eXJLBRcholeTGo++WYWmBOaiLTuRlKzqXkhJigTWueIJAILoezQJkMQ8QlYFvvBTGBT0V8+C6UlV
hO8aADaPps+jzRhTF5a+4bL6Ogr0AlnoZKAFiiIt/vwFanRskSPQH52ZO18HwNN+caSGv0SOY4B5
jnyE87DGAoM2zdgUYHL2vGSICkS1FV6NGEShI+eHoqTHdneCRxRVHEnSZoARNUXwKIBtjlfDkQ74
4fxN2KGgK4AUitQNA+/ISs/glAPnIxaUQoVqZbpQbVza6j3qmmTVFi42JqwJ09HN6r3BiauAxA0m
2BXpsSWbLQkTFtf8rgNi6Ic3etAltraWx3ryVNoVOMpz67kJyuLu0cOrvskjOPWGxve30kJjvQp1
HgH6Fc8JsMqVd+kO191alMNw3052eMD/LR68JhraFGJIAeGPH7bfi9nzgXIL8apARHAIqOBpqAac
/4OxMsdqmqad7OsmzakOfqJQAAZIM3gVmIA9jNlV1JxqqrIULIooyUbUaWD+DlF3GEOzwVYljtbW
pf5vt0BbpTJUbrxxkg8y0nQz21q812DKnGyMzRsJefUllDj8t1rzH80kVKqMilJj7XRocdgcV37g
F8kQu877bEEGyFAfSjI+SmQ7A88EXIBvf/vUaeGNiU0Aa3nzZqeZHIxTAEEb0JIfOw2apI8oLmyj
o+ktHlCuW+fV1H0tm169Z5kYoxVOOMFdGyqZgJgpsaKjcsOwfB2IHuMTkjdDVJd8EGIkauSaseYH
jL22QYkGBAo44VX5JfQUTKsWdlU/D2F/r7oxwbm6SUyLRKoVUBEGrwd39HYO9HiWo8CszrHxGu0s
cReb5qDdqHnuplF81W4MM4eZNbz9EYIx+1DNx9Zrg6OMBF2XdCy/kjEaIdkb+jd/BviAjyQ84Yzf
PoT4mG8Ot+7bHEThTjFBT66To+YTuoPH0COOvM3A4yJlhmg4kQnsr5dCxxGi6MtI8gU2KsCvFOux
6oMttGX5c9BS/uzHhCCXtZ/3spvqHQiMdtspADfxpojEG2lxD9tNhjTBcLxXEtAy1lqyAbayOnu6
i2fYilmzsyCifvMmW91fNnmJG8ISDmYocX8NoJzeDcOMUJHJx7GxZXFKvbFNcoWNFjLJC5zqKoob
h6XfHcp+68DXlcyIdX1vQbXeRB5qaSvZkSalRZM/RzmWGGCU2zXoupjOIGlO46h0k8mRgBbAHBgc
4RUyGxNmiCLECrTpLaCFtQZSWvWtvYO7OsiB66nJa6ZC7LhGDrhLj6CpLeiGFybeCHjhjKcSIZvv
iWC/0ySDVfkZQwOmma6t5bNT8gG7SBs4T3S0wz0TbFpHJdWvuhDOVgglTz2p9aalRbutO5y3VoT5
wQFYH05WUNSO3yS2wWu4smWJbhK2wrPJ+HnCOv/uDq751QCT+izHuk1qPNr12Gu5z0O8+SsgCPCN
hT+UdZJjLYV11vHVoyia/ow3eD5GrBs2blh0dxNs/XtfcLuRJsh2Q2md/eVseLaTixIRUKwBppgG
Oy49ODMkKf3UrGkYzlu/zXlKgKlATQ0eHuX14IoGRWcTFbr+TyDCbY+RFrIXW5RhKoGZSVBFlg+B
KsM7AJTAM2V9xDd0UA7K0tgx4dXr73ieNUA8BcAz5HHZwiHuZY+BEcUxZ7g3Gy9u8atiKslucmaf
JhZZiCloxPIuLJH/0QJbtm2bskXPIzATcCiXHUPctt888BlS32eDXjXon57CzLj7qau6tMTe7b0M
nfausy5OA5mXPfXVULy4Vus7pCmRHXBOOW5vMM84ew0oFWcTvPfeyGI4xXm7Zy2gvTGqhdA9U3ka
mLLJOIr+B0rXah0PAAu0I2mgTtKIJh1r2aBmAqstWCg407fbCYF7r17fdlvFaHnQWWi6NeorzVfM
8919PRt/DwKePqJb2hxpUfln0s31PQpG2ZsgqgW+0+cJ75FB47ZZmTCnNlj6VPCQxzhYiUwGbyH0
rudQurC9odwxb2Pfc/5Q5Jyk1vHw75COit9Y1Ipuhb1Khf4vMjPruRsfVVCpL9QGYLxYDPepss0d
aMt8W6BMt+nwHycZaDCbyUfZOgii8Zyx/jvDYeAZdK8owTwVrRgy1TcxQCR38dS4J69zWNJBpPLm
5GH7gqqOf2p7P1jjtap9IGCbctxYNuZJJIT0QC+d4ju/ZCgVhmQmW9Qfqjglo0N/Ij5aY5ZkrX+P
1BzlPpQamOI1gdX0qYu97CXruLkfu7F/ycCQ5vvKm7pw44Ht/l4qLNtrj+kZp02bdT816EoPBVQX
ZO3NKG6vRpTPXwi3FAF2mpIV67PyQHG0dTZxm3tfIJ83I47X5Es2A5UmAPYqRk88AzFWD0DNojLn
zw44r7pwh60z0ixtCbY5Se33kC3NtMvTzh/JOtd1DLgEeC2gDNXt19ia4RkBsyMy3Dshv5cjH6Bj
CEPvMQ7FBYwSZWfbO0D9YDL8PeaN+BZU7YhtshxeRzkPUYoJWX8t0C7dwU5gAFgL51vNq2sN0oX6
SrXUmD6QkCdM7XPtInSMYSlDP4ascgnuDV7iG11vhnbYB63MJc1PuwMBeNNx9nXOhrtynnJsz6Hm
YU6hEetsq8fGEXIP+rY4hUHNdp93z6Irv3BJ+5tM0KN1xutDCbBUomfhrT1PjMkMbG8iuK42QGJU
gFKPBrofQpti04MksHJHSrdadnpD/aja0kC0CFI1ebmaCn/achwNX7R0u/PkyuFrg1iD9Vj0zpYO
4o+mjGJzlnunBmbqYycVGHbzkK2x5KC2IBGz/dSxErU5rsvqVxUBlB2IIgOCvCxmDIqhGVMktqIO
L7wOBUps/Nw71K8micK8qxCPORTOH0fU/I/AnueBl0O8cbqs9w9RyS0KNqabsfCghAR6dp6GNTpK
4Ns0KTYp8cmAXHwHuNZv2njmKTA2xntWZY+mHQRYa7T50nfYgbM8C99p6davTTOi2+TjcOMwU289
jbIFkE/zGbav8UgHx27zpofjhEySr/0YPl4E2vprX5ivOP9lqy6mwSqe6L+ZhQJyedp/NV11jnxZ
XuRo7/mNszexmydFg7VyJMSklAFIhsaLvCFH+a/P+tHYXbR4J2fIXCyBwK15A/XXOD0Mv/px8Neg
XYs0tN0vq1DrXc008I9AF2AzYlCEedYR6Z8/H8fXlFjk0n7+6xeXgGxirqTVAUiWjeNDIEmaHr6d
fodWFw51UfuFaZtWpQCWMXz5/KpXWvNLUvEQVzXPgrE8gIjUv5EZrRrReP6N+3q5fR/d1oXAwAYu
OiI+yQ9AHZXH2ahgExNm7310kNFAK7ObMraPr+Szxc2bQxD9WhSBDkpiHYIj/yJoYDENkzH2zVMj
MH4crAbrGYt6YoMxAP4y+IlH2SM2j7vxrrEkeytFqR/y3PioRUX/eo8Xuqp8KB0J3VZzQFDpOyrQ
9dtkZvuPD3ChpJo6HkxBEeKcMudIhrNd+ERorW9Iwq4Nj8XqEcVdE3vqksjsVCuIwtcAzN8Qn/wn
0fm/g8NfAm96N2INMao5xI4K32OwoJ8IXoIfF40r4PhO+MXzwDCkYeHurG7KVWTQZ0KSLKoFJYBd
Elyih4Y6xTYcS4QHOnl7g2jz8Yris4tK4683UWMvSfNIN4cWjYB13hdvhSrZKhDZM9j2ZM2NuQXm
+fgG++zy978upQIzc9nVuMEMsLUOW3j68/M3+5pqZfHuGQObX29RxRxigfAvV9rvc+zKF1jL/Rs6
u2tffjGwY7TApnA04R4r0IMEjYaL+QYF+9pHL4Y1LSsW1i0GxwgfYTk9WfL2+W259mwXIxoeRDR9
q0EehtnYnzTM/X3XVf5jOSNVEaIYrQ+I5Ov/yfDgLxExbjBGGUxF/ADCIpCnZx//mNkNLMwVmaO/
5MIoLOHYM/ctks4cAYgpo0crchNvJklCcFXR4tmj1McnxDbEvNxhe5EdC3Rj6N5DZ0iDvFDesg5/
rGBCC/B/BzL6APUgGbISCSr76wgFajWqL1WttyYK902cb0ZM+jcG3pWHGF/+/tdbE4UFWP1hKQ+c
dDvtuE9g7XvrqJp/BcBeOuiP35ikriwr8eXvf11omFqKlEkE9k1wXpOGbxFQv6rdHzS/Mc6vXWCx
bjmttLrqM7A66xJCCKTUZG9AO8db5Dayo2tkbtPPB/6V+SBezDTI34o6tP35gcoH3p+oGYC7vKWv
//jDXW/xVpVzhY1g2ZljDswdBCgmz1GVf/n8m388F7hLhwfTeQxCGwyaxYBwT3kW9Y0P/vjmu0tr
h0fQ+si7pjoCIDmjfKQ4fxj6jPxpZjd/LMCn3v7bL1iM18JApIjGGWImyAMSJ5I6924M0Gv3ZjFA
Jwl8BeqzCmEQOzRy0TNl//SOAS75v0Mfq97kW1apIxfPfgsVXvvMQfPhokxR47pxkSvjZimeD0xY
BiPKKEeFpA8HMh0BqYeBxuLz+/7xpORS+r+/QQUzxBXEU8dcM2xf7tCLcEp/HUPaPhflqkFb5PML
fTwhucs0LOui1wFxszpqFSdztu84yMToOc+I0Cz9h88vcu3XLF4y1XKaxdQZjiTm7r5up2JnDWcb
4pjmALCCekOFNYYwjuXpP11xqWMvUTpQMOaoo+3LU+/GL9orTjwgdi14hTQuF/NW2CSfX+zKUF4K
0Rt4MhiqWvBhdxckXIji6I1J9srTWerQwb2a0LHC6xdIou9QuunXCIwy60sNdm1yIjYxKmbfPv8Z
V57Sf9vdv5YM6LlBMos6dYxCYNfnrKxWfWaKi2CrWrsSeUUM1dV3d4RU6/MrXpnGlvp0ETl15peu
OkKII8+0muoH3g4zFLScot6gxL+NhuWR3On6LnLG3BzDOOnQOEuRhTWnxT1knZ//kCsjYBn843a9
bZERpY4Y2yvtomdZ/vr8k6+MgOXZepJhbXuDsRXbel9ClVQU3a5ATW9bti6wq5m+caErE9ryPM39
uHSAGFVHPxKbQEEuMic02H7+K67wBFyy2GShGYHHiXC3I0e/bQ0oL/QHbq1PUDW0+3KGyyRQeNwi
vuRRjCx8AJGj2cDOWyXd4Nq0MbF6jbzmFp7pSt3EXSYFRchul37GhmMGr+AKiXlbDXw0VCHTaiTl
19bpXqDv3KD3nzICEYelc39j5bt2p5cnBEonwFjwUlvsNYj30I6vsbzhSrs2EBczLeK+R5g+MNKH
5kdcfPeKG8fpj78zWR55qYUGzfcyNAggkwqb14pEOLLfKpl9/K3J8tg6ZDkUQKAWo1tfQnE37qCo
Tm6MvI/nGLK0WdCwnQYaxfo4N8EI7Qe0B6FbNkevu4QCBKbdzEU7pKyh0/eLPBKLA/UlWj683E9+
ade0qKHhAWwjhSSFgpHM5Y/Pv9u1r7YYCC76I5JPvQFKA9aqiOwCGGTcCqoN95+GA2GL4TBQQuZ+
dPBSV4ce8txb/pv/9iH/twRClsdDX00uKxU+WK+HFDTpJ340L3BOJNUm35hVmNhNs4eL7MU/xcd+
K9e3Qo7/swt+dOXL6vXXKgVBeZWNI8PO6OTdx1vwlDftxt5BjOmci7v2OGzqPX+wp/IoU3rMD1nK
Xpob5ZX/v3P/6OqXafqvq4s4nKscNuYjzzvigSJdXIJh9OuI2rYL7Bd2GnkYyweKHIcB6nZk2ayQ
TSchwB/crw53IKoPDdXn2Ej/BJNMQVIHG0m5hogGvpASBPyzcWh9sBXAu+Bb13wFNjyiroGOYyuD
WJT1QMp2Ndaz9zhWaMMBpj0nDtEQqgSGAFjfEEyuvrsnCEeAG5KaL03L6B/mZvyiSuje0eRqkiBG
UTO0iP2LYE6CQ4Obs9NwaDM4COWoW0cvRHGz1pdkvRrt7mOlapC8oezYIAttTNEOaOCD0eNrA6Y5
8JmX4qOuEQKjKVRBkx+imTK14SbqxXTXImoojf2e/+ybAqmUxrb4aa0V2Pp3rTy30MY/117pQFoZ
eM73DFSTE+2Mu+JBzZNJxXSAf1fnvyJGGOodHYxCDddnEZYRRAjImIR+7kdQR+6bl1O+6rJ8foiE
G6eznO1q9qAAHl2DxMSsmuw6c9z6oHyo85GioE6OP2ct5DiVs42JGZ4mMqGPJnx1D2MZZLbBLPMt
QkS9d2zyslVGKMY0uhzHvstFEkE6C4j5JN96CWZ80xTqHPtViMQvJHtiTmZ7WJPhO2ESur5B5ySd
IBny4MEpUOOoohqKvtDTySRpjeCenuM/U9Blp6bMvBOszu5z28LBBPV1zg7e0L1xZE84mJc48igh
o44PcO44dvP5zHRtQr7MWH8N8xw6JoT4tIhaK18h2kiR5H5jp3RtIbn8/a9Pplj/o8Dp2CGcQRb0
myFtBOKNhnD3b9/88ov++vxBETDdkaFxnAor76o6eEe/tbiBsvtv3/3B678kWJeCDxNVOFZkoecn
DeKJvs/FRb/UdeIADv644ZmEghLuB8Q3SISkZgQx7MhLXze17zyMZdsnpcRCRIYR4bOBovcjr6cb
P/7agrI4NUKb1EFyVpqjpTbDXrTcyjKOExWDkJZn5Y1HeGVwLEtLvgOR79xnOLnD3RQX56x+/fzZ
XRkbS/xxAPNm3NvGO3Tw7a8qVNQh+q9WBWhyn1/gyjaULEtJjVegnzH03sFnsjoi22DehTjPJPMl
rVlKfYToDyRs+Mt28E0msYXOjrg1oiSggfUmr946/N+2gSgu/u9InRSvMndqsDbP+0J+qdpixcMb
58YrA2HJS66xCZx6gPaOY3vvgSfN4nFvK3eb6fjGIAguW4gPXoV4sXnJnWiE4gejwOL9erHAhZ3a
rHb3bdY6u5ghUHeVqcj/CfvZ/IrVo8bB0UVyVFDBhzJxeDunfnhsUARKMEcWST0hq7puRLerXKhk
oMwudgwJMrCodfD0tkhF8nN+kbHH824aEHMMWSZ97MhkV9i6640TtSQBfJC/scCZDtASdVsBmfVd
zLLyXNHQ2xUtzddRXMq09SBvbQPHJgjKYMfSNXES9bl7ppCCQciWVVB44X8Zp6Q7FMB6YAtbk87D
6K/ZxMSNA/DHR26yxBX3MXaUjsY2CsFKMq3aJLrDqRu6wZsHnSsv6xJYrOISnqSLEhfikLMYw0ML
1caNt+nat1/MtV2O2OyeYZT1kGoAeK3dQO6LkMtnkMMKRPpACCo3nPvue+2xg+o7aLZU8VZrVPQB
8/1REOFil+QM86EI4h4WriLawnfprZE9d8tnzT4eqMFiy2Znao3yR3X0wHpMEHZXp8UIkl1PfX8n
RqrfSMOgH43yV6qqW9boa3PZYucNGSE0JU0FiP+cfR+b4gUho6/IFL9xdLj2WC8/9q9lroLHtlFI
sT4W/DGK37Ly5fNneu1zL4/6788VFLtb9JKPwyA3wPqkAb8VE3JlTvpPBfPXR0fThI4EIm6PISKZ
W43I+66BcdFsw07dGJFXbnq0mFLzegiVdqw6yukMl84K9kqYYsnm3+7NYnVFz5dxZIXjzAO3bOnt
VPfr8w++dmcWU+mU5dCvEbyjrtIHqHJ/Kuj3Y8oTzDQ3Om4fl5FItBiOusvVqDlWgmJYMXnnXFzd
9T3cQusezZt/+hlL5HVWwG9tK684qjl8Dqfid+uPe5Hps1f+4+5uCb1ukSGW28Erj7jOBGf5fAlO
MsGN4XPlOSyp16MLtb7Ty+5QMB9IsUEhSyi2/muDzL4vc+R2N7aRV4bpknldXmyZk6Ox8tdzGvMd
PMWQF98Ypdd+xOWif71mofWlgVkNgymT3iXuDdTu6U0gB5OOmGw/f9TXfsFl+vjrIlCCYHILMWKR
f6JkvApb2AnZ4+cffmUOWuKum7hUyJ4j6gi/bAauUs9gRqu9G3vka1998RZTyMbzNu7VkYVzMkxb
OweJ9m9sMK/d/MWbTJ0QzfgYJfR22kQz1HqJzVN4k//txixeYswTnOP4jUd7SfkKAXbQ//Y8l4Br
jv0ikrJQiB/KN5L/hjl6pcyNG35l6lmSrSc90BFBZ5j3oW/FXg8Rn/rSmB5RBYU7vil28PNPyee3
6OMH4C0L8U6UiSiE3PhQdD9CDek+hMFQkCec3oJ+fjx+vGVBfkZnSWQz1Ix1OQMdguF5FgFsHBIw
iBsF4o/vGNzZi7drINALQSZ+gHnzWETnONxT4EVzOPDg7f/8Rl27xmKpzHjoWEATPRBtdAPYtBA2
iWQlnqYQ6bSNAWLboA51Y/m5dtMWL52a+yYAIKI59i30XljdmAnvHDvc+DHXnvritasoouoEQWJS
3FP47yrGTzNsTCme1bSdmuZWN/zadRYvoAhdTHTKowfdzQwUguxlikHoyJ3iRIAZ+5cnQ5el9rAO
KegTg3eAB32Cvjvfl6BvERVtte3eIhBnPr/Ox8+ELovuYaUno2fw2Xmrf0M3tq5F+R2S8O//9vGX
gffXEjE5rQ/JUkPgMypWcT6tpvaucH99/uEfLxF0Gawm807onozySEZzEE2+c3h2Ywa5dlsuf//r
e3eWiSYguP0kVyjYonwTiflrNlj3Hy9w+U1/XSA2OUrDgFocPYO+QvsE28qqjP6pT0OXBSpkrjUQ
Jnjj0eVnikhwRLluKudW2f/jSQNK8f/96ih/5uU0N80R9EO9o1NLnpCY3JxcMfiJV7BqEzcF9t2f
P+SP3zbKFm91iSopjmdBfJiZ/TVQeqKlQLk98L5GGVh0/3aRxSvtUQ2GUjT2R1DDNnDZoLIMs7Bh
489ARTfaBldG67JZAuBxpwYDqzMCfs6uMC+ycG8Ueq6M1qWQroqHIGgiDf5lDtnBhNp5DVVw8Pz5
zbmi7KZLuRpObCBAuYYcnbx47UIqDr6vtzwmv4BWXPeVC3iZTjOwnaZKpp9f9MpjX5YXWSFK3vfw
kZXBD0sp3FgR/HEVGD+vn1/gCrqOLuuMtFKi8idM484sMyDIgPOyoulewo6hMVOa/lnOjntATPr/
o+7LlivHkWR/ZazeWQMQBECOTfcDefajfclM5QstlVJyJ7iB29dfP6rq20pm8nBGZvfhWreVWZUk
gsQSEYjwcGfb0hHkAb0uJiRXTPKJGHl6o3uSL3AY2jg5v2bRzGlCEtraVT1mrDw2Ye9xq4Leaed2
VYdm0/GS+q/aWbA6c7M68fcyBfI4Vx09sHbMoXch1oI1j/7QffYleJ3Oz+zcIBP7gNw+B8sFWLIb
DTIKlxjCuY479HxKZLvRuWcgD31+pLl9P7ENYZmadtQXBLccswNtbbsaWPBk8mYhkJ97/sQsoKu3
NktCKdqVCRJZ9uC/5DlkrwN0M38//wkzVmGq59YAyDNonbNDpcoXECkCYufcnX/071NeqG7/bKeN
CgoqYZH50PQBx5YF+M4Ibruo19e4Ud1SZR/bpH1lbXJzfrwZvzBN7YiMDar2h/EYtp8l7g6m7j3b
vq4ZKmry88fGOO25d26T5ynY9CiYfjs5rHzNvRj8S6b4EXWOC43nzflRZtZ9mi7tJEfZJurpIUZW
HpX+1EV099nxR3shupupnJvytB3efUfPeNlnHa+OtO/BNQh+isiLazN/DFGvLLwBaHQXrGAabEKs
TNwmycNrHVJ205O2SFypKmhm85IfFLqrjw4aL+8dIXgFvZgk/yqlTq5BY5HGnhggS59LJ0K+6sQj
dn6CZnbtNMnTmbmR8bYhh5jGKLo3K5ZUC2d67tGTXQuqccoFac2DMwh9HSWoFtRhHC1Y2rmnT+JR
JBUouj2j4tiHjrVvtOyubLP0F07AjOWbZh6trCiqmuBqriCHbg8ZKNVkgG5j+sBoWSzsnZlPkBPz
6rdO1tUNBGXsVDdXQ2iJE13bkoeY2/oTk5oMSA/ZJzVktAjuA9t/yCFIFIz68fzGmamdmtMUZNXH
kWG2PQG1MAAKZZqhL46bakNz+YNWQbQxkoJukkorwFtTtkeTp7Wzet/YOn35kliRvwqcBI2mWVvd
cqdgDwqcQAsWc8YPT9V0SKISUMdX/UEVQAmCjAa0e+VD1lu3YGlaISEOdsUO0ef5uZiZ6mkC0FGG
1LUc1BFcGBdoWH/psmKnZLFwCZjZjOI07DsTA3qUFnwuJgExMrkIIFnmfAI57s4k9IPvf9qg7wag
gSohaw/SVxs0X9+EatCUAj3nA+tSawlgPfcRk4CljXSKdqquPmbGBfglbwm9AK3MFmJ1C6dpxmmJ
yWkK6iiNzFT0IEUYdlrcS5CNRMT2WJitZNtuzy/13GdMTpWuxzyBtod5iDQaMEhBD/gqcDek7UFW
w4JvnNtPk2iFR+gk7/y+Po51e1MzEDmBeCLPks35b5ixO9PsoGnrzo5GPRzaliMMTwAuXKKRnlmE
aXIQfJxh6FBgi8wgWYHN+7uobeVWRvuagQHB05a9YH7m/O60DDgYApQFUQB2g6/NF7ClHTb9Xm/p
0Uf4+CwerHtxHdyQC/Bk7+7Ty/Axej4/eTNr84sg3qgN4IIwrpE9lA4odexqZUe78w+fW5nJSY9M
2SdS1YDV6vgJLP5PdLGBaO7RkzOuHRnkAUOKpYLs0yiiO7CBLulKzc3J5GyDKoTENBwA1ot1tg4p
/QHGtw0OoF6fn5eZU8cnZzuuCNg9jKw78CaF9rvPxjuSJMMqH0b2ORhAtf2xcSanu20HCS2AqjzS
Mjk6oPUC3u0ANroN2LMWkgdzczU52wSkeyYZYqxDVXtWln2qWPEQx+ZSK+ScX55KvTm9A84onSOq
sNovgOND6eYH7+JN5I9XZdavDLPyEJAdujosPRGiwRWsLRI0tg0pQMvduVWEYiI4gM5P6cy+s06W
4p1vgWpABnhnX6B7pztUgm39sV/YFTNTORV4oyloxpWDCKcVwXXOsxsSGCi8sW/n33zu8af//v7N
LUDyaj3qY94AAyYpewSlm4IMzdJWmDGW1uRIQs7CMns/w2kfrkV7gaTqzmH+hoahC1DW6mNfMTmb
QQXWrVRlxXHI9QsAqseSjddDk7YLscPc+k6OJuhHfTB6GYjD43LD0IvD4yWFwLl0lTU5jgpZ87Ec
K32sYvEddvGYOcZjwFjlNeBALpvhlgXNQ5XTjcqqpZbOuWWfHFAegNW9yEh2tEe1huz4xVCDNtla
CuZm5usXAbg4yDIfF7pjkXOw90jtGQ7IZz602FPxt7ZnbOyGRoNK9nM+AG4sv5vtwkGeSUJMld6C
JImaWsDxJUWHChx4eqNnuHriCWek32urCa9JJ7pHVoL82gjNfmHcmeZik52cwrtz2FKInYVjVRzL
BHzd1TWwuMLukD2GdhKhG1ARXUVFelBIGjQKFPkfzOWxyfkHV2aT5l1RQo4T7Z7QIChKb0zbdRaC
Imt0g7hbSE7N2AE2sQORtFkagg7iWKMz+TGQ6MtsucG+51nND2McGOjWKpdkxGa2N5vYg9FHHoxp
WRzH7mjlkSeCBnoB48JizT19Yg1KE1m14fT0pv8cW8oLkG1zFkP804r/JrvKJvZAo7XbzAO4Nrhn
/s2A3PuOR5n44ZhRDO2CLFxYkLmvmJiA1IRWRJ/B7nSmA3VrNDPpaM1Tf+E+N2MCpm3EaBlvZAr6
zuNo1HvAyjYJMxfqB3OPnuRcWFAJzCTLjg7STG2unlqoKJ23LTPn35w48iSiAOuksIs66sSmG+0V
QWskrir0IhiN27KVxrYfHQ4CPfuDgeVUlIuD1jvpImRITtT9Lhn1jxrcOK5umbngvma21LS52M+G
JkdzB5DC4KctSrVJ5WXT2wcAwhdGmNlM085iFocCEia0OxZgF3OAonV2IIZbePhMnuOtq+adbeSj
srOE1dnRyL/2NcjJufYsCySw1aNEt59tLpyIuX01Odc6hbprlToYh1NvqNK9LdhCIu9t2//mVE9b
lo2I9aTJcXtwLN2sNCWx54QMNKoODUGaDEY714/r/lKWku0g/udvoNplfS6dqoG+bCdcsMoPblwH
YC2gmfkjhT4cmkIFendBn3XvRwF7cqAScjvkaXOhSQVijTJDNxGT4F+MEg3qaoT4XdvHXukk6SOS
sPXN+UMztz4TS1IrLmMko/TRT9LBDYNwU/IaIgDdk6zFkSdUgvyNfixgnTZJtyOLsn4YsyMiS6/y
+TqDjFK81BU946WmXdF2CXue+aE+kpPEb3UsUajpLXsVpOgFMhcCmJl99napebefB20IDaZlDXrn
pybcFNESzGfu7SdBhATJSNzxQh+NxmPklTsaUIxT+81OLXnWuXc/GYB37x44lg+9l6g7xg4YTUqb
fAJUfn1+H829/mnMd88GVQotemjhHCvNBrfrYxDjozHGrTuQWPuWdQkK5IePDTUNEKJUpKiU6iNA
AMhHQ34ImzRBz2RDYFuq7oMrPbEoXS4KJ0uK/Ngk1ZMhsw0nzcec4FTDytcghDbA3H4cquZzU/ub
mKqPxTdvN5V364BqDihvHexPno/FGolAshWMdjm43ZW/YBBnHMaUvrAFnlr6BhwtAbtlaDhbO69u
gox+bOKnLIWFKYcwYsBt1wODmIi50mKpJjBzAqZ9+dBqLR0nC7qjXSnthU2bP6JzJF4Im2Zc9RQL
WPDS1HGddEdegfhPqbV2BjdKtRu1SyKncx8wOcIgCiecZyHcHIR2ZHOiAEnIUjAz9/DTf3+3d9DY
B9sWosWwGe6Zo1xHLcE95548ObIaHc1NGUbwMlK/+rnF0aQqw36p42JuQ06OKjTKaF0TGx0XXJWX
XT8kD0A8+ce2EMlC4nNuiElkX+tGtlDXQiNeE3wmbbLqcNRc3UCB9bxVm5uiiSN2uJ/EA8W1G9fj
i9BvHmzVvnzk0XQK8AM7f+cbEBA+dgK6YEnmVUvW5vcvTaeQviRooIACiZUjmn5BStO7SnzIxtBp
Fz16yKFdVKOtEtyDxwiVK1I5jzJg6/NT8vvlhB7Dz1s9qpjMuxSQb9bAwRL/MT0Bf0DhvrCav3eH
dEqySK28FqpFYyT4edepeE16sh2hDWSASydFX/DHvuK0LO8OrFCALQnQYh2NVl81hrWD9NBTUgUf
2vN0iu0jEO0yh9Jq0a0GoaDI3CXNQaolmPbcEkwOrY76ZAyhpXT0C4WecgrBdp1ApyLVSywPcyNM
zqxq0VMEKZ7gSPPoWxiLY07i56FQ9+dn//fmnk65Dqpm8GWj8AG1H6GzJYW6hDAumWWDd7Z5OD/G
zAGbIvmCxM9S2RcgH2AQqMu3Zi8WAoWZHToF8kUgIY5ME09GFf6+gbpMabd3dTBufTjzNu/HBW/+
+1s5nSL6JLMKMHrS9tia7Ec4RHuwVkMSh0XXVS23ULRBjOgICFbZ4RJqdGbdp4C+vuCQCfCBjSjg
eDwQDkB9rWmo24UQGjm/LjOsEGBl+fnoJRCqTyBEWYO9plOgRKzbQ9BkAJ05TeXfsQhE8lrf9uBN
S1Yg7AefX2GcoqSyAb8/KRxJPZ9EIGvwBSdQuDAhU2aUOhJATaX59QBxp+eAEA2NVjYahms3NF5n
MqwqcHLxD9rvKS4AArMjdJ16EIKY3QPNnOt0CO7Oz9DMIkwxAUDLOXYJxu9jaJg3lm/vy0beAq+3
Ov/4399bqZiYvlHGTp2OBNVV0nwKGaoGvn+VVZCIZPx0g7LiF7NFsv/8aDMfM0VN1gN0JIcE5GuU
tYNrK/qoULiC0NLS9WnunE8CpJHQAfq0GABCWjJHq8fTx158YmQBzI6MrOTtcTQvovhFxxf18HL+
0TPmb9qPTcHnDAWdqjpCB0IVLq0To3BrArQW4HEgIEHLFllY7LnZmcRGASOMD3JoUYey3bK/GsG0
f/4jZp48xUTayN0HJcWTi/wrh1Lxkuuce+5p2773zKURkq7A7h/NYh220SWDotj5V56Z9yn20XBO
mRo7gtjN2IdI1iWfqrzY8gjQuKhsFqz2zIaf9omHUGkt2jjxDxX6EUxKriEktTGDpfz13PRMrCcY
djMwqAdoqxQ62sluUBclCpkLL/8mXv9rwo5OIY8Rc3LRVhrHNdNyZ4Rj6EJR0PIg2IVIY4CKQTT6
2nAN2whBeZ/QlTbbzEtFIt0OtNiuVmP31KEovSrBlO/aPkM50iD5gPylT1aWZurasdJsIdCam47J
6Q+jorScEbxMpFbqU5w48WXTxNWXj22YiQ3Iw6hKyihoDk7KCw9EL8He6MZmFUoL4hYJuKg+Ns4k
3KJDDEahEM4EEkZohZYAtUTOpwGKGisDBfYPjjK1BWXap4hJ26Msbhv5CspZLyr3prVw75hZil/g
pjnaZEsDW6cuXqP42ck+hmOl005i9Jd2TgDC7qPNjwgCvJEt0YPPnNVfuohHvPFYjDAIdvYYE1qD
1Cm4i33+6fy6zk3JZHeOuQGVRlyXjha5hhI5dF6W7rxzbz7ZmeE48risG1QeamiGxW6cR26VGR9z
2mKyHxH2QdyZKGjt2va66iOXEXOFtNLHZmWyD8FWFVQGwbtDwMLtjMu+XQIszBj4KfrNUdQwBlBd
HY0AIhLG4I1dudbxXZ8t+dOZeZ+C4BpFESLXdXcUNYi3wgt6wnkPCyHHzHaZ4t5KdLBBr6mGMYOG
Zzhck+bz+RmfubFMgW1QCj1J5OAmURrtoQ6VRyuI2uX30MVdjaW/sGvmXv80Z+88t1Mh9cAEEg8y
lvcQ4PbMKrs9/wFvZeDf+CV+GvPds6EP0BXx0CKJBEkjy4U6E3F1HlmrHlKBq0FT1NXzRq46cdIR
Bl+k3hILwgxJUMar0CzozgkAMjEdDv611gFfGO5SR6Mq6nvU5ytXvwkcDehViOzcvuJ8UIlbKhMS
HOBv3vhpaMNS0u5KnuS/TMiRrSUE1ldp5iCSiOjz+e+c28CTo0FioGJCKH0doZyUQcU03DSN/cBD
KPkyXO8/tlBTBLVUVpmejOpBQWtAR5jNJSTwTL8WnSLUZMIMZ0S35AGaX+FLAmq5wEte6yeIKKZX
yRNTnp+5S3jNmQ03xZ8hk66aVGEwyBaCMP3eHxd6oGeWYYo+i80aQE0FWmrIO9lR6FY8c32IU2R9
uzq/0DN3e2tyVmwVG7E2WXqUdfBStwCz6uAO6OPYi2rwAgbJvi6NSwU1nfPjzU3V5PxUaQc91ghn
0xqerHJP+yWTO2MQrYmLUwOrdMdhswq7cNbMrFu3YHW/zwq2lDGYWw3z57NfdmlVWqGdHLN0PLQ8
G49N2dc/OForLpHRLxaWZG6KJk7Pb8OR2AKaag0Yh/rW2cdWfXd+9me+gE8mKXcazuwYdDRQTmVu
6tT3dVE/NCPa3vtif36Mmdef4mir1CZDbfs1yvjxDa/9b+jgWDgOfGaR+WRqhhputRVle4TS4OBV
VmKtARQwPC671nLR3JL6bgihHa+BaO26gdz9Zohiu3EFNDYBqoIQH9RJ9SOk4PMLGUP3FlpykG0O
QalZgV78NkOr1SPhJl8FLbSyMCvlRg+DDZlvDXCYMoNN5ETVY5Dq+sCEWUM5t7LjEHyNNP9h6dy8
H8uq3aBvQraQa4UIZe4Pat3qHgJUcB4exyXPzD4TafjZtk2FXAHwSa4g5FjtC6LDjZWz5JbWAfmR
BUHzGWSX7bWJZ2zrAh3MkL2wd4hbfGjXMX4NSXOUL8IRmOUFmzyTlbEmlr+gKKaB1QNpDC6abRD2
zWNfhsPKsnAzBfANBN9dA5ld06khxnt+y8xsyyleURuBMH0HV+2+6iDtoSjqwhBtGPtvgW4/ti1/
gS3WbVK1CiHZQOPniIbfIXq95G1mwpopbBHeeRCqGNMjlFO1lxnqIR+TY5jLh043lwwiiQsTNXO2
pjBFEkJDUdYo0Vt9AF2n9qhs8rGYb4pEbAqw8+nIxBWkK1cNfSL+8/nFnfEwU+ThqYN4HE3w1UEL
z35NWR1toECPfnno994U4Nj3qngw3NgWUDNngbk5P+yMqZhiEFsrMgXInkCwX5hrwGs3AdQAg26J
zWguwGDmz86gRUOAiEDYhmpiqwKvQMvGus6Efdlb0BFtfKjDF4RGm8DW+dXIfHmdC+pDFD3Kbgdw
2VyBMsJ/PP+tMxyVdArRitMKgHwuUW+Hxu26zSD9DJhScZLr7HZDbomVAWu8LoCaXBcpS9ddZNAd
h5A9+Id19TVQMltnnZ/cnX+hGSMyrf+nVUPHrgZ/T5XoGpRqyFIIYe5YQhDyh3Xiabv83Kr65fxw
9G1VfxOWT1GbWQkORrT7nSpRVXg0fMYvRpvp1LXLcvxCoFO6L0MHtH1FGz32phTf7FSiO5AN6Npf
dZkVeWrM0KzHUibXLGqKI/F1uW/MzL/WTkJWhDC5Sbu0/Aa1rPYSMpsSbMYW71xBrPAainrxxjCd
7BkCJSyGEmIbXSTcUG7QjPF13AzGhVWGdGOABPOGaCVvhtyRzz2Q1Fs0gA41qjiGveLo8H4C50N1
0xQRX9el6j75IooeQ9lFL7TPwsu8am0vqEuyjYYxKN2UpvEFmhvHe6vIod+ny+JRNKgTB9gVr7Yy
Ze6GFU3uUObovS4be0CLgwF4R8mumzFiboxcmUtBcX7FdSAg+hmU2arQSKXlOQT4kH2OPK2KqxKi
yp+ivKNriIfLp9aCXnlqqWaj0Ke/0k0rti00ZlaypM2XMeIcUrI29XhJuDe0Uh1ikuUeboGNV0eg
KaDpAP8JdoHLLpTGq/S5uQ2F8FcGiMIuOsJ9N+sw91le8l0Ygm8VmHm5NZrAeCY1Dz2H82Blxlba
IL4PzU82NIE3XRYXjxLNjO7ACZR5BIA/2PjmLiA08JoE8EXA8MJHnYwp1A6z4QYZQQvYIJrfJIxB
KQMalFummFpVkMlbQ0YIWXH0u4QuM3zupRC0O+bM+VEVbbeFene5EqKoLnLldFvZSvR/Vir9MgY6
eEkzs3SzuAPeMNTJEqB0xg28mYF3l9COoT2hLByk6UISXZi8ZJfc/5iUGn0zeO8eTiFWa1YaVz/H
VNe41YJJLY82LLc/WIl5w+C/G0CSri7brHcOTn6dpteherWHhQBxJpCYorJILphqBghSxCPIysFQ
rsAa3tv5qltq2Jmb+kl4VA7CQsM5LNs4aCCDotjZ40TxBbs547R+gWVF2FsQ4QJdJCcr2+JugN5Y
2nPvzU7+5/f+v4JXdfOXQaz/+d/49++qGKooCJvJv/7zQWX4/3+f/ub//s7Pf/HP7au6+pa91tNf
+ulv8Ny/x119a7799C/rHLTWw61+rYa711qnzdvz8Yan3/yf/vA/Xt+e8jAUr//447vSqEfhaUGk
8j/+/tH+5R9/mCcdmP98//y/f3j6gH/8cR/lwbdCVa+//M3rt7r5xx+UWH8SB6QXNqqApu2ccF/d
618/YX9yh3LIgnObEHmqkeWqakL80Z+WtPHLjoDKLPToTpxrtdJ//YhC8hgwndM/hWnCH/3r3X5a
nX+v1n/kOrtRUd7U//gDlP8IJv7t1vBakjmnwR1bgpfBmh4ZOCZeQo0332qHfVf1TZfg1lLG+egW
rbFWMkmRlomNCw3k+toaHMi21cGjSTLPH8vwBYj9nVDpj9zoQaRccg/aOaZnAYgQI43ktSK9UNLa
jTRdF1FH3EDlHs57vXJguJnOPDAGeXYAGVMl08ztRrk3DAQRHBROPe5DQBDCPmf5jbTF1WBA+53Z
AZrxSOslHCFGHoyerCSewaA9mMqNKfXqNKqIs5vUN9a4v1zCm3g12gRLnq2dCu09VNxUrC42IlX3
uTOmrh/olZUAqa2Lm7CXGwNZMlmnX6EzvksyuScSH47WqksxPDdltmaxujFsaxuwO8hOQEezuIHr
3xMB8eCQ73rrTgVIE5ih/0ASlm/LCszhRmul+6oXe8ex3yr+NznasOGHAmfLibI2MbzzttbPijwn
+BSDphcENamQ3REn80DF5mE8kmSXVBo7C4gejtcIUnKFLrMterzc0283TbpNlTeOENmT9EDpcD+m
yrWlk3qOX3/pFA/cMBrvEyOD/2wuwxzgghi0EBkmdIRXsmPTbQwb0ZXxmWAx8Ea8o584BfyA3KX6
Lld3BAsa2t2nkt76BGKFGNiJ+FZU/Gjy4i5t1EqOL2XYfk3DDMSfvumyiu+gqOPhQGwap/5S5YBf
DNW9Ae0C2qbrXqYQt+G4YGOlG5K6ojHWWcIh2ws2qTxuL0udf03gkk+Q+UOszL3CXhvKZuW0zoYP
wkvKYKM6rIHsP5V2stZ1/CwH5yFsyKe3fZNaeBp+R6rQHZRxKCN+m3Ox0RRs3T3QmDs48S2v8Jb4
2jgHCLpyHlLVQ1NerUuTbdNIbMvaWA9me5lLYEXVZzMqto5fHdp+3eIEtLbcZ1G4hcr0sS5H4oLD
dRsPfJuo1LOrcd0BPenb+X2LFjCISay7qrgEzdfa1tGLlQeOqyxj3UGzqTDFJtF3bNBQhQiPOYhZ
UKW0kbUpNz7EtY+RkGqlBnBvDp0zrnRSYjvF8msWWsOdBf2WvXCyi0yX8n7MS3mR42dOFZy4uZTE
rSkE1zyBxGSqkB2oIZK4qUJpglJc5avWtNiq1qW/KUX4VAT4tYKmwn37IfIjfBXlyU1oJSH6+yt0
BsiibtyR9CGWYsi9rNBfgt55bVpWQijEuslxcNya9vUa0u7DHUqY9fr0QgMR/l6J0y7IRO51bf5D
5AD+ZISJo+Hg7DI7y1cSOGUv5jz3TsmYo900+dbKnGgPkJDaCV+Fm5CZxjbKjV0CQGbmGr2/svNW
7Vgc8Rvwfst7ZL7LNeNiZffOBnXVVWKPW1IUXlpFG3Q6fBXQYMrYSd7Y/1KkwVoqeUh7B5nw1EMz
6tEwR/edu/jbJL83wb+3wKD9opYgDodJ//m6Z0Qc/L5Wp7aAYW4M+66FJHoonqXKPNvpMQ3JXQo5
c2KMnwzIlC+N/nO48ZcDYNxymIlGV8KnSA2WiVamOlFb6ljbzCkOQGRBZqWwNyG6q33lp264jWq2
PlnXvpabcKTRrhqb2jMKxdyhLw+AYEivb7SJjrnkR5LoeAVZlIdWryGu8SBF0iIbJq8ibW1PT4mR
AybZg+GnBx50t6KPvhQE2XMB4S1w3a/HIV23lXJJbqaAQ+X3kqgNtIkOJ7PcpPa+iVo3DVJkjiAH
D79ktOJbltYXsjVdC4f3dHDGRu5zGhyLNgDOclgTBwwvkdghQvRsHX7v5KPdetCmdNFgvE8CUDj1
dycsfCtypMP1c8CsLQU7mYJ7FbEAAADHkOeuBJo1otS1BN/quv9UdOresZMfPLauTMavgl5csUBe
OH57cKoxcp2xJasS4C0jA2dqR9ajA7ruBuSBZv8Is7VvSxsc/mMT+j8KYe97mGsjytYBhy0Oc7dL
n4esuD99EIdjldah6u3erbPsoqnzJ6ly9BWt1civzLo6FOz2/Bb5OeL9a4OASpQIQXEysFN+3p81
VEscjWLRNtZVj5Jahv4mu/KUgGKiWqoKvcUb03hEEmBuOVSEuHwTeHgXwpM6anUw2morlLwCGyKs
XkI9pFdvaxLgDBZ6W5YCuu5knfeBV1qb3l/64rdP+vUlbJtBs8ExrSlG0KkDK7chBr7tdOaWebRj
wNKT0kdUscUPYIbU24Ke3FnZf2rT1JMxW6eGglyC6J4LtBgWHM7CQE1ZdnCksRvJCkUWtmW+2HYo
aQvLd+kAeyWMfWiQK98eb8K6250CBEAAINPdqW8m+9L2PhTqmCdwhTfbvEPP4oMPssCKe7S/tBq1
i8MXy3qGdtMN4bgmpuYqNoIFxMOb8ux0ShxuSgSsEhHo9O6WQxQ0bIlSW8gEu4qSPQuI1wsNzzZ6
wNKtAVnYBOmxDj/XtNpYyP+YEDxi4Jzu4S2jYy98BGNQbIqtnSyzi5qGBFs736oAhq57aYzujt1A
MBYZSHIFxMLdADWk81v5rePy1684xc4ciGWgbX/eywBZkMTSsLUa3UfQorgA7fPWtLInIxTrOm2h
/do+084+pvyh48MVEcaOVIhhG/Mb8D2wAnGfblUIFY5a3ptVc9W3iDlpuzdLeXmKPQG4XtVhsIAj
eGtP++XFBYPUHSw1ldPOMlYYSI7wXm2VZs+DER65Ib3YHl2TorKp2i51B1jOZrB2oUNWtGuuy7JY
5wMZ3S6nJ9GfN+NW1Nq1EWQsuJG3HPev7yc4PImQhEwRrywtmaiCWm0hw4LgsVlRAJJRSCi+hj2k
qWRywWgOGyyvcssChTDdBnAgFKG3jmDPR3bldOxR1GRT6JvYyoEYvNNJtrZMjTCsvDVGqFxV4Sea
WduEpGs4s70IWshUVVskzcBOp1dKsVsLpPI09ldIEX5vWbjj4cv5LfRbA+UAmEykBY9tT/s9UzH6
CctSteUxuz1FYyZpd6Z/0aYEQmRgFoC8QBt1lyePApGJ3RhU9wuv8DuL7EjcPRizETdM0dm8KHCT
pXiFohdeQew9rKlX9c+nKJtG4ZHW6RpXkZfa4CumA9fs1Rce8422sh+nKFsE6XrhlX69RloE10gJ
oi0OFnJy+vk7sw1Vk7wFNQpmhVyMsrwDguFGVmJjFepGqugFAD6IEjdXMpXrRT3a36wJRsdqMIfi
JUxrEkJ1pekbQ8Wx+xB4SuNJ1Y88RwQpDUh6WLe4p9pmtQM38I0oA3RHLaEt31LyP2//n19gUv1E
jrjPSgqHkUCXc8xAjWPzbYG7C1bFMo23aCYXJsDBiOjjep+0NRRfnjKB69cIvi/er3JxPeI848hs
q+r7yeoHDC3B2Nd2AorUot6WTegNtbzyq2ytEC/ZMa66HfcQBDv/b9I4lxHk8Wr1o/n/IY9zgjjM
53EeKx3ob8NPWZzTX/yVxTE4+5NIIFIE8jKmKRCm/yuNY3D7T9hkCZtATPMUwyPC/juPYzDyJ2wh
Q7YGiX+b8xN+4+9EjsGsP/E3SO7866Hif5PJ+Tmvh9SghEwtkM6CEiSTzCmCEFnt1oL4srkes5w8
1SmvNxop/IcGF7IljbCfay9/j4XEFsMXS+FM+5cGQiIWlQlby1zWqwRFhJsWGbANg2/d6sDQ90mM
DkpehUuXpZ8vK3+PjDGhMe8I+xfjC0LIMmvBkbQG6AnEjIBGuAXSC+8W/jc3st9OJcP3ITkGazLt
e8gs3bBEYRCoQN2DhBJal+1lMi7EIpN739/f8m6YSSxCUaQaCgfDdFUbXekceL6urIyHwjJQLSr8
+lS9kRb67lOQUOIy/zkah9sQwjkLjcbmb9eTWZaN/yHHPGXyhBRbh1wO1hMqSB4u/Z66NLxo23p8
S/FPWnndhnqmW3mp16zs286DOvpz7AGn4Mr9Ehftb9f43ducfv7OleQ5iYRlpGwNZkKE2ZxfGH2/
xC82XWNJcFQdyR0sMGKqaeORZQ1d54PueC3MgqO6lqZXBS65EPLs1e78dpp+j0SiljpoQsHlmoPS
Z+KcLAZqB7OJxzUyLRRc19D+CBvg+M6Pwt5CrH/7IGFhHCkZQkMYKspwLH+eN6KNsTBijJOA3BRK
NcYQjjtT6QGJvDD0kS1pdRhui4hZz8xEvgh8xT4rvjYBd0xAPNEi2+6RK/Z7l3cdCVHdCP1iS/ys
T26TtiwD6/9Q92U7kuNYlr/SP6ACRW3kqyRb3dzNw/eIF8FjE0VtpChRpL5+jlX1YDqjuqvQj5NA
BhKZSHczicu9554lp4TE1wQW/nXRRCrEgJ2LweYkNiGqHUozczd1zc1wyIwd0goHlY5flkiC0hx7
D0xvlBaIchbAMPsek8kaKeKtSgp48PkHJrIvPU8ukm41hJCaNE0etDorDK9duF+HzMblyhb/mq3z
mBYIIoeBg4uDuTs2tz9x4zaGH8XklHyO6KCKYVr1HN9GtSNgXzXwt0ovFeauKIs4IO8QozzhExvk
NGgC+aMfthisy1WFX7d+rgLsPUVahNgm4ZwHvQreWMjSsRTcuHKqByMPcxw3UzH0rDZ7UJYFBbQx
xQcToC9HsyMCxMqGPYyenGEi16KKPpwI16aMWDOfXN8huwAONMF9t2VjW7TjzH7Go1PhlXf1ogs+
1zNFmmuF3lJ0YQNMZSHBfROHTB9WZgBtrGnHfnIiXcQOGXfsrg48vi/PPNwDgohpsmvd3H1G4PUs
u6m3m9/DVpqqou2AUCLgVQ+Y0ZshKFRVh490ok2Fsbpnj3oww+O8RtkXjHnT7wn2yFh03dw9cStC
C9UciF9500aqKSqfbraMAm9+CwfOXJkkDYwqJtcj1EvFYn1pk5u4G3jlluS9APSQixDQeI7JVPcD
92fa5Wto9dcmHmaMBgQVL30dACy/jUh+IN+0eajjPqhybFiMp4USPtuprIaf9IwAy6+3HM0wXyIX
1MUaMPW7TSd/r6um+lHXyjyKfts0fFUcYjPRrNnr6tXw7jsMzfOb9OHaRFEg8mxo2RfoDsMtjwZj
4SvYBPbZWUSsrUY16uSr1Y056ItTfEOtxPumXSXLHgoNm7NmnWCBF07dAwbtc4uxCINxS2SbDvMQ
Y7/Q5WY0N0Z+BU4EDVYRw172eaLt3CAZiJhX1rX8NC3p1OcI400RuUxIgnsBEGDe+D5ui6CxBFyP
fknyTU6qKpp6wBB52xDNW0BqNVxpMDVbrjtMCoDhT4irXJpogcA7jH5mYYwQhZH35D6I2faNqkjf
GjLKrqu2g8TDnNe5WLKOABAdMmgSlyZT+QgP5CfAWtiXlYrH36ML0s9584id5tMoSY6nL8FKU/4V
S6r7CcOYsCvX2q8Ou0wqnUsclA/IpsZjknEVPhmcIUDSNrwGmNd4bOptNOl9lfQx5k7IBPjwlvX3
avYz8GasmKd+cMoWWzv1v4ZIMIUwhqjFuvUshpWCJwr31qBpeowR23oH0BUFOYtlh9kDxebOk1Hp
tgzpEKG5bDMEGflpNX2x0AWcjmbutCjDDXHIBRVq/BatSYZTIEzsowtF7MqOMf2LkGBZ8jSiDdi/
QeguyTJ0yQWRczM83sTaIG+rybZ2bzR8VTDNugVr67RK4nywcJnOEUeTuC9KglWRN8voDWZcSlcl
HQ0SRiqjJmRTJqD7QQHqSHyIQf3bLuEUZG9864GzbnVjn4WJiTgMJgIXoWqAsxdwG0owmBnltN2r
WtrHDVZ2aArRLUY5Hcw1gTWr2iWhydyxr6oJ9aIyiS4oKCnySLzXaxFNnYuOMRyg8cLgbbSUNYZL
pthw9mE1c8GfrZZhX7ZNEOtiIANJMflZJY7BKYUcdexBvj1QXm/ZLfSwWovajw2mezUV886xpVV5
j8yiLTdISSW5n9KB5POierVnbZatu7Yhi4aiHHlxmDRkuTeiW5/SSTWkEOByRJDO4TmXaeedwUUg
OnYEIR5FWrS5BLM4zFSAOsDefofYln4Fnt9oXYYjPvweClka3IULhU09DIbsVuoMJ6oMJ/WKArOO
gbpa+0BCJEbs6lZ2bEcInkA5MsxSdx2cZJASHjYcDBAoh2FDSmRKL0mLvODdWCfdUIxEgAqlRknn
l7QFEb3ExRm9J067DC7iq+NPQVrhgQXDoN1eUILsQysAvefYXwmc50S4bIXCvW1PS9NEwW4Z0W3A
yi0cgHDwWd7jWJU8Z5NKT7Gn45GoensOMwUyNxJjk+dOIi8cEV10QNHo9VQmi+JpPjuRJPgRtJvk
hTG7/lamzbpy6v8+A8R9HuZsQ7DkIWum2Jy7kIu4vB07mC/iu+ncDxl9F/ieV9/S9AODGOUvgQjM
iJMsUCH8ruLooiNzcwJtsrlF7nQbf/t7vfO/Ihpc7a9pXqZf/3H/qcx/7Jfh5+eM6f2fzehfeAj/
X7WsN5e6/7llfRGfTfc5/PxLz3r7X/4v8yD5WxqlDF0h2rQovmF2/2Ae8OxvEep8NIloPwDY3QCk
/+xYKfkbYBTYFYASkEWA81Ct/mfDip8GdIVw4HsUwDzgp/9Nv/pPmE3KkXEMi9jb54uyf8qaIQqr
cXPBfGxl4x8Tapf7IGmZKHoE2kSlUlFQH+YEqriCJcRBNxyDGH+IsRcQTT17FpXrNMO++r88wv+m
+fsrlxQsAsDCBG15iHEgWoQ/BbRQPAo7IEkCY38Uine0wbirTBcRuJL6XlwUVvt9IKoGAI6O2seB
Egiw/vVn+GtzggefEAp4MQkz2OJH6Mn+WsnDRWPJ7IKhcx30UQqSQW2yHMVRe4stI/j6//rX/WFQ
e/t9SUQZMr9v6AEF4eSvv6/l3NNBi+yAfAOz7GwWfbSI5xRl14Tk29r067WrOHrSYbUjmHEtxmzz
4qbu33RKfzBe//5B4gyDHyxMliLk7Q8KlGphpeApSQ5dPY9LKTMHdwDi65/VXIUPvGMxKB+ybnXe
kM19Iyh0nrtog2/yMiPOF160FslrqdRZ82+Wxe2R/7/mCp8spRGPGMj1aBnRYv2Bb9Y6xrXNWnuI
GV+rPRqqND5Ochr+nbLsz/WHXwQNABYfRsGYU/z57kM+RLhqNLzgkcPKdrUmcbifFaOoMdfkN20h
617kvNTlGMQ9QPF5qP6d/f2f+PKtY4VLF5RiGJKgQ7799//SgVPNm2p2gz0gjRyaegnNDgbgztMS
AEVUX8ja0H/zfP/Kb789Xxw6gHVwDXJO+J9T6DURE0XC2oJJc6e+yrXrkcEOO/mxYGOc3OFv6PiY
iCb3j3sEZ/5/z4D65++KkyzFGwWihCPyz/3umx7qWL9Mh2juCWTcCvayqKBThZXWVRX6AjiP/zsl
0T9/W7xczIITCPRwEpM/1vkwou5cIzId4IEhjoZPYZ+jMV6RYzapnzQdUcm1SIv/B6r7P37X2z7+
6yJOsuzGQsvwF+d/4jx1ysNwmSW0Fx5lGWRqy/Q767GiDl7WzYJcLJXxwi81G/Y8m2l6+NcHDaT/
f91HDPBoers6ANFjfQOA+eOoEauucOKN9uCROgdgbf6AaHhCDNhI7sWcvKhVI6p2VLf8vugIU+76
DBRCojHyiYPpPLq+MI0GMHMdhj2TNqd6DvlRc9e9tKINr5On6mDW9kefyXoXDVFzhDnxuqMpOsoK
nWCeTN1cBq0Yr4jaqKDh831yDsZKyZLNmz4KjNfAAoANC/i1ogk+N95hxKlXbMZN/6aQ6qBLBU/X
RdnJhKAlZNyavG7r5gioBKQfhlEtUkj6D6GcOFEX/dbbGF6yaIMRc4sdNUvJnluSbvtUJ+LaOXxx
UovHGrqbBfvx1LAaIXrGQvRH4AX4DUlTH7Pr49JAz3KB7yBKbehAdUkNuTUikGvoZT5yQFoMBAW0
v2wl7BYWSWHcGXH5DF5ypnPaEFvSZVw/3NZMQKTIVnbQR+5dhhtgH2x2aJ6HWdW6YCYEdX3LbKL6
vAYxgAMGBIcnE/sRjPTWF3yAo2Zu4zXkd3ZmyCD1TC92yDvWdsjBCltMLWE0jZ0lywrybQXp3wBj
p3i3TCbmjyyYvIfPqWRiZvgcMzh6aaY3fJyETknuKq2+tviJ6kLilbYCRjeSASmBwknrHAHow/Y4
IsV9Qqmd2PbdG5iYHTveIs1njL17NL0N04MaBf5cMyWbL3Ey45/pgInNK0pbliKrMB7bfZM6XPR0
YRbmlOD6WozrU7LNqKYZeL9Todkgo/IfN7ILl34ATWwl8e+5DvFjMfuJ7VMVhPghG/ICvtY+SsM8
WrJ4IXnYJ6y6SzqCQ6yrEaibywpa/LJbOD51LRU+L0K38OdEJLAvoQFkFZB+Dm1Z9Qwfjw8gestc
c7QLSAGrQZ572BCtrQpmPcxm2hRitALNIvxhXKht/DVKe5gJVTQyvmzsOB5vSdbLJfYTGiE1Yazx
EMP2sd2vAbQTez0RuLUAkHPmPBCLtQwYC+zpbjLqq15aFp7Qwdy6Q+w3PCiUC2PZiuECvHbZp4Os
1yJzyA8swTic/CkJZfcU9i7qSs6DJLv08Eat9mvSzfQa1toFz7dgsOZLEy/xvPdT2w8/IB35tTUS
gtqZb/HP0DaO37s2UVeVJpgEr3GGFYcJ7MxLNoJoAx6+Jz+CaCYXG6m61LERv2eDZ4UQcN/UZTLG
gBfJMoFI3Um4lCOb1TNwHVtmsxxzjOqjhyoMMr5bpkXcU1ukrgt22sO+CY7Kye08Eikxn0vd3AL+
xinzx44QB1qTAFPLpWi29hNJtiLQCBUGb26U2WPbgS+XpNDZXd1o0ft2PNxgZiIXnGUmqQCXyX5Z
i0XC5GyfdBxxGoptDqwnpCGu7iArjsUy81GsRZo0w5TPKmHqWPU2fozIoBV8t6HHKCkn/hvc47bh
CP4fgheQnYwrTEVI081BfKOFilcCqXciPE70ZCYcmY6m4Yehhy5nv6C/ru7qbIuSgk9VVZfYm3Q3
gfGmD8iaN0kZumbJhw1h4iD/Qv8zZ8PRkmYeLj3ahT3EJdVTy0mw58k4XMMwSMGF7FZZzEnY/x46
IwDu8PZKTbxeNk4My7FzxU/LSBq+jqrissRDq4qhBtBWEBvi8TTzbI4jEo6vVd0JTCVkwyuoewSH
sgIur7nvmnHKkbHN02I0a7TXIk6++3W47SVEheyBlPhduFTx1YH4cdcNQOv6pDlBsDE9EBnxg1Mw
HQb0WwdHFTtYy7WuynZ9LKLXJaKpvOVefsE9ao4sXkH9AQK4t15X3YnAeRACYFbnA9mQApYOwbkD
CbvA3H7c225dT6bV/nsjfLSPB8TeSTbU92O4vZMQ/s2wlZ8WYOhDBg6o2fxh69X6bHsIOQCjRrwQ
Q0XmA7PzAnO9bQUZWKLyMyiMEGZodGiLObDDCWdfO+xa2EU7nFMk/rWgYckDk2afsGV/Jya1D7Ha
9EkksDxPtpqfnF7YbgsUxCVmiufgswsqHFE3pw3Th6PYMc9r5PTWsEl7AK7OnmFHmzy29YYjPW7V
jtkK0aBzk6XLXVSHuEG7tnv0gADropeSf0CrbsR5G7savGuPnVUMvJaXdR2j+d4xw394kyy/FMqu
HQOoa/J+zthOBSbcV3poTwlSyBjeOACoiHf+1I+hScFDt2uTNyyBHcEYqC/rIvURd0R48ZE6V5xQ
nJyMyIcGUO2Vy67JyQj4b7UyecQzlGXdpzVIwR0uatkMzzyK+91GlvTsU0W+R8mNmQuECIMOlAwB
APQufIyGefy1Kup33mpkJ9BoijsAVENPi46v8tTKtn9uxNrt10aJ+wYubvBRkG1BactRR8zw/utG
c4HUi5Edjin2K23jCOp3E+LINtDXTq4z1xYq8w7rIgSaCZpCTu3o46JBdOYrXESCYz1z7A2Zto8T
5Vuzq0ws3gjkUsdkcNMu0bI+JAZ1QrxFpRDm57qptdywO69klu5qGf2SpCPkaNWwHlzvkh0OYFqS
vtpKVDvbsEtlOzw0PgxOWTx0JRRM5AeKQXNxKHrKheDEKyrkaOeTt9E1ZNNZZGY4hxRID5IZtnxm
i8pZnbEkH2a87kIr277FPoER88DF+JDRtr2u4zrQfJxqO6OyMOt+8IIjRzLuNFgNqPy5qMKTG6Ig
33yPaB+FqYcdFrufwbwOkNWHNPj2Gldt+A43sXAXaPdCO/XadevLzFIwP+wIwr7cZILEzMo8bJ5u
Z+J0dE5I9Yb2/be0fDeF9c8MQ8Y8E/R+WbL2CCi42TXMw7BFfCb1LUKllz2gh/q1WYMkt5vCfmXb
a6qXK5NVXxJNsCEn9SCHmN4bl0KyMLmjTXh3T9PlJQYet68hZilG0NlGj2FG6GrIuNel+720s89R
me00yJ+7PhAwV88kBhATHXYx6MBepPOJC0Xw74e0iIHrPjQmXfeSayChdpNvcc9+zwtrTlPXfQ2S
JDjfENsB8VgFKIdYgFa8Izb5k+sYvFVOomITqylBDF/f3Nh9xxF8j1P9EbG/pJTAZiEEXzD+5d5j
CQ7Jfou6X8Lb96azcp8Mqy9xy99vUuhdSyHkEylc73rUFnuRxPsBDBjAM/VhmiZo29KsOW6N+6GQ
L4sMUDrkC86/kvtZImkBY0q8EwyOKiR3mi0rZ+SvAUrG9b1upn64xQvBgDX0oBNXz/2iwKFt+HEd
wwcbgNmGeQSmJ4Hqj9ViYL2nZfuLNwEgSq8YSOfRiOM53j6Qb57kzJrsHiRldwRP44vzlbrD4QnN
B7gS+dZb8oIz8VX6uNoJWXMg0b4rCbfAvHFsgqmr5zFPTTcXFbBbcDKRatqnVVD6sAcVcs4+4emf
lJsMTq5VJIc4AcaVIzJsWvqYDMFz4qG8GNki8fJ1WHBZvYFSGebYEshLHZP0MVvdMVJkT1S2Hq3C
0doA3T9sMHHZM+/q3NUqOGEucvYoSo5hqtoTIg3g2zunr8aTo61x6VOtxRHDX4wNeUV4iRHwUrbA
vk9bpR4yCA8hXvOoaDfSx2AaI0Ai75W3kGQiwynasmvdm2fro+qBbnY7K4xQIdLEdS83C9+IJVL7
KU3eQtjV/LTROp2CiURPGW6Bp3Vug3MroUYFmtKCzu7qF6GH4XmQ27aruxuhVcnpRwMqaQbTNGhJ
k9pu74D0ycH0YO338fDdu3bSuDqS+rMf0rceN8vVEUxvQgoRDOmZhVGGq++lSVlBNkr3y4jEvnoZ
db9fKz3neqo/fJL1NxAhLtS0AsbwwQg5ZZ/d2MTk2IbQN9V0+qBrFz0McKh/MlCdlInQhxiBNWU/
9vI9swQDXNPTJl/BE30ABDRch1tWjw6ih1YPdUGXmSFNRJD05Fa5+qJb2IgIC9T9UGkj/7yHRmYZ
y7jjy5UzZHfOIMlPaGLTYdqtokUJgMl+d0XbzEH7pUTDgk5jrqDrKMXkVmCcrqNaFHPdIscn8pg7
A/dpwrFYzEJfRGPu47XXe6NGf57hGVTMMEzNWcgnJHnX6YMDaelubKR5hkwd1xHYtQZ2w6nvz6Id
6+9xAynEvHDQmYGdwWgAYwmzq7YpO8kaMGgxJpvHWOA2oEMqAA5oOFqkt4pS5d3WNDA0b6XGuHuE
hqCz6MGsc/23Tvebgag1DKqS6zCryinAQwBuG5j5nACX1PtBE3pPurk6By2G9XkPatEXm6wZyl4I
7XetWMYXS3o5HCofWZ1XgqGMcyJDC8zMmhyowsQnUFFdZpFoj6geJ5hmjEjFyMG+Gq7V4tRjSxyE
JF4kHP0DVvUOjRSmebC+1uUCWdu0h/vH24rBa1VIVZszmVKN4WOst8LZWu9B1BlA6AZQkRRgTWSY
V/VQIHWhYVDqbhimg5+qVvw25vdTom2XZ7zNLl6Q+pOFdvrki1vOrmd8p0UEoIlqj6l4s0GdkLJL
ZYL2hLIOj6AF77VBmf579jIuK89NPoCPdEIjiJ7NI4wFc69kC05TM4WywBaTEt+ErHsVWPYridvm
TF3Tf2X19BM8ZfOJrwXVUMocpA91z8HoSY+3pYpFzgyBByJNCixEcp3DMHnsgzm7YBKefbBOatzs
uHquKF7ECa15fL+2CcUnDYID6CjsywRmWpu3Duho3g4bW/a972aVpxBMJzkM2zDbDMI5Kl1XdW+w
dXT7kTr5FUozB6UHgrZ0DbF7DsCHPkrKtnuwgHFOQrfxGvaRg3GV75KPUZrw0sMNurRSLU+BA2W8
9Yv6RBd5jYFrfdFmAH87nWlpwUfHEw4V1Gc6fmnHUT5D/LKd2RIlr22T+RcC6e5uXVoQDua6KQC2
ukKhxt4ZQvtnPiIYWAo03MvQbxiCGgjNwMhJ1kIDPWp3CTUVxu3jtB0U+GinVvPkbAVhpZhIOpXB
hrozrZDhm6PnT0CT2gZFS5xZolQr1MPUwgl1m5Ifq2VPDVUMUE0ICUzgFfoW/qhgRJlvETJ545iD
3TClDfBPxNUBj8yeMUCscMQR/V1VE5pc2OOldyG365ckSNm5xxmCYav8bOYJFIYeon6GxjU3U+X7
A1SaaNi5Egvo4Vt6hTcYB+XBirxO5yHOYfxMXkC7mmEfA60MX7JgPvDIVD8zYcy1UhCgZBn5Pk9h
lpU0heAr6vtoxyXx+7Y2zRHmNL27gymu2IfRRPEgvN2BxvymjDrOS2KLLhwO8EXvjsOM8XQkZv6e
hODZyPVxxYH74FwEc7PlYsFyH133OKH4WesFHubz/M2PMANFFii9A3K76iKIEfLuErwtqTqQ11ZW
Q9YWD75gMlleBQuPUsN0xDCP43iV4YsV8U72jSvCMFRrAauTujvoxjUryhCfmYepJgyyDQLQ6xgO
FsrULjXzjFbUVJhEdW1AinWCTKJoN6yEctyAmD82yDNRMJmZOT/7WvcVbAjIDGliHUElNxJwW06Q
xpqbMp0YJMxGbdbfbQJ+CKcmkux3PQu7nscF5N+NJYA6Kw3BXWvKbUImyzxkUG87AwJL+74OcVM2
EMf2HJHtLobXtIq+t+Em5tw1GvpYWJ70FwHMyjt6di4oVeP2TZK9BbI9tdv6YTab3sVbHBftkphL
OTSrKRzkGPlsY2Rjhf3V4BrFwKPLEWWTXeRc1UVEZlFWHC0xk9DFCf/Lz/w+otUdlv7bILqDXcVl
GsFhDIKh2ldwLS1E0qOAdk+VjkDQBlO+otNz1Jspx2Tjs8XoGY1K+tiPeGmxi5/Nxk+hkMMuUjxA
EdRlKHEqsENgiI0OEPYEyEt+EH36fVTsIJ3sQMmK5YFo+aR18DInC06s9n5l/YUa1QIZ49s7zIZO
WVtXhQmbc2+Gn1APQNaEVKDLyPgeDRLGbDKkKNW7vvBkGfLZ4EbT/S3cjq07MoGSrZepRo+AQp7U
INxL7z8CBvJmrFMFTxbgc3vEyJn1zNX6owm1yiXwXrJrQqdwKbPqknVTepYJ8L8YKjDeAOipCB4o
BVkoy1BHq/AdSerPoCTRA61q+lYjzAaKhPTeQs/8BCqAvLMRnB+aHmcLBKztJ7gTIKNsggVpCSUa
+CsdeMlgngu4tSPZtpHvALdH/ztsieavHsGXP0a4kdQlilUjHlaDXiNvF1CD7iagtAt6Z44n7nEZ
+n0IJ8CfMlDNBvnZOC6PyN7L5k84V8ihRJhMF9x5FQOtyKHbc/MhmCQeQJ2EIihmia4o1z2Bgpag
4lZgv7vXyaxPiKV9DNnyBhi/GCcZHuNuAjdnFaLELYfPnrAXoRCPYqss2xMwVz5Q/LB9TdY3lIig
10xAGu2YPWVBAMwuJtN9F5iLsHXymK6+iw71NluS80QHedXjmsvneum/TGDB7EEqDfluoSt5B4SL
HUf5GsOHSqTyWPfVdJEJ9NoaMVsTgJpaPtXZcPt+gn6D8Qpe69jCzaNIu2x+SqwZK5xQMT+DwIWw
N9rWy4kI2QkcOKg2TQdMIp9Mo49xn77PFCY/d0tbCXrmcx+/kqb6BdDZPlSZy86Vgs6m6Cyheh/W
9TLswARBb+izGlguWT8YgSmnw2H4lEXLsq+jWZ1g95jgHXX1HvCMfNi6zD5lw7Q8yVUne5NQ7HM6
/fC9XE5pF4ivFc57TBUDOHO3SwsffAMyDsicbcIOpOf1tVPzWXeTB7wLWhiWsWkhg0Qc60NTw9tl
haYEG8H2x2Ux7VeMlrdDtoTwDt7WoYQIZSw7O37F+ejOAXqkY48bKw98XUvs9rm+0MrStLAcA4YF
U7LrUNdI/oK28szFLUa2m6D77a1vzhtSGPcWFmoncKgIEKd6rYreZ+nrAPj7DcJwuVes0rtJoPAN
ux5FBzPglIUAMSHpxgU4gpYDL/KmtA3d2hIO8QwLVKznCDdcSaMh3osMfLpBZRgKBX0HAUlN63nY
SWSc5XWkVvRKNr0g1q//6pBA/qy1+9RunHcBCKKguSLQpx18/eLWBtSgRT51g+su0Ta4J9n1Msy5
AhF2AsviYFwf/Vyd684RFNdYVVi6m8V/JQ2QXfCD7LlDAsB+aer6t0k3AQ/yUX2C17nlYrTuEpjl
hwUA+qXqg/s2G+6giEQFxucWxSCs+8VTjEN6TzAMKbsZo3oGB6miTWcCyS6Me+DJjho5LF0o3+pQ
bytAU0gYwdT1hw536QMFe+tthq1EbnWrSsQuLUDFkI3YMyDx+NbNhxuAfXiUPYAueLgLu/YX0odC
8OZTcYrN+uI3R44qndIvTcD9gc4b/7lWo36nXAVw8Ruqw9glHAqWNAIiAdBUqQxayQBl4V02Ren3
IK3dl6xdSVFXQfOKyUKyF3bE+xjHuWAgxAIepWm+NcsEaiLTOALn+PdENQOLSyMgwSRxGdFgPaE8
YiXyq/u3ZLPqYUmg7WWqc4XgY3wA46spZ5Xehgxz+6pT2+Yh/JA+hI22g+VuLKM+BvNdiR5ZfsJe
2nBqn3ynn6lNxWGZUwmzQJnu0kh6EFRt/w0cQ3nF216fWKqjl9XIFt+NMvtqMciJCwIeWvYwsaTZ
acRW7zwmUTnyTtCg90PlOlzrGzqPiI4/0nZBuzypDlIgmzRzmTbdhP4PjXIZS4FmY4woz3sfT66U
kTU/wNuGq1EwVekDUmAdcBoVqO8OHqvvA+XNA66oAbi86H94TemEkSanT8qOcV3yHozlcpAOwqMl
UfK0WECmGOfVu8Sv8x6+RCPGb7a6dsCHdxVFrQRKYXDibQrdR8aa5qulikd3ga7XIF8xO+nLtYvb
fed0+kW1zmNDZRooZEbvG3zv/rTqOr1LIR6BhmqEr1Q7sOUw+LB+xTUVlM0Kf8A+wuzVJ1q/YaLh
n0ITDyVBAHEOSGB+lePawoJjCe4TJDzsZbqA3a2bhe0jetOn94gUgd3hd089OuRsltjrfLsoBXpq
tCJOLOmmbR8x44tQ+TWna7yBwIbQbFqNkIh3qKPYlqDdqDAxHdQSPhs89KLtg+wKLDneZdLOcPLi
zTGGnDGPE4HBNYELCXZwVi5T/+6YbH7AcCBrCj8CIBOrgsOuzRAZlWzbqa+6+pGOfNynNt2FWlrw
MBcAjEMVoUSslyPQmrR0KIgKdNVARS1v9k3QsUKG0n78H+rOpDlSZs3Sv4hrjO6wjXmQFBpCU24w
pZTJDA444PDr64l7u63r9qLKqndt9n2btEyZggDnHc55jurq4V5kvn0ql8rsGShYa5f2aRNZRXEg
dCM9LnVBD5dIBlxkaz+hhFrWvgQpxuYgvcf+LTclfvn3PrXx04Wiv41Qw+ZDjiLi2g/f1FUOkC3R
fORwoh22vfoSqsV5oL0M/uYpCK46E8EGNr4+oLvgJhRD+DU4zcyRPbzlk5TbOkwhPU7cCfsy9jQP
XXgF78koNqw+vUo6u3k2FRgy8cMiC8oSbR7SU6FucApE13OFLMxKr35AuLkO2nDfhc3wMfQJ/SSL
4XPpUhYvmhcO2738iq8jYqNaMjWrCJj96+T4epqSJraHGHjsc5uiIzAT4nbHqXfoP7x1AeBsTbnT
DUezLPlryZgErahTJbSZoj04Op4f5wFly2omLa7lQ+T91lcMqLdOGrD8WFRXxuuxqOvjEFfql9F9
xRgHNQxsZW3fj1m35JSv1ZTilh4XUB0LqggzTTxpTvqBFak/6r6XVIlDEl8yaHTIc4f5KWDwc7Qh
brypYuBDusukly0NWaZXLADEqmqRkm9EQpP/N8+TMDlEQxgkOAbgcJLxRUz4baLlr2EMTufB89Kz
DhPzU059xOAJd9cx5D5q1pNYUO8nw8xbyYR/bTuZX2HcAOIZAvAysXPbV2OCOGYWX8qqtXL7QyOK
i7e6LZOvpqgYojeJe6l9aT+lXgX2TEcFtExRJBudqOU5whCgyQTg+q8clRJ9SqPprqqolBywPZt4
D029Wnn9kB4Mt+iH6OL0u/AntXXZjmMEG79SmX7P0mEWDa8tf5QBevTeE7y63WSwOBMxwma5ZU5T
B7WVQiBo9+48ucCEiui19m9sV2l5wWftqPAx1RUEdJUq/zQ2i3+OS4uOKK3kbw8F+sGrEig/Vj7T
zo+AOCdOmALltz+c3bZzD3bCqlWXCUsKr01xlyyNeJctceMUE1OCYb6PX5xW6quHev3RLnCVd25C
wthcVxriiZbLERu53mAKSdJVYdUDFITbKAhzjXdwGmtkuBpq+ibJ3284BI9JiSqAMV4ZnbvQSdcQ
kbFu+ZRa71keI5VfZlld6j7pmcTPBCqJYiYOzDgNZP05iKazo+oFYEG4AbzB1JPJ5T7MmJzsfd+r
3JViq+ttlwJr46p1++JN5reqCup4eqKvkYeu5HtshTsCTEisfm1ju2USNAuXemgkYxLxzhIWa5tF
594f8oudZvO2rMNxEychfKl4uc24U/UShhEVLtYPPBh9W4VPSwT07oEJmHXupdONDFwD72WYkmzv
VlVHeY9kfD1UQ3Xt45wxqfT9FMquMRtA1x0eClh7csUbOVou6AN40DMt5hV6voUphWxb4lpt+ATW
rM3rmElvpLGBZMOaos1OEpD1vCeePmczToj3ScdsGVdVNbvrvi+jlxH29DptXYbUncMRtQkXXmqK
w6bfYAvx2LO3LEUStzk2UDO7nZfWofM84jv4TfZT9pQbIecNnSEwK3brMljNEzlYDbYkXBvNQlwn
4qlVQG54TDxu7QL9aTXhJe2o0m2+IOgC6u3tjemXZ6vqzUFEltEYB1Hdr8e5nhDf2O6+zSGOuDRO
0670xASh0Ws3aIV4ysrc0gVjA53Qow/ZQz8iFbDbLN4D3ORzYbwHPaXfi2kKPquIQO3VLCfaMCtN
DpQqyzklP9Ne+/DmxSYfDKkNWVRrngSmJom3uB+LM+fbxfXuQ4vBGrd9vS6mIHsgb1bRifIuYegx
ynbLKuVmaKG8X/fCexZV1W9qPsubjEW5K1gN7JANoDlpnPmpspd0t0zeT5UJzexXY15rm36jTJ/u
Bu5OnCIveejEBzOPzG881Fhq0btWd9/S2HQDqnoJxJy9Kordp9xjJWc73vDs+iG7+rQQeGCcqrWy
/ZKU03yi4WVVQXaiMKcqYYu0pQ9gwrcaS20QDYrRR4PR1RQFh8gECJTKtEO6UoZj5pDEI+PpeXIy
/iQIW+kfh7qxplczdXPx/q8/qdKZcRe5SXb9mkR2Oz76qKnxgBnKTeaHbYl+yLULfrQ19shQrRJ/
z7ooTASLoxrFH8ePFWdGjF+HC1kxNj+qmybKydq8Oc0Bz+PKFBgX9/bMqbwaer81v3i2vfa3lRqU
QUJa6jN0C6vbplaVmleLh6V/sFgPQfvsaxWc1dhz0i2eEvH5X3qSMsqlf+gHKoKNNC1qjNEuezYL
TpDXI5ZADmVeFgWN47OTFy2VZx2HhHL9U4xkGzHW+yrB2bWWN3netnZCVGRY+Tu+gsjMA/k03LKX
ineSe7lFV7JLG3JXfQ6W4KXVai4D8iSbGXRYGW5b4ARMxpMapXkv7FXMbuhu0kEA7i4vmHk4Jjok
nsUpmkSasGBHPniTqliTKI1dboGAs0K16D7EQ2c/p4I3JAqxdDrSJGCWULJNvp1ST1e6yXvNVoVF
0FDk07brhItMDoLi3utr+0NlbvTcTzp7yHLefTFly7XJmuLoB1S4Y7ikD06PH8xKKa9DlZV/lPEL
QhoyR2O1ayjHqwT0SjaqeYcawP+ahqD4DeO1fx2qjBa9d+Wt9axZj7AXW/zfE6ylxxio0sWXfkLJ
N+fnInenBzGSOq5Dbd6Tqd6pOCSPo/F5PKCcc6nawXpOmwL/kGDdL528PdLvLExuE63eXMf50BXD
4cw37d2omQgDUgH5Glucj7PDZCjvPvAexHs5VuF18nBuWnIsrvM0iTeW3e6WphP3ZiDVIaOq/DVg
HiULk8pFKwe8Didnf+fqEA2TK7JTllnNfWVo3LMmei5SCUVpRoEWGt19MqH9KoehOrdFWdyVPNmf
aZU+hVR2d0hUP/o4WZKtT4237vENbfzCRgJlkMeJrJGbZaFIs4fb9DpSZ1HmziZCor0LxtLFjFp1
69SOeht0rGX+RRP9H7lYYGXy3/+baeXfrC3/P0E1bx70/8LZ8pVzAPT6699JnLd/9C9viwz+AWcE
wTh8TIzVaOb/t7dF4G3xPFdiZXc82Av/icbgO/+wGSOFCLYcgQ76Znv5X94WT/wDcomDBB3oJlwX
KJ3/A6rm/22oj0Kf3yCiy8RLw1roBov4zwJ6r0qdOUECjcTOB88ji1kffVaCd23NkF63DeWzjcVh
m090l8VNBRK2k9z6UxxtRCrcVw5Ds01kn28jU6ljb1eJwHtSMJUomeN/zIObv/N3pou0kuWwiNb+
zOGQ/k6mXKwcbyZrkudwPSZTt/UwyP43FhXXCW8f4v+oycUNGAqKyAdYh87bhtb17x8SvY8tl9w4
e3dCOeNkvSIuO5LD2cg4RshlIyiKMRLNGxFDp9iVKqbmr+utge/23ZMPiDLB9p6GcJn28PjkW5Qu
yQvmABhFVT15jPmCNNz5uCyfIGO6h8n1xqewiIADDkHQORv6jhTJyWJG5shG/I5jRF7ovnCIJia+
Q1DJZDGuuSAuG/Mq7X4L3+iDqRJvR1kbfpnyplqy9OQ4u7G1qhW6BhZfAx1ZforYti0B+oq1cKr6
j/HD7K9uEIAcNXnm3X6ekq5hbMZAGQwXdC8Qm3dqipN7x0LHWQOt5sAuXHXxKO70qhxU+x2xInop
GuH5m8Fp028O9egD6RaB3eUMXKF3IrbpePIV0ih/SLYmLkZnowCAvFrT2H/45eTmO/jzODLhivWI
s2MbQ6iRSM6mnPHWzF54jQ7+Bg+kPNvKuQrvw8bUR0lpvB1BmBySAXuPR+YQ2ogZYGJT5I9zCAWQ
kJYMjpGd/w3VZG1xFccPIU5FphmJO2B0ZWDjas/a4JEx904Uqyu4c9DYi90dirgoHqemzDYFNMld
24wkpEyT+dRBVuLzNGP1Yyj6PhZs5mcWLP79OCKGmnOvffOHm0s+YO2r4/y2rVoShj12KFfMKO1d
5ge3DXOn2h/6xeDCkPs2aU5G9raJypj7NcmmtAZGaLndnSw8Zw9qgEg1l7HZhIOrdxmIhy8dRhs1
dA+R3W0d31+w7k8N3C/TH0Vot09auR4Kj9ZsEO+ug1IlP5xEqDtv7vx2cZJdWsPmr62KgTEmtWOO
6/ktDOGlBugb902GNjMv7eoX9kv51FPF/L2JGko0EnP2opa0XhifzNRqma83inxJgPJBOJzqxp4/
ZaGXlb2gocOMHJHA4QU09p4XV7uqTjgJlvm4+O639sb4rkvYh/Mk/G55cFeimvO1hzYBG2ZqVo6F
rU5Y4R8vhDKE1xThdrMNRgYkASOpoE/aSzIWW7VwyeJ2yB+nEGmWMDUZdIZxbnJja6XxCYX7s+p9
ovSq5Qed+5H9JIJ7NdwxRK92sDqxI1vsKV2K97kd3yfXQY7pfpN67G48O/ljOS+tsh4WRJ5VqeoV
M+MnU2ZvELWvnehOMUw7K0lfiqx6dtP2kDOHj7xqE+bTXgzZvSdQssdsPqlNSGvUPExFDUw/6a51
3X1Z+fTWUWuuJA/7LTN3VSQOc6XXOUKEXYy/U8+/poX7a2Y4dS8s0ZDIjNAjC7T3yNj7Z04Tlmfa
mAelrbtiRr/MUsTp2UhN1M7dn4qB4qr0LeiKDhXKiNJ86dnwl/3VjuotJ9Lai+milwG9hK/CO52R
F2Pl3dWfocdFSFFss0V3t0qW4GC304o1x4qLmoLQSLWH1sb7LgUjZEvBhBq8ND2yZykOdVjjgI4D
kI8Bu/M0b7+91Ko3eZUUO+MEqL3ni6ObDytPwz9WhE4UBu8pnyb4dZm/tQPdvOBe37p1mbyj9KKZ
HKO1x9a9LdPTSBPm5+9To/VeOMO2EeGyLjgwy8JmevUrGAnzmQkjxAb9p3bb57zyFOJ8jncNpXe6
cf8yFsasd+VtWRc+pFl6zT1SGaqi/okLfr5p3Xal3PheywE7OPLWfJieJfoHRIr7W9d+qwQxeWan
ckRlmtrI2e2LMfa9VN1qDkeq9dK6H8U0AhJUT3y5ZKKFBybzamcbmbId65/1wuDbpljtmx63T7pt
LMz4U7wcLT+7b7tgGzQEBmRhu4aRgYmuXR5cTqopb55cZCt0cwixAIltmM59JJn4cJW69yO+KwLh
33Mdbulln4a0QqnrPDkDonU7zE+dQMDLEPout9C5V/GIgl+xCErIFLTz7JJ71oWH+sXqFQxIfloi
RI+88uhgkgGpgCsnBJFHYVpt9Rgg0+3hECh1mcbxTlnDp5pq4JCAT+PkS5NpMs3GrOM0kvvZzs5L
2FvYQvo9tsl7Z5YgeDvxnAzDuUTshx6H3sh6C7z6zmESn6eMtNNqfEK0zFutQeAo522f6huZ2ztO
yYTaFp23jVjFkeWqjDWYTXPQwaur6ZBoe1mGmiHaBl1rVsgk44N2ujtTBfdGQcf01R+er3RjWBCS
YmkkISZDvQ6SvNimHPB3TlK263y+Na+1Ybs7weC1+1nDdLbrx7rR5rqEwjrVwn9G5JSsogoii8b2
AukCmiSZm/+0OHD3WFXE/W3zGpTcrIkOD/nC/rJvUGcaKotTRibrfjSps+qHeau9LzWJfDP7I213
ZIk1vle5ZrxRnDNcRTKZLW4cpol9lte7kXnNi8XM/ebMMMvXKIfnuKneHA2ozau8N0h6Jryb4/A1
bHqGxeVunNAPCHkCsMialIiNKN9V4raWyc196N3p9i0EUYNliq+pt7LHyr490y6JsvODD88WUuOb
tOSrP7frZSxCRKb5p0u4FKdfWuyCSqEPNHV1IROOxbLX/5Kie1wMWqR6Vms4CidQMsd8cQ7S0W9h
G0fciPkX9hdOLTdEP61+Wgd7m5QwedmptDBJEdVJ5f+MtXxt5tJfqUCNm16Vv2/Q40jf+OYINNa9
NkeUqAk3FJ0fJeXLkLhHZYlD3WaPfaFeUqIvyj47x5a/RqDKXLh+NDIoH+ruZUDgUJp8Y6qIgsUw
K62vczugcWHbwZ0S7VFlngrUl7zH2lMeeijE4+CV3/gzIsAP/g1TK3tXTFDwAOoC0TEAKBhkFPpv
Hqv7SLcnDDx7AO+fJs+eFSAKqcKtAzN6Hyf62WtKhfSz9depyn6lYdnT8DIFF5Y8JZLQEqTrfYX+
Tmnu/NmqWE7a9gFiD6ihxVkrmyRJxonJTaDeVMEar9VdjwFjgx0NVgM36sqfjplBGN3m7V0eDhNk
G2xkLQouQanPcLx7dNG3dgwn1jMain2i4ORYOTIfNRtvq80L1i537U4x/ApA6ejpzzexUTYIVCAB
q+J8yJ5ZM42bLJzUwY4Tfmv2FGOPxNWdRow52CDYIvs7HznNigx3ugBfJPvGyV9N0CI7LbvdMJC0
AgzI6e1yHzYxwk8XdCZCFm9l9457yBDErl2K7W01px/aUfu0LE9WWT+RUyfZ/Xv8bH3DiTMo6Uy6
EbNXAtEB2W9RXsDgz9odtnMucpb8LmIVrATYoJXjkFbWIl6Xof1GssNTvCz3DmE3BAC0EYR6GEA4
bP4YFWysan5qmPwDKJIWMN0co4DLBTacifkm4GxK5/qj6rPsNHkU4NxbZyeY+7eK0u2QJOExzgCG
jF2HohrVKAvv9bCkf52IWLWk7t4Ka3hU0n3z/fCQxPU6TjpODrdY69tNKQomCumENTeSF8OKrWnS
4jhbmnVLADoHnyvKN/XLNdS2tmtHa5v5HVsl8Kp5KSo4KP7AdByTUBN3T3gJ33KdHmD53BNCsQ5E
i8mJxWci33HFthxto7dPXcPCvkExYopXCZ197SmzLXB9UVvpN4An9747MWRfDgg83gX5B1UVPLpD
dMha8zoZhEi5tW90gLrpnCR9vhv72V+N03JeRnPOPPtP2zNwT9hNUpud3Vh/ej1lDnap8+Khu+0D
NANtyxC/D/ovNcRb2fE7jFB11kM3/8J7xvgkX774Xb/CKfnweyIIMnC+TuODLCLKZlXW4++wKp+8
GS1YD97S4sjc5CK46VaChLy3jjFdIt3sZDEojMPkqH3nLrOBCOUtSnBzV/d2vfbb5FojJNyrIDOr
ggy3tOtAOPnzfZ6MaqXQHSSMcymmh7W4xSyRWNp7z0hfT50UG0cgWRryAcGfKDh2kPVy0OdXr9CA
ZQuEKIH317FxNlXjHQ6rLRO7K7L0ectyZu812Vvndc9lgRUu48gdbvPxvh1XvqV3UwHlZsib9FoC
Q643QBc9FvMiag5TxHO9QrtMw1iFH5GsevRsQ7FnwD3tmtGNjnUwiqeWsnvbGdmV67hxzNGe4xrZ
ELFCLqrqPVpr7w+aEfc9bFI20s4klwPprweZIizV9BKr3LDhcowdX/LeB4xgNS0rF9Pb1in1o/g7
KIX3YQcje0HKDHboSsXZIx0VgUW1aelie+RS67KeJa7IMPCuTAZp59hQYVIzjvenoNPgzMhIsKBq
6P5OgoUXRz0Lbvpz50haQbudlHLMLmg7i2CfsfxpkHmcWYlYB8sJ/W0x5tORDeVwwOliPchBgPg1
dcE6C53DM1MUb4fyibKxaWvxkaGRWAeFQHpfOROqfZS1uzoCPj/LsP0JOOvvGjuvg5UVufGr6Nrx
213i+RTqQn0IVwjUBguyZBs+EPYkeyzWqZQs+CanPrhZHb/kugkJXLS8w4Dz+sc1CxYdDDOFtfKs
qQoPmV3Bhk+iNlyj/zN/dZFaF/bz7sqVMXrKedriMar2s9/OHcddJ37iwTePlBPDbcGa+g+JtWQ0
LqYPTqbIOK0Q8V51IbBFOUIftBv5b1NrOV+Nx8VHsf1nIbiLqIZFb1mvochqTfKgPe9YpsVbmNlq
1erM3pu+VxaG5Mbdek0KrDHCMNph66PDwlpPDuVtuGBhlAnYeFNdCOtFJzne/rgtprVDc4n+okay
HKvBTfex9LrXmzjgz7SM4y+iJb1jF1TjrqtmSma/te6XAZkRuWW8CuNJn9LIaXYJLrRVRJO/xy2V
fpWc6MjzxUy9toylPBCEUTwWvcyPThP0ZzbYZjdP+Ca7KUBV5ChzmMI4JgAraN7bpJq+0Ni+94b7
npV0Qi+1rzsvmFckh2W/bS/nXFV9lBZ0SwOWWt+OoRUUHVs8M5LVYNgofvvAr85+40/TCqoZDzyw
s03uSrnKvTx+FDZYJQYP6jT2Y3vf+qLYhDT8/Nrmmota7DsHk6dMINz3InhoPXq5pkc2XLnmAWeV
4LG2JnnoMa+dGzE1u6Xvl98WxMqN47Ozb0bHoG3Oy6cWGMln7gYepGoqfP53n/vYqcgxGYklZE+S
vkYcH4duzjB+aNHm9noWKUvJuZf0XjJ4MAUpYsSn+NUOrkO9SYMOA59rjatGZu6fKgvyT1qI8GdI
2AnApYvvGuW3qzZJ5/didpNrPElWoEUgL76ewi0GyWyrPI1QYcTDv7hdaXEyOC11TVKc4rrKLrYs
OLUNCNkOlOS7H2niy1y7usgkAPzIIP0CHWx6KvppvEvlsvwqHN50Ih2Cp9QJEXoVznz2x5vfpZmX
X7wffCrjsCasuvGHm+dF17xDy+xeofF0cXQ39c/QK0pIatY7yAv1I7Fz/pplkft68xqsUpfgvJuz
/GrLnrcMnV7fgyBIrPW4WGpNnoC7Q4WNktQmqpduJTtGUolLJIjPdUtr2VSBn67DxXavCpnyIY2b
HK1IAIrfkKs4zCE45bwdiHi1HaR241wgrbLsbX/TuSeSH60bHSPLxBADObZ6n8N4OWOZ9bZOYMVn
6eqLmqoXAX5mD8bLUONQVLgZU5xuqPyXRfbj2sU1g9YtCOiMb6YlH4nqB2H3A9QubMJdU+tXBfMN
aQU+3ZxQlpdlCDEmuIICMkS4J1nCMUAQs3ONLRtKRQTKj2JtDuSjZVvtU1c3yA67pPgoNPKEXZ03
8n7gudw1aYuCtNKD9dAgu0oPLpY5DEs65em+JY6wsU/OVdEBYp9MZ+n7uUFJtNLtzOouwOTDNrur
9RVLVvGaxWXvr+YoKi9tMNfmlhJOL+jxQLqyZoA90AHSwft0pGEXimulFjyU0pebNEdnLLFGXEqq
kwBmeyOJ73P6fhVFdM7k3LUY0QvqHwG8bCvBX56wzKhvZ1HO0UtBcjDibC5wVngpWN3aGd3ioS6Q
R6MLdd5DrYfHurjlb8R0s/fk5gW7QeSfWVmRMVD4S/xSjEu9J2is/3Ary/u2Mjh2TZfNRwcr/29T
VPH35Cr395DZ7osKM+sk2C8jRYwWFHehFeHKF8xn1a4FevomI3ZwCBk4kZl5dNzhkxPeD/5AT5m1
E8vwmZX8r7BMmq8ezd7v2GGcuc3jsjuMZLejXMk0BLj4JiBLi5LgocpadtrIPntEahkxWpLwPzad
RFmzHeeBzq1ke3r0o4ojyk56RVGfJcOWHth7CV0z7SdrDh5TfDVXthAUAS164bt6yNzdJCkc2W1H
Ja4rp8sP3ZhEb6It5FaXnrNbGJDjPhhaw4Gh1HgivQGQZ+OnsDd6xBzudmRgc56WsDuYASElMTXT
Hg2C/yvWhfvpW+Ow52rXJx8jLhwC7CtMGsVc/SQOwiZTO/GFzHv/zaJAuQSwVJxVxs9fV00WHvsm
55B3lPJee2Iiy12E/eiqShbWU5q1zbpabqksOS4jVnbrFu3g3qkd/4izi+N+VkH30pbluGWFhKEU
b+N86UDk3me1MN+Jl7rMrZbmJTOqgT5iEvdhgHD1mMyVS4yDJEs0qQAQqbLEw2Iiq45WHhCSa2tF
1tG2y+HVnbV1nA0n0ipknPoBkf0nGWdc5EMTMT1G64AFW9xZlrtGnoeBp36MIZECobCXbdQstBPO
jewOAtb4hgV3YxWM4GP7oRBK3pIwEHzC5unuwKS6Z1yuNt+og1yTe6JZ263xN3bOBIgT7CcZFCPp
xvHuvcB0116R1tlgZAkIUZuW06IZxyFxyqytA1lxGw7I7OB4+ehhZCwZsqWju6unZkGKhNGe5CWG
LF1AYbsUbPEZDr/S1MXnUYzNmQaz27mgYl6myHJOBus2HFffC54YnzUnT3kzwjcfZk+E06XUYDg2
cHWQVvYVd4XHbDJVrXxJmjih5rey4UqakHjvGkvsBz7TWzAF9UFPZl2V8+Bt4H6lX/GSQsptJpyd
9wFqrAUkTf6BRL3ephGIQziQUYRdO4tuBQZq4JEzJNh22eDuPSbe5m0YWnGhxXDq+9kNXG8TL/NS
QMGMza6aOHUu4HybC3IUBLdeURdwFaym++ybIP9u27Ckla/T9JzdtHduboVPQ3mjFfeq/l7gef6t
8JvsKEWG16lSPBNl5H+O/UBikSQA7KVH93gwKByPbeIwiUUCYd1DoykvPSvsh9hvrGMf5Ng3MrJf
m6CFpIiCZdXZQNeK0lYXpkzcWTpyv7Iwd+t9qWeKPNcPNFT0cXxlLNYXqKKTfpvUhbfGtelv6Q/J
KbaG9JhxKp0Lap5X7o+fvhYUBkyX9nEe6WdLR/q69CPDF7jK6qniqEnhoXrcCtju66cQ2gmhdOW0
cWoK5rHpsFL2Vf3DFgEccT2DpwhKZ95ag8Wz07dDZK/8bqruSqx5WAmHp25g+uUEU3nVGNu3wDHc
E2tB/Ns6BJoJUKB5TYtB7jjsur0fhe0m82dMUIFOkt/BFLrEf2S8HiAFbwfB1Ki56Xj4Xj1aMqX/
yIkdv9aW/SgiszxoW7o7BwwqGnYx3APSoXnyZY/+1y4DarUbSV5O3SN5q9Zjbi9X8hSuXR6b50qq
aoulTsOvVTbubcNDtUtww74ivxHk2cppAjsbVB21NRrWDmNfaB2XhY0oNAsMYE2onjtefhhcZAc9
Nql/VVnY/+KQme58MS/3dh57Z9C27V1W+8tr4npqpaVQv4q0cz8gBGJ9Ywf4u8wb51rH/Q/WDKa0
TRrvFCOVO9dnh4ZMyyvHNd/Esh7Gajyj/qkuI5SsL3heh8ULzcnt+F3Lohkw6I99e2QibR5FHfp6
jcjyVm21GYbItMuru5gOa4GE85gHNieQX6lzZUu8cmhZ9ZbXmPq2ajG+cgox7KBF3dNaUV25Cyno
YbOxvYRo4Nr7Kcq5xIpfuSnbkcIjnKsz8y1QKdM7AeunWFGsNG9W5zt/BEo71M9s6kxczjva2+m+
WzDr5jdOF4pM2Eadey5l3nGbiHfP7+SBkF9vNxdO/JhNraLyzfx433qWpdcysKuHARgMck/rocxa
8Z0I+wvIZPoWNcy9OmRpQQVnJcDvs6HlYsdeRNRKpBg1xQC0IgSVhroSUd1K8GUz+8aXmS8UXaHy
bJRc4RtsAMgixXJLQMvXchyOnt10yNrqe8j6CE8t63nsO+88FszjaH+nVRrf+vfBuWCInN/rnH2K
ofBC/MzHlixNNzjLudRDt5fdJF6MmxwVcUYrNvILnehCymS+cWX1msTda1sut0zA2T5SZJxmDxHX
SDAYuWbaekry8FLm6mHCTMfM9s5r7F9xXZ/DlrxOtzwaJ3rOTf2UTxhQ8qXiUniYRaL4KRk6+eZ4
SwmLZiSNJLQMDgRxzKk8xcqejP1O2Yk910KPXevnSeCJGgPL3nWWudJs0NaTUSMmKmoo1tU3rqD2
tOQzSllXdCPSQ0rB3+hhb1bLJJJri/Cgfe8H1T858bXaMQubT8byOuT/vXqfOPr2Sxqo9ZKF3nuU
FRpQ7oJ4B+43oyY1PePgJ8USPyNbUBzMDLP7wkPKOufXfsbJyCg+zu+MIOctMlN11E3AGjgMq18s
uempy77btV7AEmgQbOCN/2DTWyJgnNUhom8bVrXn/s2V4UPYTSxXzYJjYYIajuEpLeHkF/4DLSnD
3i6aMbmKeHkYOQv3RlYYc5fxPR/w8ODKjjdLoRnl05kfXZPGb3YrnJ2YIjaH6KlpGiDEwbBxYRus
ojAkg6GveUkh91NPSYNs+2C7rKy6tiu4SA3LtQnBbh4SAWCIJBkAYXI0r51k0oyXbd29kni2IPj+
D87Oo7lxZcvzX2Vi9ngBbxYzCzh6Ul4lbRBSGcIShDeffn7Qe92tQovi9NvciFt1LxNIZJ7Mc87f
jMlmUKphS7aoeueBquiJVBmD0rBrflj0D38leUh9bCiO9as4aPkdGP2enpEE7xZRpQ2l4JPoalqO
BtKI0hXbIjztREFAtKCGSspR3T3CxCu3FQCcN11oKmp83DIsR5Pq6ldxrvt1H+vhM3K+1aYHyUXD
d4i0FWr30gLNjlaBrayTbbYRSPxzKh5BDgKKyRxYPJy3Y5SmjSNy66DAMnTSPbW39rE5tfFkoZPp
ilchBr8deknIvWPdy8EaNQUBsvColplPHx+Z85hm7D2QzBhah6HuDLNLaPonwkqY9L9Vo5fu6B0W
lBNO44I7KRRXXQYH3qnHbB2I0Tl1BkWCFZxoMVnVIEdekqjmkxYaGDbSlMzZMacwf0pHPfHbnECM
jcLpVuolSYN4jhqKPFrSjgujuqJwjfS8cswhKVq5yAUtFIcSteq00z2qtznoIETRUZGQS1eHQ7AW
z8YDLugUqLTwGO9L8tINqPbIR4aOPhTZbTTUKgcsfDM9SIw/cplEN2OqdfR4y7NyUBo2oNMqArrw
hp5ujJMU0S+qi0MMJfSZpls7cUsEV08i2eHE5v1oLNL+5/WiTm1vW3DIMmy8QgAm3Q0PJ63JH3VE
xJYDqAob1+HaH3UtQEw7QLssvA1lNNVP0bNW6FQlzNCEmym295k0ImDN3fWHOubyTYoWvsvdq32t
QkGGwBcL2/OpQhATqTosr85WegOIMLofwJneApx8xxNGgJ/LNqX4lGiiivYG/E8YezHdLkHHslbi
qnl3OiX6TYHwu2tApjAcWEjWz26igMRD3tL/Rm31NBDDhEIU/kBGAMSuxeFTRhbqEw6U1bFURSc5
Zgr8RGUMaY9K+s6q8hAIAqy9c5ORupxL6f0sBAjatJq2FekZrCF3nvZDVpgrWoVY5Rmnd+w17tNA
zOFXkC9SXWWMYlpLcGV4f8QKCF8oIqulmXmlZP2pknF8iOVQRgct+q2ci2ojGCm2uYhk7RBOig9U
jc0HWufgVM2muR3o6uyiNKH8GYw1vQ06YzaK6Na9IhiFajdGbL2R4JM+FWS/0Acz/baXT9ScUDDA
JEGOSSwNczgtwy4xoX+Z2m+W/0RtqdWn6ng6LknyQ0pNguWTjy6tOBqXjZYhSoPZleG3AtBsxTrR
XEvPEqoFIe0grS5B6JvoKe9PVh2gI9jot2I79TBJ7GCRZpHhYCoRd9iAaM3RQayd4l8qHbUVRSzp
JjuZ+U0Th80elm++i7tQ6SCS0uRH11pakePTYegml5K0qP5kYhQ+N4I2RDYziL6S1Qmml6fZ40jl
65lqHKWzIle3R1JKhO7OhZd3wIPSI2UVmp0GahhpfYg7SBdnCMyOWcODCgok4UtgzPYoJ6dtO+bB
KrVSOpJySZS1DIjacAz3yoDkX4HfpyNmJywzEiTRgINkNCpkLnLdWKCsUli3Sqii1Gilyl1+ToYd
2saG053N4gk9/AJsghOc6xs9gKzWgFaAQybiepAGXt4YKlJkemtRUgMSP11PAGOPVFmaQezRDVCM
aJOqbbrR23oA3x/FQBmmlBmdJsRM1H5dIp7xTG0RiAzkXOyRkw1yXeVBQk5+QWabPI6jUh8GDVG/
fhCzF4ksb3HMx+JHADvsWY8E/ZealdN9AnoWCDU4az0M9xMOEI/lOX/sqsztySMO5lAVazFrcfcU
R4E5LtSdrNa930RNsRmqXFjQkof9A3f4hpo/7yopCG66lI3EFXXlANqJiCFzIp6RxACBxelcnA/N
SHQsQT4KttadmkNVGNYbDhTGUlKKGokd5CfR4UjieyQpQFLT6tJ39DO6pVVLWcMiL7utfJQxFYVS
gEFHZEXKLxEMnkuxf2e1mUrlRT0agCGo2pzlqYMuQERYNy3XzLqaGEqddkaOlYbXgyQBG8AD0Wuh
YL4nWT+FVjHqf+XAd24gTKMVgjoEYjwQLIvJqNEGEfkbqVTBwRLuoRUHQC5Su2YcZZNQafOCENo4
Sp958VoBY8Ev+Ii8DhLr4V1S1Y5F+uxJNI53PVJkposKn/ZLi0I6+ho3uz3VtXjfgv/ykN8uPKUo
V9iDYMt35PpDr1xVe1iXR5W+vWBKSFMKmlD9z6TGJ9Ao9XYRdyIVUXpTlmfS0mgs9xGBKVo2QTh5
tJSnfBXF0FG4lsiWD0al9FSQBhjcGTL2BE14tJsSYN4VQ82/dYh5DlNTEb9H6l2ku2eIMwXmKJKO
PYIc6GFiVeMkIb4UkYKbzwdq+X8E775oOPAXdvtw/n26r8vfv2u8DOZY8Gm8n/kZ3OYRrsD//fhr
1K3dt/rtr3/xThQrh9vmdznc/aZ3Xv8Hhnn6L/9///J//f74lYfh/Pv//O+feXOqp1+jIf03FltB
0/o7AHfUzcDb0//wL2MCWf4H/gKiZkj/RFuDHP6nMQHXnn9YMtZV4KcVQ6Er8F/GBPo/gKNarBrQ
3ny+CXP9L/C2LP4DZy1LF5Fzkkxlgnz/x4v/S/CfObsoki1NuOX/wjULsqQaqm5i1PU3nrk9QjQR
exFm0FY69FvzJlvKtD1sfVM/Cv6n2fjXoJ9Nv3mPL8eYLTv1WGLHB35tq982+/DJRtfz5ftfnon5
/8fjYxT79+MjwhQJwshPK1vjDjvS53yb++L78Y+6vzbC5Gb532cIIPbfQ3SU3epRrsRtGbbJTW0M
IAOO5OJxU6IHagA1dDOr7NdpJywHuapWzRAFy64Sez9F3R3sSoHFeNPDZEeFB/OpKV3XKsMtgiQi
/VZMMBCZthyKUudOW0gUTM+pj+az6XWqjAyOjHlN08FqPKI2tLBELGAMXTU8HQILcaJCzCvE40wi
YjybEhV/GCSQc8Q6/9NBTneMs6YCV2oyV8AEyiFwTzh56vMDJrOIs6TncqFTWzyB8SVxuiONXkK0
wTEHMgKoXvinJzMx7aQVipUuYrt97LP0RkzFn4hX44bOlSS+lyMEN0zk1ADzYCLe0gKgg9LVv8S8
IYxTTVmgk3okbZVzsN+msqkQS1wgHHTysMBI9kHFpTs3MrLhBHmcvuOMq02kK+pK2rWhDnSqHFRk
J6Jug3TweZvQarfxx1Jw2qkshqBiVWeZ+dNIUJ7T1FR0MhTMEfkSjqtENE6LSNGKjRzizSMH3QDa
FmmfDGcmfKk43dJAUlaAsl8yKWp3scx16QT/bXFlJf1NIfivtToZYHwyGIiFpg3KvkASXdoK6i4y
NuW4nNoKfWXCE9ro+m0XrUxrdQT59f2Y0xr9au1OB8KnIa3gpIW5kCrbTOnwI6LU7dRDEjtlg6Kn
LhcyZfe+9YRQqq5QJS6NOMWATyMCRDeaZmBD8oJL3YVypCxkwI5XXujDFOOrN5odpQZiMKhU8/sI
CVOU4jLTeP0NtDhbaNZW68Z34WmDnJcNJhrEytGVIFRE6xOiqu3d95MqX4oI059/ekfoNAVISkQU
zCLyrGP10Bko6laWGxbxjjK8d8qs/SlXaE7FiYu104umIrIWlmO+LkfVod4UYe/USc/hlBsALgTl
Bb7PyF864bwholyZrb/tNf5rxcl/P6hR13qqnqpxSz6ApMwtbTJbdQ2UZKNqo/1q5OWVGfn6FBGt
2SmiA6DTQ7RTtnGLBOoDVa4gJctv7B9GZ1e6rwDAJZHKw42x7lInQp8BwPCjIdzUzbLM7s/JzfdP
cmn5zY6aquYmPQ7CsFVR8XabDovsrX5+B7jhWd3q+zHUC29rzg4dSZosJfCl2So2CevmACl9i+aK
q+2TXbtCdciOnGyFNbdDcu4dbdJyv3f2YN0W1m3h32NwvBq8eyza9muq+nazuXbSSlMs+WJ7zE2y
TdS7mrji0STUjERSZJs8PQOLjPht/gdl2FHHQ2FN6walM7t4/35GLtwiYKf8vdD6IT+h0RWP22ME
G91GyrPqLS/HpFar9vkj3Idxo5vxFQvXmZvSf65rcxYEqkbI6olruzUXx2XoSDYgOccizijro39t
Li+FGnMWr5HTSkMI+eNWXwSL5um0orDn0BldBvdIJyzbtemfHWRzd4EH+viKa4k0vcNXX3AesjUu
8KJej1t0syFivVHeQKGoNH2ktmsUy8hFDe0BSWologoNixvWCNm4Kl9Z3dalJTSLbmgX51j/5uP2
ZKDa0aRP6NXvKcP7phbbCI07sbFqEVvIX6sjMrtFik4nwumasShCIGgxrLuI76J1KzGGElsqOH9o
6Msnm+T0YlHVNq0BAgMSNCj4m5HD1Rc5f8MPy9ZX2torqpUJ3TneVvkdPBDZaCFtbIpRcZp8LZyf
KvGuiSeP8NtIe46HBnLJE3ULWzRvZZ4Qm47JSA99nuOdNByUjsQOuNMQ/TSG1KmCVTD+aMxFmsgb
zORv4vy4RpZ5EwrYNBg1CeKiHk3XpNClYE2i1qu+6tzoZPhStDpWu/qkI8bR2n13x3Wn63cAA/EP
FVdaPrEe1AGE6z36G8+11bz2LSc58oieUmuwq8OfodTsivM1U2X5QiAyZtvOMqO0xu962gfRRpNt
cZdupGWyaSLndCMta298M3+K2/5Rf0at417eVlcC/qU4MzdLipqhbbKQkY/CjUzdp7NRZrTLVZB6
+lMuH53qCB9/Pc3UUOxE5bWXb7+PNdqFEG/MtiVSDNRXM4wh+7TZAaF3UL30rEkevQm7RWli/xhT
UqcQq7ZPJ5AIlkB13KSUa6K+8XCsih+VdTf2m1NZvYa4i1G783rjgcK+3cSBL0qFD1HdHsUBwMcC
G9k0A4KHb2AFJLRX2wVemkCC4WdAzTGPOMN08Y6Yu46LxC5BZUmUjI1kPx63UrA+lqUdJC9lvxV1
dHJBod2jmm9n+RIMpQd6bNvIXFjRGYHz/v0UKRcuKNosPuqtDDYxO8pbDdMT6jM/BmRzM39YNH+w
v1Ukj/Xr9Zpd3IM4tV7eeETzUD6ixIq4N3IOT7Qa9mcIPqUDx7DfqrgRm7ChHr5/vhlj+D/jtzb7
hNnYhIYmCdK2bxahP8AKzLy28mMDZvwGTTvVQblQvx/Nx2QxaWX3z4T4s9P9PiJysOxWOfCA6jbX
DwL4u/3pWui7tKo/yL+fLnYizT6zrYm9Da6OyBIveti2sAM7jDqrbCdlLzVq+URbS1+bFL4MDS4T
CGEh+ydD/mI6fin2zu5RQZdFJaKJ4xYUppP1AHK2iiRcWRYf5aavjpbZ5Sjh3gKStJC3UVmIr7g0
j8sSngIELJQ04tJq6cIGGkZH4M/KGN0vI1QkrDATi7cF+Ax8DH8HNB9sc0wiXwp0EKFB0yLojE3S
+UijHcIjFsYtMhqjpYN5rKXqTqYNz9ZDJORngkpqd+V1LhyUxuwWNmKtY9ZH5oqL3tCi9Acye0TI
ov/5/Sq9dBLPXbt6M21OakmgGdbd3vLhLniCIzglcVXy/gi/Ij9cn64d+3+X6P5zSxizYx+Gn6Si
Uj5sw+OikYJXU9U9MbslZw2oEqIaaoEhrF3K3Wq5yeMD1OTvX/PSNM6Oeyw8pHM6cGMsTosT7Qra
YrlwKHF6/v73FfnrC40x/fmnTYVo+mSJgqlS5hWvome+/KxWnbuSbP3Jz9bTfgeeTzzCy9a+oR7s
yO5PycGI1W3ek3duO7++fxB5WhhfLH9jtrn09lxbYmAMaBju1O7nkPtSvoQFFr1mT9VtG/n6AvAZ
gC7TLhfCGiR49BDvBHFRUr9BCANu7J/spT0uK5p/6+ZKbVa+9OVnu7I9lkehVeNhCzmBLu5rYj7V
MOjGdjH+wSMBfdXesSDA7otuoZ3XY4MlNBpegw3NTQhWWLJr1ZqW3GDsIhoI2rVL9jT+F9Olz/ZX
cQR73sR8t9EnHghvjd96mSs/69x2r3yRC6+uT0f8p6UhW/o4ifaw6LeVV2+7u2oHnIpm1CZ2T0tr
p/8obuIlOrBOY8sLJCxdxT760s2V4adr0ldvOLs+UXgVT1Al2ODpsxUuapwrckwpEKGFdaPLixFr
eKy8FSSCUQcLzz/TJe4VMG5BDagrEwx/catGL5ahuaVuV+8mpsjDtrlyx1Iuzc7sFNfQP816rEG3
QSCCx9rVh1qrMXXZwM1s20cARmCwlRJnByxi2vVxoeOHM4DZWojRHh0JJMoxo+hPT/h/acq60l0B
XjMYhlXa7mBndFkCFeumOu1DPKKwg7sSyy7teH12vJ+MEwyT6cFLHw0CD4VQG1kxm+6zPbrEMBdY
kYN2mVvbmXNcgS1c6e4CNXAHQuGanMoGm7X4Nz/yNLuf1lgrVdqA8DrXxSjclHq/MMyXDHq0cRuJ
y6ETnUbZl7llnxA5OwMNHkCdVhGyv9yGEFqw+9o/xq9jw+lCP1iDS0QDG6ABmVjrjspth1i7SLvr
SriULi3KWTxOBGOC5U3bjrsHuo++RHkBaff3Yk+LHGdExaUUe9qLxiOIkMLCp2z9/VRNFslf7odZ
pM7OaQFRhGtZnrnNUgbm7YxrOXMBcFk0HVc5BVQbyN9T9Zzs1WWMQKwNNCijznXAdXJYZqMf/5A2
R+zO7wdPv89usz/BXhduzvGzUkmeeWWFXbqo6bNQninAXAOTJzUXiju6UMN8Go2OsuaZD4l7Woee
5n4/K5eqffosPqtUtONTw1jRHj2bteamD+ctdgNcBQQnewATslBtyLQ3yer4cHaEjeUaV8a+cGJp
sxCMHEOKFhxD62ttSwXF7b14Oe6MK7fNS2WbjxTr094A1owAMFSsrQUk+qG/h730LPzWKRrtEoHq
1PczeOlrabM4G9HHMkCqSFN1CIJoZuCF8gTtdtcDo/DkFUSTesNdlKu+7l0Z80Lw1GbbHv5cX0Uy
Y4btAjcgtb+V2b33GnTdRqMeeYiw99ogqFXh45K8Xxn1wg7SZpsX82wRKblA2nbrAdGJXPYrNAGP
xx9d49GIJmD/bNqbSDutcn2DYw7EhJtmhRJ4l/n5lQvF1Gr8ahtrs20cgt8Wep1Xz1FDhE1WrFFp
lyyf1tHZPaM5QLbrDcIf+Ub0tcQRIFUf3cY2tYUqeeUubn2r/SPKN+DCdBXMxC2isUW2Pp/h/ZLu
4LFhQ+g9Qq3ErOPlysxduG1osx1dCwEKP9Mug5X2eHabN2k5vKB7fNrHV5bEpc0028dyJ8ImB7W/
NW8l96G31QOE3ash6VK1UJ3tVQP457Gc9mq8UtEr3OabdNH77QoPx10EVtSvbYp2xInVcCN58Eay
K4tOuZA0zo3MgxLot5Uw8gCqYR894Ql5d3YxNF0MS7A6q9HP3tIbaYMYwpOw02/yRfTYO+2TtQ7s
cM/qdzv/uKN8t8rvr0boC/tv6ml/PnbrkzVY6EUSWu4F9I0prex1hyItAfqH6OYrwuXh2k3pUhdY
nd2U8NfOxXyKY4iICOAEHevu/ISSjuTFu+hKLL5UtFBntxpTUgUMXhikdRMvW1u+7OWL1D/7J9dc
jK7u6nZ4N6zqjeoWW/Q4d/VC3Gg3w+I19c6P/942UWdhTT6WelvChdkqPqZP3m9jARNhIayunXaX
rh/qLIJ1stik1VSaQSfUnt6rWuiu+RA5Z1t0EdbkFif4v8Ire1K6EDDVWaw6puiQWtOXC4P3swmr
dEcpInIqV64d7qwKzsHrWrgPF+B5QAWHO2FcWFe+6KUE/6O/8+n4C4Xk1J2n+87xKX/r7sZV96ff
Gkv9XvyZP6CR7Y9PzX36+/tPd6n6os7izzEAil2qjCY75kJfP9whwkXj4k7lH6Mr+Qe0aQ5YWNuy
m7mV94RUpmNemecLR4IyC06xJZujVTJ2Yqte5hAJvGunu3KhgPBxm/w0i/VQxaY+LcnaR/9NXYy+
SQov2oVXrjIvu0vdyjn68E0dbYkAnQ1ygi1zo9vlm+zmfsDlERmdDS0y0i9XvPJxP17ti+Tu43T8
9FiqEo11/M/tKnonv982T63driWbxsMKK1Q79tRFA7vfq57gcNn9n3wbHPDx2vZevViSSa/gzizg
WXJKdMtwdfSN1ZWlMK3ur55tFq/GNCkTddpkpQ84ett4zWJcnr1kIdIvxDVuV+6jG/VH6aS7cKEv
TCfyvx/5owL81cja32H5nEYhXnxUhkVrP5lexk5gukWMvJLdC/YJzmO2O+fw43yZ0/9glTshv+kw
sqHc8CR3uFd7NNTB35+e8CaRb3vJoRIBdNQo/E4Q3ApP8cxX4xfoRUdYszFKbjfQX01r2VfLfpLw
sGG+ifHvJkBmPgHXgkyTmzU3xxpQyOF4lxeeqSA9Y3//xtKFY/8ju/60DtD4RXNCY64bR/Oh7C4k
nwaR1zwevWeqTYt+ofqiL62rzbWdfin//SjLfxpyQlMYiciQMAlXuR0uniS+M7YFruyEHIKhD1zA
/i3RDUat2TPt86Lwavex984LTAZWoX1/5eUvhNePJ/z0JGcs0vJhunlLh3HbefoCV8hD4aAkZsur
ygWLuDJui5vzLt5dGfFSNJjd4xKhR0JoGvF8RNHPOMTCerRvlGARVkBw3GP1JrHyIDQ4iWeqoHSu
7HdpOgG/Wtmz8CoqZ7jn03fGYMHL9sk6d1barYf9nHd/beNeKsl8lBY/zWfYRKMunRlEXgg0kHYj
8oc/0wa/SW/kC+NL2N0I+3bVxwjLuCVmd8v2rnXUzMGDTX6SsNN4UVD2SFzxBvvpCs8srtN7s7tp
uJfX19b8hc/+cYX59JhGe0S4pDel7fhT+DE+0NiimlH+orPyBmlOPZwzNCTtYaXcdyv1vXi+8u0v
DTu780mWeK7L6duXbnY3/BndM0EtnEI9qGu34ViLKeRhtX5tsU1R64tvPsfVxllN5Qrs7Xbk1P4d
KPdNcZvQB0ztW61x2VuUze0ar5jQtR6uvOSlMWcRVEYiJk7xD9kOt9aB/lpW+eGvFpaB3UAfrW3l
tSQiJng46LsoulKMvTTotOg/fdAOMtgkqAKqqn+VtCcrggKP386VV5r25lfTOLvz1VjjGWXLNGqS
nem2vDvenf1kp96LPzCklZ6+H+bS6pgOw0/v0PfwjPVUZ4MOqUFCLiDxHSIPXqNlZ5kodZ0DTpI+
vjLcpfvWR9P803iBAXEf43BpC5cAtuoemvFTsYsPyAWBDHool9V2XGMgbUd/qqW8PK9ln9aLWz+G
3Nu/f+VLN8yPZPHTM8A5GGHKsVi6P5ob7EgMlR/xTQwOf4FExPmPsj7flfvwVr/79wb8OAU/DYjq
fqqjacOVdm/9tIKHprMZSMe2zLK13/KzfB81yFA4+q9jcHall++HvVQj+7jefxo2PBkY4pqsoEN7
n9/V0xxXj+mhc7PV+MdaH+9PCwzt5E3uJaOtk5kWB1j6y+9Hv7A5PlKZT4PXATIsQYqOloHUedfe
hcVTU2lXNselvP7j03769aKzirrPWUb6Ql7Xq8iD321PBeyR4nX49vYmLkdv9KY74vnKWfaREnyx
IT8KaZ/GhDR+HFqM+rbMJWaWWxWcKO5Y5PYol91kr4VqU2x0uoP4HDwb69p0TuenaKXddd0SPXwQ
NyNN2YiHjHb9H+UJ0b/z2nxHjKB7ho8ub8Lb7MoSvzT5s8iUx+MRIiOPCgDFSx6iK2fJhVubNAtJ
QtNA5az4WV37EZz91MBF6O74IgYuRirSsPh+5VxqCX4AzD5NNHS0DHnpKfL9jO7kPRIrvqzZ8Qq+
WOCdHhAE0B+0nXlQ7eOj7qY2RwplnD3AUpKEXe4L9AnjK+X3S6n3R5X208OMlhCqRcVKGzygs6yv
0BGd1EfH0dbd34pTHUIv8osru+YSeOijmPJpOGGIKhP1UraNHXkRicfohz40T193b3AdciCg2+iy
rxF38U6745W1fekKJU5f/NOw6VCpgjHwZZv1lGjItiwuo8hJ9iHSnBvrrt00C2kjv8gPaJbcCK56
W/6sNuErsgwr/MhD3dc0H7OldbYrD70XbNTjla0+XVO+2HXidHB9ejK1anECjmoWQ/0jRQSmBvYj
A7eLRZEOT3hlFP3SMNOffxqmga93jEVJ2qY6ELkwaXG9FXYIo3qJ8TNA7siIzZ3YrzSQ6zUiczFI
ZrOmNpK/lO19LSPXCsQStQHc8ZZixGIFQFwn70aGgxQG3BDgHane45ZXx49nujgIL9wKgJkUpFXH
8B1BpAyK8Yn0L+hPjVtgLogwxTI2/Um0I/G6ExKSovyW0kxESEZTlvHxyTJsHRAv0MN+eC3jhxKx
ax3n205aYBRjj017tpG0QJFgEafPSXFIYDohCeAHkzG02lJmRv7/+237EQW++lJT8vFpCs8o40lN
hzW29FOF7H52hXfkmMv7ei03iwwTQGdEp+75ymiXPtjsxpc1KXYa6DVuS+G9R81C6D3gGmil4h1U
ef3pRu+X1S7V8d6GxLFqhNQGUJWCF4hl//tnmF7sqxeeRVmxLg0tD3iEZhLlSTgTfEOGk1ecrgxw
KU0WZwEXDzisRwamtPRbd/CSJWr7u3rZvgueuvoZ301ZabqQN7gMXwPwXOoLifLfn1HFAK48ockP
WBs55n2/kTbx/XGNqMBa9+sFXJFhc1p8P4OXwp04S0zTMMWDwIB90cnDgzYEK+XYY9UZ+d2AUWA8
FSDifRGqC8lEaWFQvD6I4GD+GkzMxGtlee4aJyJxq8tXFXBopFMuh75y5ekuHKNzZl52Ugu1gVa/
RRyy2ikvxlK5bw8xODhXyV71fGsAkEP/epsDrde85h5IroQqgjM+BsDNQaQh8nBlwU+L6r8tNsOa
c6qKUx0nTcBnMYe30nxoELf9/i2/PNT54VmAjUws6XvsmbY4lAbSugS9J52eWm1VWY9alHtZ6X0/
0PSDX73BtJM/xYcspsBW97xBBUY6RKIVqQovNjZoBi3ScFf1f74f5+tAxBtN+/XTQMia6Djosajo
chzyt2LdPR5vcfR5M3+MT+1rcuWLyNOO+OqFZiEIBDZ2cBozpy6wad+mq9BJXdMdHYtjWgdPQUrR
2uiTbM6P6ZLqwvO18/rrTcorzkJPSysR6TiGLm8UZBMAGVNNPb4ad6cl4jo/lTfMywL1Ov790reb
BSKpjPpYm161c4QDKaI3uv0y9FNKVojjLCL3Bf0Cp/eu9XUujTcLQqhsD10wMB6W4ivLfkAsbnuN
rfR1Y4rJmwUd1RQaDfUqauOgFIY9ZH47XvaezMXq+xU4reivFsas6hWiuwmViwWYpq9K90u7LVad
6IbtlbrD11HTsOZUl0jN6w4rbppefr7ul+UhWyNT7sY+Va5Nu6m93O0OSNB74Rp5ym4TF1euScr0
Bl+82ZzJoiHtXccKEZGv8gOVedHWZHsMFgmyidpyRE1OQpTTTpfIZGoUelKvQrrm5YjVQOMNG6RQ
CvQHaIEOk9y/Y7jRQbn5ftK/TuuZlVl8Mbq4OAcds14A9vZ1h/vSLzRvhTtoXxvrVnbbXbvIXKxa
rgx44TPPCS+IG5dmAXl3mz+N2+RVceuIjrKxGxfBPThta0VvTN/Xi+glu3YhuDT/s5AzcFFPpGnI
wgtuk+X0tVHlXkN4+DeDmjmLLEWC0FEgM0K6omLX3darbK08gwlxky3M2uV5Obilo63TtxPJtbgw
Hq7VcS/tS3MWZIwIBbNiuk9pCoKED/liEtpBd2TTx+twE17J6KYX+WoJz0KLmAyBYBVkl0kvOwOK
Pmm3/H5BfF0hYAXOAks8CnIdR2RRmFnEL8ihJ3eK5JSHQHnJhgUq3HHuNi2SwY6GNW55f1TvLOmW
K77x2HYP8hKpjHTfHKAnNjho3kr1YlQ9PNd/o4+OxUcU+ODt1/iFVktt0g+///65L078LF6px+A4
DFO0xS2AKspxEfvyCsDnwrz790aYw8KzWDmf8RmfqkE/g8xVlbM92RuccrdFa69qQGE8Xef0XtiY
c4x4WnQphskd3wECqNf+MA7kQHf16uQnq/E2fAru6z1owvNbfmVfXjiu5pQfDCwx6hHjqUhQrKWT
jcELaJPfVwuIX9aCDWtO7EG9FLNSThW4+iyp55D+7HknugQ1+9eVL3RpzmaRJQ4i9aQKRPbJ4Yut
jspvm9mpvsB4FhuKVWRt5XtULOVuzensqzf4C9BfXJZXtuWl8WdxB1l0VSxQXd1S6un+pPftOkid
9lpPYrr6fbHpjVlokY7igMSnIG7HQ38I3trV5K59oz92d8d1h5j9AsFTyK/x6Ojv30/ohWv1HGAf
oLMtmthlbNsGORRcY2hz5yuUdxAL+neqfKyKebhBVSAUzkwZ+e57ugnVK6f8pcmahQNz0PCHLfnd
AOm4uq3sVtiHSDsn7vdTc+mknoPYz6J1ts69iXgD3kz704N5e6TssbVuWyfYSmthcfKyg/AQXIM6
Xgj5c0R7hTlMNCSWuEXd3a3620IpXJTMsI3CoVRG/I4+uARZcp8/hNrDqbn9/j0vLOmPWtOnPESS
xzbSpnkEFvTIhtkVVxPnr0GiGEhO3+7TbwumJmd9wBQe98NTfJM/KfT10Lkd35LDtfz369ong8xi
QlpaONZgKbcNV6oHMXxj/OhXyVrGR7ug7ooPWbgpDpyf5hF3mSur70Is1WeBABWPscHZndv5ioZF
/oh72rJ5R2v83/sos0gwBAiRih33G8OiNiVqDoQN9b0xrvz8peRTl//+MBWSiL2eDFMncihtVArb
DolIGwAyMmZ3AfLcfiO5TX0lBnzdYecbzYIA+q8FRgocPYawk961XQdzPbaPq/A2yGhlUz7cgum7
Mtr04b8Io3PU9VCfjBZJe1q7pH9gsa5cnC5slDmi2hT7qpSEgOisV3Y9PAl4S2lPmoYr1hVQtXLh
BJ2DqvOsLa0uMThe1meAHhokp2hdP5xujA3gk7V2e3LPBxQq9dw+OyJ0B92P3BBkFtDuJ3NTeahy
ra4Bv77uguLOOk3Ep91Le8bsrHgqtwPAOvniWl4kVPSCh/Om2dLLcAYv9LG22OvLbtksBZf7n6sC
OdJevt8FF0L8nIsaBZpZSx0ZZDngQ+FATe5ahJLZE9///oVNPOeS4olURYWAtTk65Vthj4CKLdwE
d9//+NdKA0zfLEQ0eVtzgPDrY/oabcN602Pu/NoWT4HsYlmRgnHBsP1aP+pSsWWOHx8EHYtGoScl
gugxeuZtHJ/tUlqNoUPzLuJ6mZiuCInGSZ/Cay3OS4FEmwUSodbFpJrajUX3/qaUfif7re4XqxgL
CZQFlk35HLyS3n8/p1/j05nTWRzR5Rp/0RPDxeZqtFaa/Ec+OdHJUxMv1xwRndiUXKxD/xU9YLtQ
1/K4FJPVObQpfpbYcQEdzNyk3EagibUEuUtpnXchIq12EBtOIrsFJMamYGULW/hZcf2iKm8ZJWYg
+cX5x/ev8TVvj9eY3V1qwQiUHLXUbbwdwT72lp3fGT4yRG656fzePj/8P87ObLlRZevWT0QEPeQt
rVBvWW5vCJfLBhLIJCFpn/4fqjgXtbWt0ol9u6KWJUQ2sxlzfGiKokBnH6fv7G36KA4djHeeu+O/
P//nir1DrgXnUwb2bQZbqO0Uqc/9c7/P1sYercrACvmWrlE4/rQhKGMnNaj+x+D2WmpudyiBOpdy
0EXQZm342onKh2ZToEUpfeVN3cgHGafhv5/wZ1UBnvDq7NKBRnObAXeAFj0PEVKSnTyLmJ6KnfVr
2qYJ3+YrnkBuiN5PnPl0//8xYXR5iz/cP9eSctKNxmIWCEgwabTS4IDcJwtQwpW3cD+fwxrGQmL+
3xKSa2W5BjtZolUIGnMDPKRweEyrt4k86y///h1v3HnXmvFG9KnTdVgo6QjcDcglcPU4YXZsvtc4
vXXJXIvG4b4Eh7TWwosKzKcl0Z/U0qvj9Gi8XIJsFMKgUJ+hHsfMGPbFml5eVvzOkAH1dw6VG3H3
tY4cVDoxAG5lwheeDh5sU3e8G+7c6LeKLdc68Tq1qGlZeDzwyGD7nrCzqkdI7czEIIEk0eA+peJo
i+eRBQumwppQnNwZxvIvHOxLgGRYDUhGMjnrPgXicoRz9ADD1fWAsg2SQms7WF5hJlM8ghKprHT0
EJ1607RgLoM0NdxZZTcuyj9P91ckwG1WII1DuLgcZPZkyNPFGLaIwKpW6J23cCtXuNaZ240yGhps
Jrfqc342VhK1vAnZvVftEN74/17Ot3KFa8E57+ze6XqJXKF3HnrD/NTyJx3temtVE/i0fpukhA89
ULhCe+vAVoYfLehVQB5jPNfih4bciw7+BFE/HBLXGvOeuRbcSRHhq+XGmjFKpcLv+iz6k5gPNtxc
lRw0pBfzoGPCq6AwIYvbeYn43m5iAwKGHDZYSxew6mJUI7EzISFVV/RQm18NrSJY9VGgkQGphZUg
AUSaq14O0Zry0hPACeJCg9RRBgSPVfkZUH/6l4pZTA3IHbPaUQflv7HwDHPNil0LsnefBZh2CHUM
a7pyq5rv/34fN8oPf+YC/lpXVbcQq2nQOVb99tFefw1rtgaOLf73X7+xsY2rxHA2QQ/S0hbnsPWp
yrc0u7Opb4Slf+Qpf31rOAlmos7w6pb6gH4CeGSAdnnZXYuqG/fHtQZ8sYFAYyay5pEmVhrUT8Pa
WGshEg+4o98LAS6Z5E/r7ypw6ydwgJwBtc4hgneHV3pNoq3qhEZphKIjOVZ3ttyNZOxPqvPXj2UD
X6a18ObfLgaGVKo3p809EB/+/YZvNTf/dID++uuEZ52KVYQFhCz2oME1Ei51CKPqVZtAlbRBFyDE
im9X7Bm65bV8buPyfFd1deNYvJZ0624rc5PnqOCC9eIjijOfwYnYFphHv/RXiF/ES5iHkBWTN+dO
TnSrLHUt0OYl/NldC6u6SoYojbsYGM5zsalDN7BiN4KljPs5b53/cZ3oV4HUPKsoDjFs0XE9Hdx1
uYOkyDwqJ4BpffAsjvPp36/yxmb9Ex/89Sbzlg+0drHozQrW05BMUev8779869DXr86BSXbScDMc
+lrf70qjQ0E4h/4lPTgG3MSsKTQ6x+fp06TaoVjQCU+NwFIwWVJ3yLTltjENsP++73ybGxvvT07w
14Om8FyFuzTSQhmMYXfqd/XuC3gfzD25q2GX3wm3by3Ny6f/9SllLhre6XhtrVZuVR2gm4mHgwB9
D7RcUJ8T1k13NuGtRPfP5vzrs0YTxtVQGVwm6s01hlTW0P14WyB1MaJl3fmQPy/rh/PqT5f5rw8B
5EYjzkVhxxI97OLLh2RhuQM0LYDiMMa0ULvBOHicPVYxfQLXL8mJNyOlIHe+wa3+07UgGwog6DUu
jwnpCebSwCKGbgLTqP69M5n8fCT/ydb+esTZpYPagjO7LYFUqXF1rwAC6yINYz5y3ed3bsVbtbhr
wXW7wDHXmfBLKqvOS/+8MszUrDHOBg+NOSgP93RTt57n6uhYlKUiho7DWXYh5CcNjMGKpDi2D/fU
Rpc/9MOa+HNE/vWDWWkK+IiDD7DXnYfo+GHa3ROG3/rTV2eGHEDEoRx/2nCeDPN5SCOjxET5ocnv
lN1vbNA/b+ev7y4Mp3eUCR8wa3F/SuENQlClEJhg8+30zt17K8//U7X560OmhVEF+RV+/DqEsV7P
P/LKd1HqXRtwrp/3GhKMDrY5GeC28E8Q3zoJ4IZcwFf+XtPxVq3jWicNmquxjBq+AyBMsMcBwMep
tpA9OvC7K71RfXYDrjyDWh7QKe7lqzuvbDgK1Ds3GqAaQO7T7JQtTJR+3zmALxHOT6vmqoY0pwUo
FSO+0PI4BMqG7/WweIi12LI8zFOEdz7l1uK/BHd//fRtboOOOSJlkvOLxZN23qiA20j4CS72u3Bn
z+xXRc6R3wUUbdhcX3N3NSsbZzqrH2z0ivKeVvLnMQSHXMumFeY4mU5QI7BG/dhnbVS8FeAKooG7
GqyoMMYdNXaFAfYJiPPJQJ/hUldriSqRSuxqFROYm5Tld9bkjY11rZTuG56TVODLKDPze4lxJx02
5w7mOmHFmd/RHt2I0NWrkwfZKnAZOY64xlktC7p21knkqPXcuQpuxLTq5WP/erf9UsLuu8EzsB7T
SBoY4nDHza17jcAbEYJ6dfYAIgSq4OWiweBz3GwXb9gY+8HHlHMItQ7KH/9eojdWqHqJxP56CoWg
mlq7+Jgh6j/gLO1dxhPU7b2+3K3Y/FoWjHrqYILViWYGjKWO2ePsV4dybQfOa/0xvOivDpwjYVOU
7TS/AtYROJ8gg8PKvR7XrTVwleAUWlOxfrg8HtQt5ZTAlp3kddDQO12mGwf4f4mCgakDVfXyeJjI
F3uEA76LDvqdbXIraL1W9XZLBoqigjDfLXE4eOMzi9xHmKKH7uj1wbIGrO88o4RpPVSrf6+Hnw0V
HJAm/nNB9Eu+cH7Jl/UxcHEwrLQVV7wK06fUm9Bq0lctDWzw0+LyCIZsu5/vfPINqSAgV//5yaCi
qgXX8cnTJ+btqjYA+8VG0zvMYvNQRYpPn+GKgSclu/Jcwq4JoVd4L0z5eZIHz311WpAiI3MJ5wp0
3bJ38PfWS2T6KQ7Ix2yVBvNbGc+7fgeNbIDhHXZSHpbWgwv2jm7siK96AI+8/OvOO/i5A+heq4Kz
nJi5buDkGn0WsGjYLA9dBJ5b3K3vmb7cfM9X50urmQA6WpAg1nvyysBXKvxhi634nAbCh13yNo2s
0IwwZGxBxHVnu/x8ZrrXWmCdLZ1KwTPauoX+rUhoD90ZVsOAwP77l/t5u7vkcpj+dZrNqPjn3MYP
Rw45hjG77T3F5o0AxiVXB0k5ws+UmkjY2Fb/QBEcO+NFfhoR6mXNdjiKXfGEJRoWMT/yrd6uqsKv
1tabvp3v/HQ3Eiz3WgrsCLgE/9E1t/A4+IBbMLAVmD4AxfijGP3pywVQ7l5B/kZ9wSVXgcvcLSJv
LXROBmiBQZz0GwwP/FaPQDYDiYw61yecsruXcT2u7bt12Z+zf/daKzw5iprOlyUpX+tngTEOhKOf
dgDYcCJDdVNGd8dqL4/x39Gfe60NHhpDW8QE4UZ/UmCS4jnxhJuV7QSOuTu5962HuTpPencetKWQ
aCm7db9yddADu1K0d67tG3moey3odQVgTVTDesw+4BGlhIMPO+bMf9LuiU9uHcfu1QEB2suc971Q
t6BNn9BFpufx23yGIgmYgqLA6DVmCbXjvAavNQDeeQ7Y7i4z5+fo3L1W9pYm/X+yrgVJwLqNFudQ
xyRkMCIoI4eGbSDubKsbJ8a1kLfTJlotZg+9FYrhi9oBNr93ew0AyntmCj9HWEAw/eeZ5FCnzWb9
ogBII5h2t0ow5/BpraFIUpjfwt6Q3skmby6K66QGMKFFOjj+nPFxKoK0/QDkzndggN9nb8qrMr0W
9zw6fw58UJL7z6cyU2JVZgYdLisCA5OmTSLr3z2JJieauir4n47zaymuWWuupaZgeadarn3YtKn9
aqLwAmrHvPeamgzevz/o1nl3LcMdcj3NtKZftrlPR8iKSwrCyWuVBj0kkXUAC+vAgCElFx5nibkE
w/DG2jww7u22W9fxtSzXcd2ucuiwbId0PfINEIQeg68LC1UMCsK8FiTnBV7y62JK6jSZP3Hs99lX
XW2bWr2zfP60I384Fa+lu6l0agJfftiutmfMCXpaQ4NxeVOdMDe2dAqXFA5s7rLvm30p32eRImgw
fY2/1oCnCu4PlXgaJ+abKiY3QWJuZudEq5UBh2EyZWHbi7A2hF+nK1Q6YEJaISWLbZjmavVGb5qw
ph8jOlFMh0WgClj5uXN+z330P77iq/OsUI1CTCV+YWWTrvVvdoa6Yu34c1Tt25X2wM+s9B7p051P
u7Hrr+24CzIyjQ1gf/R+tlJh6jmG6PtG2cU8C+51+QdqvbCqhjuzd2ez/Owa5LjXwmGupa4GABXs
fjH9rZ+7DpUkxg56BpvC6qmzMWqSHU0LxlrLmVErBpXXs1kZVgXb2s5yEOIMWxKACrAFYKxr22Fm
QK2QA/48+fDK7+egMbk3aAxEhMlz8tDs97O07+zBPxK6n5bf1UHpOqVcHGMEAyiVsJtAO2Uxo8Va
ldRBJeLsYoKn67AvUaLp9TnW89+lsm94+xsm115WfS7lR8+1eM6+3OqFaShoJaOpeK25kvRFoYce
LtfwPiaPaRmXqOoXcLKw6LipsctteFR3EIClVSC0FxuNHNViB5PHTaN4igrK6BdcTnyAbQM9V7ya
vU5ttRuUuCJhB1DGjD8HRxxisB2GLXynDW2M8I78Tov0hsIKRhj/edwqhSNKacHUV0UtQAuUk7Zi
AQq2zyLJobtT7jQ1b5zqztWpToEo74VlzlsXgnoThspeBgxGxjGaPZ/J8PbvzXFDwOVei6oLLKhq
tODvPATjDtwUEpXfbQwNqrXSY9y9nYf+4KK5fh/TrfM6aCGIVpbj6T4fG0/fliheRiflgj7qVkPu
9x2KmfDRGPYSjiHunQV561K41mL3mmaCcYANhQO5ZL9gKb4xD0uoXqyIylfHlxKD8JiV8TUa3Es0
boytuddKbCu1pZpNVEVJuIHev3swFzQXMLJoH4qXxg2y5rBo57H57LtIfRCpP7ve5L6a2uR1kr/o
GLHEBNtnny6Bga6VWkTDuJtnP6+CGkU/a0dz+07GfisluVZ2Ux3z0IqBEFHrwAlfIkLxm8CdEDYL
WthlbwRT+xB8t2+quFcSubFCr3Xe4Cc3U6niI+HHd6qiLLFX3fFeenory7sWdNOZdSW7jCkMGLCI
kX3re6vBL5wMv8wzyuQwc4eD5GbeWGfywL6HU1v5y1GDhXbMN/e6XDcK9q59ncXaBuFVd9nsD/aa
voE1FNOdlmhBuR421aHeofKhwPut/m3iq/x7T1r6H2XaD+fvf8nBXROyDrByt3lNz6ZKHtT5tVHK
X2zoHwDJlQ5UIbnmaSVURQs8CrT+1dBOhZWt26IL2o7tuMgCHacge5jTo1tEvH0Y+CO1gApkpS/Q
dgA6EbB2EmTTdEwb+OTX8+887dcym/etVa9cju48bUD/oTBe1mEkXXYIgFokmyT1awEMZdFullSi
CjOGWZWFIxw+qzw0Uoz6qvKkaGT2WmLDfoRHRNcCMZkBfPA9V09Yva16sRvJo8Cwp6Em0LSFkrk5
RvcOWhrKyfUV/QNXXiDTMepd/tEXiWoNvobHtdw3Sk1IcsBOUL20/1Vz0Eyq6m0mjc+c76wjK3fq
/HLRRYDrppRRM72odaRI1NS521K/ymCLUA6Fp8/H3Kxqz9CafVaDouvOI3ROxdhEiyxD2U9rBEtu
mwCXtTYt+z3Nqg24nS8DrQJSsifwd+PGNN9yUvlTV//Kp/EgpzzRSNw38D2VTF1JSTwMPOgd3TZF
CyMlE7tw1imDg5JZMNDrOaDpBvDHbAGXABZX+ltZxrW+ptlv3vWBCQcg1TW9nLo4fZnnDBjVNQdM
pPSNKh/EaL93rrEnLaFx6/R2HTq1TT+HWhe/ei5q2LIIkA4YmfALwk0LUCdlYkEGgGSiZCBT1KJz
PPyKsze0Dv7loNvhbA6eZeDwwqB/yAgsrpX2Nbfb7NXi7IXW77KSw9YqrVibrIAPpbuqzPld6+Zq
xQ2re81zeFITk30vXMTL2MFfMqTyMc0PY//U2occcHoApuFGPUvYSQ4reOIjondYfsxbv0xJaGRx
qfk0Xc+sBuqgBmLRJT06NEmbA9j6UIoZo2a/U9PTi6OBceJ8Q7OkpivZrKf20CEUzsvUN/omSGH3
NHnwzMtHT5UBvGmxdHOcw3ZQK/EEn2pZbM0erHu/Nx9gLF6ZKySiMIBzldMwbfMOkhbgllsfBWwn
BMnX8NPyWV12YEXUI1SSrRq0mpcq86ZSxS6FaUiNPgqs0I7ukp8IgI0zBlJ4sx/Lxwbr1nmdVSDG
BPiWj5bbb3n7VYuvCXvObAHH0D+aCYvEGE6dzGO3NF/QrsOEmIOURJmCwqSQ+6k5bD57H1m6n2OP
a82ZmcclPfNR54nD1APMRg5Vq+1avQ0FKF/JLLOXXnOjzEY9cTmV2r7GYNs0vi8l3+Ax5hG9SQXG
Pd1zKhZ/IHIzqxn012Q9GilJJNMfjdk8gWlrnN107FY1ULhKHijGVG0siqIENm9TM4CHGIyssDRM
NLBaeD1Rr+Gqb1YvhsiDaaZnmJSOM955DjStcCIu9sOyCN8FJ90xwnqowwmw+r6N6ml5GQQG1IF6
G4iCWNSbsn3/VoFEPzv1YRjB0FXgJ5UPKJUXkJcDcaJkaGTJUMFSsaoiQnqGoVEAYcbzpNGodZaA
W4bPnQ4vSRWJJgKmh+pl1guuL3zLFJbBv3SnOMGAqooKy+gQ9KPg8ndMUCGnLbPgdq+TmBYWiYTa
8ZWRQ9FO7OZNNOax0ed0W2eP43joxZekrQfysJzjUpxdvHW7QLVIBpg7wO6obe47vep3xsZWVoXL
0oD1+wUWrm4htkpeJTWK/Zla1n5bkHMKuHAw4DY0FPtRlx3QX0q5xg88xqLaofJEsrCXXrt1cLId
VJSuneMg4WGKyaW8elABfq/eocx3ySPIIerwyyap5SmQa7xXJFbnFQgalvSo7cvK137h/xRLQqXf
AKzhemCra5AyoiFgeAMc+e1iP4LDw7fq4mX1iWvHAp5XLJRIYDIRudpGpg/K8p3XGNFjn1oN+w6w
LxyY1ZZ99jS0+UqhVWLn1ZOkAoa0Jdfjrl7naHSIro7dIXciA1N4FgEBeLLjDvdVb+gwuy/9rm8n
v4QDLyxKLVxpFk7Bi5XjJjPOOMmLGVigGZZF7xZaCZm1IcivTDbCgsJpfMta5eoifcYbfEIm5U4w
p/ilPbZFNFlhWmHWz/b1S3sWess6NhwnxjAYDLQnx9fswsPiCbPO9BUOBUqBOaTsOFp6sDgSDHqg
FJ1dB9COm+EQXZL6u1rg7YKxj1MDJkMJEFoi7dKXHIw6ysY3s+sPkwTlDWQFlD7mkFVboORKHXZl
INkNYa+tGyNU8lAY6BnD1Ubic13i52MhMWKBX+2jKPcd7GhLpEUjZjB3bEmMErmk+WWocBowg5nv
qfpUL4rHUQmQa8cOtQ4tlvYJ1lGx1W0zM8hyzAWK/sHi+2YIO1h2mSgEAIxaA+8kH5eHAQIfKk8Y
xWRpC3IeCwEXcZ2wL0AXMJ/mGecRmyIbo+ed3vtyngCsDnr13aW/HRAqJNKYqPjqXRwSmKTlOKcg
eIFoFmA7LeHE8HU90rSQtOc2e7L42rgcFZ497DjboBuV1Xt7DluYbaNCbXrc8ZsG59ybMj3Wy5kj
aTH7YEgTHTNtfczkioD8iRrf65Jt0H80sTmW/AMUqcjVyZbYYocoD9zeEZV8R5NhL2qcQ3Q+NbOV
ZHijTaYeTGShVVPILQW2h7Ut2lFoz/mmWEKyTGsK85EwUztcMXN5sF3UjbQ8pLb94b7nbViwBYuW
+oatr7Ku2sCKaj1cfnxUdN2xjHoQQsUCKh6PBhz0Dd4FKjdymtbw7fA10Qds3lfo0g/CObbSJ3Jd
5TLQJxHP/cB80YqthTqADZK2aYiDkFtdeUyNatPpH0ArsznFdL4cjkahHDFy4gsYhMJl8tw7qCkp
a1sB/lTAYnIaNc+cfOrS3TgJA8cTs8Ho5O2m1x3uk2VGZKWt9Oy1d1Ay6k0HQZXaIdhDUJbrTjTX
U/1rGXDhU8cIaB1BvAwzZMJjM7Oj2ezhwtQF/WJ4Par/KFqqO6fB/i0TXAKOiSFyvqzN2Y10hrRS
t+NcjIdpfEW/2BNm56vwDmzrMdDBYJy56efWllQWdNls3pBFAE8MSxFcbIX92IxdhMFK8CNBk0Ut
gCg18Mlq/spSJ1bSDxUlA1TbvIWsifMAymlMMh3g08tixiBQykzPfWjb2KrTdUPc79nIjGCgyrFm
SdqoHxoFh6nAq7YGEevNiF8MlfknibbTEruPEJJblusRZwPBt0AUsrTv8zzFpIXN0/Bck3ddfZbL
szkjrAub6mEBOlGT0QxwB/zd0ySHZyVCAV+36WnUja8B812+ChAKfN96qNLqgyiaHR+I7hlMSewG
K1ZpV84Q6TxWa/ppOiLMiYSF7qWtyBfA4wFnbZkdjpVNPUzPT+AlZRvB6nE72h2geEzmST5P6wGG
2x6GeU8D13a2nPOVoQ5vHHf4CrOXJObth7bQkFHyNU1grHLqD/YztRG+Q7KPOntxBNodUE6t/lVS
JCZDDfjdCMeXQQRdBfnW3K8RzSYiVTZMo6u8SWNgRp9h37cxTSWeR4Q4Ayu+DQJL5QysOQtQe8d9
V2cHQRqWnQ0+OU5LqCQ42+Ny3hhQF3ftdqHvBXlTLRwVe6ckuVdiw7MBUE8gCsqwQZGps7pQEThK
hgk2O2h3b7plAt4Zo1heQfp8O0l31abGoXHarYWmW9bUm2UiGGFDMtCmUZXRgGsMP1+jrkzJ0Shf
5u2U1VGxFL41v6im/d5MSNM0tqk1bChUXKn1Rbu3HBGSrBsQ4zEJEArLCpe+O+iF9FUjyvVfHXq9
rsEeFe3UwDylHZ/ARN3WZnWcZIZJAxd/CcCffY9P0LsZbu/VjKDNeOla/jYbZMW78pnl47OO+syk
H0W/nVj+Be4F2Jcgn4GRNcwp7kX0b2oFw3Re2pwzkDE1rMBHCZYI9kIZls0eJyznod5tSjShtWgm
cV09EqQDiDUue9ds1pLoK42BXYbbX4xYJSCIn51eJKLAsSusYFagDNU+RvVsz0FPMTlkal961b9a
428swgD5GM4PP63rsM1pkJZTkIpP2wFu3PjiQ7g4YjsjkOvGYqsZqqfIL9tVPA1UavZkuA91EdQO
HMlR6uawoZhQSzXYm2HRI0k1sImUMpkxTiLsGWccWqgjD3T7dcmr9ezyJ1FAPdDVK131axWG1hii
qazAIWsHcaLxSbMAZ6ss300HP5JfYAyD4pfrV00RmsU5xXQte82NwIWBh6psXXVV/0KDsbX8DJbh
7G00Xi03QZSwTHHZoZKhrYsRHNQuXzsksgRuaqQpG2vqj8vo7jIYZmDeSO1YoKDdKyVCWhimDrY/
wM1KlvBMRUwkf08L2E6gdBmv6RxTwBpajIsXdRbqdG+KDxvjS+5AAUZEajdEqr0rUbmFCSZ4Y7KM
hLO2+R6nZ4sbZqBbA7Oa6oMOY8kJ+6eRgasC2gpWoekGxH3PYKnTgoytJxZ6kOnH/JRDmCAu/sO1
HjnL84SRvq7yJYpOoIxoSYMNJfapEVnpziUAFPnIdBpEfFIJemcvjRpn0aaScLtdyN5FFGyWItTg
B4WCcN+WgVb2IBfhyEaU3dVZkiHjMkgZZsgW9BLbWkVP7TQzFH1l0MzZDkZ3cSeRUUxyrcg8Iho8
M4tLIaEAJEqEmfxKQRUtqjkSA8cZx72ijYcsbq0KTpBPrQmPnbjWQqdK8RDthlZZwKmB2LgIbHU6
jNxJrAz9dtP4rWYwo6rbFa72ozKakVJFKRwWp9cU8xstq5JZDQ17zetvB0fPxJB2hBrKpSlNdCgr
PRdj2+jkJL14d8xkgLiezx9dczQx9cE89JckSD84ASoP0Xc5hNXssS+QHjzB7ee6S/R8L5VX0L1j
ZQS3zIVJAMzk8Ou7MgDH1SU7rUJklG4IrtqBY0iNNhx1Mm4Vvy/WkMiWHad/yPk4vllCnd7MVHQo
Vbq9uVYUHhnjFFMmQ9QnhJ/nZWSDDp1KZL46Rr4p/3ax1zLWwpB9NNdVO63HrIh1AnSEvRwXTcfE
VBnJeUiY1v5ebLvYIQQ+EzVjK0hNfDg2naXRnEQ9fmcZEjf0ML00zZ1Y5uzUuJifSl1yUmdie5Od
I3uZU1BslQeuz34HHDWeK1Dn/pdbDXmcpdq34moh79Pf83gqxX7p/ObdEJ/oEfYY/UDO0wdG5Vef
NgzG6NCGc38J4By54S+KDg4O3OhgUefGl2aLi4zM3DUFBvxCRwEtK9BGb2ahNkWSf/AC394ztbPZ
eVXj5+ZlPCHBjjV5WFRrV4usLvPTNgIcDSWGuX6FPyUCQQbJbyDVjYaKXSMAg0/AGyDkWHOMS3/b
v7SD+Wy8KXMEuLcWa32g2UHTRVXx2NNdb3U+OsfWUeKytrIAxQpMssIXO8/jku9b/NcKjzeh2uZ1
1a6nCYP15uAzGgs4XpKDQWMb8GyIipkTCiCZkQVnawWBDn+yYSqVngahh33tDeVnYUcpVOdaYu4M
KBH5ArfFXw4tvSpFy/NZYGqtW1FjU9dNQu0YEHiMuo7yV94HepGk9EvJP9LlnMnPoVySRotauFE1
AVI/hjJh1sIk2AORthMhaQ7cWXCcQs6WoQZWrhHILQ2PqPtBBrqvLHgK2/hn2B4WQAcNeLkm8yeK
pVEm5aPRZMhAT4KGuEtmGugMFlg030FNHIsu35ru1j5YzRZT5C6MdCCbaQLyqQwCWXaYOc81KhPs
0A2JtoAIX6JVD9swYSMP37R0jTBBwdi+Cs4BhirJU02SxnrNNQwgVuPJNj8dGPRSFJgAqR9xmLFX
swXbUbFDU2xrFuTq706H3S/7RaCfq7+b4Wih+29gtpyHMPrULBQ4dnr9hjqTzA9pkwjrkZW71tpy
TM9DAl5jeh7iJlUJcenNbaLpCQKChf9maViBW17VgYOinQxhh+rpqFXRSV7GEOEInw92kH/jSkqB
GpzMJ9aZOGajXkGhBQzifodwpMGU2SdivEA0Kw2WbC8199xfuFS6Z/5liSgT58pOTMzkg3MPrI7E
ZAcsjaVBhkNa8wcQTD2jwY8JUL16ImkMgGXuPuFZHP7AHs38OZsO8BpWlqfWQGSTFz4t2L6RyOOR
VNt5DSlTH9sqHm7ZpS9MWTAyDWKSlZjwiisbVG42Falih1HseFgEkkDLj8rahIc0g3P4thb82cYt
WSEI03Mks9WzxY/Z7PH6IZVY8jsb6Qwz8QYgCVRN2D+Duzn7mXucy0eyLAj7duisD+0BcjXPcbYz
PzLjSaR7CwEtRxesiow0GPRVXW0KzFn3BoqHZYS6FWVJd+I4B2HO3OlYsshrHhsWOfZ7v6xrBTXe
WLx35WrE4K/zYQCRo+LSxNjg9I7ncvJ4VIFn1z6ZuUJx06v42ioimLAAQUKcqP/CLlNIKM0VOqAj
IpDlWDhPDfvqqw9bdA+ot0OFYHTbRvpmiXf3iu/K6NtktJ5o0TJ0ThCLEry+jqirHLWIhj9M9dtc
7Bc4hGSvHcu82nigacyQj2eeQ57MKUDZjexpizqYERssgTrLd3BSDUjEUASqwD9xXjSxsSE7KvPN
gFAW54jttx3W+5bi3u9tpPMazpRFCVAaQkjRsgQREJLlAvsR8CGshXTCRLUHZ3ZUvQgG2UiU4q7L
Pkz+OVavXeubmCmCCQ05MM58WPTaqJVom46jjmIfIGIYGKBGsUOPyJ2YjmvTrjzHeHYRVqQ+X3wV
itjuQcBLssbl8V1aR4Mf68q3szgzflukCiz7XGZ+RZO8jXtzhSYHruHB8UfgHJon+AbTCrZlym5m
jx1Y2s2+p8e8e7EYCribThnDATMDtHqf/o+k81huHMmi6BchAh6JLWEIkqITJVGqDUIW3nt8/Rz2
rHpiuqqrRAKZ711r7zT5j4mukSLHZEpRmWPiQ7ZiYctcaUaD4zQNrRibkmee6UVmHtnErdhNoX7r
qwj+hJ+PoBZqWY1N9zNVAW9KHbtpuxVp0LYMLy9dI2266Dc0D2a4XxHBxq6Vb8efJmVUI8EJm77h
xW8zPbyzq3ZnfMPMgh0Lnvpig7g/adQgC1YUwCWZdznhCtyaoCRSumui3M3bt8ykDb2A8DikA0Oj
tZO6z1VYjpnsC/IOu8qRraBE4kzThsp1urVO2ezp6tv6qyV3lUp1ieX3HmKT51w2S0cu+Pbpj3Kj
0rU4sYojUhLJ+OmAW18WXYBtb4pHmQ3naE4xbu9LGCZpcYIRmH9m3esPpJEvChIg4MUXbiArJMFO
DVTzO5vf20vFxRIHCbktjGnhr5nfJ5TAQFk5R63uaH3ootEZTcZzYEfwj83U7RbUkob1EWnHTicx
J/OnmA9pflWnA09C3oAROhp2vMa1u5PcI+0E7HVV/Z4APliXcXZJf9LYI5U3Cb5bB0mWGtMdZyAx
xBjWxmp+q/A0EStt7/QPEzwnZmwOFnGu6NUaNqYgd+BtkioX3eNmXX4eeOAHsl9LfpLn64ykiNW/
rrZL59WpL09OJblh53X9jthqOfknxl2Wlu48wYTJw1Ubw81qiW0UkTPfXcuZN4z106DZAJXeOa2f
o9Fr66CZ9u1rQwkoCfN/7J4hUkj9HqFWFF54GxCUf1h/Q+bGilPJJNQHqr3B5SOmYNz38AeDp3JH
/2rpXvktdJL7CROMQt0bon+if5+Vq/6iEUOgjtfuXVu2FX8jzVuXFajyuYyUgBmExjKHLT5M/q2a
7GhItghPMEprx5UMLsO2wOewzR6QHUfvOTI+lYST0uuLA2C9rf7GkZt3X0m+BWmlIVvMr4p06Fo3
m4NQ3rLwmX96ZjntR6r/1MMnIC+V0Zv0n8pIfctKwUNWPzQNWrUtQN7zUzg3u9Y8wmNv8uVJ59aV
BlBYv9bAB2cqZj8HEgDEVf6rqmdWidwM9KjaNPPBqLimZ/bWnZV9N8qPZjw/8H+CoDjZ1OLyH7D0
eOT0TfqUxAHRMbZjVAH8ACouGWAoXr/MdCfTxCy/5nzlE795xSCd3cCbN3CtVniTb/AmHd3M5rxt
5lcjv6U8U3FNmDhRtdOzvuvrU61trcUNZx+0BEEYZQCEcBeoG9lleLvIN9q28q5RfJ43a/43cC1E
T73hWaEzRNuwLl0qYavptsZEHhzs5gZUPH0PUeNU77p+42uXOzcnqdzcjq0PVD1hefhazUMaUmtA
xTBhhQ1DjdTwrS1vBvRM8tZJv2vrqDw41gLvcXgUEegPHZtjR4Wj1Z6tVO5Q/JD2YEVeelnbu6aD
ryjchETvv5MVJ2UBU3S9eCN6KYnrf9vqSADobm6/qK+1jUNubNMsyBXHZnalIkeQLtZvheCM9nNW
X04hatOlIsiGLa+mWfgg3BL9fMBJuS/bb/Hn0rOpF3BTqjPGgWGdFGR+6rFvAlv9nvg/191o7eps
U0r3sH6tP0s13IfpK8zJY+mxB0T6LTFf3Xt31IH021lztPzamgdl5DJXsC2/2uF9jhGFVA5fArOa
wqC9Gm4KJcZJ3DE5mzDk40YeHwFIiZtVaLv5p70yUdUv+lwcZpOlTfcnnq0MG+pGejExOxS/uqZ8
VAre2xwsb4bIwF3Vqho3x2Ep3d6sj9b/r3caGyoaoJZpcmJamqrqU6f/AOeKebUa9V0CgNhIxvDg
sKvC6VpYe64hAfJsFBkoEW01UffSas2+W+KdWlaOOdRBW4d/clr/s0fxJanJtoFa3mRm4uhdYGaZ
X0y6ZwlPNUculk0Z+Trb7AUhEwLSjVDcKv5R4y8VNYJ6CMWWFZyywVbbKfXhAcPFrmz+QdkXP7TQ
B4lG6Daeverc3IYm8oblbxg1FwVKx8UF5hzo/JdlzVNWbdjOfRM7xLf5o+G1ir8Kv4RqMYbkbzb3
KtTJLIaPUvdYxpvO0cV0zBoymPvxsPS8xAWYmIq9BpBaTU7Vs919RIbspxOxbk3mR1Z2BQLws+FR
36U+j+NjsQeonanIrdvHnCwT788VNLezFzUcr/V6BFML1/FDEbdES69VuEv51YYhPevSjWzRNuOa
IOj+EsdH7s1p8VebGevJ+Ium3wmldQQCsGHAJ4LCchX9MCFd1EjLikjUcjhqH0MvzHD/QB8WgO/+
MkVBOe4XkFjIKqgELbraJfwFPM/OUA6rCeSuenXGKbjuqwWYaLeusHFHbuFkcITp6/OtJG+73YSm
V2HQDGkx2Y5yt6uWU/VjobnKrPECuAxKMY4XadhLz2v/RJ0FHsrR+jBExKfr5uq2sAK7jtA2/JpE
pVRn9TZruyIju29Hyd0mo7aRU28cfBZuvX3R7WfULsRJIyeQ1JvKo8+czHc06e4cHVKmDJkBgbwW
QZQahFFEkBQdfCO/EPC6+8qtj2EKLHW3kFREXdf8M6IJLCDwziNnuT4wrRVeBk0czuSNa3HQjeci
fbPN4zKdMlhWgF5jr/fo7QB3m0cJ4Nz4+ZCA9r8TjQN7cmPIY0RRyGd8HZdzo9z6P/snT8zNkHhm
+F3PAFhJcpvN4UPhZlj4zUN8r+rPHCWYPR1Gmvx0Z0p8SFGtdyXsXf3oiKdmVBglPjKmR8bI3Ae/
0+aNHdg0VYXnPNvm5c0en9rRk/KzDLc8ZAca2IUm7st7A+r5K7Nrg3tu658q/DWEk9ks/WiVM9nh
c5eN0zq7Bp/37JCcazqLzuDqlG/JRFuSUnhx8lE3R/lL8GuGzJuLn7B6G0h01bMLKyAkJOyRrh/X
KnV7nfsTx2Cn7KOqO+gtHCCJRFCMhbxbRzYJkGOgPp93uWd2Opr5W7ZCpyNnGRAH5J2v8/Hmd6Jv
Zn05NMxxquna/dOqnPPGmSdCn7cEbfj6IbQeFae6tzQfswzP7+ja7/KQU6CosT22Dw3ZSsOw8dhv
MpXBAhVJ7lQgfowMKH1sjL7pR/eisJrUTq8F8+ppz/ZlbN+ae2o7PA+AoIAVSgS5Jf3l5T9SyerC
tz9KBk3lvQVmidJALm13KTcRCtnC1axNHcuueklK6HD3Mbt9LIsfhgFOIFl8NfStnkHPsVjDFJ1t
roNK4UOftnq/rwc2GpvuD/XQDF9Ycp8sMr/11ZegMdevcEQtUb5MH9IjCaZ/klBptDUttr2fcGjI
u5lVqVoJ+jtGGqrYxz0Dq6DWXjgc1+iULR9N8h7Fni3/k6HoEv1uZvbWeJplbzbhHg85CLwN/UNx
h5yYr7Yifw2FdIgabpqQoMc3AbYv1e9myjHrxjS6E4I+fhKZH2cuu0aJylA8LQYRVyZfDkJ9/XcO
90UqbWX46zjcyRMfUHobxsa3i2zbWHA4EHfruUZLF0GAIsQen+qQcyJyTV7tuvpO41MCMh1FTouI
JGoD0RbOQjsbC0PcfhnSi1ZMiIMmNPnYPXlDIovhHeljGfvpWjJDgGub3FKN6VnZ5C0Gepw8AnjQ
snOfT5tasY4DjD75zpKjqdchulExCdcd2QikNszbo9Wy3mfPcU0iwJgbLRooEBO1DjKTchvBFl7k
fsyuCPMMYtLfRf0plC3PJcs4kKI0HdvqM7d5JhIAF6ZTEVcnRahOKa5S5z4+6vGq9+eCPzDKP/mv
WSkyRnHN9Z+wJi37nsrI8xUWcPVFomY3Nvx57Yk5YtllTg5RhXNUFIHypwLa27EPMtIsK3LIUNXd
0rxLNR/KoeYoXD8r+6uLosdvOfD8p6hizIg14ahbzN2Jo+rP0xyj/Co+uLKFApxomZsRiXZhZf86
Ewg1n8m0uYODYNNBQAYx8C53T2X818HDL2y749+qd+5/QpXzapwGqPWIHa3hTJSFeK8YiZL2fcyz
vSbQZMXpXuUvHgnrQC3moZiV20AmwbQv9Zcwu+hoGaPwTe6mzl1t5Tz0Y+i16mParD7iPN0WB2n+
sBXwa4RuzsCPMrwl9rOqjv6c77sVniq8lhGIknbto32lwhw+K1JgCG+1Q9ccf9vKi2FXTGtHuSvT
rlHuEuk1UUcm7W+z+tKBmJJ+Z+jQLZu0pXGyBHnPSIQtnvupP6WF+pzrYNXUl8XF3iBGsfjWW+QS
/SLDOhcwnevn1HGRxvaNGGveubn9MufkVbLh2uvV8EtlhH9C+ai11a4ZeMP7weBcs76HHqSEG1iZ
JBEMmfgM42VPT99LNOxn9dVCVlxhIUiauyFF1w5Qu2XBSCxpPCaw+8BpQnbKBGI3Y2jxDU2O/Vo1
ni0zSm6ajkCoiZjpy7Xa6XZ0qyzKe3SEo9W3GmWeamg7qUHNWKz3VX5AQBw5kWyj+z/lMUwuQig9
fCgD2Rt1u70XNlV6khj3+jTiBSBXbaOXajDYceg0qZU5g9yM27jXv6LWinyYUFQLS3wUIQISXRvp
DlWY7stzKPl9HuiKjb/NxXcwadObxP0eGpdlfGH9bNODLfBONIlbokgqvwxTdy2KENaN0bJOZYTp
C5wwThv9JdKzRkkRSyhWGVubrlQ0QcIpCBsyBY/Z3GvUBDbVcy6kQ6NIkyMkzTPI5VB5UW1X9LfB
SFylDBbt0xDwX+o273ka1M92ZsUvUFPUJVwJnKV4EHSkEFeaYxFktNbNqY3ru2kqVG6PMFGqh5hd
36eKcR4J3gQmWJhiBRAWpceMwUFiwhVoH3pMRmUcj7u2K57GadBhtULYLgKGY7FtGpkvE8OcY4ki
dEKp0zdtoyteHPF5WzY0yaCmiwvBc+zK9lKotiM4RaS5PmndPzsV+4KgkWYcKhqcDHe20aEaWv1j
SE9WVeySaMAbNyTg+8VWDs/G6Ke0oNjYsjR64BfprAkCbUkKKE+pxuDsMEVaSkAJhcZtMUdHfEoJ
U+dSvC7mXmp91d5Xxjaab6M46LSZYg/gbevr/spjHfk9hR3QWfoKVp9K4JEaGjAFaZbipbMG7q9Y
rzQEc82XhDQl679ubvfgK2yjVe8U7UtNa0bEdnOG3pasgx4/m4bXETXRuXYCzgTRm3CzDGwW+Rqw
AdgYpLC0CuENOBo0D/mDXxFgOyyWq0X8uPUuasRuWGJ/QIEwqCyWzVs8ec0wBE2u7Rq91+HeGJlS
NIeInjl/35rnCjh1EN8W5zbDbz9+5r1NYI32Ubc/AGdhW576KDkpVZCr09Nq/+oCsLtgQ2nV/WJ0
/mLyOdTSTsRfmk5pi+RiPyMtap8rXe3Ypfwp21sqH922Rv5it+FnWzYU6KQhIhLUeLOiu1JlfiaW
sjL5UAzYDfdekQM1jW9LmDlhI2i70x0jTFBCVBI63LFbtl1rEfc5V4P9M7a17A3yIlxJiRJPMcJf
pUKPykutDR2FknWPbDiV6VsoDK3iX0AfxDU3+VrISDo7GsGsyD4gwdZcGEDejm4o/CxNg6GxD/E8
w+RRfoOKaYKQr+YIbKw2ZifuKh+orap0JGcj8I0Yy/SQzg24VHxpMLU1wCNDVh4lyDhtVIIVJeI8
VB+TYvuJyM7Ic09Zkl7Dh0FRA3caGO9XfCsFqhvTNGVPHsrBN+uHQuw0GwdZT8XzirSzmkzbLx+i
XXTuzhQTkx/GO3PcrKIIbKT+BgOVznaS4k2qUClot55XvoFeCouWka2XPXP8HNd/ehOo7J0acrIW
pU3MeIJHT3Ij87lTT7NlM+vULs3WoWps1J6/4l9XE/0Xmk8ZCoSWQbm0mNLNz0xq2GAk052Le1ln
r4pYzPMCzQ2WkLOaP9TbSqa5+Xi26osZv0ktKPVeLqvHC1cm5E4W5ldt8qBp72ha/CHDjiajII61
5q9Gyp85o3hPomirJZAVDShcJuu2s/RiR20QzUt/HZkw3cyMY9+QcLTjeSx/svArHoE7eYXF8ovI
YGLCLlL8+D0oxSIrXmv66+B3uCPky6hvrfAaKict7ONLhnNTQ4V4M+b1J6nHaZ92byLf9rn5axQJ
NSvj1kAuRpefj1K+0s7mRG/AmEOsuH3tZP1LYqqOST6sNTk5atxM64P+obwj7xptyGyj+RVe0udA
DJeqOS4xgifUq0ItYPkL14zbwIxRYnvE21kLTQ48XZuJcKnHUFvCT8gwe1Jg5xLmyXcuX2QnSLha
VCAyW3f9LyHZr1A4XnWvLafTOu2S8KCKc2ekTsQRk41vY/sM6QS1PBUQqb5dgrwhOrWx5TqSYvij
zLUGQxOP2b9Ris8Z07jeHmbp3zDZPof2NdEbX5pedU0nenXCm6C5ZSYZV4NZr8iRM4wdJ21+jUxh
BH27kgHC+O9V4QBvqlz5749q7CBiYkDmpa2y/ilhEyuK9RgpJHWDU2iAQP2YQqsuZ5GbDxWTsi3k
IK8+14XEj1l32lV1FOWjD6u9Pef8HLhgs0/LQjvFb+wecCA8pPJXDAhg1W5jgcn3eDUqLU9cwPB1
MbGcgnTk696mv1pd3aKOIUgI8i5ENKErYO1Npd9CmChIUTcitE/SbRz5NfkwFQB2lgRjvQj2u10j
xsssL7hbxi6pCVWF0C5ziGu9Z/1sCEQxuwXMQfPH8S9uLPGMMqDZjHE5XIYYRJ9jf4bXimJlcWUZ
n4cNUJU+yUPaOGOtv1nIUDB4VKZxqUttm+Bz2be4kjGuSGUgCuocJQbvYRG8sCsiylkNY/eR6PRe
1+T+Lus9W0cJ8Uag9HLJBQg60ib9Vo2OM01OtaWLTaOm51LycgQiQ0XAnKaxLloSzIIscD3mbaCO
EpLWGQyQQew6SNEtGnN3mTXx1M/L5yyBG2qG3LpCRT1cWfZzo1CdZs/PIK5Ze28fm3KnRn+VTcp8
olw0BlG9njKnsq2L2sEq52c1fEGlnntZ+q+hcGS+Dy2XZt3cQnHVCLBGTzjINAmItzn7Dlm+2uYe
Tx8Kh1ssXnrzPhugusqrDGiYPhRB91SHLNb4c1wem5M94R0I46Z5shZIptDIlcBKYvUzxK1aQJxG
K5xcFYauzXAlj772WO4GiPNwbWyQVGs3tZn+2a+NN6kNhubwZU7GQAstt8hm5UUWP+EgOVwLRpMk
b0ik6GUwEWS0Wm2hCJ6kr1aOcKCkn11X/EZrDEp2r9du16ThmwS8IA8vyQwkG5sIbjojz4LYmlVe
H1S9lewWPH4bziFhWApGgOhJN4Nc/l5iSgaFhq5Y+y4ScQS8GFYhQyczm2DLQfrGOW5UHJjWtiz/
tNKEYOyJJJqV4SDPsUJY8Hc13c0BnxCYvK7b3HfZtluKwATFi4bPipT0IX7BiYXcHRXiyMfN8TC9
DhPSUF0u2VZS1wBRUVfYIUtPgp4xGgQdbGp6/DRp65fNFVo2Z5O3xUdnyc9Raf8r6oIBGvzSXAoJ
bcEj3AHR47Yo2rfeZLwDcEvN8UggcSr56Majft5aGKJQMOsQIsJtW7adNn3I1KnI2MQS9AaEdqGh
ejFM5N91aoTvAL8cYM2vqdZfI98sOg4lRjpK2F52IcgYmER6loaToJbG6dgv3KW5k+uImkWLnGIC
5SQtecDWpQyckyxzRWVcC/6pZKvXj/1ukBGBrOJAy+kGW/GsIGpphZP3yTYJF3qMgWek+xLxjTXK
sbaegCCP7QjwLcyLElUB8ukimtr3mR7ZcqjwD6FWI+HZ6vnfJewHy/KybnULFV/Li2UQbVj/TSFA
XjXb70PWQj3HbN0SDufC1MFl9NrHnDCTcXpC1t7sutwWwWo3wK+x/lSmoH3MQrIbVXZz1AaUZkJp
ERvL+1BlGE47N00NtrqIp7CTR+ZSnCidgTY9tmEL9fBqTiYAkmWcJEvcrKxxlPBULe2TyUSvidjv
BGCxcDjGDpnNvAIBFnX3JkOcMs1BpWtnSgGh7l7hIRc8Fttp+lUb61CktqcLvmH4L/68F9DdtpiC
aGx2CX8tpUPDP75WyuQb6T8O/mCpikNiW0HYbVmO4+FovIZoduqabm9UK12lOCHY7mqNDjLsfRx+
hC2nIw8K4po4WZ/qyPB72G19noFixWtNRFw10UpjXkyk3titoZ5lp1l/dZRafTjsmvKfTRcT8Q+P
yWlCG1f+2MNd0m+D9YMOLE4+IxkiBR3b4CbS50ROt27a/KggGi3VEdniTvWIiSxFPQ7nBsSf6Rct
/QinC+Np1YNh1bzFiC4ky5d76aZWbWDHmt8SH+8sDy5Gm6MdW/pWEyjglyoYpfvUZFuTJFs7Oajz
W40ZSR3pddNlRyTdg+Ywlbx18lECjHy89BMHe0pgy/BtG1Mc6Gq4ywzrX0y/7djk29nSqRXH8FZi
vCkQ5KmZicoMYYKpHBLmIB3zZthFx268TVOyrResf2a917AQYAr0CFR8+OAHnU9KGiE7kV1Z+oYd
ecQ+X4GWsSZFxrzPUHsYoHRFfGvNLym5yaaLvwj52seifqn1twUvrzSkug4fVbniAU2n72Wu8NbX
5YdSpZc6IcS20/qLMluv8SqTX1CsTm0vByk/1DYRcx3tdmKngIqlbJWPzyGK+WtaWBBbvicMLXIU
/yBK4j4+gB3zbnF6Vla2jSrk5xlU5nGoL3F4Y5mJK0jhQxE9bJN+M6Reb6TfBsDpdFukV+b9pAkv
owF1NRMAIEcTYuuwZ98Akmf/3/cZOnBjmq4yktQVpa29jEHPciJEkm9UUZ7UZnFXo9gvsaE+05eF
Jlbr8Uwm/eyJAQWuokSc3bmyrY3lWxXWV6l+WvllFYOTtxICF7VDklXY0UkY8ycK9iqzvTFERB7O
Mqhy9ZiOqrB4VVrQfFZgN0r7geeifDDhj3QHJpu5Xth1id3QSqishZ24jqxAFr7SUrKYoC4tT/Tl
+L3aOhZvM9n4utAOWQG53ItwP2faTU9jPzM0N7JnjBjbOt0qEspSpO2D7qrttkxPkgifMUP0yfc0
WddoeTeiH6y+UPlsoaYhuWr8rBjXVNIuHTh7a9UnaZYdUxd+ZcrmszVnKKFiS/NZ4ghwKiYfK+K/
ZMJ1NZHQVohU/7TCjLTZsaEMNJ/+P65LOaJSJWM9EY0EcdZgBR4Gvidj9tcYzRGGybm8C/GJ8m/V
vmvIAg3Jw+jOEjMMB0r9Jsz1hZ1pZ3LrlArciB3JpxETlNR/zWt2svLD0sB0RJWblDnWCgvR0BJk
87KNRXSS0Bo0c3o00nqvRgYemdnwh1pVXfw/Xm40oE7yvglBDZI6fmsz2dNRtOGwpTYexXDV+X0x
naIudCLolWpd0OWvqasJy82rCQ1d1yif9WqbMdAKEa/SvbNaZ7A5UQMaHACudyritok2ABO3mptH
gLRnbfrg4B2Uu1h2esiX5mCzZNh/XmPiW1CtPzNg19GN50O3r+i5RbezWZlD8VKXJmzMbTX9uXrq
mSSUBtBA77eTCG+8X6VMnJ70WyGS1+bMafWBtySvESbaNVKptJZcRRO9k0QdH7BSFvu8m8iiA+RN
U7dlc48St4GvaaZpb9XmM+VbtdsZ1bXrbku81TRXT7RDDUKsaK99UzFCRywCXpWH2qZpsKRVvgzr
qonZyR/pS2wrWnlO5wHj+B1L286Wy22kZOp2Vdbv2XyemM3q9WJLP8V8hw5nRX84QinFIZjXEKsT
VqkPXZsvBrpNsW9QPogukGPla+xqRMbFfgaIUcu9GH8ibUV+nnxbag4WLnH32eSCvfVVcpwJAaeQ
TnzFK8taqK0HHQZ/ZZYY5jN+F1CUxVu4yJezxIs9ygZWBGWTDPM7lqHe/km0P8UM1q67FMYZJhOa
eMFvLDWnuC1dDUd+arTHfL20er6l89Vr4Y604tqWH1b6trTcg3jNxSGf0LK3yMW1U0s2VdYKQMoH
X+FXFtapxM0fKkT4WYOhFRVat1rHVvrTiMzN8Q2bLTaYh0hpSGq8+cLDQRSTS9f1AT1DTpHEHhTv
QmOiiuPWR/ysmsKJxtGt1pNulvxiGLkQQiThbpUaoEWEqFgSyzxY6qdCfVKZb+Rtv+7JjAXY36zk
IFkzhtb17UF8RV5V73DoJqCSxg7ASNe3/XhuBqcA5opueuQ1JUM26mz9t3l0YwGMiOxVQt2BTgKl
UvyEmHyTaV+C/Rk2AX2VNEK8tjh0pdMQI0Wh/jZDjGezlKsa3xHsQHKG0ZQMrleUFU1YOElX+tMy
PdUd5MYxGQ7d8rHobmoajpod+vTazUcTwaianGtZ4tGMs4+60HeWEHx633Z9aaVyb1qwvK2NKhNr
pPTF2LFjLQfuw6gNjuR1eeyuvdhXtk0tIMYtVtyqh9eejTdZ/zOKEl2XuU+i9TVtPm1lKPCtYHVo
JsXFneouao/8IdtKKQJZcYgeP9HwxZrON49eCnQa69+gh17Z16/yODwl0DGDRXB0e5DGCJuY5MVt
9BKlj6ciuRp2sm/4pNVQ8WFdHK0ddr12FPJikIjKCJtGHW1/WSD33QmzMcPdi4iqd4waCAAgBHxq
2LxU3YUZQcmjgahkWUt3Gb8MQwMuGoAHonpLLhZ4asvmPw0klVuOai87RV4Wt5l0IjnLpyrNSWaJ
mcLKsQddMcdo9kPR07XWsPY287BdaQjTshZ3J8jTMHevSVvxtneRTMOdQcaK3qvqJZIU8/WR2ye7
Jvu9G43GsLMVgIPIBkvQbXSbYkYmigUKS4q03Jv1jLQzU96ztnLWjqQC9PAN3POHxdU+R7cGEsjA
OGG3fpi2n3p/aU3MEgt+sGkufssOs/PShcyoA8p+pXmzqBxui4Hxa+q/Y019ahtlLx5ZEHVxqcku
MiuRBNV4bQGO4dRWJdtEgGAC4thSuBaxzMyG4TfmD+VG5Byl8y6cfiMsynbMAheHV3tkTCrFUp/L
FpEa/vqRzZP+WQNv36Scw8f2WEOFaPJHrhjvRB9J1bAr8vRDi/DjlsXybNElcAM1DRg9ex3Ma7xM
OcInBVeD1/GutcOzIK4H2X4Sfy/9Tk0kT1Y9YQ072JVtTdBTnRe3mLws5qYVqRrZgozoNDOg7lv0
f1F2Lgo3Qp6NKjRZUDcsl4RU8w1zNvkBSH9jyboU6+poU+iknRd33bfa11veJXfs4sPA5qRlkmPA
Plo51HUTblWQoXi+6QuDmXkToK5uFy6rYxU5IzbpWFIx/hWPBy7xqS3bauYTgp0mvE06pYyi2daP
8QLUran/YfkdJl8kuNnopzLByPlZsR40qo+ISFSw1OQZVdZZRsOXsl8oGWHOJv7jsJ1nRgksb/gX
4yR317LkHl+7kzVJD0/kFXSnSl+axsd4ixf/kkCGLmxvr+hFyQ+Q+annSMU3BsjgR8WLGLxweVbI
ZJF2vJZYWmvbb6V/U4+wJvUHw5nbf+i+I/p95ecu3MfTy6LsxjDIIsmdk0uYPuVoT213Vm954y/T
T1l4dvmZwMqb/xIDcuqth0VNPmLOiulNzj2LEqrpqAJwSiXxNCX77Nqx3xeXuQAxF8pD5Jk8RRaD
zTnj0LDHq2m45XxSx7dSv4nRPEuR8a/m7szFiRnYlccT1GQnD69NvB/su8awXIOD52NYeZ1thmcx
TI7a8aUleDwGFRMYywqVf/o0WGe7IeywQ2Vf5ZZ+0B6m2qYRRH5CizstGeeF0jGJdidKG915TTmi
1gKMsdDOfYsaS6uWYJAETFTV7UOr4lgYFnX7P87Oa0luLbu2v6Lod7TgzQ11P6SvzMryli+IqmIR
G95uuK+/A1RLIiFmpeJE9Esfkgm7Ddaac8wWAdayxHalpc+l+pFEw7bESzIUpPRW4wgApw35S9Zh
MPwLLaouqqLcJQpuqUTZapgAXIgw6aWY8mD6tRi/C3fp+tG1mjceJWZ7X2gqXx4a6mmqmhceTf+a
sl7RvYqYIPtMZwNj09vQtobn3Lc5u3jkwIfKYkM0YMcr029w5y6Fykd0jic4EretkzH9DlsXRk6f
bhv72tCvdePCpSREB1J1LhM+1evh6FrawirLam86wl9FwnqhNwFwhDZ3JUBI0VgUPPFWMz8C3d1F
eLzikY52jAKfLodoDYa4sbB1PFkAstToPXVRvQpaM4NubinfFiabWnfcV0Z8TI36PjSR/CrJoxKE
Bx9thqUEV1YdGgu3wITWRDvPFTt9xBABYa3PhxWojZYGYHYL+2dhVE9FhJ+hW+fKpS9BRg+ptSwm
+1FMl/hW8qq2TK7G5FS2Yya6srRRd9uGwXU2d1S3ac3nC5+vRaH3mAXCOl3IUn1RSv9ViWgL05my
bWgHwvpus1hXyVpDmO/VF324sUO2K2L4EUTRIfNQsGNUYAdl5RTphknZmW2lJ9cOMjahZWvfvhVB
eGzQ5lgqVYppf57gwM1sb69VQJ0edAeMnIMWKKawS2etKVcRnngyzC3chbXyFOjVyqMz0CQCwcZt
wBkh646scjWO9Haz4XvpIQNRaMkAfWkHDFFueulQNawQmMoQSRGqwIVBPzBNsnVtlnd+nl3bibgh
/vmiT92bQh6jDqiSlJ8IaSJl5yrXQWytQG68aL44+KmtLmOBOYFdPm1Ib0EN6xj7aJyiHkHx1zgq
bWJd/QlGNQPexUE2po7XYbdZqMv38RnD82JCJt52CzyDZ5CJJ3DU84zgIo5aS9UtFHzmRigPRXPX
+E9nLmA60T9cgDXjqJemUIfE0LWDqnbFJBDVq+OgiwgpokV3SBuK8lXGHdZYq7LY0Qt6rp8ycGkr
maNAfXDmPE4AbudpwnGjZ1Xroc4Z+6sJn5vgZ6cFuBlX6LvwKenrMlmSl07P01eOEfUG9cyhnVO3
YIZArhrDHm2HlaE3AevC7rIDX8WQ16+p5aGWvo+J56R3g702lcmhNS467cKWb30D6KDmBVPKbePh
VcQNEjYvZaKvI8X7zipWix3jl8Jcxt20FyW1B7O+1a1hqQ/s1DwuqrwTw3PGNFy/GaW2C9F/qB4m
8yiw30T3yBqK+QlL5tLFYeYXPdETchdZyj4xa+T1kN9HyY4W4zwvtoEXP13YwQOJJE4F4axkZL+p
LbbKbFfKaqfFzT4TClokk5BWdoXfE74P9HKv89/6BOedQRf360dqTPfvT6/W9Kh/oZy3RZzkaaaO
BDGKy+tVuvdv8m24eF891bu4WahbpCXq4llZYq1DK7vYd4t7uXIXFKeXwfZHsPzAg3RU0UKvvz4j
3T71ls3gqsJV9FpxAuMy0NsdjCoVjYdSvoCYf6kcfVF4BuXJYE3pbmqCoWpFNRpGHQ4lg305+Ea6
F0nD7mwvaVe1bD13JcD796h+DtmbpxBNrZtS3HhasnNQessA6vpAl6kDYKpa+hUy15vuQy0eE+vQ
/7CG6QAOwK5xl2Z3kfGkQEks1qhZgmtVQK2a5AFXeudicHpu0edl9h6/qynXyB1vSZxeO/dUpUfx
OFgbFTxGDC70qLChkSuHLSAdaF6pffDaaCjCkQNhTlyPJp7rTdZR8t4CKLyb7JTUaX90DloXrIdL
kl3Uo/EBgq646eSbwbzM2sXLkcaHhIbPWFzTc+0LfP7KHkFm5faLDohZu/BhQWXUP6gqdU/OM+1b
y7g0WMbYL8p2R+sCw1vdXdhwg2R8NVG6UuOhB6aLjEz/XhcMAr6BfeQE5I6N6CW6d8tEjyzkJkzH
KyyKrDBC6AtVtXnRg5ukCvAEmU+Jbt6E0THI0cR41ynyQ4AEESWiet0MF7VuouO8d/Ur6X8SZtP0
10Zfrq3yfcwOWIroVD9VeLBsgj0KBiggJVwxGpUs/T5mSGnlfWWGEvK2e68X7U0ls3c9dlYe3zwa
S36a8Y0Hpw42xHCILW/Jl0RYrXtIAXxssoNbuNG77pOI3hcbQY+VrOsi2KX+W61eZWyk+WwvTBd2
LegrHZoJsqZdnDDrGFesYSPVeQPpbcZZxd0WdSmyvDGCY1KwSTQISTOeB8wAOLai+rEa9jI76CgM
KrTOaOjKCNt3GDF/WvKHC7TNV7E7mt2SSGp7pBpAUB4eBqe/keYxTW+hwGjBhWeDyAnXbBU7Et1r
fGgxzrjgtdbDF1eIpzjbZerSKx7j5rbI9JXWBncK+760bbE8EwWWuUshcZbUhtj2ebxA/FwggZRp
fv/1eHZOLIzWDMXLK9K63lAg6YTGgk0FcqPSvoU1+1zUii1CVpuOn2DDNibarWJepxqub8iR9ME7
US0QufQGzsOYmkfiH7vS+aGY6JvTZjJjvBWUuFQ+K9nHt+DWxS3CYwAJB4GgGW9FLBEw2tUSHWfp
sJtheMQXWl3Trjl2yr5Jjoq7b9O9Z2vIKx4SOm4J4pikvi2G3RDVNy0FocSjVF/IZptQuF1YQtxa
ofeR+9Yyd7/X/sFH7qMi70+be2rC66Lpb+O+ezf8dmf2w9LAP98n4IL14Mocv/XZhdEcnXE8t785
sTaqM8ZnZne+JU0tPQ63EX0pkIyfabHR2c9NAoslRXBqCF8/zRMPU509TMcXhcwUDpVHQrtwswpz
PDyhfmoq/rUjzDZrQ1a4hejwb1hTOOn4UdPRb86sdidA2uoMSZwpVRexH4qPkb5CoaiiGcTsMxWS
VyUOqHMAdvOPa6ozj70xk2LIXGeMjzmOGkW/NpKLr+/Nn1dG4M+/L9Zs/M3KDmVMFzilylkbC8f0
NiOf91amP319jBNP2Jou6pcNgYSWmpC0pF/6MSMrVFhxmeRR3ORA+L4+hPvnG+Ra8xdW9VBlJ0p/
SfsFFxCAvQrwGpJTMLBWEC1clKBpkGxQkRwztBFFfKmEHz7UccUfkWn1q7S9GlEAK59xSX05jC+C
mqZOpWzcbC9ipmSNqm+Btrymmpe2Kyv1Vgai2HBS8ZfZ1qe1x/cV/Ly4du9E8qFp9yJqV9TDlizA
lXaswYAZNUXQOHyV2VWONBtOhpewvmjfKvIvZb/xlKdCfGixeluNtPSidNUKtHcalGUvohSvSDLq
nkrztiVJu0mvEFL0BQEH/bciBElO1oGkLTJ4e4WnSPGSkJ7sox8f9Yp2jEivqh5zCl94dEAjmlFh
UjhnxrF2Ys6wZsNMbfjQtuya1kGzFQrgOry2L4oZPJoBBpW9n8KRxeTe/rWRZ81HXpZ1A5IJ9dAE
hX3vVHF9Tf8Jm0Ca5x509SwDDZI4K0RVMVg017Fuvn7XToG3zdm3k6qMqlFkg3FQ6ore3ehnm3iw
7xXJHidDC5Y5zAHUzy21ofL1mZbqulVqVJwdH8uS2mZOycxTQ/fMy38in941Z4O4E2ndBqI0DqKr
FbyXSeMbMOQz5TXMVRhOIb2+752OPttsHRo7tq6ibrAAX5pNAtLDMfuPKk4muUxSXNhw1qFiZnV2
aDqMcGWsV7e9wy5Hz/36ofPsCM1rp9E1nwYd5v8QCV4yQnSRbu2fmbSN6Tn+4TPCnH2eSU2PIhXe
6NGWNgw+hzpLvslBKWKOWkrfoelGa0YtvikoWi03Pw4h5J7hOjDCqQeDVqMOPzOZ3hfJsDWRIacI
3gQJky45gQFa0qqSu66iRYP7tKsKCvIAG51wnQb2uUj6U9cw+xTqTc9X9djLAT51tKbQ0SzVN/8N
ynRE6R/0iWvg+HN3lkGxaIUUskCf/WndF7dh+9Y9Knxv0MN7764YVkB6tuNBQaLE5aMn54KIGgGO
825XoDZ2TvRGjRKorL7wnpsfcXKJqJz38DMhkJ1iCuvGc0V0h7lWPtifKqgsYEd+IiNS6nW8rwEH
4Ggmg26LcrzJAKMtym8YmSt1kd7ApnTNdVzfAicZRYAu8EAJPTuTH/CTrP+nZz37PtMHrcxHYE6X
QNo3xi7e05a4REm5EKRHK4sHl+gvc2nvyVBdio2HCHKhkD1WbGximGy+HeOVv2D3uqOuNv2rVbrE
9LgCj7I0qcy8GWtMbdtkibvwGhvDVbJlQ30J7Rhx7JZm4EWylTt5EGt3g5Xqr77Bs3XPdgO/snOu
ihTlJZb7rb5Vb7Giwnsm7btbgU1a2xfc5kW/MFewSpefr4/BKt5Q7Tzg8i7PgfBPfJGbs8UxHGXc
M+vrBLbRdVzhHllOt8hesJlbYuxfhBvxeGZynLZtf3qU03//ZbGvmB7ieDqWf1TuswtiCW6GDwDb
y2z9F+ti5myh8RqEIJU+OJe+h0i8jK9cHTVe1rPt+voi/rwpcs3Z0tKoben2cedcaspkfZQk3ZRR
Dh9d2XhJeTby5cTsYMzWkczwKnDrI4USup1FJ1fm8Mi3BLIDZ9PZpBbUB3d8T7xzm6QTe1VjtkzI
vGtLP0H03koQ8pAplXKfUngFKgc8pVsVOokj2ZkX4cSm72d16Jf3wKCzaiYJHTMWju2ovhn4vO1z
t+7Ebs+YzauBaRdDbBqE5QTObVtiyQOO+PWzP1W+MmZzkeOkbm4LSUWyyiEWxRUd9Vh4drPEPwHm
urdHa6062GUL1DXXWk+nN7SATAHvF+vUEuw5yXMFcm3ADJBlQ3Uk94JFP6oSfbAOFGRADElWDWh0
VQkPdq2rF4kr1IOEGLHqG+wrLU5uYFOZ+2rqMBpJ2vURmYWj51y6qQbf0/dBYCWq910CmV0mRY90
PzFzuAWg6L6+EyeK3M48c9LQGGZuFMbHLojgs9lZO1xrSiZpqLLqa4IlZCSWcgfENlrT3ujW3pgZ
O0Xr3+PGVXZa0HZn8h9OjEhjNpXSia1GtI5kTtTgeOB8M58tIRosdOvMGnTial1jPklWlo3Jh0MI
Iw63FWq9RcbDXLcO4jdLc9R11zv1UW8L/zoUldwnKS43IK8R9qpiXEVMsmf2DafGzmwOFUNK69ux
e96hkopBuHcRVQ1heWanfupmzuZPxTbsSO2D4VIpjyQq6P3G9aDHnHlUp05+NnnWrW/mvUE4QJhU
VK3hwdbHVlfXX7+UJ85dn82ZahOmSYku9tJ2ociYqvetBpGq19170kbnXvwTE7M+myixm4pRH1UO
MlCCkRGq8TRv91FqsrsUB9cbr0djcBZQz1e6iSDl62s7Mavpsx1vCV2mLH29x/32KNPXPDqTND2d
9h+W5J+fDb9Mxa5D97Uq+d1A28fZhNFDla3hshRre1z9tXOfzZp22Mgyy6dzV+hNu5swzs4sxqfu
ymzoV7AonCrllydOWhPfd+qZNKlTr9JswEvyQ1OfyeoSbT+I4UFboSyGmvf1DTkxDPTZGK7qLggU
nV+3HLEg7sLXAcNvv/7tUw90NoAR5fRBNJ25h8dTxSk0udKzOxdmhnrm9E/dnNkoFqkfjG2ClMXU
MXobtI1tUAsf1Dy/voQTe5Gf4UK/vJNh1o0ByNv8aCMND9TRX2iOo1+YLTg9svBcXlTmXi+hm57r
cD+/PuqJjfDPeMNfjioShFajmeVHGcr3PDYsKvlGuo0TcAp5LPE4wND9+lCn0i612Wi2pcxZEsfo
iO8mvlIfxxQr8lK57R+NxXDmRTjxlH5WKH65niIM3YLU0ejYGDkfDFkZwowt3ffIQftZ4JY/l7h7
4o3TZsM76UNPM/wa7Coidnw1Sfjk9AdlwIRWv7SiOFPTOTHWtdlYL1MlMU30ncdWdcPHkgd/8L3c
3339SE4MyZ8r/y93SwRR4AVFFR3NYNOGD1F7rZ4Lkj/107PRTue4UXwziY4KTM7U6eHjrsvqzIp6
aqzMhnvnsLvUWu5K+gQVPcNBBdlMAyG4HAGznptnTx1lNuItI2qRY073nrZcu62+07OJSGfwFz1Q
jc+vH8GpUaHO1u/B1Zp2SDhKBNOqWkUtEQjQEhY436Sy97EKlGdmsBPXo06v8i9POw6bmBhijoSQ
FyU8xVPcsm69hvFeEclw5oJOPHh1Nso9Umb9OIfjOHjPbfKaJDW4i4+vb9ap355G/S9X0KSW5/dh
moIquGlxt8LBFk145vacGNHqdNBffhzDVW3oyMiP5hEou8RQRtX7Ri3XZn5mBjwxmNXZYDYb2bZt
xhFk8wR3DD/emVP/8w878/x5z/KFzOwiOdb9tWJekiJz5odPlLAdb3ZTajEkbpmkybHAqO/RtkN7
jT15IT/8lxqXItFP50QJpy5idneKUZPCTcvkGCHrLZ2npj7z1vx5TYAI8fuDlVo2jsL24qM7KlsT
CEdF2TkEo+6cm0f/vIo6nj47QmJWSpFxBKnAZG+gW9z4yo+mgmdpRKuv3/1TVzGb84YgpMJshdwe
DK7SvI992tp05PPxXPD1qQcwm+9iOx9srRd0a/X0KakbNJrK69cnf+IGzZPiRWQoXjXGyXH8aB+0
9+KH/4Lh8OvfPnHa82z4xmjaBBdtcmwG24KypT9XpnLmu/PUec8mswYIR+CE3HT5w1wTuvdkb8Tt
16d96qdnc1mvIvQqo4CRRWgA/SkkZboJC2SMbEK14Mv6ifcX79BsEDtFasug4Q7hbyASSWLJ//oa
/jxlOj97j79OmSVpV3DGeGMaRB+HbKPeeNmheDvXSz71+7OR68naytyA209qovZAztcUY1zh6Vyg
Nvj6En7upP73t6DjzsZuW+ShUH8+YmuRXtVvxY1yR2/B+GYsg1d3t/TXiDC/PtafF2DHnQ3hRvmv
t0nlbVKubJCNxRE83Pbrnz81EGbj14SDE2gY2Oj76PAZ3pP66esfPlEJcua57r5X53ZS58nR0hf5
FRJklOBkEkiEvT+GBxPpsbXyn4MzX+cnbtM8213JyRkMB64jpuz/VD0od3hFadZs8794gNmo7t2q
o8nPAWCRjJB7ruxX/QFC3vhmnZnvTt6x2eiOS0VzjYhDBG/9R/YR/zB/1LfKHfrmRtu6H81RO3ek
6T39w/v7UxL0yxhEyOPoNF+TY/cjHpdI+TAWQzO7002CwpfVXnzK3devwYn3y5n++y9HihTVVl1f
jY9KhvLOWXuGcmZgnBqEzmygi87Xh2RScwgFAk4ekNRWW3yIQpajJ1ureLdDsimylEpzh3dupTRO
sXbtWl41dW5u86TJ96zz/vrrSz0x8TizScG067wxCi0+luTIIrp7CR6tSRG3wGfw9RFO7PudnyLc
X+5mrXY41wkzPGYfeL2RUCbuInnWP5xb/4WvmK+PcuqRzaYEr8wdlUiF5OgIKsOUzfOqOnMBJ356
ngkuCrVD8875q1T1U4dI08g/c9bTuvSHV3qe462mxlDh/2HaH3nNMgVnv9EWPaTIrlx9fWNOHWI2
BeSqAx5ibONjC80LnzxID5sWwrlPx1M/Pxv+qcwG8nTZNqcp/bjDEG47caZOdGLfMA/UTlWjIVKS
n+5uQXYTqFOt+rf0/uvbcmq/b8/GeF+GluJ2SILIbOwf2hu0OVMa9HXzrb5uv9XvZw4zvX9/esKz
8Z6UIfiLmIsg343smGHKjliAMdO2Id03QpuNM2/piYFs67/PWX3oe36IGPeICgUGl9UAG9x2/iL8
KM7tP0+NZHu2rE/h1Sa0Oza3gnhbAldw/LBTWTvVBvEHjH/3XL/y1JibDedSpjWxy9y2kjBCX9lJ
aZ25Tyde2Ln7IVK1fvRLehStAsqNWGXlNQeU9fXjPnHac0uD0Sly9HBAXzaQ31Q2cL529/OX//2j
/3/BZ37zn69M/c//4P9/5GDVwkA0s//7z4c85X//Mf2b//47v/+Lfx7Djyqv8x/N/G/99o/44X8d
ePXWvP32f3DPhs1wKz+r4e6zlknz8wCc4vQ3/69/+G+fP3/lYSg+//G3j1xm2NPuPoMwz/72rz+6
+P6Pv+mTvufff/39f/3h1VvKv3sc3z/jsG7e/vc/+nyrm3/8zTH+rmumYzumZauWaU/fRd3n9CeW
9XcP5qWlmpqlGp46DYosrxrxj7+Z1t8t/oPjaTbxyZo2LXx1Lqc/Mpy/a65mea6N28pQVbZl/3Vy
vz2f/3le/4aW6CYPs6bmbH4b+LbnOiZH5lCGZXCG82/ypoajJAzYoKkfIrxTmnLbK2W3DZwhXmeQ
5B66wJA3v9yhf53Erwf9fUM5HdTmoh2NAxJiCFnm98mAD0XPiUwHb4JM6fOU2GwwYjU2eW25FhM8
kGBXOMaGHtgkH4sapq1Ieu3MkvP7VPSfZ6EbtmYZmslDduZnwe62zBM12pUCfibeM19HchCM+hST
kH5L9fHBI1Xg60vX7J+39H/m2um4bAQd3XZUV9UsbV7fCqtBGRSrzrcK7L1H0sIuB0hxw12L9BHX
hW/0t3Yj/eTg25X1PcyL2oRlkJM4rcG2XMRRP3xUTd+Z36A+6s9B5AALDqPRsB97kUX0JrDMkDlm
W1m1E1akJ/dWbEv9UutboH0l7nCjSLOr1qtkuE0Mj4gMRdo3DmHMZR2D7fc1tddXuW7l3cEP42ap
DNJ4zpC0LS2wbjlIGFKyeHYl2WWpR1hb1HcuXLlgNFGr5RE1nVxtArwbiR4/QjnOPmOWGdS1ikmm
iH0xQsCD39QFn56t+jieDajxHW451AXeVh/jm8KTN14nnuOBJCsnaZRbWGr+FLPR3GP8LS8GTS+u
1THGNmln6o+ESJLF0Gb3fFTY94GZKDu/mLz6KvFsrc9BIifS0Q9nJBGVQ7Kp+/HaLkdMXYIUEa2s
3kvff1ESg51tautbrzDUFdacaqEPEwe6gS3exU0C+1jBENnqKUYCGwmuZST2ezO4+yDF+VtiZlra
o5Z9Fq5tfbhtUWCL71v1rg3M59SJplRb49BbhYw2nWJ79jose3AkGW6tnUyMjLKkzPJr0yHSY0gJ
qtVKZfgcy6IhUtWzzR7vSasBsoeNldzIXqnJmMWudo2P0vqRJxa2YZvEMYC7ttldd0ZjgXUSA+Ax
CkvmSy8GzEPClZFDiq7snGthpZBhmzgmVYJoVsV8rXoNuQ/8prS808Oxq+4tHlS/S+I2eJeeUrfH
snQIEbYyT9/bsTmgZ/MAB6wbBpoL4I1U4eXYd1hykGs7R6UHkLW0WHzkIQDP+kD3RN6JOCLlUlNG
LESKLwEX55B71kJXPYKN9TAVnGekZ1tHhKg8ETM7d3osbGPn4PrNLvoW/tcmxtz/4fWOfEzGDIZz
kCpoB4EnuBriJZyKBHfIpAN0EcHcQ7Gp2ddm5w7A1Q0zBBXrpmIkXc6MoSZIqqxYNAyZwreJSxey
Uimtja/HDcmjndUl60HkxV3cmIW1Iug3++Ywv05ExiJRgL8WkbY1QwGJz6b1cpHkmVY8tA2mRswm
g90u0ySGS8lkD4e9bPEDL53KhZze1gq+kMgVdrbpm4i4b03y/QNvOxZoW5WMAEfqmvhZUmaWVWLa
AW3JKJwsgaRtgvOjjTRsjKKC7RPZZN2JJpls32niyj3uWej+Kp3NguEbKMS+BS3O7rZO8U+lhutP
6Xl6s251F3Bc5drm8BpJYdeXXZt7j70dG8k9fEPSuMJIdx/KzO8gsdjGvWepfXkVZbJPoLyUMTda
hIRwd1kVxq+MauApQaxbGMaMkkyacFBIcaor4Xq7NDayI9/n8GWCiG9PZvqotu+BEbThd3yQ/FM1
HXpnzxJpVGsz0WV68FSzvmh1hwDgwMng+cth1BNcDp7WEgOhDx9hVxfiAPWOTzpK2dk4AYp18FxD
U5F4JrxxEyVddzDqTNxZfdpZGGdcKIim4sEPRpWQfYxJDC0gU32DdPQmhIPA/kE+DmBh3HUa6fLe
a0q8MrkGvf6i8iB+pdzJKDswcg0fPn/lx2sr6sc7s286nEClBV+yyXovv9L7dHJWeXoHGRZS3srU
h+rTU1OL4BDo3CBALavdKmZijauBWehDbU0Zb9vQJo6rwgDzHSy4fWXFbQlvLWkqYJ620Tlrx3Ta
N70Hq7eviAWFoQsuhFRqA1ZX7KQTT6nDHbbSkhj8P2jy9MMxEu8215yanCaVsIMlqUgT48jp30Bb
Fs1igJqyVmhcAeZUMUk4jqs8WNqo3yiZ2kMSNgXoOjdNBfCgCL21YQ0AY0A82rCCO/A+bU0wpBnp
ArtgMvTVtgqACN2C3+rzo1bE3XisfJ8MP7MIRLiryxAQq27X4bUzdFmyVUqHhKBsUCY2gW0QLzY0
kWlexRVWpYWFg/smtpLiWmlyGsx5UeBDsRDhsDqodkzmQM+Ls0KFzq1Wch1zPY122g+N1ZdEDRik
jIhIrUjoyKvgphlCYCIwjZFbcSLfmDwDuAiKiW22HPHQkkkOv7upX8x8hEmV0ujJAxYxIDBN9gJN
rkeXwOtxsNsKa6HVhvlDFBgF+B8UTptc1vpr5njlWykTNVk1iVZqJCfXY7UFIePeNRKqysSKvUkM
9VLXteoKnkbRPnuRDjxTrwpFbACMyMcYYsRN0asSq3rQ2Dey82MSToRwVaJXUuJYS7tWTZINBoxA
ujIMydIYJLbI0BrkFYsqux+CDnR5qYqGcyvLQTHXXUBgxtaMe7IC0ZWNk1Ik+W4lLBfA6cY021rM
MEidTerCF5WqqdVBdTNyknsga/whsSidG+urWE0U96rUhv7OK+GTH1y3isWma+kXbMzYBCWSE8e9
zQcoPcT4aVV1zKF4EMqcVS6huGwF64saaCubA9PMv8tebS/dSBn6nUTT265GrbSOLNudRzSQdN6K
uBEFmR5jDR0r0UYQY2QLfyLOV9ODDHPI0XC+4HbbFXR7GNde0DE9aN1nBAAKgocKImHXAiYmI1Wy
i10MgoYPq0+QgMqukGTEdvdJPjnBULVsPxrHuhYF2Wa5dKs1RUD3m1cTAj9oz41JQqOlNHu14HMr
1CWwTq9qNjFNQtge0LT9VOy0piaguyxJKLOdBFpbbdisi6qSIcRPRBFdjkntvrly+oz1DPlDF56/
jztB5GOXm7vWHXFRN2Rj5mVHZJrSQG7OYoK3nRS0A9raR8VL4tdAA+oDo0YD+YWcy1k6ahtfUjvS
vjciLfeKYff7witZrklvAkgdhd+cwlIfI6u46ypXJ5U67pVN6rNR6LT2biR1j11ptimL5NI3jG+5
WZHvmk4jTimqizZuaoAIRI5HA0bYyKwbeOBNsE30YV/WrbqTQeCsBltlz982w04gozs4jRatFVtJ
6XQq0TqEgHOVuOk1e6F81UyUVFN176omZhtQk79LNMLS1b1j6SFv8N14b2nZNhZBsRnAya3cJNtJ
0oxa0wJkD/tQmt2La5gwOMOOnPkcXy4tYSKG0jpaG33lHVNSUTZa67Q7pocf0svjreVU32oYjk0Q
+TvV8Z7UMiXojUz2Xmvz69hH/knTbs/f8UlzqgpIH/FLHjA782mmb+MBeZ6l7ypRA9lOb9kl4wxW
1Fsf14TpKdYuSGvE4jZkSagX0X4cPEqFjaoTZQ8YxhqQl3IShKeF9t7PMeCHKTBHDRGXaHLlyBMk
s8HWojsxGmjcSt0SFOs71O6ImHaZ0UEeTzD7KJppwq7XNmFXFDfs3ntiftqOVDW9kWwAFeut0UR3
0MvMfqATb7+xvomrNi6/WWNLNqdImkvpqv66yJ1kD0j1RjfIxKkt/0GzCMHxW1zLfOIt1cF5cYR6
rCqA7HwKNW+FZpIvmtpbkaLBzK3c2huKIyD+oCcngXhbigTIm3jVpa2tuojEj0rfKo0yEemKlyaj
bArA1AMvORbboooJktKb49hHF5row+esFQCTgFFSpoSIhYrGMGkHe+p3VyfiSKO4mCpiV2jyoahs
Fjp+a19T7F46Znpl2zjaa1d7ZucyKFDUePuytLdfmsp5IktMW/dwOS2oB1sYr/1agsZhGSK5SPKa
D80BrRMeeR2um5Gkxp2ZpjmQcfN2GJ07Q1gQe0fdviLu3X23OriFHbhhOJblgXdUPtgVqcaqcVlk
fnYpYKQMXXTMDBOEUFxQCqIeu4Aognm8ie0LC1vV2sDinABbk2hXIDh3G9XTJrJ/jCsYV0C3J+Rj
a5rmnaIP2zhss10NQxB6Tel8DEMqXtyuhUVmYM02Ci95GTJHvwKonBRrPGzmlRDSB6ZYwbxKbe02
mRJtFB/8uoS4twyjEAyEVmek9A3Gd98A6ZyG7KXUgPRYmbX+SvEI4PXx3idtilnYK4q9NSb7XI14
Qw1f3hYwyfadGB9Uj8QUNS+d114zpsYidYDCyak7t06z8dNhb+L3QrKuhPss1o1dgd1n7ajQ2fPO
hw2TDyJ9Gwv1fgBp9iANlrvOpYLgM/vD5LEfKkcL7tqIqmMaJ2x6dSdZ+SoIy8wI89UQ+0+RXh1K
mpCbIY3giudZB1nVNqkNDENjvwa67R9HJvCDgdY9JuaBnLLQC4+prMKNIo1tx6NZql0O7lcYKgHr
cpVrUONioVQsygjrRyPTrjXTY6rPG7JMc8Xfhl5MYJM0Q0KvNaTjGgS3vTb4hrbAKte+OV7Q3EZB
AVg/RAzDeukvTOz3B3OIyimJ48BXZ7iyhl558Mcoi/l8yax3x+lvvbDx3kyLe8UXJpSUiKzTwiV/
iY1vCzdTXmi2us8ZPGzI8dn1nqou1aq0nh0e8xFTHvRZp8loCBUS75LjgrA3ghSQliK3xKDA7rOC
5iGLkv9P3Xkt2Y1r2faHLk/Qk3jdLnduZSqNvF4YsvQWNCC//o59uqOvEqckRePtRlS9qEpIJAi7
1lxjUs9J1kuV1RUmUPqHDXzYZduS8nmYQsB8NfSlto8/DB2xC4zjanBK3hyea5zj92vAk6CGafYq
y/IPY6+wMZi4PrjUtAN7SgA0ZeNy57Weuyv7XAL8Db9NIXvlfDX1xHi5wQN5w4JVYd8BXmQexDER
W3eBGuNeqobpKuEgbQe76XHFiipvxEFgrkvxJgtmJTswF7GnHn3Pjj0JXS3JCt6gtifD53ycUwFd
XW2ZD7MiZHe4AgmGEBjbIN2U9JgL1tnichhIPFISEfQpNgIrIq/dluRcn3GVcDMH9y7wNV9jkUwz
OCWrCnz84dWI3YFvbWEXn2yPKCKHuQRq5p2KMbXb9ZuzOKl49GX/blwajAFyNw9AUBQb/1d8v9j2
5MbAPOZhehIdAWT85QWKId5JeTtHH1NVuPXwpZyKJmjOqotkOF6Le4eYC1I+NDl4sDDwPXWzbYEz
4xcYejXuxv3krfOGheiSbx7ISAts23yot9mm4oNXovKsU5aIIUYKs/QYXDpV+5naZKrXet89eaC0
AKlUQ4w/LdWvPZX7e+mnct8lw42o3W8cuuNeVMXwZujR+IE49pyjn1ug9X21YAtR408h2p9tN2Pf
VDGmMurfwZE6bjFIniVsHwa0eUVPxUlBtTQMM58H7FZQ/9nCKuzZA3ALtL1PCmT3sVdMzT4n1WEH
/XQeSBWAqHFm51q2uFxfY/bHOpD1haU4nNKsjJ5yr7buSXTyZpwqYNMLkiiqMGNsLW1QLUtg4Tw8
hq+oAcnH89bbrKd1q4G0cpKM4fiUT9Lj15Gq+xBvBV7XyTikuHwraH9J1/N2Uo5VPIhmLT85VlLA
Pg7LU+9HbX8csI2FnK1yXOps12G+pjIrqgNeWhXFhKlPRGLtM96/WxChyCDqyF3CEZ17u2Qiuwly
N50P3Rp5H7LcSbB2Dsrs4vJpD8UIBcwHIs8DeqnwA4BTmGeDuuvlElIxu75W0i9vx2n40WOZUOBT
sQ+G+eTXPii9Kj5mau1vvUbicpEUeFaAhnzytyU5t3JIH5pkGN9Zmb23hoq7RoWHeenw6oDG1v50
rBUMplxceTeMs3NnWeTjc8+7sRwRHCTb0AkLlvslrq3TgP3Y4NjNpcqq6kbMXG1JnVI7nU9XkD4S
hejZDpYArikZn5SKoze9p8IvlpXiahJi+iNn+N/+kjo3TYjbpczdD50nulvn6tpFLPZdiLsGLj54
a0wbiGW76J+8BdfrYNq8O3ubf47NBFt8TNvbMcLehxp6eev767loHPXULoDbc5b6Q5b34W1eCvem
owZsPFptG6pz5HnW/STh3R8WAhmPyRKN2b5hVnwgRIOBmGP3Z6tu8In07ehgFREwUz/CHDdwC6g0
OZPetdrHfnafQx+6fOWU9VMr3IgLT6IukF8d6+S1OWyqsO4OVoptbu5hGw0HHI5uUY3MZ8CjKWHO
LLrHjRhWdDVvycWF73KDE9qyHrFDi8jGTXAGS2lRZ1xQ6QvlEQdrWfD7zcMA67JdxkM2zJ/sIOre
byV/JSgENRvYFgXyGCwwICxq2euJ+/Ag5v6N7xDGW1ZKFUWeUTyaObhOsh9QCW/DtvYzUprF4jin
GvBdF/anQYzj18n2MWImYnsuppbHgVVvh0BhXuzwRPxe8MSAGIdL+WQH2c0IXuG174CFm8akOlmY
8FIUt04feLEHMMKyOg1CKPDEdiHwUDpun8vSCYePuQIi5BJRPiZRJzFicYY7Qf/fEttQx4AX/ucx
JDK5D1L1PmhK6uTKCeSv1VfUvynFWZhl/dEaQeA6hKPnxRkuSdDgjCDC1Hq/2s3G6OLPJiuovBBQ
/BtMeUDMJyh2Rt+f3o2Sxy8lXc53dxt+ppJLMiHjJsCEpZ7fgNp/XnEF3UMvWA8rRIH7pGUfXkaL
rT/kKtEs0NHTNT3lvlcdi8L/SNYBUtnWh1gSccl3CAtwj+MEjnOY4X07u3e1HHHTUnhCuM0ICHlr
2tuhstWpjoLpQaVeSJEMqHQCdeI9Ysf8NUU6PyaVNI9eDgk5Ch2uIdy1v3XzCOXXs4bXc6XgldsS
clQDECwY7fTskhJ5WpLxI5EogKHWYRLc6rCXvfhXCrI9zcshaYZb5lbzHCAvuSWJajlYV3GB2Q0L
gGWePdh+BR3Lu4nH/nkEZE6lQtQcVQ65X5Y1lcnb+Kl2BwVRO87uiJHiXdtlHsbxZfdoT5hnYUwC
ah1nmau19LQTa4SnSoDSBc+5qCsBUw3e19ANrJt6cPBabFsPNFAqWvmdUNT2rSyD8BILgipxzbHg
rG63l5kEFRqG1kMBrf/WqizqKAhfQQZbxuwtYYDm5JJu2G9ZB0trmO5wMcIWusbxeKz9cz428es8
W+6H0MHnDT+BKLPW27GX6rFI8B9v1iT9EHPfADvdxhhSocoF+63CMHpak77hQlqxnbYrzEzVy9ua
fbRX7huY8M0eRO47KraiU9YwOourXq+TPeGq3d8MTUMiwg+elL0wo7NggxZGCEreZ+CpvvZuk227
MnQoFfUaV5anMBLFib9ufyaCIOfP6xJt1Q2XkO5MoD+67e3EGvaWqLH65rYOtY+I8CVsiya9DaLU
cT/iaHHYoqAl/Nml37lYrF+mQHBm2ddUkwjcGvpqeATb/WEual7ilD1FlcQLxwWKBOP8rvWC6hgH
PrgvGXARXr2WkKTCI+EBHpmVniKRHXoKIXniuBiPQZpAvunaX900b06UYkc/Vq+WnMWtOhDUbF73
NtjXZBL+JZoSXk+Fhy3q0mPVlEgQ5WWDI0tPpG2n5rnlCsddADnBPNyWMQsz6LIMFGSxvmk6t2Pa
bM5TG6jxKCOLAzhvYVzUs1fRSX8snn1LxdUhzRderWMxnimsXjAjXshrYZIHRcH220dlVe0Hh/Nt
53asxl3dU5KTT5l3vBI0jqODc2Azetlb4i/TCTaK3C+Wl7zKV55gss7aD7iHRPdklcRlrVz3eW3s
4PkaMXoivhNc3EL2mNVV4XhFtk24+njipoqF/zRzqr0Fn0Gmo6bqG6e9tYOVCSAIsrl6doX7WYZN
+SmM3Q7zYTlTc+jE12Gph9X5vIV4ZgAhbzhW6BGPlTFYP4/zsH1wyjjcOXMHULfehvrbGuYk4OY4
Zn7wPI23idxNIb0zb+yYCHWb+5fJS607p6t6DBf9+a4swMwnqpooqW3sg41eiIcTtelvxym6Oo4B
DUwIYZ6ZiwJn+AX+Qol0jfBwtK3QrOrQW9MvQd7CJ4r3lrXi793kPerYrAyJMcHiskClkkHxu5F4
ZzttN7kFX/KDPdoKtwOigcl+4Kn8c1Ijj5s9t2lib7Edj6+UHfvzqfa6EjL95lrOK8r2rvZDvQ3D
bRAkH0iqhaDP0rxujpMzdG/WSW7nCiN6IkEBVL3Bi4pTSCDl9brgleJ1Ls6SnL/sTMrr3Ye+tL+S
f4vmQxi33kmowX1NsJbrvx1xOWRbG7xPmDFk7xdrIDFA7gX3N6tw8Iu3o/kC+fQGKzDLPo6dGn/E
jcjsZ7jPhHUpJH47lNhRLcU1tu6G4rD49o1o+zeznTNR8N6Ta/a6uOIaZ/HcTeQukwKX+615mw/R
ZzF82YTX3WMhd46zBBFMwgw/jMp/xd64J7JdXkaQIoGaSSlsRIBJ9t7ExEOJ7GEfGSUhJrrJ3VqQ
gg7TgDfv9IpfGOsxNzhgzvM0uP16Kuy1PYXbMu6xcMDk/JrNaTE9LZrHwGrIYYAcW8fsddq1p0kB
/VOT8s7z5D4rmHK4wMGLRfkChncA0SeLT7WAXFCGHBU5fJNgIwVJrOIcE/NP6wxMezedFlHx3/lX
dIS5ySffuhB6fQtlVCZ4e1jU9td5shy9MoveRLwCj0WmHmwLwXgMTw9qNcTdcj74S/c6t6fXcxKB
D5zkTwH/Z+MlAYE5K54s0sUYHN26QXFfzUGM8XBP5Dzb950qz8NqR49YorxyqmnGfbD75NjVVy+O
H4LVJUIZvoYf20Nyin56BeqF6WoHVOZ1+lSvuFvV6luVDsse2+AdQZIQY5Topu5APPaxwCc1bzKK
xbEPB0eLd3TDi/cqanuVBxSL8XJPubtn0YG8cHafigwCbu+RwmiW7uAlfXWqCful23RHtBrLgjH1
KMMk9F5a92VTPNUe0Zdh4AabkJTe5VzosYe2ce1tof3WtfzA+JzXOXvlgAv0RNZle9/H12hgC7nh
xpdwppB9KpTK7+NlWD6wEOATOQ3GL3Jmhm6+Ir8xhgte631wrYlxFEuxilOW8uo98H5FQ1X4K1kf
wrTAjDs38tJDVDr2a5+LDTFfLGu7ui2QVDR4kDtT8sXqavd4jU/syHN/nvzJ+3ndv/aTXZffEjIw
w6XsLMF7ihqB9jErsmG8T0iMKQKLC553g7/wsFt6N/QfomqFvoySKnvjl7ZYudxNYZ2TcGDzusim
zdM7ckR5vU+D2f45sZ/u/s9Y2yqPkV6es46L1CfXbeZTArm1+/hnOYoGZkKMEouAmGJA5FOw+nSS
QlH2YmjtLD17o8gwsa7G58XpeTzZPCfUQcWNHeGfMzPi+TQRg+6RAVDbi0XqJ/y33AcEC76F6URV
wfvyg2B5bsiMS2p7iGPsME6FcT5QdF8cZwzCwGSLJp+QI6j+zsMH5lOz+sSVJm9GIgKVxjl2fP3/
xqX8r2Rpv9WcvdCpPXQ/GlzDf/wY7790/z+o0wJUjr9Xp73Pf4zNl/qFnu36N/5LmubY4l9+KBxi
OwEJLvtapftf0jTHdv9FGiD0mRaEjP9N2PhvaZrr/cuLhe3wj+sHL6Rp8b98/kwI36U0gS0CYuL/
Qpr2zypFz0P69qu8HdXb2m5Vqy4J7jhr9MVavfMvY/AP+rPftawJRFUeOkPVVcuFUOI3ryy/WX36
F0jH75rWxGRdoSwO2UZdxoJtPu+d59Kr57/osH/TuI6WYOGKSlUFFj5BVh9UWz9UZeKdjAZFR0qI
zirjxc2WSxBNdyRbeTFVYt6ZNa7JuykMqNphoueQa/BULi0gD9fD16x1Td2tuBDbvSvnS0vRwq6I
BX5TK0lKs9avEt1fCgPSPCvGmI94YTucj2E3kIwu18Ww79dv/Uvra7LmYbKFE1fJ7hLH1TGDrfTn
jr8UOIJw8CM/jDxXE3Uv5HlUgpbpUrlA9s4zdvLyZnPZ67+MQJ1A/a3JtYYrma1XfnPFKPz55/5m
mv67BueXX8lFW+OOQzJe1MAOPrseyetpNRsvR98VqsSp1sQfL+Gc5491Xff3Q+D/pY79dz3XNoau
nGKCpc10AZ1/nwx2eynLVP2lUOB3jWtbQxzgWRpOBPWtWonnosqmt5ZVm21pOsxDEVRGa6cmrKOX
H1nQHBziFkaf09UGxXXrrpK1N+HS2YnkKdia6jZ3t3T5S/XX78bl+ue/TJd4mjEkFdl08Xp7vBFj
i9Jxylqzyehqoy6YiFExdgzMaN1LJzxKNb81GhidEOJMKB6QhUC5j6KVhDIRrEd/wzPLrPnrsv5l
XKQV2NHU9xNE9654JtjuY/9FNtKsdW1HTit/zGyMiC59z11aNhg0Vcn2ZNa4tiF33ZaGW0rXB+EJ
vLISp/tKTqf88ufmr838PwX1/2xsOusji5C/djYbjJtaVKZYFQFQitPq534TZOSSILdv//yTfjM3
dRiEsjcvkoFktymy4pXDLfhUr4jOzFrXvnAej9goo8u9NF2S5zd9kecPKo8QZpu1r33jZY1xILT/
nUbELRSd77wb++kvSvbfDY32jXHkicjJ1uOl80LxybKc9SPBSfcvZ9fvWtcO3VHMRU4mntazadov
gsdrjkPBn8flZdHD/8wfnfvgVv3aLWkkL8UQLD/7KnBfNd0WPVor/t5YpSXg6kXjBUYjRRHey4Vs
Zy5xo2EcLr0l7j0K+XfTUL3786/yz+Pk6nUbfpoSm47W4VKhAAgThROzOpg1rZ20Y4E3QWmp4bI1
8oMXCXIc8i9l/L/rtXakIMtsF3wKB6JCzn09VjfF4BsdhK7Q9vsgIwiXIDG6EEH7vpQrVgGLUa89
HTm/hF0vY5+jxJ7T20xlPzG9MkMCeDpjfiBF24wL15oqRo0s4re+270x+Y6erQ32Mi0F0O94vIg5
uyvs+Xat0xuzprXBtkVIqKhLubyGpNnryfoUDOvf6vh+N0mu1UO/nH9ZJNq5o7ryMk7UOOPMp27a
xe0+mHTd1bHyk5NUCsmWvCCMIsmCAKfcm7Ws7brka1VpjwSHLAoLSkl6K48Ml6S25zYOt/wMov+l
qaIHYr/v2tgx+pSuDpZRBAesotvo9WhhJ2SHbwnNmL0IXB03skVjaU1VPlwcDC2oJSTGbzgkOm0k
F3ayOShxLmnUYtM54n6Xm92RALC/nIHdgJCqhcd1URl1z0tb4lqUTeXRaJ7E2sfErzgkksqgeEG/
9x2qFwrXbBOMtdNzjt14qBscOoOuiUh1Wd9FtP006/Z1uf6yLAOSctRjML0ddL7Z2uI9Mhgd+m7s
vWyayHQblnE6XBgbyNc/BL4CZp3WzrLOiwMZX8c6wxW39b4RLDD8itruGssobdKOwz1q0u/ZlOH6
ufytLPs3O2Csba/rooZi8trh4iq8kMd6+pE4vtkupSNEYh+OTl8Reo7wZBwj54gU0mwr0XkhoUTd
G/rVcCG58UhM+2NSE+r984e8Lo7/vPoTX3w5RbrYchCucbyrqaU2hSqtEt8Jch8/6toN6oNfxIPR
e931tYkel/UUFWkwUByXjiVqJyFOZLGUGQvCjbT1vzagrygMHS7zqu4D6X6O3OD5z6P0m4kTaetf
pOWKodE1r9DBmCBzBY0e7p/ZYtK5I6mkplONyFwsSu/CWD6sszQKn5KDefl5l034hag54LaVZGxc
o82SV/tes2HRdoGWEqxaJTDFV2c9phA4vKQy2wZ0ekgtAifdco6hLoIZpYQ/IEpz35v1W9sHuAhN
EmLUQHwwRr36hkvWwahlHRoixWaVYqDlAVvgvkPqHBmBMl2dGZLasxUrJ2GswxApbBi9Raz4N4DB
dR7/wy4QaruAPXt2GlJPdkmcHsO+qPN68dyEgEbfk32O3hkNjq9PxnZYEjWil4jrDeutnP09pFTS
qPF/GwH+coyKAWREWDDyBbapJez2Pk4MP6q2+t2s4oZPUdmlmPvDrJrzzCXUrNfXDeeXXpeSTXd0
4/5iy+/SphC2MJvioTbW9kZxWrvRZ6hZd71fnvOrPtGs09qy96diDpo2YqibLELrjUygLAzvnzps
pPGXpZVURlwi9Mbnfo3kYW0L1+wo1Q1WJ5GLxBeMd9xE4Ps9dG6l2afUCSOWO6slaxlxFWNp3VuH
XCVGUTNX54swuKMdRaz9sQluxsq7c3hnGX3LQFv5JRVxi0IieolVeCjkG4gWhuOhHcfOkk64vTPU
KJIPXRyfmsIyO3cCfUEiNfDsnPHw6nXfKoFk52/3oevC+4edUHcusxFLsvsF/WWqStzG2QuhLZgN
tbYke7+pynFlgnicDZNb3aHQMJwg2orM4UY1BZr2i7UV7rPvTetuQKNv2Lp2JXdIzkVUW7GXeNh4
OkP0Voq/xYCu8+yfxls/ipXMtnQi6hnNFUJlfyJRtCrHo6hZReL7jNhM7ZVNCaHZ5qVbeQ1bkpVT
Q1EmKmRkWfJr4sCeMPrCuitXmfRr364LMpZhK44beqXdNoAtMGtdW6r95OBBGef9ZVHrpY7722ow
PDx9ba2uhYPozafpdlJPduO+gUb3F+b+bxaUr63VeoAjPpUO4731l7BqdgnlB2YDos/6wbcDC0DD
xaEyBSl8KQ9RDeHdrHVt1g9ISBOgDj11dUm0V1GAuLowC/TBPX157vvTplR0LQ1uZXyBHtTtQkVR
jlHPdZchHvulO28codQiIUXf7GFwbkTVUj1n9gO0PMtUr65f1FzkeLpQ+OMBN/kbz+w300U3EbIS
GYVbwUyMZkx21vJx7GezbUy3EEqmDoyHKHqGpX9VqOFAQvBoNiDaJJe2K5ZiZCZKyz5QpnBKm/rJ
rOnrQP1yQ1TAyly0fcNlQcxPyXKFd3tXuc03s+a1Q6lAjBEk1YpUos6dZ5UF6iwpAvth1rq2QmM3
EXVWUJxBpdyPYsg+WnFsGAP1tPW5bpgaTg6C5lImX0KqJWQ+mbatLc88q6iACpiF1SB+OGW/xyjL
zNjV1UVH9jyFrR/yQdEOJ+5RKNGtB+AO8Ww2Y3ThUT/GS+MKNq4yR5iJjcDNLAuz6eJqZ1BuedXq
gPu5hHJ5vdXJrd+HRloRgrUvJ3rrUQCUOSm3DAvCdRBfpvlvV3Pxz5cMV1ue2DuFFkauvMqrVQZP
Tj/2xSn2LOZLPTnzuOvhFL0vUOwX1EN0FBBknpSz4S+mrWDUBl4VV21/yZf+Zxk1296LejMxlatr
kqyioNZPXpMjIwbhTefcZjBFzY5AXQQTC2sR7kBxVt2v7xsvfs/17KPRzqCLYAoPUM/cEToS7Wb/
nHPwJ1f3tb8FNH5zjOgqlXmTqyf7iWt8ROmnze2xHmczmYGr61QSKnH7smFYVpk9zkn3KbMh+RqN
i+5XYyNjypqOyRLH4XlKmnfb6JpFkP7DngZZH5LujM3Yo9IrS1+NsXw267W2dkdry6lhbhhuD5vT
JJ3hTU2GMRJdndKgkaYY7np7hPLUcYmppRnjF2Hfyz1HAnoryojXXm4HH905OpXVZLbqddGemKjO
tZyF23oKSCYAA7I22d/gyr+Z3rporyLSjQgr4vropo9DndzLMjaL0v8bnPvLfaPypWznnJWz1TMF
5xM1j7ljfzWbJ9q5yj3Gb+CvsOpF+7kSfT3tHURT696oeV1d5Ks1iGCA8NZQyVNOWUayOGaXR91b
JseZaHCu91Lf8SBUSZBU2KabLXrdUsZ3ktCfPU5sCZ9tF4TBD/CdhhENW1ubvZWOkzfY/QWUwjMQ
zPumK83mik7cnLbRwT6CptWQX7qEy7pMzXYUXVJUxcMcEsHtLmJM3kNde3Znz7Bp7coLsMtbRoo+
LpAa75JJvm8AQht+SfflhqIkIEdvYtUH8/CdPeCurxuzu7QuO5Eu9dViYM2PKr8JgZTUcWf2kLa1
ZdnmMo7USBAw3MpjVOGgsbRvTJakI65Xsl+2E7XJsSicsrvYxfhdDdFrUKZmZ6WjS07GWAW52Oi2
L+bLllqvUZUbfUdHL9+xRlBnccyKpIDtKcKjWwjLSEvg6F5Gcbd6Lj6mhAEn+x1wgrstNFuPUB1e
DnYrZtvb5rq7RL39DngHMHCXekezL6mdlaNyl6K8HmhUr5zWgcbHBfaTWePamgwCaPIFvNFL2cbW
cdoc8dGKFml02XR0+yInCVD0D5wLgZ/cqEU8QA0yip87QnuF1l6PQDntu4uy0k9zbL9prMpIr0xd
0MuvOVPd6YmNI8cNsHIvGkgk6QxE02jEdQmR3ylQgpnL/YQC9P3UTJTrydBsjusiIu4PDpXfQXcJ
p+ZNPIq30Bw+mfVbe4FmbE1ZLnn2LzgbQHVtoNwNidk01CVE0eQWcbowDbsNbA61m9MurMejWc+1
1RlZ1dw21/itpbKjhMFUx47hx9TWZkEd02oNBOQCuazY185Ua8PiMbpW4evyciICm1hG8Gj9JSkx
uwuUeOxhDBoOufuy8UYC6k5StsNp8qg8KYtdnttmohzw7i8bpy6+w4Ob76mkOqV+8W5IpdnBpmuJ
5rJsZpFzi6CcGmpTFL7B/NpItUGV4MtuQ3cIQzA5JJwXXMSqBcKbb8OINZqHupwor6wsmVsJwYt1
s9jZtwBTQMO2tdW52EkBlAhdGCecA9oTWmQN2jHp/hbK+eeXj6OLfIRy/STr/O6SJP1NtM5vC6cw
ylRQ+fFy1Jc6A09/jWpbgOt3YzalB0uB8TAbdW2JwoqItoTj4pL1wV1gw/0KTZvW1ifKB48yYcrd
VAuhse+y7/lcZya7VohC8OWo2F2YDbKJp3OvgpCiffcKNIcAazAqMNm1mZ7FZZhOSkxn6YCTh2z2
AT9gZTLkNB6/7HrkQxqFrkrj3noDI/xmaY22RJrW5jnQbFdFCHEAK4p+1xYj4JG0NRtyXcoi8wjs
Ijja8+CXYo//bv+kxCIf/zzk/w5u/EfKlb5r81yMGy6prQ08WvWjfbbXbLBeZ/gCJPvAmavkTcWa
is9dOSzZTRqGAwnYYJlBSwtg8zeVXec+9aBCla+zTfVLjkKzwpngz937xwUeUkT/8qMF1VjO81JJ
Sv4T9j7H+Yk+5qtZ29pTeC6tIKlRw523rv7kBylsGmEkd6Df2qjOgE6yyC3lOZb5Oa/ifOf0yQ+z
fmt7x7bVfRn7mTyruXPhGc/rjttVbLZMAm37aIGKqs3JryOON0EUeZCmYIkatu6+/J4TbGE59oz5
xFrcpU4CpCsOfpoNjHa+T0UyEzGh60mQfbTH5dYbrBuzprV9b8adIZv9hH676cGHeyKi6taoaV2C
MNZjvYSSqeI6rb8nyQwTBNWdUeO6wVUyB+HcNEqencp7BST/EDS94b6kTRQ43/FQCEnTYnGvjMbb
sgkHw5NAmyegVYC5WyDtS9hqquAHEDkwkgaz5WnzJMRqB4rzIM9p09SHYIa3QQmcZ/JQo3VtqiRJ
ZNcK3uV5q6MejmINFhFG/5iYXEzYWrRDsijqDK5KQ+/5srd50Wd3YlzCwmzG6OqySSwp4m8WUT+/
s1R3D8/UJAYeCl0PYy9dFeRMkXMytp9alT7yDb7+eZpft9V/OMSuXlK/xpXmJXRTqvuncyH85pVq
++YCCG+1940jI5NrON3Xjgtn7KEY2wFbOnjeHYTYb8ncGUUKaVw7L7wcAXLVucz3oLhx5SfVxGYr
SdfZc7pbzQa+4QwVJ90XHtxhUm1m27mu4U3HzoE4ReNZ1OP4An8t7U3yU4yItgOEqmzbIFjlOfQ7
6wDr/sFKEyMNL41rO0AN/n2wF0+eq7AC9OtPn+u8NLzF6mqe0Vs27Cx8eV6L/N6HaDSMldkS0rU8
SR/mcGYd5iDIyDNkzmTfTb2RGA5HLe2GnA1eu7UOoxJ347nJPNwdBpMQEE1rCzRsraKGlibPIq9u
krDZx3VoEnOjaW1d2i3AmXXcJEoVCzzpDCXPKG9M09qqDJSM4XbRNLZoMMLv4vDLn/er31xrPe0K
54ZDXw4WDc9IEe4tsNc7WYSL2WXF007mQmAb4LmTPEdJvaSHEUOndNdlHUWkZt3X1qYbO1HcyfH6
Nbt9F0zvPM+otoYh11amCLoeNBsXlkrVcMnBvi6TyMy2K90Rrx8gkYYjV5a68m+WUewyYZtNcF3H
YznVCLKTpr0qggQ8HbLOSDOJV5G2LJMGWuLszUxwS2T3ZQIEtKvyyLDj2soskrKMEzC6Z99LHQr4
puxUx2Nstjh1Gc9W44zg9D2t51lu71pstcF212n/N+vZ36wkXcwTWCtefFXXnJOmxtOC90S3pmYn
vqut0poq4z4pe4kDDsYBG8ZOefbOaAXpQh3ctwTuOHV/Ro0JBRFC7B6/aWk2z3Wlzjpb2KhVQp1z
MZ+LoH0Mi7951P9uvLX1uXlWMJTdps6zwgsBIu1wVK1teO3XhTp5WOCUSV3wua3i96kr210TKLOz
8z90OiUBdgfQ5RllmTw15ezeSIGzidEH1ZU6g+sPa+Ml6lxH61jvElvhEy36dflh1r62TDMIhoTC
+KQWXYY5cAz7v9VPXJv4h8vzFU/36+W5LZ0pVzOf1A6K+afg8/rHtFmGb23vV/lBIdks3ltbVMuj
2e+iHaubsqHlC3wOw/HZktY+zky/grZit6ZOfSgG6hyQqxknqnoDozg5ND/tUMU00N6CmFHC3eyh
iJwbxyxRS9PacRqtm1WPuaPOPDGyPa5cUCAHw6CIruBJ/aR1XTmoc+Ln5TtiR9a0WwfX+1uEwbH/
ncf7pwmkvXgLKMoJ3prduemulGO08tllDmcruMvGOHWeN6/HnFGmJf4Du3WjzO2LChdvzfZ50uFY
g0eanTY9NYD4vF1InwJ+VtCghzdOHQY93NJqyi/DjK3gawksXRxLOwmS29GGCXpooNhOtxjHYNLh
I5txjk2CdcphDvCIArcaiPSjbwUYQGKoBhS/Svp2wEYpRO/pAQ9ezmNOMOrRdycrOJWj7ac3IU7a
yePSxf5+w+9FHQdnvcy167/nEjV99e12vA/ed0/NMXsm3JTJND5Jr1+/wdxO131A9io8IzdqxK0H
w/inNUxXGzNQkOneb/IoPUFf9Ns3TuHOPzecCrEDD+ueAjSbfMZtq7yg/u40W4M1llXV7TnDVnV7
X3QY9GJIF169O+JADbduQ6j/lSXxAbgP6qDxPldLt05nHFwK7Lowdnwn0zWADRssNoldp+2q2zpd
UpzuMr9d34ZIYPND2drOtC9TAec3mscgOY3OlsjLtTwmw8ulXP2HeQ7yZScS1xJfVwZ9uA1cOaHR
rIRXfMgL+MC31hLE0UGF2Vif4rB2KR73yA8cwYFbD0uAscsRr641BkA7JeHDiufG8+IWRXutF278
p9bLR3oDI7baR1Mb47mYyirewRJpypNdDon3UAL8qfY9dpWYhm5z0+2yppbhKSoXZ9wtGC9Ze9Hg
XHrYMG1N8QkaHWeX9kkY3fqO37Y3sdhqa9f7Ynu/YIFINt2LO2u/2GXq77Z1gmF/dTgVQMGntNjH
apg+YOXnUOad2ct0g3mMFf3Ygm3wzlgbOOmNh9dBvJv+L2dntmM3jmztVynUvbpJipp+nO4LSXvQ
ztmZHm+EtJ0WNVIDRQ1P/6/d3Tgos6rhAwJ1UXY6mUptDsGIFeuDEUKXOg6Iv0k+wBgnIHmwxD5Q
fwUM8nv2ih8DjGwZNPqCi34P325v6KdPcxVOQD8NdRCdS28iOpY5QyZ95VhFQFm6/vwIG/UtF0Dg
FHqPq1a6Wwpcg9Md5zoEFnYqIH9BNRYkoESiHRPxrQuK0AHsYvhA84bkZcJCAa/hJp/4mtKqr1+X
qlh17BAJm3G0jM15GpI60i/DzIOPSBwA5gAsAOgSLVyCl9OEv27Oc+gqeG82Aw8fUDrwp7hrhkWe
8hY+lNBOozcGRtA+YJngNILbtabjPIvtE93AvNxiFQDJ9haUMO5OSdnO7m0TkeaN7eVKTk7orN9G
1PS+AF7CXuAIVvvIWZTO+C4v6p0kJfeX/QZcAd1cQXdjTw8qhwHwI9ggHjnORQvEwTbnTJ7EAlhQ
PHmzfhgApu2OWFvunEhv7L8vJUfmLy/hi3dGQdupTg6ghB8j318PPcgYw412xjZ4v3jSudQafxOX
upqCj6oPW1C7KrU2sj7App03T3CYbLofwIvC/i6vAQma47DPXf+yKreA+1unC090SY2yUH8FZcKa
KcEvu433PYh8+gTgJQtv+6W/zgGgkLEtFT1gewz3wvw5ELqkz/XslKAhw2ieDldEIrJoftX27zsw
Ocrv4eC2xfcpQqInJSMACUlZNn57U46Cr1nn0715QOuZ/6FZawBcaqJBDxulmKd77KbOmnCY9vvH
BoAbFo86qtv3y7a50ftC0vwS9pXQ2dDmU3Hp/dX/0cysnc+gbnTLXdd1CBdYq6ePvhcBEopKafVD
ATP4KMWaA2XYY0U5ybSzun2u5t3JU7ojxgDUES5VaYl4aTiRHnOCOL4I79coL8gJhjYDrL4Rqjlo
3Q4K9xCsIEimU1jCP0fANe7KInKWV78LuyGT9Z66O/aOGAwn7/p63zG4q257iABS5DwW+Rbv7viw
F9OhL6en2hmjHWyJIMATFmjVawG/yDk5qiYnNHN4CMpC6gZ8+jBsHvJl1J+iV3BygpvQlcudPzqV
hHVF2bonr0EH1JFjEag7HICXduuTYYkyOAjdRYtfTpmo+H4HR/XhFmktnO5uVwE4uAVdXh1lHSwC
CANkjEF7EtGXRkfbfSR4EyTRsnxm1RB996Kh+Mp60ndPfVDumAklFeB+kzJM14HWOBBFB26Ft+Vx
iHxc7NVN+ZXr8Kh5DXPGjgwHJNBFumoKb1gFGNq6njmpZOoJlI6mwD2NgOTA9Xt7yNt1hHfD3sLt
G17kwvU6zMvqCWHEDLf6aE5Aw17ifVne1TC+SXPw1+JcBvK2YuwOSOvUC8ZP+QJgHiNVmc6o0Kdo
m7ndA/D+0rYGEEtBZpSCvxIlAmiPCKiDWZzWImgFducmuIvC5mXeRvAv+fo1yHN1BGqbp76ul5dA
FzIdqnya09YDvyGCGG3GtA0LbD/eul6GFfUCqAJeao4bhIMdHkdb934DUfwwFkMUgxdDE6duaczp
dgcE3IlW612kR7DkimmFoBeIXRXUZbJN5L7x5894jf5hKHZ6RiLrq+DwsHfdJWW6y1NYFv6IFlIe
HJimJCGUNwgA1uYID7PT1uZDUkREJaSfcazM9JG04cO8Bej7dSgin2pOvCDs0FkMbiEfotueN3eF
WJfU97enphv7+liuzmegusq4LuobmMve0SKX4MdP7+VShxfw0cdDsfg/YEl7n9coFydwsLrzGqmw
EuSaDCS8xZVzv54AIe7fWmIL6sAvLWOWj4i2XM+djsL1wWlZhU5YI5yE98O7IsiDM1P5eGVCPHE3
dA894AyuYD04PTAo6IH9jYOuASDOA1UMpLU6Q7LCh8U7uAMIZyL0HneN94gGqgAnTZHiF8q7dIfI
VAA8uE+PLKf+j8UvVJFGumQvpUTDcjroBkVHCjvd6pbCVx25Az3T7X73ogCMpy4XpxzEljrB70dZ
4jltQY/oS6brhUiX3vnEgckpB0I1j1fAXb7JDbatfeU6YRY2hf+xb1tvjd1NrZ8gXPTJEZ4Rxcel
aZYJMV8jYOjGeLhiZo56jPO+3N8jbe/th7BgZdJuHfs4dSVQyiPwjB8DkF5/jDkqPzdtO+PtzDXW
FJbTEKADoqx2HCBIlN37ztps78YuyrtLkJOQHUeWkyUmraP4oadjy68k1Vyf3W4p7ievmOZT4/L6
S7sDR3nmk+BdGjKBacX6CW5wsgXBNM0V2N5AjaGK8ORGJf02BVA7vQcKsQHetEeyFTnSZfhE4OUz
I6gKy+ZcFn33QaqN95+lCpYfCp1oZTwC5QHIMSJi1K7AGuTp5uFMe9SilfIAtG7kodC3NfU5aAf5
TCgvaiBKBSbkMIdrgd9WQdMr5mB8UMsCXNxUACIbw2p87h77oQd9rZ07QBcFWAqgwjctIMHR1O00
Hut8A8RpzOnDoNheP8PSMZoeRrhsDseezJM4VrRAbIgEM7Ciy8oYzM76rlNH3bugewMXd0bQzAAA
wFXw1onyKaEVpRfuDVNwU0QzQzzm7ft4AJWl+UiYu6/fva0gDubX4KjT2JOmSkUjqvyphlzWzQYX
bk54Feioj7UG8jkBmxv0Twd+kABUAJBz9roSPCxwS4I+8fKq6p/gUd5VDxTWaQBGIuSlQNnt4faI
ewvaVvi08/CA2PrRRXerSnBFwFG66w3gRNgk+OhH5Z64hDRX0Nf4wQzcKcwRi1hX+/C8Anz0yoew
wsxwIhyQfoU+noTXYvkhnRBgEliUqPegeC841Qa/yc+0vUYl/ho1bqoVYnfY54TjjQJXCc5UPHgF
fcF7mQanvgBFhAtFBY91bIVU3Huu4jqua73ySyRymO5Fub4ZOd/3H7X2pg+41YVB3PQA7iUjI2dW
5FeK+dKqFCY1Az+5QPOsidQcIDcwh9WWuLIBsWOIwk/7XBdODEAFqFV533efHHIFg7UNYoHbATvv
/lAjXI1nqACPhd9J8pWoCZRJXHaq7qScrZaHPaL5OyA5AI/cAWGjFyDreXST9/P2Aimk+AGdh86T
aZAdbGARblWoJy0DTXfe3CoAE8BXqK+BEdCd/XJutSe/R6zi/mOQc+BUt24KElT/zms+Axo0QQQq
48Lhd94IR6VkDyrkHykptgmJNu7ydPZ5ThJR1jXiscD1nsBZd97VoxY4iRSAh+ESiPlh96Z+fFzo
1n7tlm4FxTuSwgEHm+F4miZ3dFMgRdm9B4joYznVPRqSlvKTqLZ1+ATKtNSJW+wABEah46RYAHUA
BggAZ+DNw3YYu32oxmQFzqM8LfXOLjpUIDDxAUCPZIK5IXb12Wk+Iahr/BgW5RW6e/AgzzuoGW+e
EMsT0uXu+zLwFgk8qBLZBEU2giTlbw0WpO+QSwnlT1oB+3EowNw7C1TqYrHCB/1Iunktbmo9rfl9
OZL8/aC9BzRv8FgykvpMKHEI0BTlJksZFchouWtZ30y9u4Aa+y9wKM83IQBwjMQBtJu8ugdCandO
wGmD1h6CVAJ7X+eucwLgEl0fTZVxG7rIjAMjMrsHOrjueFdMTHxd4U1TxwSR7HIYPTqHNz4Fq3qL
6gZqKqaBs0L0LvpD7w2AytWUx0giBEkHW/ETvI9BABo0UGzAmcxg6yon9MGvKprASeFR7eanvBgm
4JDzPXqKlmZ/BXM5v9Al1/e1wE0wjtaWVnchzvDtK+TQmz7sG87Ak+qA+FrpXnzpu3mThwFkMZw2
Yu31sSso6R+Qk8OlXDOEh5DD5t9xh26e60npc1vu/nkItX4esVlmbAMI5gbYkLJ+RBq/fcvDNkKv
sthUyoa1hRFigfimHsd7YEWaFiQCB9tYH3H30wDdFo8ZdNlg1qy7vFd9pfJD4S3BA4XMV52LXOFa
CtyN9w0r+5qsIcHmvBtB+5xxoY36265Z+7PHZv5pKiq/RXwV6eXQUjliVuFQrODWWUaZLzsPPOcq
AO9njQBcvMlrL49SAOeuR0JTPtNS3teau2ld75dq34YY2nHyjlfDftuTVc93zA3Xlx1nxXBo8gV4
6LFw8O6oDPysn9eVXbp8Dl7EtDkSL120NWiBnH7BW+PupQS3eycHxwOHbcKuM23A6yyDfvQ5LGqS
kjrTkxBhAQm8aKMb2SxvZN/9/XVqveKtYzrqU85JHddi2xIgxUQDquO2AY9EmMKEUDdkB9yQN7Q8
tK1Y7wpWndeifdzaiS9ITgAricMfkrN4L0nnJQ44N9+3PKRnve3Tc0nZXIOANY5ggDV0GjIOg48q
DSe+v3P2bqbx3HD2CipV/Vmz2eVn0uJMSrQLkPoREHjkckCwjPONLXcTHOARftXSOc0e8h0JED+7
uJDA8+abbUJRNuEjY/2tU5MQL38R5KWGwdh0D/gIaAlAkYTDc7UUoEKB2N7OL6qU5Q8UGZRMcQRr
pGFg44lRdn/T4HLPXnXrrHj/DIzQR0+2sjnKYb/acM7j5p09KEhhQBlVOcL7kvKHKmTSSzQ29jsi
8+VVlE0bnIK6hwANu1A1pWHdC5pWRSn7I9jZ02cONGIRE1ljt1HAUtSJ5BQn34iEL0VNXDD/3Aed
rjO4RjRDNmvdPwc1IC03/Vg2mNRclqnueAfAGg40ESOU7wF1c2cGtmMp0OAPEvgsPoK4pWWKM6Mv
QIePKnnkdcundBzbqDkGgLOW97KQOW49TPv9YVZCf1V5iQOAaoY6oxbhHCZ0KMPnZvEq0OMd3ytv
iYuMxgsuAdGWuUAA0xdWQEj/PRDgwN8vYa1mWIEsBTsNumjGx7Bte/dtL7panPxoyX9oBU31DXBL
oFozVY/eAy2RIAA7tCydx4LtBGRSKlCIwEqfwhGHKBXdnAIvhOv0KkLRfYA/UKAPrmLevYvsJmtj
B7sOf2ReRy6kq8BDW4IBQHSgCdv5pirrwT1VLBrqIxi1svywtPXEDmuxbjzVQdXhfFtU232a1Ybd
DSWuYX2gyAe+ohIybHEe1qRIQP1WeVpSpZ9bt/QYYE1wl7vMC67TMQ4R8dGfq2k8zrmDzMGs5h7B
rj/R/r7uooKloLsG5fPaEadP1BYSkLfGfVWPwVwNh7abcW3EFaQFET0safQDWSRvOXRB4w2oWiHQ
jifko/p3ULfqPg4DfEPWhMRn4FHKWQABFSCP+WkAphKmjkhf+FGMReY6D4N0sNG2kwhV5oOCWW5o
+wQ58LZGkAW2t68Zy18LN4pEHBFeg/OVR/2rqPH/iJAqbwGPC4jJ+0I04yuS3j56p1ALVUlRjfiA
2i7Yx/OCH9CkciU6QKKJt/4rkXrqzk3vTd67aGmX/OAXmOMx2wL5SBqi6m/h6Iy49DZVUaXVRkQA
RQEreQQoIO9W/mXydif65mrZI/Ggh7k6QPnr4PrU1oongZxIFK8IxTc7FZzZfAuGYl2VuezPky/b
cwd89QNyZdyyGmM24I60pxI2KP05VGRNm66W8d7BHdaiQAXGhFGQyVc++SpY0Tk3NofJ0Y9bER3t
hjbqpx1OMa44nCz1yIBFJI1KnM2z0UzhuY1CzI7UvRNKSP9xh7kN9/Ee1xgblWpA/yTNr4Dt7Ibo
6kRQbbjMTTcoK9nZVlBTml/42wwPdbQUYa1XgMYPj7jmW6k98eRG5XRE2a7ZSAUP/8C94Mr6jhHH
RsaDoY3KKVDbjjv46FbiHEYEgVMibIc5mk1JGaMbZdIG6Vxdi2uHmMuPY63e68B7bzULTVkwGssB
BPOd/jKU0bPuAZhdhg92Qxt1UkQSrINZMyjNuNJ1VCa1Dm3qxnghxrKsIDvC1QW+Ski4rkAVEnrs
FmHn/kBNVXDk9EjioXp2mZlzgsX8m3KCj3bvxFiX69hiE4SY9nLtDEHWKHGq1e6dmGrgRg0ABqkC
7iMorIDMCKRuoQa7aWJqgSniq1UxzG9Nms9uO9/ygttoawJqNnaAuAnVkQNnk8ht0UfUvruy0q3e
tmesSjZUA4MnK9r8AgGKp2i9A5NlbTm697NagubTEgFihYbtcAdSPRjuNwSddqeD6TcJ0BrjrUY7
a8GeIiZOfGosRzaWZcDniFYa+3c9IMUB8R7yYBKhl90rN1ZmVNCtHqFEvUT+fOr0frPS4WQ3tHFg
5s0yVGOAibJ71dFj5Cmqo092QxvLEjVeH0beMCNEVP9jXesjost3VkObTR2t9ELP1dhgkRvqj1Cn
7qd6bLWNZi+gppK+8Fgvo04Ml3H1gHF2Ln1TvNg9uHFaoiIKH9wBVoSez2Kfl6fNt2PHwKT+55WT
E10hpYiVg6okRAPwlhBWbUV4IcaixBncsR2y/wsa1JCJc25yYrcFmvJ5uN4XXe/gg9xKBaIx7UEz
5oXdCW/K5wEvlqpH9fyyC5JIt7nl5FcmwdfP60+aHLwRY0VCDNCAZDKi9XZA6uNLC//kL7hq4VaF
7Jm3n6NwIo8b4e74i9/lqkb9ix9oKhqnZe8CNOLXF4lfAsqesihuV5S/b/aFDdA8oGD/DiSBvITS
RTZ2m7EpdGRDyyjQ7IhjpKo+cX/funivh8pynZl7j7vmYV7iwwfB/XEo2J2k0u7JzSYBEfnw0MXl
8NJJ5GtxD//SeP1ktx3/qU0AfGG2U9jlBH5+aLrm3g02K5MfavYI4PibcznhuacJRcEpGOLIhQTH
avMxuwQCVc6NN+J9q7n80Wn3vRpK8Yuxr1vBX8xPs02gEALVdEieLj2Bxg5tSO+0W/kf881KdY+k
r7EHAdnQsmgNeoTrHRDmSr5WuvqVL8J/Wc5/bhhA48dGYW6DPB+muNuot76UrEuKPFQiKerBecyl
tNz1zA6CMh/HSmr4gLrV9JFu7C6YlU1iAK/J2JjU3PUow8EMZI+QUXNa5Di7UtNffMpXoedffcrG
ipXlWOYTZuWlW3z3hyBkhmnnMlsa05gNBNQdYVoEZ5oLaqLbe5Kv1Wd3bIXdsjV7CNxm8MeAdng1
iy8zRp0K1d1qebRaXGYbwer0a7Nr2HN5SCbBMipCvphNi11+wLQC3WvwVhTH7Uno9eJE3qPjarst
x+whgDqsWnwI5S4QVFYos/IBBXlf7L844dl/2Rn+9fd/MKXqPLdA4jKSl2VWSJr7ot7uFVwFIX1e
tZ6QIZzlC1xUhnejoOR9B/GXg9CoDb6HvK1vhHKDCnpyFaEqWjjvQ9eFasZD3PBUqlp+rsNmHNEA
StbvyvGc/oiDfspvKcJxqMwGjKV7nV9N1Fc7A29qNi50w9Rz9C118N0Ybsahv6tkZJdiMp06y3XR
fIFEKUNc+CaiPpHS+WY3QY1wvIEKdoxqDM3ZHdzYx93uqDWF/wAzK11C1ZYVawOtOWZQU/4i6Pkv
242p+tc5Lf0JF8IMSuTw6XpaPeN61X6xeiGmRSf6frao8DH6iOLPuhVpX363G9kIxWlRj40uerxq
0sZrfhO2lqlT054zr5Y+8nMZZd10cKA4DmY7yBg13TmZ8AlbJ4zsuf1hm8LbBZ6rdq/DxWnyhx1g
cTtvmCWGplF1dKc9hX2K3XFnavtFj+bS2cPk67y5SApohyDQa5eD3YMbxx3aY8uCsSHKakjTUqK7
R92FVs0UAaXGekR5bu/8AINzZ4wD7+hD42L12GZxANUPd1pBR8mCDhKHcIiX6sVu5Ovt5A+fJCTZ
zGuusntaV2j+DuJo+Ww3snExrqp1CSFZ9bOAe02yq6lKaIf+ArvRjQXJVe40AepicNAmKHfO0OTt
YrWymAio6cwJJ/S8gCrdzyrPK29Q+BUHSIXLXxyg/2UTNM05V+gI/Cbo/SxSbn3HZJO/QDdqOcVN
LGw0OIxPULZmIdRM2qPHoWJ2q8ekwlZjs6w72hoySnTK5Jdy3O0ujqY7ZxmF4TJR5Wdq7KHl/z7s
lhGoac7JoUByAVfFyAoyhILTdxXtQ6skITHtOcGybtBiwb2sWvRDvq930zI920xwYrpzbhC6oaDq
eRkZRAFOdt7Gi/Ttwn5iGnQWnV9yb1+8rPXcZ/QcPI6olNo9uLEyaQj+AakxNGKTbKTFZeRWcS0x
/TkXXfUhPAAhpyy28kyneT7n0JJY7SjExGKPLKgobBy9DPuKOAYOUamSrbBppgyICcaetsqdNIRy
mY7AAAq8i6dqy9fCft7ClwWOvF43e1m/RGnuROj5sNqoiOnOWfChonu5edlGw/YA/SQ5RJT/qhHu
r7dBYhp09gHUpvWM0cPF6w+NLN2EIMqy+zhNg04HydOJLZiGgHLcyrn6KHdudXX7d1vfH85MxQXM
pFqs+mkOq1dcr4IlWabKmex2FdNJbxM9lDHrvmaRJGcxsURBfGa1OE1W5p47NUfv4Zr5A8wNli16
ATjHag+HTPPnedjtI0Xz4rxmq9cLyN6L4ajyQJ6sntyEH9cQY09oxsDn2ffihLa3+jwqajfRTePS
XYR+SYTjZdDYvKty6Et451tuLCb9OGw0HAYZBoesmccUmsFk4dq3nOfX1fWHyRjBiw567dDLlqJC
hwAfcgfui2VRWXl6BMS0LwVqKUBdcORZu/ep3seEwcPQ7jM1dq5G0nAgsiHZlOcJpXnmLsxuopvW
pVtAhgVUBZKVGoyltYLMLrKKgohpXQqbt7XppoJkgzM896x5GVrHxqoqIKZzaduJBsI9DW1qyz6A
bQmwer3YTRTTt9R3NXqtIKnPyMagFy6jj0uwPll9kCYGuW5HvQ+t2DN0GTcMCaBSv0x1a0fQI6Zr
aVdXK3OrALvW7N/5XXuYImJ1S0Ejws/LB7CfCAzuas1mEsAMpzl0Irfcxo27JjSHdMLBuWRdj6QY
Ko91PG78k90bN+6a0ke5iJTRkqEfAiog7w7CdLvnNpVLOeuV2CdnzpDUToNJZDWaY62e2tQtzX0z
T6VGc2Q5bTHnLHY8q2QtMUVLEkT1NaD5nFXoSK3C/Kit3CMDYmqWKr71Qs58xgxBA5/vBR7sntzI
blX+SbMk3XaFb+ucaXQ+pQIovoO72GHyiKlaAr7OZWWl5ww6WrT+0btisQN6EBOQi7aNtQxlobPe
ne+nWaZQotltgqZqSbtDge4jee2gndD6WdeZ04Q/7CagsSaHZR2abfbnTHhBtoxOWoy+3R5o2hiG
kUYTc4kZuHLg/Jpu646CKMcu5jRlSx4MEtVI6AzhmasP6PLy4iJSNLV6LaZuqR2qxUW+fc7Kznm3
V8uxrP2vdkMbaaAASL/VI9WcUafOctY9hXvzwW5o/+e9e+OAepSemjNwlB9zFn1gnZ3ZPDHtaL2+
0zOuEHOG7s1Ts2znwJLoSUzJ0lSJbV0cPHXDSBFDnH+Dtphvdm/ECMFpc3Wnov2cMf9TQZYD7Uq7
oMczzslONcoL0cqcMfDe9nY+Dd6vGLbXj+vPJUjiGWsSjhxohJiXOQtkv0WHoB2D8qDzkX0uUBT2
42DilV2eiXjGsbmqhcByesZm7pY3rBkvqnfsdnJTwVTNPBJA+qksqvskh2E+gb7c6mM15Uv57vYb
k1xlW7Xk7yfSl7d5G9jhSInpBer7Q4BDyFGZ2woSO3MT3Lir3OyOfFPEBDeGaq68Ejtud6UDRmld
lHY7rilicgkPF3fBa1mUf3Kj6XaGq4ndGzduVRJ1SmcdnSnbpyhGfy3svAO7S4+pYdprFMHcRaAh
4kuIVhJpOayxQNHeW0VwuVMZ1Q4a5KsMjdx2t2PT/DMKKux+SG9ksxMARVqdYd/wK5XJf0kCmbIe
l6+aoHlYZSVaXG4WrKKzA1Mzu1PT1PW0q98vaHaasrHy3rtbiPbeCJ4MVnPEVPY0fTOgY2hTGXrp
mss8lu97MSq7+6up7IHOwI3AlZ6yMGqPVRCcq9WzS0Wawh4hgqrURauynTbPFRtTr0EXut078X4+
kp3VLXBjqFTWavYDjeRf5AyPIbuxjTXpq3AMq0ZNGZNvHnpo66i0C39M9Y7XzAPLFV52LvcEcoYj
wJ1256ap3oErDOvH64Qu2mk5+3M9HrxQTb/YXK9B1F8cnX8y/3Q6OsNyZcLRWbmXBYrl16FH0yU0
feXADwp2TjSGzRY6Pq0+A1O0uEzrAh+kaMxaxxnTUY7oS4YhsNXgpliIbHKBDr2H/UtB9rgP5yFp
cmqlwwBR+ueZ2aqBO6FupqyDMeWx96s+DTpY1Fo9uqkVqh21tv6IuUlnQW4bCl8D3J43u/lpaoUE
UGoCStQxi2jnp6JtP3mqsYNvE1Mt5HVsClc2jJmMgvuueioL/9nupRibQQE+Bkezz5i5tQYqwv1e
C2mX/jAFO0qU69hVGHqU6H/CThz7y2xH4SGmSHZpqCz3no8ZpcUNXvStmqTdgWSqgeAHEy56lmMW
biGcDvK4a+0q4sS0Al0iAiAwb8eslPlx798Yye3WpakHIitcUkYSDhllbgosXhIqy3uWqQfy95IJ
B6DhbKy7eI5WGIF1dgGRKQbaWlmjPQluD60sik/hspaPOynYV6u5bXqAwncizCO/H7ICpFEPdj7t
ahkSmYqgUG3oOq4x9BIKldbbXCVB3692M9BUBclZOsvQYfSBVqdawpbM6+0KQKbjZzUKcHeKpsVZ
h7b+oii6s5ghubV74+znDby/9pu5e1dkFGoghHJPYW9Z0DMtP8ul9dB+vlaQqlAoa/OuWT60EzwP
LR/duHViO8nzSWB8rRaaDnv9BS4ilhlEUxvEBRw8utHxznqKLgpWREFup/cgZtOwKNt91Bz+IBL+
3HCJ3WL44ViWxUxq77brdnZ6frVocuMdyiOf2q1NE9lLVMkHeJjp81BqfgxFsZ/Q9a7tDmNTGwRx
5BgUXqHPtePfOrBbiXRvl8Q2hUEynKinkMQ+l2yHxdUY3bG8tCwUmrqgZlkmWDbgrZTj9jIOTRXD
SsEy7jeVQZHTIisxXV/KDC+NJQizAVaXdkGnKQ5yq7Hny5VyFsHiA15ei5/g+e2SCKY+qM2Fdpo1
wOB5/gxA68d8sYkJ/cgUB41t302wuNZnp4EdIrwEA/gTWOyFGDr8eS+kAg6pYmHAt6wi1SyEPujV
bmQjXTuPtNUctiRXb+vPjdMel3q0fB9GuhaH5DYKucChd1hvel0eo92KcY/3YUSaPcp4TIhBn3XV
5kdYfFF4B0tmc2HG6MbFM+JAl6PEoc/jGqQDqd7nu1XDMIZ2f/4gdVsjrzLM+qwUvWNF0SQFo1bl
dQxunJgIj3XTwcjlDOee+ygKYA4fjDZbFcY2krZBR0o5iFqfF7gk4ged3EBbzhPjtJxGUnvwTbny
oOAyFzAJ56HdKpXqR3+SBekq7wfS6LOcUObY6t0/rNT9brV4TG6vw6CNnNGPfJbrcNpbP8ZLsjl1
8NzGuiShksiTY+jAq5NmKpO+sGT7mOKXHFbdMEbC0Ou6HyP4JwsS2X2UpvRlnAeykxErp0JOKJZd
9T4koyV4KzSW5YC2KG9c4fgNc9jEc+dDB98Zuw/SWJYVnGY0/On0+eobhOIV3AT9N7uhjUUJhxnY
FQHSeHZ3fpQwqolDZNstn9tYlV0LAFEF8+FzK6tnVn+VTmAjy8f8Mxbl0MkIdAm8bJesOBO8UzEo
m+gYiFQjM0Nmt5Jwy0JgMgHr2ogT+npsLjsY2jgnYc85NRSl5DPIb7Hfu4kPfw2rz9GUvIwUK6Vu
K30uyj2tg0z1lvxSU+3SMC2ZBhHnvIouRT4p7norSQreh3FOkmHcBtJh9yu2YU3LEN3Oe0Et34ix
HuFI6Ne0wHNH0fgV1tjPutkqy7Hdn8/JoCEOdPIYW7i3Mw0T+MtZjmysxwY25D7BReE891u85W99
+NFughhrURXC99SKCQI9TQold7w0w78Pg79/W/9f8SYf/53hnf75P/jzN9Q+x7IQyvjjP19ki//+
5/o9//tvfv6Of57e5P1r+zaZ/+in78G4//m56at6/ekPh06Vanua38bt3ds0N+pf4+MJr//y//rF
397+NcrL1r/94/dvcu7UdTQY0HW//+dL2fd//E5hSIGj7e9//An/+fL1V/jH7w+TwnnxW6ZgStb/
9vffDkqOUs2/ZVPz2n3/i6HeXieFcXn4tzBi8E3hHqeEXj1Olrd/f8X/G8qOHEhwjwUuLJl//62T
oxL/+J17f/M8LwAYgrgcGPGrEmqS8KPDl/jfOFzyg8h1AZQEs/L/k/clzY3j6LZ/5cXds4ITSHDx
NhxEybJkyXYqnd4w0uk0CIITCE7gr3+H7qrbVep0ObpX78bd5OBBJEHgG893TvBff9zyX17bP1/j
/6mH6tTwulf/97+8dzjiPwv4+BgCAl5cy0SSTV0gKP+6v1td1V1jlN4XkG2+1mOJeUkTtNhdkYtD
swR2YnvFWy7rbCeof1ysatlkeXXbg7o55NZ4AD+b+zq5ktUhX4IyAgvNecpseVagGDhWms47f+76
+6yw69R1SnJnFhW5w0wbyL2X6laBOCn0y1nFy6BZwoJA74cl+1GaztkHnX1c1fKpyi2xsf3ejX2T
vWqLM5A5ZjQMaPtQabZTBf1mjc65bV2+Bf9cm0z1WEUVUIchqZwzK4uXoSmfswpEwJryAlIT9LFr
fBVallGHEC+WYVYuoK42QfqO/tczuPoutmRf7Lx6bhjqg35LAY40vucWRn+G8g3D9aC7NN0jX9jG
NhwUm5sebOy2+qq7FoxvUDx4glDEC7foo9LuFkmvEZqARUWz8o6Za9yYg28kmMl3QpCe7sHxv7IX
2jTOJLobVkEJGC6XOjX7sd0MOe6usNB7n2fzkjHcJigaHgcPfLCWgVy9drBYsi7fAKMz4z4wL2Bd
06keFYiVtdWDLx1/TG7x6iPwD2HX6hDmp73LbOZFUL+gcUfqk4LmT6h7swTRdZO/Msc0w5nXw9Yd
VfY8tSR7YoWfbwZgVE7lWOansQRpPGtAa2u1VdjM5RQHA0gmVcfAQ9wvaB5IF7IXUrQJ2MpIVHBc
31/M9sUjjfU0QGw+hNDKAlrKst3IpVMx6PJfjdI9B74BblY8tI+SUGQ0+Vtt5G/cYW+8nWywaNa3
jZ5pLFosEUNDCnI8Q7YzZ21s+WjMCbYJj/qAmVs2tfe+gDdWrUW2Goog4QBVXOxaF5RMGBmLcRby
ECLWB0ydakiV1G4MfyhDZuvLSHPwQ4KzORytsduBGlnc0NoEEY3iztdSg8gfs3LPGctUupjTBUNi
OvLVmMfE8s/KzYCayoiTMtM7GmokR8hOyh+1AXrWFuK8oMZ2z9BVaRPTt86iKV6nYr4UEvctoGNz
aMFe/aUaZBFimMgIGQj3I5QkHz3wGCZDafCt7+FTQDRwqjvnjB7crMIZVejQdXoVBxBnD2uWPWay
eEEX6qEe8PabAmsgWhVE72tet2oMYcDOhlWPoaR9EUKxdj+J9mRO42H0yluLW028LDV6TAVOkt/4
JBI1NrvqsTvJTFLXbvKwaLB1yVp4gO4Duw0qugtqE5u7qU/S8fl5KbyjjbcJWGr7ZMx2GRqjB4r3
hmybHkzlIMTegtv2WarlwnxdrnStl6zHPtFTPYCKgPYx7+vbsqvdDWcDT1teY9u5oEWGNgdOBKfq
UZnCTyiUXR7bHvalWNkxXUqS0uggJIpn78zhwGh5u7S4Xx8jCcpuT82I/YS5paNc8EwmuvhhnkPI
T03msrVYP8W+3Y8QJynejHY4SBDsxY7NKmC97TEqzAwyMJ0B3nlPZs/v9q9RSMhc8PwnUERCBcnE
Liqz5WJ42o7MPmsSMHeryJM5qjUW3rGEfFjkYgwp8qANoWz3bBpgwLep19yhc+hGdPFnSLJA7YFT
x0hMw1RotqLYA1ESEjWdNWNHjcIGZ2aGJWksfJ81fblbeugXVAGMhy+7p9rqntb6WegPMPk6kJCo
0PWD37UydMCseA8KaRJVxNsQc7YTg1c0hk29CDBqhrWij+BbdUITNwNhge5pyOEp2uy76+VvFZnQ
1yvBtOy3Y5+8f3bt2CIGx99uBONsJhaWdIOJbvoiXvRYmjEEB1WsGBITBCztJp/qPOwnJ61zfQEx
/5utuB8tEP24AV3xQVpGE00MR7asCY+avLyVWtzKCr8Pt3cM1HRwsmxOlg5uibrFc+12T91Q2Tc9
za3QNJZLqzzksyM2ok0oyM6nQeZR7XlBB4IpowBBr2/UOlLF0h2CQWCvmeAOnqAxDmUGenRa5zxO
OHcmax+Cqn6WRvGlkCDLZTn2gpCQQQEdB/h2MwhGgWOaR2SBNoYovaOFksu2REL24IjWT+y+aCPb
wLu04Q7mQT1BpETcgEbhtYUgOAj7ezuaBkNHEFB2bkpobm+Z7c4J5hetR/BigpV3ckjUL+55ckQA
qRMDQ7s0SKA9rTAk1OLdZt4jZh4wRl62WOO1OKj6/A3CTA+L25wAE3+ecVuRZvhhIKdeGOjUURaq
bwupL0bvHcdGSpDKjv6WY7gkdFy80J51T9VSYvirwEr01PgJ4lcRl8zf1UH5jH3wVM/Y1L7rPwZV
8CMz8leT+nNi2wusN5/M0NFLdp/N9akU+gJx5adMgZ64nYvu4NQSbNoKtf/AM37C06hQgNLYQDNw
Iyuwt5RV9WwZ2Y1uvTKacvZqsHXpGw8WCPDpkNcg75xm9TRPbRFyhnu0sMyjzoKd4evL3EzZjcB0
X9LMVXE2BIMrRffVw1TOI0AUIuncDrdAxCvAKm96ZuBUZ69igJWBlsKwNdqy2eo2I9DawN3RCb5u
4jnEhKBJkUKKzk4k5m5xPvFi4bBy7JbJjSvwPMelAT0SjtPWGXh31gQfCJYC3OHAX0bHuKmA+Y6C
yngcCEz5MAQ0BDkz7gZqYeEAefHQajn4p6spZBOsQa0pDU1I1oZTt65gDj7ksWce9jeUo7rIJZk+
dKPlXqwcq8F6GF0ytbmGHgN/IQ48b2+Up7YGM75pWlHn4NGDAtPkjjFDPmCQYDbH9dvahjkS2WPu
muceOlhhsHQtQHY4GAtAfWlXLqDOBbAl7Mo8vwNBJrReYCmjQc0XDv2e793o4WFK9bTGd4pXKuJi
qtNigUSOidgqojWCmtaGybG5DDY+b8y4UbCzmZnVoYFAMLHL8lZV1vdGCxIXY/NcNXzYIG5O+6m3
k7Fmr1wobD+YKyFg/U1oNkEbBpGjA63WLdFeBx5r39mAhN9OcnDwpgaEwcJixB92i63pu3MZFlD4
SYyxG4+TbHuMNptns/A3Diqmt9zHqQEHe+jVmY6GqT2NE+5Pm2W+0mcJzLuMcAYKNpLnWG5oSr2A
ZJJHZQXHO/cEchYav0l7mDMG7aKw9POH0bCHje6wUQVwahh8wnN7DnttWvHMpkBH4xpi52XlHXoH
yr4wWSLOQXMcZXM1xXlGHyHViHAaOgwQ6LN2rGu7iIzp8gJ46wgZNW28MBPOzG1Bma8MHPQygwLV
uzHkaO0lLLNvqpy8gfd+SorG1RGCnsvYZv0WVOIqDTJHJBwqP3FAymAz9tjBNkR69qyGf1sNCzD/
kPmZGZp32n9cFOLleclB0M89N+b2DGmgDp4I8/pYRuE5N2ae9+l7jvZvJaoH/qNrVPPWX6ehf8lc
P/yp/x+TVd9d5x4+TVb3Q/1d5bxDuvrHP/mvEtZ/fNwfCav3GwlMCgU1zG24ZIV2/ZGwkt9AiG06
NkFCi4wVdZY/Elb3N8SxjuP7+L5v2+usyh8Jq/Obhw+xqAVpaYh5ANTybySsSIuRkP45YbUDZ816
HRdOwreRUf81YZUN9WzDKrovZCzuRQ9tD2l5RuKR4gXpeotTzJE0DrJ96Ys+2AjoC8Zw3Rjfstv2
uzCVTnpZLxt4MHKE3N8CeSVE4TUY8A8uElSIAC4X10G8A2TIsBm6HjY+7xD5VEyn4+zw7QKG8YSY
mbvXwdTcWnrmKYitg3QBVjpmyj1rtXibyRLfHb/WoCHnuArUADYVJskRGbZ53GB6N/aNooQMLdKI
BfP78dTBLwvkU5AZAJS7bWEXlibfIyamsRVAOFGv2SlDoKEQ5QQL50cqSAc/X75Y2jnTurrlXfFa
LfyF+4hw1y8EmXlx0aIKDQWpx2b5pkoYbCXkwxCUt4ZJETsWC4eSJuLd0Wiec4pEfGx6zOoRUGJO
SMKSxfUE4E4IQkAM/2bT7AZc5dmN3xsLdBDFS66HIFJ588D88TC3a4LHkVPzEZkzCgyr4S9e/NWT
5hihT2mO+287s3iUCG92vOL5He2XHow/zaL3Gel1il4gwmMEJu+ZLYQZEDjNPk2rAC8JyoPW7dx6
x0FIJLneDL2iZ7PH1VRZQ5gNKYo7rc5wwiqsX2q88nnS3UOt2T5b+jaxa/wwITXYDWQB5z0aP97T
GwqKCfCR9Idcw7aBMsxPIFVbhjT3HocaaakHV6y68hnEGe3GL/V8o0rItiz2bBJkzhBVa4a5T8YO
wZrKJIweN+Fm8HrsALHSbObwayA5ijpRvK1lAKHXexzK5yCAhCcYWktIdjSn9/yDF/mwwdBn+9wW
AbIjC7GqXBzr1qmhNTpR4h71unVmRx3QnTTCAOJbt1C/GW59D2P0EMNGNBMqv7LvS4RWLyCPkWe+
DE+Qi0xtPtB4CZxtI/lLC7Zv5HDNQ+7187Gd62eVdQ+ZW1SRU9QPCndbSHhTszpZqgfSc5rzjeoM
kRR29eIP4lUXGMdy3TKPueuggQbqGJAmlu7GXWscQQ4nVuXGTd4hWtbYCvYqWdrX4hWiEohhrTPC
kzolwE9tGo4wSAh4OqUFZBtMpAYNCGMiiAWQy8ALBKWZP8xhJuA3C12e7I5sQffFYofVD53GOYOK
5RvR1nlcBbemocS24/UbaT0jhGpaGUFEAZvQM+uUG67eZBWyNlUA3xtU06Hg+fPioZJiMEQKZYGl
nVt/rCMoDTjboJ8aMB5odustBJJWGfGSni2HiWDPzATv0+QIK0o/Y1iL3rptZz7fcRt0botSSMhF
VkYQCWBJE3R2VDA4zwmz1JEp8AHEkVMM1ahlsyxIP0Ef+wTFqjYatAdmKRMlBtmw/LVvIBMAxMlN
ZvC3jLrpe8Br+RDbcxE7sVGSkw+z6Nims8PwqhuXCuUkEFUZ4UBLFdsMV5QB6hxrMoSV9BI3MA8l
qlrbBvoP8ehqFEKIvYSmyl9HPh0gQvBG53K8lAViHlAgI7mRiKc4x62pIK+iqejrdGA26n5lAb06
u3sSlL1Ab+o7NccyBg87TyEigYAwg86ehbJV6AqUHqDzYUdUI4ahZISlhThY0nBqhAVF6Ndq0MoN
6IhtBSpmd5Q6y5bOmXwakPklwKnWt9VYdy9tA4nDkSPfyiA/875vSI/EGocN/QwKExd0iw3Jm05v
TQubDPEJ3xoUeZ3LOfImd/gH7vd/eQgCndwVrfZxCPLQdt/7Uv8ebqg/F8h//93f4w3L+831oa1s
QnX091r37/GGZf0GmRcbOquWG0DwF9f7Pd7Ad1zPxgQ8shAKtct1TO73eMP7zbF9SJ95iBACF/pC
zr8Tb7xTZ/0z3DBsy0Vw5CGo+WuY0eWYdtTu4O+c7kaR+geka+PKziDjaqVG10BzEaKi093Agn+0
Vv7SWflLSf4v8c0/L3gFUqnQ4ixthWOzmE4sxyC1B1OCgYxfuG5f/vQmfm8D/Pka74DIXz3VdRuO
WVNeQv5sJ4b7aXFjt+7jiXgrZDIZ55cMPA4Qdtx3zoK8pYt6OGQ38z55wncmtV9dHfHjnxkjSq8C
BbArDHDwTWlTIf/NDFSrltBSFYKLk+miUAP+JRT6ImOubuvPCELe8ZS/uvIaVP6JqwLi4ZD9kxgk
MmAmaZP2Hd8RAC4ZQ7fBHE+T9Pe+8OLOkMigPsMJfLiJrlp8Am0RCdK0ZqdRqLkbjuVd/xWqhPUF
LbjPQLtrR/lXj3YVDxvQUurV0mQ7sPDGrRsgUJxS3d2hZxEPTRDnKDj9h7vnqhXP9WQGGGSed5NH
00Wjdk5RBMrskDB+KgnCzWxJYYaRizxCphQRc5d8cun1af71Kek1pM1bjBmqzVO/g1RXOpqnfvJT
0jF07lF3FpDTUVhRdy8pphS8z7iq1h7Yry561cSnwWw0pr/0O2Gb4cpxBAhCaoxuGuDIuDO05IAO
4tNnHAUf7FJ6zY2FuoKmsqd01z61D/wnBNunOUJ/J/vaHcDCtXy6Lz9azStbI7KuoI5w5C4w/LBx
HisLFR4dvG+fBRYN+pDSGDZW4XwxPzVw1vuc16/W88r6kAkR05R1za7feH7EL9ZTfWjyQ/7AJd3k
p3png9jVD8USjfH4I/NuUNs91odRbec9z8IfWbG3IDIIdcRbcSRDpC7FiRjfx1sjhEh8SJlzkN+b
Y3NfDgk06RKZEnIwEiQmkNA+Nuei2PUH2lpfS4lG5VdUAcMfNJQ2RBGh2LbtnRvlRgFYm/m3/n68
V/RgJVbU3NI+8lO1KxK9JTsw1uvdvJljN3KyjU67mybpzQ3EV3f1tqs3mfqRH7qj2vLqpt92x+De
wyeWLUSfH6t7YzPcyZP0waR8drOX4qtzy1IKZfEt2zdbwImsZIGY9iu0ylEo7OLxxXVhMI7GzQSS
27RL69Qv9sNWbf/Dg3Vlk62pAnDe0PYOkR8UvYIY9cstJiIx1zIWJ39NPDMnxlBdCLmiGPXvTwBD
70MFv9oMVybZcCYpxWzau2E9vqYd+laADiTk5uznHNzzzaoD2j1zC7B4mJWxb08Vt1ONTlr/6Qn3
PzoJ1xbam2E87THbUXdvOg2angHCbBpPQXGjlmyB6G3IVPm1nMx9VkknaQiDBgCEABHFEwhdru1E
M1ll8uZxCmcwi+QIrPnaNdUTdPwYCEUll/dQ1+5YIEJExuPNRC2+QZCeSN7F8IlDLO3yzjCgVDgZ
KNDbyBiqaYA4OJgUiRqLsKNRUbKvvubYbPpLwawdaDDyDSovTjQO+huv8zswdaJIV7KwZO5ptshB
1yTG5KLcOJUfUrnEIN3HSGd1zMc6hjx2jLz7ocnVllmKQHSu2pq+kBtduAMSGHKsG/suqKeob18Y
fbY+Ixb/IAyh1xjOwnUCCIy12S7j20I+BQF7oYYZz3w4+S1WcEl6r73X9EAXiFLjjcMOf+LEPrLp
Vz5swITfSATgDFYmX3LHisHCGnMHIUDmx5z5+wZbse+cf9QhP4zqPnrUa9in29GZe2aV7WSd4tFI
huQfm3z1mmHT3OejDhW/B6wa5p1tfd//5Dk/iD3oNSR0QQWrmpmR7by1hCIGgLnQdoSqcI7uTlC0
e3fZj+RcN/efWJK/Fuj+CGDpNVDUdapROaQrbupdGwQ3peq+GJCZXV9q0bBEGIexK0/Egqf27P3C
boLd31/51xEQvYaRagNDSwpzlRDNDfbStdEZHfcqMBAJ6H2L/69h0N9f6sNVvXJhjTmVFPAAe9do
85Rn5g0lj2vXeWDqC/VqREY8bHvIPCIp/eSSqyn6haG8RpvOi+pqgIGs3Zj1e4MvYTbdU8hmV7lI
esvac1jDTPt37xUA3IrQ/mdG2qYfXfzKSrtKexB6Rcg3j3sxBaC9bDcUzqFo+iq05iBD0x7lxRIm
Soj+Ftq9+6oM7qoutGR3rJd5v5TTrpTZt9Zpbh0bNUIBxgQeSqeIjB5gnQ1VG+HcSLVpmr1eYIqg
v7OBSnJubYw+i/JhDLW9BS0pOk5LRCHRO0PaGUYrx5sFfZucB/Rs89VxR/mC1te9s+yn9sVFIwtB
Yp6OY9qB1ZlugaaYV8nhrQ+OjDlpUHoNDRQ+EdAZgBZkey2eHPs4VfvMfSLu/WA/BvPX1n3r3UtV
P1hjKpx09N/GfovJ/lHtTLIxrbQSEHVNrXm9aeied3NqAfk+bnO2Y2RHcrQINyiRhUUVthmKe0Zr
345UIxEZiznya2NbOM6d6IZHzMTfOpgrHbIFDWKxDzAtN6A852mZoKISOXzciCHYjSzOR3mctQAL
l/OA+d900DvTXI4u/ep4X8BVmkKFYlsy+FAc975190VJNnnA05zOrxZDP5bqh6BEO0Y59A3j3Pda
0S9uf4QK8M4pvUeIhRxqp/rRB/ne5/O95WIwCJxcWnkJNDFjVrkARojICozE0urHZNBNgCgHdPxx
W9TfFzOAZDzPz5yiQLto2Bz3S1UW6SJr9IqxGIaq0f2h5q2Zi8dC+iAZARLrJ3T0ILvehEqiAPnG
2bZDBTSIy1FXYedMh3ygSUG61GzIAsmUCYLv3lYyJHVATcxLHRNBbybHBjtCm1T2cgLyNKIoMI3t
hM68TokHMb1yT1t6tvJuW/dzIgcnDiRP2jxaAJg0chtDbc1DOdd3xTjGBVSmQda8y4JmCv00m+W6
NHfIKR978dURGtVQIP/Q7EebYG1LVNOPtkY/rzYxa9Jiug+kO606eJid1kXBQ9efj5rTn649Pwzt
QUJreBXJDBvRTZGPrt6ot7bJbybm3ovZPaDy9zAx/4UuMybsMZtp2tu8LDeakNs+FJ4+SWEgbiTn
0ZxubSrCevF2kzmkBPUKp7K2RtbsiIvyvU+3Xn6CPHQCCOKe9nJfDCLJ7W9Gm+H8zuecuSxEuJ0V
AA25gn9HW3TDclQEQGDhmE+wrKHwobjNT5bHP/OTHxma9et/ytAtHXSo/4EfR2pQn8xbKke0xwHU
yWlM1nTzrYIgL8i308Fbbthn2fM7Sc6vrOtV+uwD9ef6yhl31EFrmWUH1uOAV+OmKcyjMxDsZ1SK
VR8O7VGRBjIfD9mUxQwBn+k9SI2t5dPIZzJuSy8yWzMy+wED/mgAVDJqsm0xIIK0oBjrrGT1RSR8
ATDQo6q/mSainVc+2UmQEXSLXPhIgXNppFkDxQ+EaMCBJIOtMcJ+ZiPa8vfCHwB6lJH/WE2f4ZDf
5+1/tQRXIdEC2keg3pjYOVBcsOt9Vt6U9mNtfoOHCQmyTjoP6O1D/YLN0Ks/KQCTAsSsJurIJtC7
886sI9AzhLXXwvnxOLAdaJrqYyW95JwL9onzDdb09Bc3eo3XR4UwX1wiwAGhnV0OJ+wbfQw0RQrw
Ue/em8GxW0Tkox8u7HOH5jzaXztR97fg2NhUkx91HLPe7YnbhxHANmwye19CZkW2WOa8i0oRDQMk
yssnp8d2e0ETMZJllirQZQmQ5M2FFykItTNRx14GljUc8RXitxAARyVDIzFRhIdoRQKp6YayeaxY
woMlqhyFxv+PsnpbUwDimRHv80TNAsr0fghFPkilVCHtTNA3oSXRfzemZ4uB29e+bQna6oY+946O
bWECVnoW/a7Md3Zx5wI45y0C5TPsQmMGyz2/bb7Obb9pbLqhQB/xQkZyCiJdqE2NjwfnPkQkyoRV
XhT03+reDCv/0YX3ducXH0Z3AM3q38ct7/qQv3pbV9UTA9KijlDgNoHAbWGlDZTc09L2TrpvUibW
DuSO9A9DcWFTA5jAN5mfSTVGKzhGe0OyQIobnCuP7sA2tNwXaC8IDlzye5J1M/n6AdN88QzAFuuA
E8pEMoi15zSg75OlUP65CwSaRJiDgukLK88G43gGDN0Yo78ZQxA2Uqh2Tr2IagFQyLhsXYifFR4B
KqW6EYG/FbaMiwp+ldTJIpuk4Ay8ZiwGOju0EY78/Tq9sxT/ap2uKs1uBolkilbbjpTfMnAuC+kd
4Lz35riELuu36F4dIf56tgf3tTX442CmuW8ebLw4wcqj08nd6Mmz1e1cbPNCG3cLZNvCTnxRufvV
rtTOYz3Ezm2Ai5sIQJGI1GsSPTLkJN881d1ObN5To9k6thua5fchqKMAvnRhAnhAI6WFmeTYjbo2
7oxS3rWTt2MtUCayiySo0C397AIEiZHtcJybBN3DQ+sPO83bLe+ztKqAasPf0vTQFPVSMx/i4iKn
IvHWjLl5yIo2HLsVwBZ6IGBbTJEKArhaR5H5f2Y83vkRfrXMVzWvhtloGqDZdMOlF9OgQ5yuzgMK
mDQb97q/mw18uaRpy0gsVfClyhwgf+ewtPqT1EH6eVnRWZOFX93KVRKx6DFDc9oydrQA4giA3b2p
75RuLJQz0e8Ty/DiANpU+tMjwu+dszyA6knQPdDSsL/o8cr+DJ0P044W2zUjrb/q8ssCSFjuoaww
VS/VsOxQ1r+xgzDKSsSgtL9fmqa4cQDEs4PtRHafksB/lOFeM3v7rUv8foLOgQQgItP5k4OKVuvF
vRW5kJovvH3dswt6kPtm3nuOES89cGR/f3g+vPhVfiIWCahvN6JNg4Kwtmwg4Om+aYPvlTvsc2kD
EjfuHeAZ1tcYFOW+w2s13M80dD7KB69ZfMsa2BO7A9axqPy7rs32jiQx+pqnrECNv0G1cq1dTeS0
NMXl75/5gwrGeynrT5FSJ4zAtGaw11tIa2s0iyg9rXn9WjkpEZpM4NIDtOXvL/bhAl8FByY3e7rC
cUBvK794sM3gWd605NXOgz2hjxVv44b4sZt3J4PovZ8ve4I86O+v/kFmf00IPMraAtjDJjsP8Pyp
8tJlOGoPWD88phJZastPa+/ur8/kNUGwPS46X3rkiVLfWZMTF7T6YuIZ15U1BiPt3pSk0WwVcJXK
iQFOhB9AaFo4n23lD0qR10TCNeaWesdZ6E7AW1a2GxfaiSyBWjnWExDSuO+t1C5pBHzhRuC2/n6N
P+o6XNMMl+VodZOr6Q5akQjsn9azK7OLsn0EOMvewtJ7tRHPrTjJ5tP1/ujVXtnAgFvAnqGDC7bA
oYlQB1T1ZW3+Y6RmJWdeSTmAukDIGcTFwG5q6p5n9jRl/TOmNk8M9WinA9Yq+6y59cGp+hfGYunw
gQBhu2tL+3s2skS5ZM9NkopMI+g394Dz7K2MfJbvrOfnFz7gmsZYOhW6yCN0vSa7eKFoPYLF60ZO
7/aKOnlicxI3zVeOZPg/fM827uRPdkMRxohBscMJTg53zdgmbexMTxmjMUi+TpNGsbh9kn5qGuw/
s1XeVXZV5QMB5WxgIGIf92wh+wLdsgEneDWLtPb3JpqVFrzuJ8/40apeWauBABLcCdfYMZT+VoPR
4JzOiwPvrfd2Z4aZixkQZcWEZP+45r8F83j8fCTyfxLMFOwKgHnihHyM8vh9KvIh56Lpv9cAmv73
P/91MPK/P++fSNPABoDDsn0XydtKl/MH0hQYVEpw/n0IItO/jEY6v1Fo+JrUsiBFf400RcwDwSLq
eq6D3/b/HeTHdc1zHY10wQRvBjZAsMjJrpkwPTsrG1bz5Yshra+utqGGXZ+LzkIeV1YYkHD2kB3Z
4HP2gML7iSqbn8BLPWS0uQwOOVgrnqxQqPUZB77k99kybljfRlM9YTqDX0SzeJHElMPGy4ot0Kwz
QJcrirJhKPrpB92JczDVF/S0d77Uz7QheyDnHzXAb8hnDMCqFyd2gxV93zQ/R4ERzKJoy5D0waNT
WA+VIRPuGduRAeLZyM4CuNJ7gz2/Az377Wz7O2r5j41vPAINfJdVaBFQvpVDuR2ose3m6luFJBjz
98junSYLc3ACRZVofnaY3QpbkJljPAedIrfGUAXhEBg20ZudxrKPxkY/NzWKSPksvhkIZsOuqCCC
pTFUYs0Pro8f7iwyRhjtiKcR+SdzmgudzByfS+9WD6uIhWk8u783FAqkltpMlX9R1syiHPOECUp0
G9fNtkGLj1IdmJwmd3pgAvVxY7FvAp292RM6wRZWxRhBkxYEWNsZRUTUBMHvCEwZMmSCe+4QOAuh
kCj3xpiCx+WMSVMSSlkh2JYX/C4q3dTfas/HxzZA9VHAxkiPL1PXPwLJWiUZR75ECymjisqfBWa7
w8BAk3nMK4xauRg3mhmYa8sOb2JR8lKw5evkZIk2jTsUBfegzwZHyiLvjcn8QRpA6+jsytCyLYJB
q+7eGrxHMxiOBroNk/6Jmu6JM/6ttoQVKVX/ZFICGEw3wIjqMKPVz6XqWGxSt1lTqh59nwJTBCCO
jVpVBNu50F+DwrnVxfxMBobpYf9YQhUpJI7xNuQqLZvlAVz4KMJqBR11ZfCE6GDrGnUWtrJE3JMB
AV3Ie0xhba3R/DqW8iKgkUP85lKa/TlbhoO263uroRiHaapLtugHOygZRgKXB156DQbSnHjh/f8j
77yW48ayLv1E6IE3t/Bp6ZKSyBsEJYrw3uNqXmNeb55kPqiqukua7r+iYq7+mFAogiaZCRycs+1a
axcOZP2IQcmdhQIqxdZJ1r5MJsOG5SgKRcqaWqKeLZkCZNRXjdtm3fdc4gl38klI8ofJijyK6Y6h
JCF4jCOyj98nMw9zU2JwVHmR0v0RRObDok6VbU6dZ/SRhyKnZmfUzSejDfRWOifDPFH9ie4UcjKH
M/YiZEPA5dmLtn7IUh9MshCK4LXFRnZAp75Ejfg6AzhHAeg8zsUDMHAYSDNkLWG0bu2sfrMaifI5
47GG8selzQTMlSh85Il6NArj0AgsjjpLZwS8v66idpMU6bROZexus3osxDy0lOaxz5cnsRVCLSvD
1WRXCGryNRGaR1FeXuvZ/JjIy+cW+oQsn7J1e80YfZhr6+tcld+XRj7NGlnfn4z8/W/xyU8Asj1Y
+FfY8rtthLcOZRwPYfyqcQj2LtViZvI9VztONGqbL5kEbt2sMrds4m/zQunF0P0tqs7x0H/Jysml
TO//xVX83Gr87SogwWsW5AMK2b9mXyVopLbtOib9mmXjKTHcyybXwnYSaJcUZ6uon7KmfC3hczVr
dKw7MNhxCqWl/K0597ec/3/07P9taSaGaIKixCv/Z/9/eSve1jfYJV1a/O//+b/6fP8u6Na39zdi
gfDta12+/UE56f+MAf3ne/8rFsCpazJ+20KN4GfWiamr0BtofkMHMcgU/mCd7NQSEfEE63dpBXbp
v1gnii7yjoYpW5pp0TX9G6yTn5MCw5ItnTCEaEiXdQvOyS9h5WoxhFeuxO5Zj8AUteKpVHUX8qhb
i6PLH/t52QRZvf6F5I30S9b92wcjcaVzzlRLMX9V99UtSW6HQRme4eh5nQEfVlWfUyv3hJ1aK0ql
J8xwLZA0vAA1nOBbwI2o+7mj3aA5xAbBXOVur/ZHddH9Xcsg21YvoTJXydNj1olekY1uLDYHmG33
c/1VKrUASQhHj7WHsshvdfM1oUGrt+VZrTevL/Vbtk4XS8ekWPTf8qUGWk6xZ1sCJdNfjAFSoqZa
N3FgrJHSih3t6uxrojaB2BdXa6PPqqZvSqwxeKYzb3FJMbprXigPPasqZZx2cIs0fU9wNHkSP+jd
8jghXm1X5EpO1pnXuTBuCAk+7m+JZMdhgr4BgW0+5J15N1sTyrZylPiIaFD4Vd1lYLHy3t+TjmUU
jhmJ9YDAhkfh/FyJ0be1gc9fzVVYCdl7koyZDwRfDYy5+YIwn9co2+uyEg/0iZDQNRZ8eZs8WQcZ
t3NmVahDhtIJDoLD17GlhFl1OZApyDK07O291mgU/bEhp2bs+lkyYSrR3FHT1Sv08S9S+B9qc3+2
ymw1VEwAUmtEHjpMqZ9TvLZvy3GRhO4ZUo/L9JNTovW+1a7gjLSHNRozW9HnOzlLb5MenxKr8NSu
cvLCuKY4XmDyT0zq8tt1wR+n/Ze4WD4ViG4MdRMk6HzSRnGzLfISaXK1VA0hlTxApQlSuLQrGa1d
1uD19Pa+jhZkTIn+Eh57pp+BhXxBXZJsMwIpsZzaqnKEGUD+/nTQFPGoTbpQYkDlSeOjqO0b3FS8
NDZTqBqTUxTk4QmYSyQWDKr2eaGd2x6HPQnl67wrfYwaQRrMh3FtXgoNdaEpv0KKDkclfrD08r6U
jXNWLHexstw1bftkIWJWFMKpzdXnJKX0bcnPUxf7EvHIGpX3BsdkSdRrLnc+HNDLFH8DKO7qZXkf
N1xrUjkFlMtWYodIg6+gPWtW45ENek626C+k+KUfEpm/PlhJsTB+1OAV+HQ/P9gp77qymvX+uROt
W6Nbt0yE9FCY/jrCaRdhO80S/JJF85ohuwwzfbiufoymoFYrJ9KWu2xtA2aTn1MY4WId+01WQ3CV
L41W2HPV3OuRcFPX0U0L49wgXTwquouGcW4L0sJc+vag7eIOcLvKpTqsBO6DMXt9M3yOsIR9VDqJ
ogYV5y0z1lOawz3W6yAquiNoalfpsq8R/Px50mkwJBlF2vkTkvpuMypcEUiMtPT0fnTzYfAJsQMl
xlgR6SP74E/jRGSO+MeyLz302qkKV228NNbkLI3OGc49AytUDxU4tf4SK9NdqdBioJPGqBKy/o1k
ofczab6UlhwgV7E5g4ReA1NSOBJUWaxr0n5SdQbpzk1Y5++I4EF9I29YDFs0v3UytyDD0+q649g3
IW3g+2wnsJFOMYUKyx8J939yov8mvvoFIvvD8BPbQ5vE3RBeyb+Ux4idSl1Lm/6Ztb6MAyYlRvls
1ZxercKWGqU1a6EZxQ9QjIC5WJ6QNcGAWK6wsIxsDuAHL1C3PEtNGzuBot7ASCTI9jtVDSNdRc8i
v5rl6C71+Lk3wd4qynMbpd/2UyJzbkka/U6fnGi1DnptXjvrrzTuCCR+iiF3a6WQ4cP9gKeh46J/
Kkiphdwaer4Nz0lmtLDnm2CWR3ft5pweZfYXtvEXnOlvK6qomgZJFSkmuKo/f9okdIrQzLhStR6O
cMx8wzZchXzcQGq91Z5RwCH21s4d5I6lim1xhB0mTVFC8lD9Fi7+RzTgj+ren88zpYX9hk0JfotI
eWMPOP5Ui1M0+r7KPM3PM4kQ85YPgkXxfneqbaUDDtIhfxJlFGrQGWo4NU04DxqEMc0vOU9iPrp6
rV+zQbkO8Myx18dkNM41RLGlqu6zKj61WFRUd9HWHy/out1rsnWfat1ndYtPEMNAb8jPpTA96gO3
Wa3j53LMrgos/65Qzl2r+8zxfC/LNpjoh5nreBELzVXy9HuP15b15a7P+BBCoNKsnmAwohgTr529
Gm3vmNH6SeI1dhs1LzH6SyovsIUCOy8Lt17Uz0yeOzUFTPX/+tjsO+bnZdVl1VRgKIt7dehXbfRG
iiD/JiyrLighRe1AKX6Xov//PdKXUYDdvc5/jvRvaVl3whnpsu8/xfF//OXvcbxs/APJMnIxUwNz
qu8p2e81PVn9h6iCgvpB5RL13aT9HscLJpwtzJylybIhaqKxq5T9HsgL1s700hQRGoHEDNi/GcnD
BPtpj+gm1TzOnqzJ8NG5yF9L0qqscrCVpjmNFIM+m5WKzmEKHfGjKEYm7+5kZbQvVGRf0H2y/DVG
i2sR4EFnDQWktEGhocnM3ItgMx+2uks+i4zJwmGMveVXtSmiNBIlSKKBXbByOfqYhDUHPqYnmSc1
VVHZTVJMuKAySe6HrIuOqU4WSx1K3idhVNulGmuuqbT65L42DHAJlaF/07OovI7CKDulquYeaXnh
y2PnzEMy2oWqdg+aUiyOuCCGMI8QY7URAZPKUuo3beYqojpBAWJGzJ6ptEpdQlzRY35CLzrqPAA1
2928bvp7Ss7//ce19JGRRyDuNMQggL02TpGI28Oq8dWyTOlDbbTCjdHIIpPFi5x3NUdF9aJ4BOrY
lXENDi/dLsZg1OfNMBa0pboJ6ZdxF5asUZp0SrD0X5QGYrmIg6GhJ4i1LRDEbnsp7JIxR1tw1Cxf
/WxpHWEzZKbWgb193PJOP8f9UN6GUm5eUq2OXqRFWhANQSFncTZ9q7R7OWq2i6ki72JlEq1yNVYz
u2ReuQfbDUJpzEM019RCnrNejlk6gr9DrbP9LMl1BL5fjm7DYpQQ5GiChitNXgpyE/lBJLb5ozbN
uWLDIFY/RVOZ3M+5XEDR6ZSxoeC39J+b0tRes0Y0wr7hSSfL1N+YNCx8nqIcoPfWW4d8iisvskzl
IFolZPp+kR2ZSl8z6NurRrP1PV0zTaYapfR3iw7YVFatFxEW0nWZk43gT53vjAqauzZuAphas7xX
RVTbzHxvD4uz/KKKUn6/MJHrZR5zZbT1FQp/TEriIlaIVkf0AyE4+VAakuuSZuZlq6b6yxIP4pc2
SdbnFKjQvTglaHWZvETN1fzTtFGgHCNRQF1rr5pRQvXqWRKIs0oZFJRpBmqxdoc22yZnFfTcs5Zu
esY13aVZ07srMZyX1ovyluxCK0USDfAOexi9fc95qCwd4Z42FwdHisrmBTkmcl1IKhetkeL7EqX3
1w0ccPBD5EYeOJvAcQBDb11+IeDPLwqE/IdCIhBfUxSqpG1IAzUBDzVoCkG7PmqnGP2woC/h+BTM
4bXFrBLduUA0Z5qN6kmP6sZf5RGM94hydSJrglemaFTtGlLWzlFG7HC9KPJafuziNled2RmXiGDn
PdJTtAtyVFv6LBPDNE/zS7HmRBSron4q1tRI7U3QC38uhjhz4qKbCNDibmzdEsViUMM9eJ9d3EqK
Jggd+QwkTTbiBVGVdDDuqboxQQgapfputTJbWG7YOsBb3GqRRLCS9ei05XrRt0H0onmO0TBAsKAC
NPyIzKeX9ZVfGlRWoW5n0A5iKPhFGVgL0LiicKeGt0XO62Tq74Z0l8eBlgxOOjEaQAdbnp6y7U2g
Oi6RSiLlkj1mClTOWw+et46eEeLSFcJqdLj6sCJ8RljCsSLyNHTp3qrluVUqbykZpHWXLV/XIgkz
xGXS09RsDGGR3Gl+mOSTlV4HYkDMUgNx6lxlqQe87Y0KRhfntD06H1BhOKR3YwNE3I9XFHaacbrW
TQ3d0UsjB/WqQ176SeFW8skw+sf4a2OE0hgO9aMyu1U9Ozk5K70L8T6vNLuB+1H6kfXNlMMM4zwW
pg0gUIWiknJn8YiG2lvUpn5nrPQfDJ/is5l8jjqAOq+SsgQRAgfNdIglMucIBo5eS26Uj8Goju9L
1t8GYCe4PwRAFjubtePUKidkwN70SgLW/phqHwtazCkBvCylvdM+mvlRTerxtTMsFQqHMMhgcWXB
HeZZDBvms4DzjhoPWV0HMTCXCSVHxZTOwlSmjozUU6UiOqzkwi0RQT7HimovNGAg+9sVhFCLOgQ1
DwaOdDcl1by+1R80uRUcaei/yahVrZt63dL18zwMl6LTP5WySfO0Wr5Y2nQei83tcXlyNreumaoX
o2gWW1cI8lJZ+djm+YtYyd+UfYiM9ljp5kuuWbUjKLcGFKOSmp/a9E3k1X17wYI4pIWtW43j3Rr1
6Chd9lU05oEeCwAzYJry3J7aLYGX05OUlYM9oEiASOExL+4mIUNUIgfFVYb9JjktFWhNwAbjtZLZ
oA1zkABxL2HRfm86AVmBr5Ey+gtyvrGgHZsZyrG12cUi4dGPmsQcrXAbg3wqr6n0tUlTtxgiRMvy
c1OBGRvq90RbvbXQvW3+isog6h4XQ67CpXxCB3SrTqr6dRslT9ce0TlB2slpzJdVSwMJLucIlw52
k0VRbOnWs7bNFbw+mTsz5LXztjLVOEUUPbQWkoJZpqx5piCEq7bX1iofunGgu7NeB7pQqZxdss36
KusVKLyXUkxbmGtCOEvF6EDykr24Mp6KEcoEPMPyOFb3ee2mfeWs5lfFuEEulKlamsq5nv0p+9Z1
zTkt7yblVmUXM/HK6kvZX8Qo9lbGuvVlfNeORzM6swtDyziUXzMI4p0J1CsYqo/EkOxaaNxuPurd
47gjaS2/ULIDWRDNPfNdGzQfno5tMEYn+1RqX2KE9DRYGWAzrfJkRE+pch4EyW4UXzKQASRX6GjV
O4JWi69WJq4vpR7djXD0tOqMCpVdDJ62fU47W67dQWqdZL3vkOAxPUOHBL3EAcNSPJWSj4iz2iG2
5Lp5irjbFyHylu9C9DHWhy36aIfPenOQxa/teBrbW6p+Qk8FOGgydU6SgPCl3oT4yEDr5ovyvEr3
yFnYY89ssRSLeTMbdymPYh/SqoNVVYqPa3EbxPk1RxGVx6YeVJybPgTz9t3KT8Iu/eZuvVdo36Ps
2I0VNBoplLPHhS/xT+DHT7LQnjMFCiYAtjR5kfNdPVSwS6478ybNxbupwMI1cUSzEBzxDup7UWbo
Yx7B5kHvr8NynDBVG/WT7ahDSZyREdIib5BnuymudXnZMLlUq8TxYx4/TZwgoQ/K+thNL2UbSkXI
1BbCmZi2DTRkWAkILThCgeZG6VbdrlpkBIJwzTtY4NkIufAo6t+TpXJFACQmF1uvPW7tpnX3eWw6
8JppfK+OqsR2mVXXfB68ojun8+IOE2WnFl5MM3vGdNtqdGlRii2Sh43elgFTZfTSMSwblFi5CfDR
2WGUMhQaKdv4bLMKNkCf3xXEYzOE7HmuPotU+OhnDyktWMLCJEavE1w686ur0WlYmJUdmm9UhO8K
5qBFwoOev1bbA+m616c+Gi+2On8UzXOrhvKmQ6gMRf0iJ29t9sqEQ2/U/6IiICk/564/8hJyMEsS
ddNQLfPXig/d7iZWpLo4LXXEjs26uXBV05QLN7Va9hZ61mtDbXuo7jp1LSGkG+L0CoHUclDn1M8o
vTX+pCuIBFXS9KWRLTMw1mH8omXpjMLNMOGkCvkzogRXlO1QRBF0+Yl3jlOsvWDSh5bqu2FMu3Co
evWYzOLsKiPr33cZNOcp45laxXRqkE5xQQS+msNTV8vHpuQMbnuwloDPngd/sPSrIZXvab88mWmE
LcZkr1XrJllQLF6n9M81a18bleGORtMcgQTszDHRiacojAhM7KVH779cfUuMHQHNyUL+MPptCEq9
itENGrf5mjRC7YvbwbCIYfZTfhHK8aKDP15fV/FZbt7lXFno3F+G8jFey9PaIc9YyDzJnOKn1owe
9lCzODvJrYiI/Zu7oqguoDnRZJ6weEHcz844UNSwquxg4UN0i87CVD0PPAkDvR9vWDGJ1MD79y29
Kqpwv6pvJTNlOWoPRUpMG47VQUjWz9I8+32ZB/tmGic9mPIqbEQ2UjucNtN4kgAwFBsCkQkeMLvV
bW5PW/Sa1M1JgXvVfugbmo2ma9TPkemLBgEooxL+XlfXZLoCfVTRUJBhAY7zf/W5NlHrik5rp1Nm
zJ+taWO6RVNQERtfiTe3Sy7lTBepltSb+7ghdqIiTqwh+nGj5r+Vcv5WneX/BU71U9P1v5EOPaMR
DFrq/1Ul5ul7lb/lfyjP9//DTVG4HAf6rA9j9f5W/7k888+3+6M8g1CfTgcTjZw/gFV/lGeUf/wo
i+qqrFGA+VN5Rtb+QQdUNCwRnXhTp27yz+oMv4KWz06TKcwgLg9s8m+0Welp/lSc+Y07bAIe2OEG
f6qHEgipRjplyiU7pKf22F9hGoRE1DAJbfMiH/dv1at51T0DroDfO8BxjtITOlvSXfSQXic/8qoL
OPgQF+mXXnaHyTvKTuf2x+ycvxUHdDAVy8ZpNgcQiKfMi93F1x3Jj5zclV3d04/TIfemUHVGvl5c
OWjc/DE6It8aLKfEWZ02bE+9pzroRpygUR+EEAfrAtoPuwOigr4YqMc2yIPMXT3Br0P92DzFR8WV
3PzaB+lijxfJbQ7MgPWp415j5HRtyVfcIVRd4bKTYFLbPOcXI2yv8tG404P2ul4SVz+o7nYsrulh
ChufMDcofABQIeHYsX6I7oVr8ZQfrWt9KcN215zwUoc46gAzxhMuWmA4yBvAWzTs8oIWK6wKiBZg
np6jewoI9vIVoYoD5DMv420Vv7e/H7zejfxbaluOFOhu6sle9KE7rKvfhPqPy1A9KeQd3DYAxROq
dn3ofU+8j87LkbA3oIHnICYbjkHlJv7st4fNQxb2NLpS0IX6S3eCMOIzFsVVjvnZ8GbfCPKDFMz3
VchEjGB+LB8SfwushzG1+wPyIA8Ibzt5QCCr2nkAcsypgtWdHCRP7eyYHLOj6Ssf0jG/R0/um/U6
hDXX0budPd6c2JndwTacydOO/Xn29bv6oPqRPXl50ISiX7pJiGLeQ3S3nle3dUVfdBWnsltXv8se
xXP5vn0iFiP4iHc1VrudnO4quoxUvqI0fekP+VPzXHntYfkQ/cHRDoZb8ibpfXKaAlLKQEM9ZPAk
L/ezi3rR3CKIoLCNbqPa6ZNxbxzI2FjtNFAcxCDz++qYuuDcg9QVPzM64AiK5zMoWhcSGBdresO3
lK/xw6H6WJ6UA7NPMnuVHPOqPkr37MQg8lK/8FrOicjP3sdT8Szdp185P7wye4BtG6T4mqMaCH56
lz+RTZzlY3HWL/XJfMwuBiegO2eH5Fgd1VP/FxPNUAb9D0f9F0jwXI9yrdetdEHK2oM8t/iD27jw
lMPRNuyGa+jcjw+gV77BqSwOzWFzVQ/erDO4wg02jN175RsFN6dwRJuE2J89dCKd3P6Uuqk/2rND
FQ1dbDsNJbc7cML8PJTQNLGzb6lneOwih0kJjuQqvuFTQOF5K+zy4aTGxzLIHUiOzmAjQ+eWwRLW
D9oJ+qyHSFYQB2mQfkcwtyBVZMLB9+1r+cwItROMpWcTLbkwDda7JqQdhwS1M50eBcdwhE+q2/Gz
IYxeEl8/FCf1kDuRWz+bL/FFPkjXOD2b7KWLfseGPMQH+bY9ao9ASv3paFxKI4wP0zE+F6ftGvm9
r95pgVLfm7w6smMHvejLEqAfzfZe9vPgT45pS/z8g9Kw8/ZS2N+QpvFQs7RJGtzeE4+Dq9jvHxl/
P7ucSV4bOUiMOKtduryT1x+043zOwinIMKzmtQ0HJG80f4LHbEvu7JFjOqnPeO81tNiPwin+zI5z
G+eN4WOH1GGcub1f3Ds2/KwGPJSLcKrOmz+5owfb2RtP1n3haHyXXzd/8E3PfIRYVwTIELH15EBz
Kcq4iIR5hVc54CAPwt163D+3uKxf4zs9tsF2IojoZF7tJx5H4NCGtacGhHje4uY2iupud6V65aIb
6XXu7KiOdEJf2mF2iZ/7sz3bHRI+I66m98iv7NH+iPEIk4vVtxe3OmguakiAOQ8Zr2pD8bENGYp7
M14oq7H90i8d705j7CDggQS2ccatwQd2o0fjAF3algMhbHiT5Ng8x+7o/Mnx/5s+MVHZz3nDv1zm
L5ik2UhzWrameGk9/bLhyshUA2YPuG1YUiXhmXTu5jO10uEOWMrRMc4JT4L2PYsz81PBfYI76o+e
xpcpq/EJeW9/9Ur7vXIqh5qXnThRMLGShtsExXENyZA5hghe+vuRJcFyF/fVDIhnfVwzKkyZH3s9
XrH3Or+Y7X3b7E6SX7hk9A46sN7EX+uB5DOK+hhhqDrfxJRHXsERFl/HY3HY37APdfaY6JTXxW/5
KsFotl7Pv9HroCsGSDzZprP/iB30tu/nPoQywffQXA/5IwDKQ4vGg8WWkPmY7DA7Cze7v3nrSYeM
zTK4v91IRqAApAVjkLimW7gbuzI78FcX2DaOYbefRu5OZvvo3Axb68qi4cQVH+vFnXM2/Potu/H+
rKtsd07k6Z4YDD5Fek9ySy/ln+4QVRx5P5abPSXcF89AV72WS1o/eCxO43IAvyIdFD9FsZ0896eW
vaMGmwvv2EE609EPJc8Z/QBs5+JXPE6LbWr5CBJJCFKhnxnQryBWYaO7oje5KwdndXZ9rP13+5pB
IOdhxj7w4BDsFY4R1VEOAtJDnEYO3QFEkL9v5dqz+DvJrfmQinso0SI6S3bhRi5lUW5nD5UGfzyt
IZaAp7eyW1ggXiHY+9ZDoJbFqw7bF/MyH1eWo+eqTZ498UQQBc05OfTHdt+orh4Id/uTNtw1RKOU
DYsEud8Fhdc5TygicQ/Iq9uV80Glwra43ASrkHNm97Wg9MJFA7/9scgDF5/zX8QPiEQ0EOM2NiyX
E8qnIdBDPRzwyqkbeVYonLBBJ+F+DvsQ1VF//yyVKG8/I7GbecmPjSnhKmYuNHOaoNMd4UDZkE+T
PYOTt2+J6oxtCot9J2NdRLZYgvGIvC6g8OESdzg00Jze275sX5LDnqW6CapfddjH2CADV8+ET2zX
AOKJnSfilduvcHUOnQ9mhZ8wnS4UOMX7TkX2OUAFzQel74eRM5+sA3IowX4cBl6CDoqtYIEnD5UY
NyHUxUQ7Qpgchm8qZtg677aqCEaWVGZL77c62qlbsaLUUPgIg10ls5arx4oGHKkH83l+UK/YNJ51
6UqX0t3Xu+FiVCcPCX9d3s3O3ZkngvaqQ4zkUz+zq6DY18NJeQ1ivhxITH0w81zmK/V+bInJpkQZ
5TByEiJskcJVTTgKzgVhtBiYF+2bzvEVH9bAxMXQs3SbNyGoMWs1fzN69Sd2AFG/zJ30OJeMZyNy
CPdPtmzDZ3IGgQTxq0PYFkZu5Ta+xX1CLMcQmJ7l1i7BnFOwyIPPwrriUflh28QfO3zxJSzW7nn2
07o60m6GRB41J9VRiD8bbp2m57lHxgE/krCmrTPZkUtx35N8uP4zf/bD63Ep0zkhtphsihN2/pi8
19d9qdujxoUWLAPWk983nkVIbgbZLSLEbu7KoCVQSVwF+0QWftr0S3VXPqzfl3APFJjv5KWEK12I
5eCoRwHzvgPrapX2dCIr8QrOcX6JjzSgMx9unVsfaQQd82N8rINiPaM2mNwBzbv0l/47PSGb6ktA
x8chCEIl4JmGVZCGXItPHcgBx+WzwezEnYPWWewUnb3JZkYFUVIdND4i6URQBLfEORkpRWqXTkdU
tIddAvkJ5dr9nz/Y4rvgxOQMltN4e9zSeDwgf72M1+WsO5lvugOSeFYwEKgtdD7snreX0fdLveig
RI51bUIl2LyWkD13xENz0q7RjZL1wBfik/Hc6s/U1vUzgZiXgJ+xy4A6iqMFuuKQBdgpy4Iilqff
JozJYThFh/qZ9WWjUN64G8lCqpN8Pwu22djps3qQieCUV/XdvKn3acDy8NrsKeZy9Jf0OyIUJ/2e
4pFX+JQW09xmDEPsxA+0R70uLANcJGHmHodKm615cSB4LfdZEilSs+buuUinsOmrumgeDmFOJKUF
/MBund6+JzZ9Q/W/tofVy8/pOa7Ja5h6Ecx+4xHmhcyrU9uwohdzsF41zU74sy/yU0RvkH3CF/WN
FxPz7Y8X0Rgf1VUNvSZ2MpUltz7seZj147lZvCHIuTd1OQmvhKdsQKE/R2HvmnZ8o5QrH1JAEEHi
107lZi8S++HbwkOMvs3u7C/eG+AkjEJnm7bJSeQaDcfwVFu3dXZX7zbs3YHvVncPQ0EV2uqPqBHo
Hx8BUK9Eyoaci/RSdJHE9VGz4aerQA/ogyo9Uv7OWttzyuXI38pDeui85Lpp/vKx+p0X8XF7dIuc
4EL61fIJBe8vc2xNPomrsC2AbqHwIPu6j/Adl8GMNLCDdvxePBbXNQ6YlYpz28M6giDMWsSebkIS
0Yvhsdsx67GfeaULuo7PEn2J1zTYBnwOD46967wNjoKj5eKd/dA0fHpD2L0H3am/B9v75t6Om/P8
kQV7PLsv156CDDYpNB+y4qIbR/wsYKN0ezqi+mF3uOz9oph5bjP4i3ta7QyDRHROIiDzMwm/wzvj
Fw3sPyRWIuk9qhNOmYNTIxmtMHYusi24UXO/DxadNDSovIGLHd2NC2HSF0Z+DwdRYCLUzTzTb281
xt86FAGClD8EK6FH80rcr7PcadyAGlpH9tGtPbBeOCV6FJ82H/FDjLKJ76WJEZghCu02jjTY6y9D
kOxm2NtXmRQAo0xYcJ6QgfzoiRgFn9FYXubN+BYCF5s/4IIJpPzkIB7Ta3bYY2xgm6kv22Qgqrtw
MygJes13Um08zJ4uCkQV/3X8DU7x36axjMX4uWJFPzot17qRLgSpRJolAx4oLOHXvXfiFA89shUf
UikOCQAPwCCyotFJLYjKETYtxwKiNYqrQ3eRQGVz47C43+Ot5SDtfiFARB+vIFFLIjK1t7voObpE
l+5s3XUHZtsc4M1S4bCIWHuHGhNB9XzUqBn1n4rb6tEeP0TEe7OjY7GB+e+FmrA89pfCn06IXvEf
aPruNC7DST/sFnH0zadpT9u4wunz8nmx7w2cUBn0zyBy7vpL9tR/392AdNv9GxNp0FjVQhp/uID+
wTgt9reJww1v7oepgk7GP3G383g7le2cuFoIA2Dj13AVMMFMOnAyNwG4S5y5+xWGEJ4ErKHkmke4
igS+1I/cZsBo0/Fh8SgsUaTbXcpGYjkTovL5DpUTZ/ULPiJz+z1o9XenBBzKn13MBK/ZY7ToYfH3
6Eaj0EDUbMufNnePDfbynew1fo8h2xfi/5B3ZstxI9mW/ZW2focMjhlmfe9DRCAmBmdSovgCoyQS
8+iAY/j6XpCUSpFVqWx1WbdV366HqqyUyIhAAO7Hz9l7bfbSnbZztszpvn4caNQUhQ3LFN8IE8nA
YndmdngszWvp8LivKlpZihW9Y/rElunSQUih4NMgwjtxy0dnGUAZEKj32vXMg2YGY2AeE476Nru2
2rMx7ybWSzPg4eCclWxTaiVvN1L/tNuljgT1QIW41NicFvgMjAvWdnfpX9Xn+of0uoC1olPqpecD
j/eyiOCij9brgiKsXoM9SrgF281yTw78c8tR6wz5z/YeS8C6P7QrhpysEfn16KzjY7ssIPvlaMvh
mmd24HukMF/xAF4uJWJP/bOUeGbQQL7Fs3nMA6AT66UwHLlw/YGtlbWkZtVYSrqasoxODkVdbZ6W
Q4nL85h+XblYx06kfV5EV8NmZE1aWg6Ya1mpcurZXz+tCKj/4ml9wyIqstrO8thzz8NncUkqZbWi
DbHUe/f6zXzrZCuIUFvSlClSPZbGpbQU2/IKXx1d5u6jfUhu7avqjK7a9fyZ0JTL4QV/wdbcs8cH
3hFqzDa+JCI1WKqH8ApewS2DsjOxM4/zS0V/Ew7Ueg4MupzTNjk4FIbdiQM0ZQxH44OiJOYQt233
02VOreFctWfu/Xykv7eRBzbNIDtW3CLJicBUjpjnH9kcWfo3+gW5qNxXATPTg3FlfOyOxYldiILW
YC8Ltz1NzobWhLOXB//aizbDZ4ijzaHZAss+8y/zA+s7qzjtczpv5qVxIc/cA0fvYDngpzt///Ur
+L821lle6Efa8L9HcrDvOsjKWf//Wju7wTRQ4Ye7e8qeyWMqnl6PaL7//PcRjSneeYzgfJKBDc9H
KPtDQbv8CU44Q0fjvAhhaQV9V9Ca7jt8IS4BCngyF5ccN/h3Ae3yR0T8Wh7zPHS0/MLfGdGIZRLz
k8Sa4YxtLRpaT3fx6pHA8Hrfwy4/V5qdV9dR8QLQcdRbSFNyg3dvPeZlULWM2onbcHOWFJocJYPV
n67cP2t5vX6G3X94B28ayIgFM9NveQcAhJmZkvgDk6vCTTKcTwcb95XXXCf9Y+F06wUU7Wtffv8W
/l/zev4r88t/wxtdcAfByOKu++s7/ewJgUCS/Xx///lj325w13vnei5zZuMb9MFACP5tBsmfWIAW
LDTgpCzZ1sL7+eMGN7jBHdP1sYga/tcUsR83+PK8kBsM9sHVuTF977du8DfWm28NVQcU5ps9InQZ
eldyCndRPpxL5JPEBUq1jlX+iUyuHfywnQLv3ah+nSTuIYGZ3zvFscpuG42jUCSuhwg4V6ocDh56
+BQZAL3c3KCv4mUZxABB+E8uV8ZQGGdjjgCafwhMWT5kjrH1/etOEZcYeydXtLsMbfVs9fcimwEJ
5ldz1yxahjReu9nloJWYOAeO+Rahpd6NYcdfRoCEK9vt+XfyPkvLz6TdHiJfpJsxTkHY28aFI+QJ
wTkiaK9dyHYpnScUNJHpggDVAIv6hr5JIweDCU+V8CdvDWM08LvFYBnJZ62tb/x82IUdp7k6g25Z
J2fD0H1QEeXpBIQ1/uIijdVKnb6b7t4u/PQufQjjlx41xVx6DwNhQmt3TD4k4rIx7TqwevVkhx0n
o+q+tYwvdopMDhPctdDnYCJ+xK9kepcVnnHe2pl+xIx/iSQf0GKUU/aVzM+8qXsUiWLo0FUimIzh
fVHbFzP+miPR6/WDOyEJJ9tT7bqibR9VmqyVMU6YzdqWAjipZA2yERVdGDlo1UbPCNKwjXeG2yAD
ErP0ruZBNBe90/AXhbwrsgE/bUoaLPZzwsqBb0xhUt8XmpHcO9Wc7kWln3KMqptKTQroXfjN+P5b
u+i/sgT9+y4uvzSbXz1peaJ9jpMn6Pr9P1lj+Onva4z/Dqv24tjGQLf4ptkkvq8x/juWMc8gveib
m+SnTdR8t0QUur5rIlL+JoH4YxM13rGvIotxBfsoEo3fW2OQRfy8i/4xtGFTfr17+sZUpzVG431V
WckudPAwllpCw96Y20cf+dNqNHwM1NoAir9K4H1BLAzCKaFaN3KjPjA9nVeZ5yVPrmpR6+lj9N62
KvtIIPxDOsjHsW8k+i6XtnZZ3Dmt4nHyWjJ/qX9XdlxMYDXqeo1+nhN1nOa7PPOPcZy7N7E5ajT7
fYyelfQutbAfTrnfZe/tLLMe8J9ahMlOCelavPlzkuZJO4fR6c3ATWVYh1vLQNwISudW2E+YIdq1
EhMt4EQyL2isdWkMciOkRF1q6tV5GcbTvqpDsKWImEFslbzLib+9t3Fzf7aTMryNoe2AnSWU+DRM
jvMYUS0do2x2g7pxG9z3qKkmORWnLq8oAkpQ5XjUwurZTC3SNEhM3Vea2wJ/KMvPMzyRbTs70V2I
fem92wlnNTR6gv46a4+aL8S+jBLzuqkmM+BYN2/zPOuPsUCmJtyJJd7X+ccsjMhl4P5aO27pw972
5mEVdphWDGRzK+xP0cUQlWBFhaUOoR1yah3q/rPEXOeRvmC7BIp7erMydMSyDRfzCF7MCWxfmjuL
QKZ00415eq7qsj7HPIFsN2zLfZgsEcB51unb2EFYbrZVeW51jrGvUz29cLxWfegTVa8rLXRvnDT2
L+GRaKcyqtT9VOX5sa1sxmhAO8nlKfLLua6yC39s6F+TEHCyQgOobS2Usyq6MFx1EfPsoYrj875m
Te9SRZfe0boNtnMiZQFtrSxvFqzzzUxKbZxOhKW3uiQ/qlt7o8lqiK9I+t70flBm+iki9e/cTtQ1
pA4mrQgHUbAl3qXb4rCUKXzQsOPrMg2AguEkn+0iZMpm4bN2Y2P43ziF/NdcP1FZ/HVxdvtURv9k
1eRnfqyaFhovZsyOYwLjWEq9H5UZgBU4jyi9qMMIVvuzMhPvLAiQ/Ad/nmlj8Pvz6CHeAeCA+sUx
Bvsea/FvVWbLyeens8efq+YiJflJHTaEkUU1nzDSMMYHlfTMjaKu2XVtSFZABMI+RRAb2E6CamZG
nF3rmFmqEklqHyWA4n0L0W+0EFVJndk0U0obu6gKunPlI65HsVLEdB8bry6e2ihUh0QLi62w5y4Y
KVZRSUtnP8IhXgN5HxkMSbBKaWaz1yefm9xl0h0Z9QWLBcD0zEeo5w94g3Q4Dzhzk23dQBJeua0z
fJqGTkeJT84PMWj6sWywRbS9ohSk6j3WjrICr6lb4pF8g6ZsYRE/o1cpT6atC9KgPOfaz5Cxjm7l
YKIw+sVEV5MLoDOvGeYKF8XAfiFCei9+QYeOBAYqVQJHlKo/aKnfEfdiLSgvEt0TfyR1JImnZ1gV
/dZvXTrAHnEvpQ7K3JAL0CFLkdJUpb128vpF00UHTIsyCLEgb8fpF9W/q6iLoRFMOqJ/WyDFQHF8
F+WTt2CXenqYbtKvkdXe5JYdB7FZng9z7/MhGlHs+2jI9yBUR3jUM033Dl5PnkbujUee9s6phvnc
Nia10boWkXAih23mVtrW85Q84sPal47x4I1ZHAgZ00y1ermuOx2RU2iBx7csplzEeBqrrM3cbT/O
TJ+H8S5u0p03TmBSqoxps9Wef3VskSgWk4OtNJITRhJ4Rm9nuriY8AvezXAKnCEND5MbMS3pbeaU
Xoc3qM6ZzCg8M6U3RvsGJkbhmP2qSIb21JNuCsOk+5oXRA+9y/1HaXZ0x0AfHKORE6w1Vzi8Q71+
r2CO3CoFKimOehc0BXSeVW52IUUoLLF8GJlMjEn7vu9lv3PnATGi5hR7vzDyD1/Xhf+/C8xf1pao
4r/07ZN8vT7+KCjBjbxDs48836YBsQRQ/1gbNc9/Ryfkz/VvOdB+P7YK950lgBtifAYl6LmCOvR7
SSmMdzg7fZ3f5fjUnfzC35DOCt7ZT2sjUQ2GcF2CKo3l/bEavOnL0DHq8zhznC2xU1NgIlC37NI+
6/T02tSoS3KHOMDQIS0PexEm13BonOMcFcZBjcQsCEDbc1mY20IkNz/tMf+kYfP14Pxny4i3Ztom
RD+YNOwrLCVvlu/ElYPRWSracYwKP+ZhGeprrQBXuK5NE/0lYvIxcG1ZHNxq1nOycv0y40iWMNsh
Me4WH1odNGYv77RYSUg8lSS5UhMwLcQwXxkdaVlDHcUJOUPgaPArhJYiOLswPiVOqqNMqMLwGQO6
3wZp3BZEW2SkR2uYpg+//qhi+ShvPqoDgsAH0aILUATcCT/vVDJuzSKOxnAb65pzN5Z9N2zDEBdn
2Ah37yR9cpsIbT54WsbMTOuTj4Vda5gNpthjyShd5ugdZP8ktAUuGt/7wsFdsI3Vwd+80+WdvHmn
CzKNu/Pr/5hvu2heYyjdT+JdOszjFfTq4p6CIKAh4BxtxxwuVTt592M8ttu5Vdbl7NfeIZ0JUwcE
GvXrsDfGQxdWyZkzT8P2b97dcre+encWka9QJ4EZkTWv62+uo1ONDtj71N7WtWTLovmxcTwdxY3I
i30BX+a9PmWXFrlCRwlf9GRLKHq/fg8cCf/xTYD9sfQl895dKCWvv8xSVrRo2wiVqHS0/Lwco4g1
u/DqILWyhyi16s1k5oha8rTdxLa01p5eLQ63+xlc2iZrS8SGzWwE0h30k2b3O70ZMFKpGa5ipKqb
AZ4hhj9t2gPsz7ZOaRtXuDGH3WgJhszp4yRbsW4rPX1f2YDhZV1m7+XUQuFk080Hw8LEM9zFTkyE
zIDYAEjprOhR9MldbA7Ymh3S5sqdqtyn1I5EvMlxqW9DzbAJAsCETYpFH98XepPvqN1PCQFL3mpQ
1rwlFPprJmSkDlXrE6wQTZ0OzdT2PvRhghYrpVznbdgWeiXQXFtf6QHdpjvXzRDhaPAeVplmfR6c
In/08I3sE+AyKyk6FN9OxPGnnUeXZ7nJh2AgkB6gaDwUz5qW4+EUmb1Ocq7vQI23cusUc7sin+e9
nnbwLSNn2M9j0Tz6TmtdaEXOJKv20JcZPTimkGzXmBzzvWY18in0sDkXSXnyvLkDbaUQkGcG9Zsp
01Vl5+2hkNXFWGbFRo6NfSo7le4Ii3duBMDFTa0IEZocFe/iSZQn1zLiZ3bxLDAIqDkIrb417S7f
FK16KA3oOp4bDju9n+YHN6+IH6ocZiyN326SQZHoiOsfZfoQfvS84WqedMUglErirhoyJAmeusMQ
V+dLQgWIJxKVXohsT+OzUcNSZZoFRZIUArNoSVyvNqPznDKu/SST8QK+qGTE3RrFrQPTjKg/4ezs
tkIUNHa3U1FXVE4NtYSMkHk6Vt6tIr+/i+MUfWguyMOYPMzJeVGRmJnwJY5GFW8bzImHcJDJs5DQ
hzgBMx0bcLTCs1/l1fAxj33tGb7SsC5GgBW2WT2OHJnXTsVFnjMd/VjqIPO0/M/ahAQjHEF+50NL
w7D7JBoDzZZf24TomEQBUwhXaYRYTott+GhdE8xpKTcJN1IBHOFMzdo1pdt1HtryKpPexmodkpWy
2VzzNNKB6MPuC3AwUubgSw9NfAGMcsAGTtQS/IjPmupo/nE6X4nQs7dpUiw+VexxuoGZ1agQ34Vx
CLyVIOazEfbPi9lO8oK1Rmc03xOSNMxdhBc8c7YirNQ+mXOOu9Xcik1sRdOhHVo70Gr/ma2arogd
oaTow+GynjL0D2nS3U05jsmoaqwr+p9BOXGEJpYAA3cLk2iViMk8Yf7NkFqWiR6wa4yPRTn6n8wC
J2mqYudBg9n4WJcm0mvgTqewkDoj3JzMqVUS+THtk/mmMvz5YhResSOW17n0mhLO3fQhknIiiMa3
TxKSwt5w7XCr1ZX1nsBneRvH4RHz+kw/ogivs9GdT10xUKv6zl7MeOxTmryQfIWR7jM/1UiyST34
GXUV9y8Zz+ijQSQQ4p/cKC4poKO9j0Vsm3cDA+8pPUwVlkYRzSknN5PkOJmO9QcOQ2QLFAOPW24d
+3zqX3TsQBeV1aKIn9tyDqoQQuwqcrL0ypcgQVxK/rSeTm04uIdYsox5JpF0uu02x9gpVFBkZnY2
SQ3A1Rw5HxLbc/FIwyQ9w1xtbT0r+Sh9BKOtFt9otddcWFGU72eVL9gVLNmCzu/G9Qb/bihnO2Pd
FTfS6BAJGpJ5vhNTQulj6KM9GON6g4PyMop7c1u5yYfKckSyEZqS9aZQ/XydWrKgm6I0DPwlnf10
bsCSu1171E2JvSPxGHW3PvIv36gihvYE/hLied0khGI3bhEfCtGkD0Mqkns9K/WXOpqHc98oPmWz
n5wxE8TRFAIGHlPwDWXkYygY0hcIjbd97g/08fuH+WtFFUc1mUUwnc6jKS0JRnKW8N/aPW9cgbK2
VeFl6hTXxdy9p33mrYhxv2Wbio+miTt+aAl6yn0fCElVY/LGHeDIS3eyzWCYzIs64USoycpeZ0nb
Htx6QYtZDSahZHZxVszHUOnXZZ8jNPUGFBPO0I2rtu20a/I4vSXDDOHsmIwbvU3ibZiGn8qJSM5Y
LtDpxsn30YSMrucY2xL29iSapr7HA58HidVXK99U7SbrLXuXuIYiwsdKz0rHIjLPisnPy2B/xFTo
weirGEN2415bnRdvyAtkgp+XdEWLvljlXmtd9kXKaauxuL/Z+dReK1V2VlHx3eMDvU3jwv0yGtp5
2yX3fSpoX07hVcPxOmizPH2ZLFyopeUU52noJtilbTpYXYiJWo2J/VzKJH9xo364aFSDhwBc36os
ppEmZ6lfjalPFFWm0Z3YGI0ezStXq1P3IFU4Zqs06li+BO1u/NbRqLyTiqqerMS+lN5Zm8ABDkov
crAtqUnH0MVBVuw6DNA6zgY55uYt9JE2XtLd8jIkiK9BvqklRJnZ2FyJjbWFjyq4NovPJZtTft6o
dHDPnMJsjLXwyll+KUx3oY/YjU7QGTdQtS/9urV29Vh0eKBKF8ZlmPesT8xmsL3bXXfRuWbl7KNG
giwvmG5HJBWOEMaMwWwHLI0TDQUtGflstSvNs5lO7Dlpg9FL3y6kFT+Oh1ujor664DbvOcC0kD/H
uDzRMh0v3GLkehgMeRDH9KGJ0S1K1Qkjo1FsZmOSHyyRi/u+rbOdpVR+UZdL33KyUYMlhf+kZx2s
MLcCs5B6Lp51NUuXB7aGJFLafc8Xp0d4xzInWZt9bAX9POX0U2Q0odSjPbALRTHWa01Xo7lpjWqu
gniS9Ajmyh2Kddd16b2bWbl2RSaNBSfKia56ePpbNQ2IRwZfP5t73TxnKCGYGsEycjF1t0FnuBn6
aheWehDHCWsTHBz4hmNtIWLsoL5ohR4eM+ZUOlkkEF7q0hluTWU1R4L0WpsOs3JXcSKMfWv10yeu
AHVaX4Y0jFTq3FRNBTcuUdRmczFQPY24IcH/fKqlkRwhCgkAD2GSXBlGaH6oat18pNY2A/7K/Ekz
3RliRlT6FLCV+2yWXYy2M5HWrVsMt23oS85d5fuiaatN6DPx47qtQw9OiJFeZJr9Qc6xB5XJpGBV
Kl7rtjEGRiZvVKPME2b37jQPLppKpmyrDsojRm2nKW9CVtl0nxqzV3OIFRU+6pCoaNFE+SbVcqAN
pU2zfN1VdnrEix2mgeX2qjjVOSNdOwzjbi+yXmjnKAmkcQ3IJ05pg7XZl4FGIQz7yPnSRlpzpnuq
35TCKA5tbeQPMRz8ypEo9ObFfm079Z1WOdoqyaPmWCsAfsyn/UuNAeOButVdp1M9zBBwJmhcoh0V
guPG1oFEWHG3mucJ85RhlE8DpIVPni+nh9giRclyG3mSWTt9ydP045jR56rETAMRLzjWD9nGj05S
cQCGdoQUcu6MpzQEPzoZTXSO4AFfQ6juo6a1703Zztuhj85lOdYPQlEclCPVAn3+vnoinNdB4qzl
OvhslrW1dOIBs1TrpMj9nBiqhGnk6ZeiLq6gL6UXPL/FeT0aabruefv0WelrbDRRmFy/yKa2cbyX
IvNhAg7dUdUIuTJGtvoI8jPw29E8x7GEPtduuktaf7hJiY4CckCzIoItk6MMHKVHIqLjYwQsrE0l
oX0UZgWYPqMv+ejnhb7Rve7aDCN+pMwIcwPcFMI0sCriZEuv29kWD4079sUl6kwox1Djc5ctNXYb
4jVTggA8pVCcJ35x8pqW6tMjXceMUM22vrayau05V/14mcn0wL7LKheW3UsCXayDuKA8f987VoeW
TuschI5lh6HBklEa5Pngi7U7Zc0uEt0sD7VVy3Ou+UupJxO9v8nem5XENmCiAyeKjfYuillpYiS2
/e7a14vrAWDFJsu8D1HTzGtLNhSTZvsUyWhYaSnPl63q8C4c8+sszZDaFW557xlzg27dzqaHKOGp
XOU+Dd4eXMzWyfPxEysKCVQy2/TTgClCG3i9XKDrqwd75cMfOpO9Fx8iFuANkFYYsGbk0TiyspSb
34Q84pD24PsxPSSqHaJb3fR9PsTp2m4oOSm+1amqinhPSZedWW2kr5puHO4c2zrkY3dqRZPfTvC1
V8wEpyCsHQ5zKdOr+3quxk08ukqt0ljaUDYszbztgLR8GIqFIldaSybqCBjvLAZOu6JpLT/4k7Av
xtQCY5aPDOoMM/rIjhOTL6twrNYj6YeoATZW5bhPet++J5fTvXCyMP1UZIU8KwYft0iTxZSs8hDl
6a2lednHkEBde6fTej74rZl+7qiVP8SjN2zB80XvKWy1M1ia4lQXanjqCWW+nKcGVKAJPHB5Z1l8
IPsSAp5kDLlu5sr4rA+Rildiqr1t0TquAu3S4bTOXXFi/mJsaKJXZ0lqpM9fWxe/1b39V7RHP2vs
/vP/IXbCd6URQ/W/noGdnuoufspft3m/6pr4sW9jME9/Bx7ScGyQmF9n/T+LB3yTadcfcEsGWn90
ek2dXBo6vT7scKa/TLt+dHr5I5verPBp0rL+mnSzfqvTu7Tm/myO/RAovW3x0jowM9U02s4Q4I5M
WcNIAxNWZsmhrNEd12P8sWQyYE3i44iEb9UXw6kZ64PNYYSeJ3m04JM+CtIQZDF+dKroYUJv32dH
z3ikZMEj2V8bLZhDJYqXsJjvNINNaR7uOpGWa+XPm1mHwGV1tbOOJJgyFq+LKowOowZ1vk3jrd/5
Fz393JXvZru8BqMSuwDo64n4Fm16sthpCU1liA7Aca5bYEw9WoT8xU9ZZyoOs2p6zDuxZ4skb1jc
GdLx1yY49TXtv73DHIVB9A1HlZtItA+xdD6PnfVx0pPnnphqgH0NBDLjAwi3fQ+3s++8T3mDtInj
J13f0aU1416mXr6ROPirOr4dmbatpOespGpWHkCzTYX8pMrFXRQNiO/t9lmaw01ehRjWq6CMO+Tl
/rVBa3fj0d5YV0V1Pvk4h5K4I126RNlsxM52atSFDtKHRR6XT5JEX2pP10GmzJxDxK6pE2JCNKQc
84zVskFfTj/G5HdwvL6xmQutbdbYhRt17c0V+59z4WuZODgkkGu6G99nxMr6if+xDe0hCOm2MYe8
oGXgBQS1+ZsZDlQwTRMUBKfj6JQhgdK7O3emIU3TU2GfIH9l18Ch3NGVHk+x3SX7RmY7XXFym/xe
Xc5Ra38ZvSaiWfY5Hhtvz4iNZI3R1Pag8XFgKVwVtc6pHAB+bXQJJ6gIh8fUlEHq5miWQ6PZW5mH
9KTLnJc4qwKVTv63bMLfWu7+q03zWT3+eg1bPcXtU1K+WsP4gW+rl81CZCzDIOi7ALY9/8fqxZ8A
nXaXlvoyoDDMP4f4hoP0CVWmj7zJRx2lI7r9PqcC8YLciUEVYUMWP+mI31q9Xs8dXNM1UX2ai4gT
LZVAzvy6qW5rtsmtMQHWYOKxJQb+pSrS5ClFSHAqNIducpq7O1OpGcBXWHyx4mLpnI1I72N/fjRi
IP36FKqVaQ7W34xvrNcd/29vzvgqsUYytqCk37y5uhw0jD3IA+q5R+aZ9v7RB7o3BnnVw/4Yk/CJ
rjKbuuxUsZ7rHARmTd40QRLwM0DuPtpQPq+Y4X9yEn/akPNq3obTPPfrrB6s94Lc9bUWWdpHs01k
Qv+DZJs1iXW5vqIP6r43IrQK0lXabnK7hGzXRKNfmDqOtpxJQ3+TIAO/nWYbo3uYDtTsWUJiNcxl
Cy5adW5T1TMVcF31nHt1Z62EbqH4NJxhehEmRDyq5gINg/In53FqO39VaHr6dyCpNyO/bxcSxJBj
WTYvgDzk9YX0ujlPNYDDNLD6QCBzNQYwtqNP2ACazk4Lz1XxRdRip3KFBPaxLICVxTeNIuhDj2ik
3YaYot1tUoP7TMdDQ9uo7+F08q8TKddhlmw8IVeN5e2tSjv/6Wm6+raV/reyL8i1Kjv5H/99uQf/
3GC/v3u0xjYKZTb0RUz/8xRvbrKuilLJu89UsiG/CDd9lpS7X7/K8lvevorDIBkpPyM4Mutev4pw
kV4U8LY2LifBQLP5Ssvwui/I/S0eZ5ejY94k1frXL2q8Lh74bNwKjLJohvpE5zjmoq7/SUsTma1M
a6fDQFQ2RVBbhX4aimnh7yb6+GQbqYkaxCLl1BdRdW0VLCRkt+nx55qu8MlOpuqUm5YBOUiHQQfD
WjvpVLAfUoY29/FELGkDwH83OpONt9CLrL+R/xuUWK8vGx+AtY00HM+AUuW9+QAsK7M9RRkTt1yN
m9bkyGpn9A/mZfRrpE61bQmvWM8qxJqv9/k2mUyeOb1215XwxoMtY0AHWpwHIxgaUKK13M+mlnFo
tbFWEVlhO5Lsm07RdgSiX4DLOheVNlwOBFLtnFq/6Ti7X2ZpVG564Lh/8wFZuF9/Pmb3gpWbgSNS
VJbJ11+QrTSCjfoBgbay2r1BL7VJPGLRDesFpj4ex/nvksf/YdXjFQ1LEJQEE9BljPr6FfNMq0BY
84p1295NDbzbqR+MTaYxCJBm8OsbcFE8/MPns/CooKQl4ZE95fWrVbQEWmkhQLd1Z513dreFg+fC
q000NOkm9tKJQUh1RbnnQapNxpdfv4Gvi/ir547RPMsSn1bnNjLerk19qLWAs6NmEzl+RNJdASmk
L8JD7s7hOpQ29kd6KUFfti7H6MZfV2bDSmO79Vr2rVpnI3HTuvKxq7rElZjdHWEzU2AhuVxr6DM3
RmwxWc1KIAwF59fSi8HllI658SXhCFGu23fFeG15KQkiULOvijKju0OoTzAoP7qRqebdqbiHnBDW
ZJuk6GJnND6BPcYTo4TOq+5Fkuv4bXgIBhtHo5Y6hxEN7PskBtIqqhp3Ja3UYMzm8Ru46f9AsXVZ
P5e3Xfv83J0/1f9jeYEfxq3/fP1//z18XL+2cK2nuu3lzyXX8ve/lVwmUD1uZuCdWKK+SyC/6SZN
bCtocpCaCxwlvuPxbP3haLHfORhZuBlJFrUxkfFY/qE2/wrps3R+ippMLFqj3zgwvl3yDR4kvDE6
64kw8GctBeHPSz4qBiWYomCmV3Pb0h8aoHfraQYoXHl5f9vaSl1rWStOfm2FnwZ2JQj9lmg/jYxu
NZSL0iDryarvGXcMzbrTvO6pov/5QEQAlNWmFy6T3bSr27XLlLvclggJrO2vn9s32yWfgnBXVn2u
l+1RWrxZ99sad47eamJtiwmWBG1Kxk2pvU5nCyW4GwWywPia9h9//2VNtF0u/4Xw623auj/WNv0c
OntTNK0GK9zw0WisF5fzONP1VedDy6T316/5pkb++lF/fk3j9Rc2Epls1t3ymjpu8BCNSDiERMM0
xuOvX8hYftNPa+HXV+JqWoZBXAfS3Td1GqM2N2HChBabmp0NrzJQHyYqWzS1pdLuOkbMZ0U8ueAD
+gbOr4bQdJz7qQ3GJHLONK0ihsjWBxjjmWEniDhM5OFD0gORqAzxpNsFtPjRpJymEetXV7UpkY7X
QmX55tcf5qvS+O2nEVQ02Ac8dMg0W15fN9GXllFW6bwGvD/n67hG8kVaOhl9vinEGCA/Bbcelr2L
3qygAkcG3MwP/ly7yW4YbPhqgxLnYVjOw7YV/bgMbhv1TPORJyabHGD1mquFJKL2VtWvSLzUGLB+
/YjG8mlhY2eHLqsJc537nMvhES0BB2a5SsNyvfxomBd3GJyLksBxog+WSyuXq5ws17vJJtQZeMP4
GgZtAAikeyEueMujrWrWZo6TPi6s5ymtONHPLB3V0Ta9imbG2I/A2PtK24h5Hl+sEeUDqVyopbGK
WVSTc+ebL1mdzNpqKAQers7QgL4oI7SadW0yYtyM9mClJ1RsI7+cpK9uXch2zDdmkzqQ4yyTzg7Y
W0ME0EVjvtcJdeomM0SU3tIyODYRIcapIFvwOJQpQxlnJpIMO5hRr4qmGD+U5MMm68wwCnbOqL/J
236+WcYAd5jUYmCXjN7llR759F46pho31GHVgeyMSW3tWQ7zF+TCUgQEEGufo5xO1/VIXyta2cwx
AQYpOd1UXjUTEuxMPre17MJo54CGtukup222njqrcFdeZ7vamiGZUBsvklB3bPwtqyJKMrnKdLwf
SGomYyvLjn035vS0SiSDONx2/5O9M1mOG8my6K+01bqRBsAxOBa9iZkzKZESpY0bNRCDA47RMX19
n5CyqiRVdablss1qk5YmkUJEAOHu7717z41DvZ2ccHr01dJd+m5eVUd+iwcEiLC/nrPKMIRQofVv
qdrSedur1H/N0L1MG1Zi8bXOwxA2T+ELTp96tC94Gqd3jVdP8LRy7jPzpArMTVHjTZk5xDPZIBtu
N49j211V3DSm2jg46KVnzaSwCrqgFGQXYcizdfvcn5fnMW/JTInOi3Z0Xr6nbys5oq7uU937rO/y
vNSr86Lfn5f/GBnT2/+uFhrjA8Fo2zVxkn2TNtF+Tt3c20QJ8Ye0r2ZH7qLexaMkGKo/Eo6w/tkJ
3/uX5S+KzxFAcUQlHvCFPp+QfyhRJvzHUxanvAg/vjOi+iKJnCRnimK1tvn1bDv2JN9/bSzGomTo
dyvdxCAEhK3S8c2yLqcWJ/IfLy6/VB1+yGs6U27RsMqI7fSXhfKfH0zex7xj/9ublxrvCvBtPpPw
2+dTDg5Rz+35Y1vOH+C31/Cfo9ff0Hr+cDt2L8PLf301Qz4sty/V1//52/XLMOYvP569vv3C98OX
L/G3Jyif4zOHOPh2xPp++PLd39iv0Swwd6XO4Nb94/AVSpwpHi15/5zoSs4eG+Pvh6+Qc1kcsKKS
ucqBjiX0rxy+EDT9vMW6AVH0dBG4+rf4xm/10A9PMzKqxcSyIGsuDM1rRYf8g6mCHP55ao+lcNKv
2owtXuJ0lh/UiosEK4Wdb9y2b4MDgozgXdStGokEwZ4xeRARw8ZFNCtKombJiGAgbmgb5jp29+ct
l6j3AI4534y2/qC8KARlSAxWdJnM2DW+uU3afRVrZtg6VEzV7OLWuF1i5V8JurQko0yZfuRTI4Ol
w1//eQ4IBjtWYTAwtm5kD/WsJlyIBM9pAYOHaMdssjBvwXC2uXcg3doFGDIrliVVlcWzKGWQboJo
TM5C57Zr9kJkLMiCUvelzGeczWbGg4ZgIujckz9ReSpPsOGw4N+T721e0QqQv5jX1U6N7fwmLtfu
QYU6Pg/A/X4+VEyqX4iml/b9wjFAb4R1k5vBr5Zb3COEP0xYhN6hEcGAMtsmu0gSTeBL3knvw2JC
RANRE4zJoTVqfUYh02Q7jYDlZdY958xBO0RPaY4d2N9ExAw5I07QI158iL907Dw4g2i7Ueo1eXgT
22hNOayVQbrLTWdfMwRi79KAy+xLISOcgX3sIA+Y0gxHnzs5Nx6RMutlQcbU09IEHdS6alrfjzkS
0o2xiFk3VvZrtctTzw4UzX36DmE/AZldVScEe45nP2FcRJzuyd1k+J73Qg3bYA0Dd2/wBVDSaw/m
P/KO+GJazGC36Vh4X6w958Y0DvvN5BGusx1HbW/7ssn8Y+vzdri9ghh4UrRmxNjraC+Xymdm0ykL
olKrnE0LhcSodkMfh1gwO6qA01hb7zkZZAudMu5EvnF8eCsInWMi0Cx9oyVo6+Qsp7PXdhTa7Eg3
4DUQxp5ODNjj5ZNwQvNM6xLkci/r+VPQuPhsvGDArGCDIMt3gw1mtR2Q/NChWnI0oL415rpzHYWw
K+/bh8CJ9fvCW12EG2WIvkMZZ8CQGkdPVVVE2V7LAqtQy7EF8vdkoPeQ2Pg8jGQ2bQKEeKRXxedb
X88lUUSYpLp2T16m854DoY5OCAbTV1fqaTmayVbRbkLRp+9mV7Nz14lP5AHCi+WYIc6GpK18BsMR
m+87taaEzBcBPvNj2jWwiolyXN81XVHkm5zuA4bLpWdI73QdNn9SteLs4OjAgtihuz5sbDEN131R
TqgY04n9MGqT4ez9Fe+V7Dq1E94aZNum6VR/I6QewYEJHUM3XjVZMDXCgeAiTVGPXSAnq8AplUUg
t5U/h8OxLIa8uFsmx7qnKfYI1en7lXvuOZnfb4NOtXLblcka0p2O02nX0YUF3ylLFW+bhCCpbev3
63w5e5l6jJeab7K71hNAqybH/9nJ2rtE0luGp7mbg+nt3Lja+5ijaK32sVPWjKpKbyasqFv7Z1I7
wwDty4Q2ueoEXXd/KTqONtJbCqhlUaHpbzc9N+gu1xm5C+nkE7GVKeANO3/okunaEqDmHavRBNkt
7JD8dYjmjNGkTkbIpnOZcm9zLfrjGK3uO9pvidwnuik+636mxTNxIGBYL2qRfgqcMfjYccD8MtpB
fOmyiqzVzMBRv87tuCZkGbnuO06NqFca1pF9F3lOeKQE0+89RIQokLKxSPAURun7uPL79tp69L/2
OAGG96ZS5bKzQRcsmwHxKD3KvkZHFyK01dug9olLFsqP0geCx/bYwxqzr8jL+5SMHlPObhJrtp0j
8v92jQzJQhEmF49rFKSAd13PgoBzY6dFBzN2ZFGUyMdgJhh4nSXKijYo+09i0gPU0ro9i+AUkT4b
5QW12faDUy+bLrRS7tSsqCriDP/jwa5ututs6RUXjuvEr03fgpDKCyU8UBis4hcqyhKxDycieba5
yuqYx0mP7kYGbbyXyShYZJoGKUmazUnO54My9NSZQD7nZ1vH8ewl+NS5tP5ZPIoIUKePuvaSmOWB
kJ5cd8nFWDfD576jEbGZcWI/Op5Sjz1d5P5USfnBiWt8dlVQrMcyS7E9qW76FNo6vbI0b8Sm6C0D
pdAHuVjP9WMXyOFm6vvq1bYLKSpuZpYTJ7uB9ZNLfG6KsHmdnRmzc+kxi71IphLlOsUOO9lUFhX4
M+TPH1m+42gT84g+h0PgTY9O4ck3q4yG97L1evjg+Wzv0RR0016vanqvcwcZkwosTkpuUHiMOeWj
SMyX8mJdmBLTEMgWGtxtFCHRiouZolovvr/DuosKxRvGY9CV4dvalnOK/FjXhHWHJbGKrSFyjr6F
m3wYmyqDwUiUyYvuLYaPGgd5iVYf1MZBKukF27GZkZezHK2vvJ+xu1KY4JLjUowyuFbGxUC7GMRi
O2m6+S7rsiXdh9qj4kjTpMGy2hk68rWn3JYSzGiaNg4Sxm02oSDf/udUPCwXX/7nb/Ca/uhUfHxZ
X/6LBmve/HQyPv/SP9uSEWvT7xNdhiV/t3PTsPQ9JsMxU6co/rkt6f2GFRHH9tlN6HlwMP5xMgY/
Rf+QxjlmbszeDJD/yslY/Np7irh+zNwhOs+c8Sz+Mugw/RDFqsFK1oclRHHrxOZ2PFMWGLoodLWX
jhKm3KYNcGMf0PvEH8VR2J06ZrHzzstQ7W17JIU3/ejrq7BNnOXgTcQZRyF2ho2d5+KuF+fvS2ZS
8PczfZhdozlH1XZ2nLve7fWFKp2ZroDJw+JoeiLpEahhjcBKdBb9Gszh5bL29fdm5n9Kub9RMf3R
Q3vRvbQ/Pa7nH//+uAYSZougXOPZOyMGzmPX37voEKNQLAQ8d0AE6LD8o44TpA1Ll2f873/JQ/R7
HecDegkpbGRC+RXBH/tLTyvr5c91HJNGJBMu3hqOgBIh7/lx/qGOiwcb4gx3za7NHHrpXQcUIDVh
DWjbDBeZysuTqlWPmQr3SIQYi5PbKVzTInuKk/PpxZ2zMHuIvbbSjzS5qSVqls/m6PGpIGbsa/q8
bt8PzW01uElxiA2Gh6M79XN6wPuWRZeZCav4MlqRXQFm7jvRfrRtFSxoopvGssYWSXlZGHx374Kl
7HvSjGWKBgClqiePWZl5H9wZrsa21tYlc6FzXGif0VSqG5tyhNl3CVGLu7RDWLlpbIlgyaKDvZdd
T5hVl5OtuMH85oCNZ1iyPGUVP4SsagXDQoJtzc8shJruEzGpVzQLgmgCEdn6OLrLQOQ8xUXT3oQ2
DvRDOzRz8ETv0Vb7pW2HARhvndeOu2PNmECZpvBhNlVDrb4tfBOS4WeXMdhNNk7jY7Is3mMuSocI
FxRmOV156hZnJb53r6xGKy9mLLW85my568vlqdRhDTRXm+JFNvN45xXFuEBL0MJsAEGJCQeaU38J
1ORclX3AyZLqOiKDVYwh+E1gZvmuNfVI9gpCTuqfMPeyA7GZTO3ShlRbAKaUr4D1swAeysQbfQoI
tWNWMNbJzVhy1LtAtKuHfSMdyoayiq3/ODSu7A9ikI3cLrZU854MXwR4auxhJoxtTGxsrBKmDKkI
9IFjRLds5lTzOKWpJYhEJxWXDkwqQPr2HfvtnPYE5IWDSZ+6dHbgDSeeqPap8BkcI5WXcLCdXr3J
4oH4wBafxMgprJRfFB0EeGTwiWCo1mLIrtvFN2+yAjHHNm6F+jrLZXlXLYq439Y6nL6KJCF/tKtm
r9oBtKgBEoSVn/G3JJu4LhFOZedWR2Vk1F0mTowAL8K82e58Oyage8ZZQ3XVkgvQjj9Lbeds3Zl4
TsGyzw6+BkGIM8Z1b0XC7bYj0a+TKeWbZYriGzE3TbtLaJbTlyWCLKOVUdCWN5zdsPBVWXlHf72I
SGRt2w+2qyQsaLPU2F0CzVC1CKt2OHLClyBZg9S1m35SfnyzsAkuO6xiXXWB2rd58d2YJqzw0uFV
5rZId2GocXxUa6/eR8MSoymfRfNEhjL0CUVIsbMtx2G6LYoOm1vjlRrB0BKom8BDWv2Qd0qDlM0G
sBwNvU21WdpUgtehsiHbiEzkF8QXKJqVmEkwJSs7P3/do/6t65QdDFaF3meHrU4T+OcjRthiZq2b
mwnl5bjhzJcjZmicEKp4VAdPSRH7/V5IBZqx7xJk8LYXOP07GsWowqdl/qx8N8Mg1YUTg+45GO5N
bodP2quSLw2n9GXruuN00/IoDHy6OGE2jZN6hOiNK4GCtJYhamufZlQfN8uHKG9j5JxOHvFQZ1F0
X7rZWO+mCLsIdohEsRaGTU+jvSwmqPqNsN6F4Z0126grPGyFVUbUbulMboBCjFdA47yp6CVkw3qb
2wnvXn4eqDMAJCSaujwldzL0M6YZC45tHOJ1OhNJxVr+GY/4UOEoto2h+hjLYpvQYwAY2fSAAJY0
MQCtWD1uy6BmJFAKH1pb7tAcSrPI/9TiygRXPAXiOcYH6W3kav2rZQpp0qym7d8EKnZAVLHo0K8q
kC7sBHmm9bZh6OEj6JHeGxCAZGiVcnjDiQMeVypAgxyLWdNggzqm0M4GHoJVVcQAod0SaSoaPcmh
mSESnu2gUs+hn1LDGD41ImW08DKSNOs+pRcU8MxRtDkXPiSubZuv494vsjvDTpWjoY88leVnZelT
QxV8QVIvWHUcOCKPx2tuF/Gug/ugw3S6y2JCWjTH96ZM9Rs6cldl0bbEnRrILX1+t1QxKENk8F32
Vg08BF1OnMbS3MOSQOPaO8SjyPFeLOeRT3sZaXAqmylt3GrL+l+fqkxAHuNkuZuatqV/V1/S77vI
0pVozr7K043o37HHEdxTqjfkmhdPemEyguxu7/IiIpc07M7aL6k7HxGVvYNldKHyLN70GR2+VEV3
1H1HnYSfpnV6jAcn2nbjwh1RfnOitucr6+mbtS3UQffOMV+LT3Wkn3qG2FvHDpe0LYKvjTcfaMJl
N0MsnctZ9ANpMG5VPAdYJDZRNhJEhfnrIpqyx5Z/wdOKsIF1kYSMqsIVJVGXPO8bZW17ggdB1Cnq
3A5JUuXC3B3IRsAbvRur1L8DbENoWU6wLS4Bne6DkRaa8mf5kMC1Oa2rjthXMmfLGOgljlcOqnGN
EaqvwTbm5ZWa6kuEiBV+LjJheuDBefVQDpoY6GVgzAcyEehJeKOdqrgC9jE/xIYdJWpnTZKkvp+c
+bawuX2sxhomcUV8cLAUT1OXmxtu+7iRcIaule59JonzdJQmxaHaStRPbvCQmQR2dYjS65jo7ugb
J8Zzr5/aCiOqitl585I+nS7slR+ox86vklMb6BsFm+dtzzQLiHHlPXjWB+wQioe5o19Yycl8DP2O
a1etvIdVkO3XyF22ZmCrrnzynCT0V+K7c9HvQmOGt+PUmNeQRtN1QGuJ6OZsOSyWvNbBmes71EZf
/CIVF61jdvViWHcWRxOJHvp9skXW/LWvvbveR8S2N0EAd29J67cRwdAbPVMXV73BZp9Y6CJ4Lmnp
+iVJ421GGkCGfbxJBqxIMp/uceLrnciyx27O3rsNxlZqfGDNdPz2eY5ZzWJ0Kaf0c1kOH12sYMUm
wiTz1knd+jFCF3tQrRaErqunwq3Wp7LCgeq6AecXOjnlwox9CvIROeWEPjZpt21W6lPaiI8lR4nN
bIMv1kEoH2PA4SC7z5PUeRsXJbveWEa7cIEw4hXquvFdjVqIEJUs5sya19e6ncLbEvzL1hfzTe91
fJuzMCGSRgtxMQTJhaMROcBmfaiNWS8WPOO7sicadgInwSSvvMfUCLxTlG/UtD4vfvaaWwdRiTMt
j36oi4/wujxlL0BDeUxlw3bNefOmoctcn52LzDrpx+xZUH2v5etsmE26C9JyJICjvvE9O0oACYOe
w1fcv8AfWAWRwu4m1Q7cIxv0/ZtuQOx16VfdNIptkI1J+UrPxC9j+tTk0u5jjgorac3wNIy5bTuZ
4ZEqp3ikS6M13uXPo6R9ne/rYfGIOeZMIIy+DVfHCrXRLZPey7phNoNT1q+8EMOAhLrxUGRiaN+K
nJbQh7Cq0hiiBZ64RlxGC7b54phVWe0Fj13leH5zL6PKnTW5HblrzD1jqFL296MG+FUQMd8x/N31
OBpfGbJiUN3UMZjVfd9E08eA8fqmzXD1bf058hj3j0E0H61oojcFzLFN5eJBPkSNxFKIqxKI8y3a
MEc8FUY2z0L4DeMAP/Pc902eBc7vQ9L/VLVUtZSD/7cg/7Luvrz8rMc//8LvbZjkN1Sc6GsoafH/
xGfT0O91bfDbmf4UxKhY3fPIm5ry7+owWKTobJEGS3Z6CR7qx8KWPwBKQ7eOHwiA3P8Vddivekif
U3307foUMT4qtV/G7djSmaH7zJWSbPROIUb46wL3GrbZtkviE1ViSYQVKeoXQa+z9eDE1a4MHdCe
fRcMVylS5YveE++gGbcXUy7nB78dPtgaFCfymFsz5suTU8Xi0UfKziTGspE0oiA5bXXX69n30Mn0
zXAv3JjwobCK+ksxeQn5OTOrMlKPqOoOCaZ0cUnm3eAfpBYV3F838on3jljfb1jsLSMtGZlcbZgM
KP21DMuwPtNfAjAhog/oLCdpJrHr0kLl0DMrH1PUUFRRJ3d1kM7zZokDCCp8KxkHTEF8NbVj1F41
cSb3a7Mgkq8KFiehQrpRbgcjgxFuysLZTdOFrI1PlBBTRbqwq7lhT+8qdhf0N3sMWt4wb5thWqPb
vK8z4irZ64j1shyy3qBHbUjrwQEBVB3U60U/zCRRTmvuMdVbMw76RFTGeXrRiSZ5FDSrGb5qPqeA
LIYia69CTdOL8XD1AY3NHF+XbcP61s7EjKT9Ot7N/aRxIw/Tk3QrjwBSJPX2toTotGuhMMQbEZok
fBE27XgPDGTLRzdaTEWr4dvSt3pFWqUHFh7F6AJlakVWBniUMQO1IeHHdP6snpgfZuFFU0jVF1sE
fJFzmeikX6EFIvwnlBL06WcoHi6Ql7oI4yt3lBxdfB6iYVt0EdHgVlojwVyjDtvOXJTKVqZFfQj7
wh4aM3TutiyjtXpZ7egR2ucpttSwLRfxlSnnyumsqZjFTgvO9SlHl7WddJVjG8hD8t4phj8PfkF6
+TxDctwaFbgf5inM0/M8PHff+l1J4A8dB/VukGP6UgbrslKlJiFBTblOKCmKTL8FWRgyx5FLebbE
xjUeYS+2pMy7heS9NbW9ktHMdu1Y3GZh0JTnroEQd30am3UTYPctN97IfH/nZFUOXkcGr3EgqgiM
gZJXikMeacU1qmxmPo3mXOIE8bXjND4x8G2cnEpRrjjp9LS+qdbYIYeSvYoQsjlIbrQr8W+Xawnh
g9Fre/DXgtF0Wa/LYxfC99rmk7afZA56glZPEH/J4t4m+Mdm97lbh+VJNLVPKgSdU4LkbIEIW7l4
8LbMbCt97ZsReq9dEPodw7pGFTRkypirlBiAYdM6dfvVqqVV+zGowJUPqJMcaqJ0MKcQWfYNILj+
opCyvPIc/EjwZ2xQ7Go/GIlo0cvoXqfSHciu6Ex7/kAiwEVr1nX+PggU57F+FKHcmShx2Ccl7TPt
V++cLlyb/RqPPG0MMqpHd0jyXWRlcBu5pmecEq35ITdmErsip5AgoCdjihiEGAIf0P/N5WGORfMu
7gCd28QkAr2ZMz/nXaXfIChjLoWB3YNoI+KKceTIfEXyD8WHNo4JPeoKcotDN/N23uLRxvFtpIru
GCpkKYdVzb0+CP+aXZuSD1xJVw2RhNtUVht3jIP0P0ohxEDfZiLiDzfiKzu95MNPDebzL/yjwRwI
l6cDZ9zvbeTv+3AQEYqOApR0ATcJYx7mf+7D7m8evxIlLtvP75v33xvMEiY44h70NfSqExRDf2Uf
ppX9c4NZoAYP8QmjMzsTyDG4/NxgXnRsg6rzm51Hy5d5B31DWoAuJQIQ7Tqay5s0QQfyXhEmN4N8
AeiMTY1+k5mxANhomjdO47btxqrOJQt4TvNqa1KNalEOtQJNnQN48omSz7dmVC102GQGr1blWYOA
yGawbGi/pDSDdaTp0fWmN6dc1PPnLi0WsXWU6+SY1axHBuEwzpe1m4Gbk6P0HsicT9/IXDbTbi19
vnB0bMZ1I62V1C5eSR3bNB6ZRBDy9FbQQiW6PW7NBX2EmbympnNvHEXE/EnBAL8efNK1wDLEMHqa
wHMRIvhrDEYRVxbKWFPLhdmjGva6XPI7IBi35eDzieR5/kWo2j373pxhuodYlX+gCxpSW3dUUCcn
Fv5M/49k7jlR75BzIg4J6Ukxs1dBSMv13E/nCxvdQ3IAR6AiKOdfEls4EMlSQ/BzhkkwvJToNdND
GaH+3nPKJwh9qXOy7mKF1klmS9fcps5Sk4A1Ytdkb0CadWvHbJXbKKU/NCJOO6Ez9tYj7WqRPZgs
gRPipmLA/ZwP6n7oWmH3k6iGS5HG0pwKUTdXc9ua4FOULjm8EW/wXw0tRRbvpLindxXR4uAD3uVR
Hr0Fc15e9x2BFJtuXhf+dOzQATdSgIFa5+Zzpod14xo/Dp7DFMg2AtZvS25zGwrM2hG087XqyEQQ
A8DAMLhUZVe+jzVzkC2nK3TWKe0OGqduuLeFDwY9DzgrMsfJ994y30G7pWy0HHtGtpDWpNsEET/B
l7rPk2NRz92fpIr/wt+E25/QcGe0yf9wOqY4/Pk7FNRZwiOyIn9I8/xwbkEefQAeNBAjF4WBptkN
JY3j3qYVuCLgjQB2M8ZEp3ASzZUp6vihiWsoPbLJbpTxzBN6UgLqlmz+E7l6wNTqR7X699caY7tl
roSrwf9FUhoMi3I1cr9d6rZnJEYhlL5XeS8ld7rQ86ZIUHJscpoQ3anx+4/MWdz5SjS+TvaiRd2i
uxLRctKDgtnMUza9RkOUvgLwF9vGSczJgRX91s80u0xRdZyJ4qKorzLfRDuTmdeokDdiiuvbmu/g
wTDNQbnfW71LcRV/hVdSPDTNOnys6NWDqx8N7iN88AIBR+apd1XoOF+XVBHEA6b6toqSGnliKxoY
Oj3/BFSzDArSrFBg20qj+MioJKrv43/cQunX+v67V+FHr6b3iy/k28fIPsu9/0ZsiM5//8NcDktK
PE6Zb3eFzsM39ZnEaNvoSWe5f1rScrgIXXRtBo3CvqW9jIxqiF9K1/b3sTNhqIdX/wTyz9npclyu
JDLnQ9wO+rCcNWs/FIX/5rX+m5canU04IUs8sjlxfiJ+eKnJaDLoJ5AD1s6372m30ssvmvVQW9c/
0vEjwpRNihvvT3/m+/x33wympBiu2fqQVROS8/O1E5JlqqXnaZvD6MLoTp48xhM7xgfNo3RG71ZU
PmP4vK8ODLyJnaxxFaxJfaABvu5dnXxVVepcB4tf0Y2V/uWs6eX98Qf0q1WJmynZavlwcCG6gqL4
51cpCzODzMzsrpSgGNauBCKV9uptYy3bxrpQWfRwuwFpLtbfleBL92oUiO5j/Zyk/XQa8yh49gOW
Hd36zm2HCmzvybGCvSuX0xyX9pgan6ZjpuCgfXv1f6n98f/N9Maz8MMt+hfl9V31S1vj/OPfT1Nh
8hvLrM/mgFs1Yc3lifp+nAr/2cY4cwUw0uM5E+e7SYvjH20ML/otClFHs0qfeyB/sY3x7Wv+g5MJ
Cx3PzjlnAPUA/s5fv1v5ABWsQugMelGeRSRoQEgxT3NoV2DuvfsR38twMY5ybG8cgJqMfe1MR3Sp
mcLj96e23jhM8V4bR030XZ1G3RZ+TSJLW1kmfOe2W7EZrJcwAmtU+Fn2Ax03kY6Ni9ZaanKHdYWR
U8CBeQsz8Iwobsllz5u6WPDQ+QZmV9Kwokdu6z4MCMqezbqGsPwyee7p840AA7imWN6p+nx98rwO
SxK9mIzuLj6cD1WVeN3OnzvEWTqJW0wpbdt5hzBE3LUHg13bg09pfRlmslDHqqXbs51ss66Xneho
vAZL7+l90qwVO1xYwqDrdY5CMKn1eDUPmlEKPc+C/58L5sR5uiQIEdM2ZO6FVOy0EpYQbALKO+cS
TZ2vd2jFxdvR401uaxinzDHi7vKHJ+7frJrfNu2fbu1ZeAFq+YzjIWiP7J2flq5SeSzXRcTsXyUN
ZZZltIkjrqqmU6TK6KEo0RKrkHpw8LP41u3dISKvII+ijTfF8sQ/bO7/+DX9elbHO0DOWAg9G18n
FcMvKznGr7TKpkTuKhQEt54DXL1uJzbubB4u/VbJw1++HnmAccBF2Xv9f7HEKHcs4XxxvblfD8Aa
8w9K1sOuGur+MzzW7vjH1/v1bELP/ixBoR6C+OHTGP75I7dNryUxbHJXprw17aTTZVAjNlaQI//k
rbGA/HQM+nYplhFYCxRAdAB+vhSQ7f4cLCJ3DnpeOh1z/Tmfmj91Ff3LZVh+UALxX/8bzeR8R3/Y
e/NpwBiY5vEudXy5TwF/Hhg8xt+3gP/zNOKjgfvp7QR+CA8AMSQMBC7HE/LzdfSEojlfUcUTotOP
yT6aQwexWjqJ5XIUQ94+WXS34QdYZ55zNLGfv6am8Ek9L9paqq1hCh+AYQ5CWBhupuf5bp5Q7uSb
Affph4IpJAHSPvY/ctyjxmeG7VeT2hSTm5oTKhfna1JEbXWTpMIZTyReRO+DySEsfB0sD5BmkWQs
a4BY9TBf+8rDuxBasZ3ktFYfMi9oHXyDybpUNFrnlOUO9Q3nJuGI8u0kHNaIAXEqcd/kUSVHaBwq
eDAOUJRtNcWRy+STQS/ozXBMSUJXFjEQ0iTrAM1k6DfKEFdIGHv11q2ycLnUypnDbaojhlGOAe1w
MF5Vo7wx0VjdekCusQJGtjBnhinl1RUaXZy+qqq0u09dbyjoLOYNsfac7Rd1XVEy5/uwHdfyVk1u
Ez1FFW3CrSRZKfxEkwqCNYPepj1msu/NlVsb9cxc0el3RFvm9nlOfPl5RRL7QPBVPq8wyr18uF/R
VRXvKmCR3YNYWjs+uglk8pPMdZ3frNo0OBVKU5Ww8ZsJDcSuQEHpHYIek81pWJuxvV71XOh3ab4E
xZvWH9oGMHKX5berNY5/tdKVXT6hMgN5/c08cTfSRaIMJq8PEjcjsJqRZJPL3ZoH4adFl+XN5KTL
hB2lCUfYfkXffFFpqSELFAQ42RNt+gShQuT1YDxk1TnOkwMVOH7SfOOgSeZWluDy1iSgPqbSfOoz
Wwdvx9XL5ndlkaeGoD05z8epKscVBqyzjPDMV5OeNQ9tqZ6DkZP5pRcHHTnuiEJI1GkQWZenbMA7
kNK4Dkf/xU9t7AxHZutV+zmVZQwHP+W8xsFcwt9mvIAZaKNE7iG0p9/6djAA9zbSgYu+Y9A3mqtS
KEkd19l+OenYQemGliU+QvMQ0bFBom7R3J31EjQCGnnsRytdSDMQEfcDr5tusVmxpmMqsGRmJbr+
sPg8k7vVauC8dkgM6OGpZppY9qlS+1zbkK/YtDTDNp46NVzKc4jFvmxoF+wDWiHTJlJyeZKLSq9d
E5Sgt0SY03vlrSb7QfZehC+VkIm1iJsAec2MOtBRhn6OZRKYgRYRM6gUs1D+5UkDBdhk2bJsoka4
6bUIWpR/2NjG5ZT5TXiFLcMnnV23ycccwzuRwwQYpjvH94vm0LbYWi6iqs2Qra72PAglHhnvEvKU
8xxfmhtfg5e4GwcUAWDfYRifamxSI2wb19z2I4AL1iNSwXZEZKSPwcj73aatw+Yi2WeYdXu2ENV6
swRdUzq7fk0EUnfidbi5vPIy5jpnTRoBuKu5nR28oZtqRiSSnAAn4VddA5BiwTG1Y+TDTG2F3zJt
2llTlrRSZA5O0YlXyJ/H/2XvzHobR9I1/VcO5p4FksH1ciRKlmTJu52ZviGci7nvO3/9PHRmz5Fk
lTRVdwOcBrrR6OysUARj+ZZ3CbrUVbwLqeLRo6apE0jUEpai8NYgunCUXKSpi0cIKnWIZqTard3L
CRViF0v5UZEuPGrHKicfYwmTp2Z6Qglvj54B4rScI2f6qFm36ZJyPQJxdGUdTc30l0G3g4dcYP4T
WKp341qSvMgoR1Fb8/P1+Zd8etf2gqfph4Ajn8JzVJhUgNuH75FdyPgNfSAktcE0VlzikFi4aXpE
oGXT3lqYpfyB5P/tK3j01moCOjKhGvJClEV/i4ntv7UhdRMNd5XOUYpucOqUeyvus2hxfmafRyH8
Eh+AXFMn+j+KUVBbpnCJxaADN0gDhOmFV60tXxLHOTEKvj2sHK850d5H1XYvbigyIoo4CcCK+uCk
ykpT151UmT/Oz+VD9Wb/M2F3QgkDrxxIp/jcHqfnvG41MuNu5yC7S/thBk3Q1W5KIL7RoslNO3/p
E6kb1yqgieBKljz1teYGt7dpVrT1tojQGbkq0h6PFCw2kNjzw8Jun8//yiMqqyZA60+aXgryCoij
HR8glBs6eoNx6DS4nmFYiKmjnsfK0sY08qpDktzxJS34fWr/UVb9/6bu9/9d7m2zwH8PKriHBl0e
tDKm//+f5Fv9i7SbjJeWgYUgisaf/Em+5b+wVkbeC6qGNpkhs6H/YApIxmmdkoyTTcHx4Hb6v8m4
qv0FSXrKL/5g7P9RL+PozEwaY9PIE6yBehe/5PDOMTW2qpK7lVOVubZTzCTcBLJ6v7cYJ9LCT4Nw
v+B3zp2u01z4YHDvXzIN6aaEJk/pdDHleL1U9FVRDO4/uz4pK/CPn8pZQC0o3Fks2f4ooVVJcJ3V
0qkLV77uDYx1QDUug1YibpIlZXV+UlMqu3cN/B6OJhRLh2IPMjeHw1Va4DZAs0oH5acCH8zInvek
foCFkXkKlSHY6FGDw0YjLqnRgSc5MTJnm8Otmx8s+v2JZvWEtxIyI8dtvA0Lz0bIpBwWai1aZ2zb
bAZCjQ6uNqxDvRr+2dP8Me9JDhJ5Saj32NQfzrsdQFEmMaPb9HxmXQfOnrpKNfet2rtQTjiKAhgK
SQDGgHlA8s4eOhwq8NwmbitAcR4dm3kmE0cVCJjO9XoYnPNfk6LAp1VFZs9QUNcRgMTRYTocLCG3
qCocPpwYtkM3L7Im2QSq6eEC5hvpgmCwfLVkD7RWUAg8nwarw89Gb/BALFwBuNLvwlkYh/oO5yL3
BSCPnznlEAXvoMbErE9T82tfRJmj5b28dCm6hyoS+0EpZEixGZkYIpVV9XUYY++LBmLjVVL84Mk1
KMEimzc2ytx160mzDNKDi1SJr+oLX+u7bGl5wMwShBi2vqUH7tyAb4klogvPUGsKEAVKKI0vCH0q
P9yxbLRFawe4myuhSmzR+qr93meBLc2NohpCpygq+FR+arjXZojkZd7a1s4OhffmNqX9AgDJfTcz
j63eIBv8k6JVoaw7/KZI/uo4eQ58EA1IPqYT7LgZn4NRt54GfdCe/TKjCZW6Rk/ObapQUTyij28h
/OAf4GsxY0n0LlSIdZPwJjCQIQbHY4IyR/QQmRDUzb3G0a0WOZvU1Xvg5D1gHbwuqtrRa8geMw3G
DT2NVg7eEP9oKPcZPsgcvTOk68Ymq3LSvB5+5Ebq/Zrotbs2CosGR63C/4p6S/Akd6iGzESpG09j
LToiXiRQf4IZFUiqUA/fdaFU3KjhMC5qU/bwlAwASo2j79+i0ClvklzVGnAjmGPNytIi8yeSACLT
gc9BBUug6dtifRHPhwzXUqijcIh1RHoB4ho3iqgqqNN2aP+0k7i6D2Q5yK9kFe/nWRaXVEP9EYS4
B/4Te+B8DF/cBsoqhOTatelP0DlBiyYN3vI80jAHLnr9OhL4ci2VoQWQM6R5f6tWrVktWgUGtxx4
Krxc9Bwczy1MB9pwE63qrh9/DgmiUogGjTV0ZCWmjA+Po38HdZmhKB8ObxXdmy+SXGKQBs4UegQ3
cwWlRcmNr5ZeqMMM0+sWyoDZql9IvuO5gF2BjkNWG+s2Ly3oN0H7vbFq8VDKOc5R2di+13UF0qVT
cA0s/FS+VxulSi+4xR3XfbhW0M7l2qZCqUNotKb7dS9OzLGBFzX1VWdAuT+s7FkxWFed/Zx66ozG
7iIE7F/pLEdjzJr0MS9+dOIa/Me8sG90e9snt93EqhU7y32iWBOr0rKv4quPC+l/Yqn/BZli727+
1Md4xBTvbT+W+vj//4GFqEAtoQjy6E4aPzQp/hNLCf0v7kEu7gkiOT0XfNT/4DMhHio8WCZ/kzvQ
mLi1f3AhaP5NWBIKp4TIAkWafyQgQ6lzCpf2ggKiDg3+IrwIVbdpmEy/Yn9rVQ3Qo7CWwE0LaYK3
CRTowFzJE+htQoUjkaSG8zyo1ORNSVIsJrQJLyc+oHN4+oAM0wEfRhh9o5BCM99KepzpeiCfUSKD
+s48fsA1HBKgeaafWz8w1E3dZV8CMMvh3dUQIexGCupw7uttoK+F7LrPqmYiNN5zBwCVr2mYoz4S
GL6JdiB4TPDTNpjvIlgMSo39mJGkSC7POKMT6lqp7RoMtpKYWvMYmAAew5k11H1NvGEYILY9FHiT
d/Eby20XdgSnTNT9KgHrXj30v1Hfoa9PcrOgDxN4iRM2XPwGiqt100e7BniLfGchBvA9pISvcGUP
iGIjptKnYf1SxEmTro20B4k51KjxTuh4miSx3ZZWASHEGl0LeeQB9LrXD09xiN9VgYMPLnPKnFTI
W5mp4v+oJOMlc8UNHl+zlu7qFin3qwHuZNiLX03g32NxiNgOdUfKrk3B1VYoKKDUWH5ZYbaTKN9C
HavKWWFV5XZqpS30DEJLYktbftYXN9JY0wDmZBVpmzb0rvGBeuu7G2xTlmnqXwMFdaLCbOZoxQ3r
AMPAWan55oNR61sbl1VEwrfaVH6ptRWsj2VRGZBWo/xlGItdXnatusNwqth0ZXU7Dr6GdyAspJnZ
+fdY5YVLnoZQzLK62fR9dTO6qr6sTC2dubgjLbR+iL6OWtbfGL6ugXBRtnJNBsvGcE0KV5H+2PEj
Z0rjvYC5w2rJl6L7RG3RoB5aeGO2u/K6srxKemC5/UR7onrzjMxLPm+xGoHy4btXbQ4XoqjdDZ44
JX+xUndRHxv2KnCFvMWF6JEM3lHL5CWPas+xbQSVoArpwdxo+ryYW2PuP7eYM20MAz1tZSgsH50u
/1q2f+H2gG4NxRpcVPDzQ/6o3HYSUgajOReypMK324A3uvFSI9QXmRDaU+bZkrfIARaUoLUQV7HZ
CNRX81Wglw/BhMcwTTddtmV/E+AcBUYjjaG+ZRDc5RwNOtvxQ4RlSz9bwZ/B8ihbmXlQO91Yp1cA
xZ6VuFvSbq9niZt0dzz6OKYRjM0JG9kLAZI8hOPlWo/ydqBDOTS7mPoP/+Ow8eNmvHahxy2rhv8w
K1z+Zplh3DWSG0pruaDVn7rpzB68EPeyIP+upLWjpkXwvaSnn4MDD3+aeRPl81ob36pKF9u6y3sH
sLrYTBDnaxO1pJ0RdBgaRD3+S6KIeeQQt7WiUfXng6sBw8y7Ev28hgg0EWijUww1QoS/q0az51A2
dYdZ2Xcq0NV2YYcKws1a1b9FSvyzE0q6zOtEuUGlK04nhe9hm7XIhYdx2hMl+/ztIs1Np+tkyLbI
GKobBONqLIYNZCakBPML5HzWoVp3i7QBm7ZURVhBF0mLqyFpdQ5b2gC3Ap1GT2S0B9FCKPHaZtsJ
NOlvk0J6V6TmtvLzd8M1kL0RAb6Ld0NWP4F8thzqp0+RmSOK04wzv66f5SJDC4u7divr7oYy59fB
TGPp++Sd5oNJnyF7sw6RzaLmNylnK24qflR2nc3kLrWolpb2TrWUG8BJ4SwKbMSOUF+50wwfVFt+
E6SVdg0UetbksXYbtwh0R/CIudHAEsstJG9k3KEW0iiZ50J5B8lkO3joooTVFr/KLnHfS998jW1p
AXeoxS8PTahRxpkGJPwXbDd2VIElaEEQj1TkW7HBsot12IobQkoRAUDUYLpXeRK9Za6U3nopHEqU
LwOn1Gg7peEd3aYbOGylOssiCyCJKYHtbRR2VpNZc3JJa4JhezPaZqQmeokSQ3ethOOu0lqx4Dzx
R0Yvf8HYL5hrduXDn6LzfE1rAY45f7FB3/4RKz18N+Clo9odQcOd2xLhNArLOCnJV0LL9Rt6LPU6
x9vLmZwau1VecGUQ97/3MGK5c3RnrHgwvKxK5sGA0rzwv+lu99XUM3M7kIukxSqzimXf4ktXxdV2
dN35EI7rxjaar0noyjPTbtZpudXHdY/aaRsXt1Ex8Jp2BKtCZ+9nxYtXypAj3J6CHGXSBRX8a1DA
PRKPP7jpmlnoe/qOXpP2IID7/xQI9ufxAtQQKyihkHMXcDnQ47m3a9TUlP6qdqMtghqUlPPiNhg1
1GcSQ37Vq+IBY8Jt7IsHw8L9Rm+3kDUcEAOrcnRvybx2ctZUK9y7yOIyDA81xc++I795m5v6pvOV
XVIrmyHEVUpdy1K/7GH746wM33negxXscXDz5W4nBc3WQ15tnirS8zDoN0Yu3RY1zmFeio2u6v3i
8u28tUmOOFd1/zYADrgs7XBrSe+5ct9kPCpVvCQ4+IKZjET/MoRqQZZhY1kyg9xxpSVBHDhdEf3I
uSez/EkV3y1S4Bb3qTL82YBQ8+D0ERssZVCvcrlzAzHvyUvy1HsKoICj6MZVVM9CCbZzpVA5CVZG
DQ3qMZHKL0WzxjNy1fBU25XreOMvy5DmtDOgzUkOCqpLKMmrJG1ujJHL53WsgjlefXPT4G038Lez
bgDE7Diyd8ST8xh5bzTkVsVYzGBf8wxwGQehE1UIAQTtplL7Va0UUAp+xKV+awXizk+yRYSAFnoA
bCNkUaVvurRNhEZ3rQC2a4XAw1p7lzTTrfglik0H9QYntheq9rOUVe4pNbgDSMp6eZse7Z55ORqL
0iWfB+tkScXWptiASXLXtjzadnaPfAl0OI2GkLr0ceUF/XKb02quogSttbui8j/cd0iJ/VDdpRk+
C0VHN4J+Qn4f2hGxCDHyxNEsuzmgwdKZ+t8r2U3Wo7jSh3TWtwJ5icpRMBjtY1JhMvlNhyetY7pQ
dS39toO7De9UAbJr5znPsDdW92MhqWtdw3E1k/QAlxriUkxBuqKqdllYc/bT+ivEeQxic1z/ZoZJ
E5amW1Deq13wkJS3JrKxqxaDVErS461qVddK2V6r9aIUIIRVuBkQ4hOTKzKLHnRoQy+9sNuV4fEF
IrPN7XkI3S6DfjFEd0iXrT3+CjRL2wFe8ugRicwHXW9WYB9RLxqUZRKV16WNbEaHAa0l+4+FiGUH
jgdSvmIdx1dZHQogsF2+4N+UWBCxSzt/AyGP3a25HuULg7AnlClXWKr/5qvG2jTDL5kHHg16Am4h
/sIHHiuKAEZStcYi70ll5BTJ65lkyFdUeF60AE3jybVhVG+0+r6AvoVJT+zkuNAGqTnnLXYSwNpd
NmyVQB6g47MwaAOEa9+UQl6MeZJbqyDIhuXo1QuX4HjANBFp8CvAoKsYmS0/ltF6JsTrktTx3WSZ
S/JX3M6cqFcoTeaPiZbdhD3tZ0DVz5Vcfpn+llHGL9AbH4NQerX1aGe29YOkyO+11D53dhHOSkKC
mQ2CuC4ipEmIpG7HjoR4cJdFHC6TvtjJsbKRRALdCwlsX/YgEKmPilY995DaRfYdfcIrj47zjBbj
tRwjxJcYr0rVf7Ob7ptVmjuvkRfGiK5Z0NtLBPyu0iB/7jP3Rmv0FbpfxpImS0IykqLeUcviuTOp
m8BYche6pQ/83YI7FziWRNFnroOgXauBhuLZOJexgS5mXm4MTuJRoQhHa4bKy5KkIJgXdMq1yeG7
DbCsU/ti5eIMnRPR0whbAFVfNHha1yKG6LWxU/HNcvvriL1S93CQXFRdqCzxY9WFgSXwMsysjQfu
QUpyJI7tfqU3pFOh/w0NMdQG0qFapbmMPIVwehXFQR9QPLdjiJiZ5hpY5777tbaBQOpIhf1mVtKT
7ZpPXowTJbpGQBXAuxv9dz1C30u1Z1pOqUfFJR4o+q0RorGEkgEiFON1aKP5Oer6hn58eG30RNea
nq/gO3ILCSJluv0RFpVC/yp38hWt7IWqJkuzy4HLZ93SNIcHlMbXlGBuaMJv4fZQww7n3DKLospe
48hYUG5yOhm+n1kBAQCvocdbcHbovN1mcj4Doy4jZinqdw+D8mZM74OhBVzXzLKsJPirnZ410tJb
GUX6BFtGRycydjuiKk++H1UQ3nq70njdIs+aAQJ24PS/UgDbSYb0UtW3Zto/Frq/qzySFe+tI550
+sFeeoaxQ5PDCevuJWtFMfdjXo8xkqKnfLB4H0Q5opDo3YTVpAAQSO+GgP+DeAiFuHHp4hN7bSg9
RpeIkQwyyUsR/4g8rEa3rqkT5slRRobjltVANiSs8IvZRAiUW1pPLE5Zyf0Bi57KH3iOfnzwMzum
PJnmtnZlImygANEf5F9mFao/lK72HhC7Qj3QVQLjDQOe5NWWq0SbC5DX76WLpdK8CEOel0TYwyMq
QaaAczAMxQ44W7gWdU7zAUxJCmXK1ouKmx8CMalNpNy25HDSbNABk6AsIkpELty6fAN3FBLl+VYs
5qaLtxF0axeb1Aw89ZRqYaTGm5X4r7GVITtSofmwEfrQGnO5aVDUsGMVsLsVVpKM40pTe0tTNOZC
ztx+aRol/IxIT9Fthbd8Yxh99kWMlMka1ZdfRWGD7UZQFHI4+DglnvXSgDZ90acLvyRIho+vYepu
JZP6T9DEGZZ56GenszwpXcBmdFOvUxaX6KpVZTBoUIGe4Uzi9cG1793oQUvxvoH95vL8DeVXLWkm
jkUZozGqiqYyllgEedvR6ib7zCIMbvhh3ZMnNfm2UyWBa3Mxmo+JabJpcGiOnjA9j57AcOjPsE66
d0lXuhxfvdKOSe6gikImnKgKqJyTWXS9zPMKlTUEuaLFBHBqpoElGDXPHSmqm4WPkKsOiMLkwjDn
Wku6SaJcGg8uQJUnqIBAVpKhpdir5IikbylNYjsK6VM3lpWRdvTP5DFBVnJM4YvqRqBjoDyRFbUP
3iIqFib28XFPmSmH2EhkCcdxVCa+I9LGcB+1Dx5k/cGJ9AIlfFRqmo+EBBNrMqcAC4BqIlMGUSK9
KB8My/iDbdn9Zl5OJEyKw/AxYftSue5gaSKRDl+z/eBuAm9IET784HT+TzX0N0tOVemW/n1n+TkN
6l8//+t/l2/f/2uRBOVb/as6LI7y1/80micAN1gZywSrNoG0AbL8aTQjFIiPG15MICphqu+pstFo
lg3csyxMpujq2RPa4T+kOfUvmHbwEHgGQW1Y8Nr/AXmdf85+ZZQxoWsp4Md1VC0wCDlqrxl2khQx
yh2I/1jtMtLsdB1Q+ZjtLc7d70rrPsXkc2t0mt/kmzXx8qj6HtZfLdEFAr0z1VFlvZxLWSdeYfZm
vHlysFVMU5oVrVE6SECLqY2RXcAaf25Ywv1lVMXEnglTtaPh4zFIMtcYgD8DRVng+c29q/jCEWVu
XZjpiXYlQ4EpYBhVUDI7nKmIY19VpV5z4sJeahiAdgYxQhLikzWa2NW1kFewjQi+nV/gE5+R9QXE
wEfkvxx7kpVtKemonTBDH5vOxLWlZe667e/mx9+iko6QUNNmmQARUx8f0iTqk4eTQyjSGC0XNTeZ
nHA79HH6KjHuTAkSbSujH/fj/KyOMWDTgJwXxILBQU3Y7aPdaedFpjSdCQEBsuRc0etkLVEHo4Lv
qhmIAtTrmrlBerJsVNV4B377GoBGheiu5M8XfsvUQN/rIfz5LZoG2YJ2AvDaw8lXFDpMxfc0RGFb
bNIM0xn64NalcuxN7uliREUM9cKdzm9eW0KZNUFmvHpolDuS3BTz8z/nxJZmZf7710wdj71mmZVU
cmBj9uzoVL9BCldvuK7LGxl7bP/Clj6xt3RBzwQCwYeV39HEsbGmJNGX0+mp7DW98sc4r9QLvMOT
82FVQE9wJUKxOpxPbE6i86nKl+akbuAgU5MwQ38FISK/sIsvDXW0qTS3tnojRPkG4WHeftOncNLk
O+yq/yG+7veWAceu2Vyv4DKO2k5AUKkxcSM5OaWkRWbKxXUnGusfbwXANZwO7jVIkLoxzXdvKwBV
rrXctAjXqeSv02Qc1lgDJWsCj+pfDAXdXkeHxcTaQUxbZW8oAKoD4Fszx+kvqV+S0JNWo4WMGASz
8gKR7fOus3jaaCrKuO9MreHDoeomCxFPkXNn6EDV+hm5Nxldvzh/jKZtdXio+TS49aofTwNvw+Eo
A/xtWWRK7vB6K7+MSuDdM2KYLBvUQju0aL6Hauuuzg/6eQMeDjrdNHur2PRmkZguMavhKtYL9aaW
mpBs1rgh2caFzf55GadPBcWGbQiSZIpq9sfK0DDRdBjWfDHQDXVvAxrWavdC7/7zw2ALAGvT7rN5
FpQjiKxQLALrVq+wuwfQJarcXNHf12aiS1hGRdJ/+xX/7UN04rOBn5yQsaapT9y4w1npaIb40LGo
81XFVI5DG3/umj31YeqHG6yWmoXtetmFi/DEdwO6OS0iLDyhfli27n03M/M9YSdQKyNb6HMjLZNN
nJVIeIdKeWGCJxYUbCI4QxoWtgy5+XCCvl8gPtC3TFDGRjrTy+ZRHqEtZDkFVs23QSid35Mnnlpe
WaSDFeIW1Dn1o1ux8lDqxzWhdCKZVqVa1WnGI1fAE4s7AGVuUKiorWWl/pYjPot9XN3U97bSFfeB
XeCuef7nTKMdnUvi3ilUAwCAvNPRzRnUKVYLMR6r+kRaQJI+VtKFUtdIRKJEXeDwiJQiai2GMlmV
KeElB6UTG4x7mc0Ms40FmfiY+8emTVFR63zGb+zaXYpUwrCsA85ETvnWhLa/LhpcU8/P+dP2ohpM
CKFO9x5oiUmvan9M2EPKWNfwi1UlDRdVG9CAzSwStyz9dX6kzx+boYBHGsRX6FXZx3iIvBaeZVTk
vF1KPukkpupeWfSr1qVRC5nuQaddDZkbLuALa+ZcdX1zbXVaszHjrgic87/mxLzFROe2Ueli9sd2
pqjRwqtSIQ/VSanP8HUpHvRYQRpSz8ILj8qnY2WgTELCQ+I0bfMPCNLeCR5TmCaSntROLmf+ogxC
YHQYjD27mIstvaGxvp6f2qfbl/FUXhXcO6hoA445/KSGRP+9dLkxSt+2f0Tk6EsbNbD1+VGOoe8C
TpiYRFkgZ5B6ALQ/HCZsXbwpdcwEAJi510o1aWhlURY7tRSo9KW0slxEfVNNeAp/iVRuuDCjPth0
uVXfoZHoFVSpPY0aTB0szv+2UyugaxP3FLA0xNOjt85A6pESERhjHXkY6HuiX45Z7F+IHqcJHlwX
Bqge2kYfQ8B1nLbY3ncNcKT1Yn0EOhYFOW4v7RhtgzHyXCcvGvVK0NndVVypjkrrdaUHti1d2MTK
NJFPP0FMDARaN3izH90YHubNCnJTleP5kbqABICeiZtm9A9U/bpBQhd515yes0yR+it71L6rOoS7
rahCG2MslVUO0PHCs3xyWXR4ETh7EYQe3yhwHFUzShtOlpsFtFNymVxh6OSaNhz4mJUcyBTlWjne
ILg6rrpez7QLl9qni5QvA+wKRrluEDkexx9lbEHeNKetifLbbc5qzIxoiNYNEO73UbJ69uioXDjm
n6QaKK/pAJOpNAhBc/0YBG40OMp5WYwElim+aOVNmtWgAiUHFbCZIaS5ohlrYXjz3h9ghy8pKq6F
+bOFXFZ1+NHRtU288fb8Sfi8EkD5Cfy46ibM2zFA27eV3pdLmh56KZotjW71psqV4m6E9+dI4Ugr
bjDz7+cH/XzhsSXtD30BiEvmccgyFLgqWUYmOxhmhdfDe4S+eJ8nC5625EIEcWJ+PJm6Ing3gaDr
05/vncGk01LwXtHogNct74EKNwuBLsxjRN925caBtR1h/F6Aon/e4TwbgioZJQ/ej2NuERaaSNPQ
ynECdEcddFnCDW3RahUPmM7SxLCClUvTQ2DZ2ww3tZqP6/ML/PnxYlyNgImHhcr2cYWCLpYOLhUv
Orls3DmMTe/aNbPqW1fG6oWhPl+lKFYSkagkXqzwcREtD/MpHhvR3ot192eSusFL2ohv5+fzeRBM
k6nucPx0NEQmvsz+V8zdATn1Wh6cYVSUX1Lmix9BSl/7/CiftyWjkABM8puyTIB3OEo3wORU/HBw
lKaM10al5QrqiwHXdUULBLce7KPOj3hqXuQlMlYQPBMIjh2NaI0DmEoke5ETl1eiLKSd2rX6hdvu
9CgfmRZkIOLpo1Fkr0RKFgMqXYqgrIfAZcYwiZb/Yi6ExoilU42CmHg4CsqNQdcH1eDE6OQtkyo0
rpHU7y9stxPfCDk3KE02TA/Qs9Of753nCF4rhTVYHp3aq+ssK4x1IrnFA85xvqNAgrqwdp9PEqw4
StEUF9EeUSc/y/3x+qgJEZpkvMQKpI0IJckGhBmnJgzY/tLLeGpy6AiZ01ci0j4mJVVxTcG5Avgk
ubXvhLSMQxkjOjm8Y/ekF3b7iV1BSkUSMV1S07N0ODMcC0qjGHArKZDnJl2CFFzjMr86vytOrN90
lhSQ1BpthmPhHxx9qE5KOipOmvcrQUeMOEd8q7mNrv7NQDQfSE2pzR5vcqmBU6nkAk3spkgfig5R
MpQTxq07XnIOPzUlDOEFSjMqhKqpc7K/JSQraQPLxXxatpX8TmS6mMyjc+zucFc5P6mPwvxh/DaV
tf97LPVwLLz+VM8yybiL3PS2LYCmci6ANPdz7j/3XtRVayyRn1Yq2rrlmBJB5X0NYdQk5hMDIhy0
bkVSzRB6g+c/dCqarEhjBtdgsseHHpuv9KmT0vxXCZ1fnQ1RMphOMmaR6Zyfyke15XgqkJY5QipR
EDIkh1ORSj/EXTNrESz35AWI4WoHJa7+imllCec0sRem6wJhSfBZ2apV4K7Q7c3/xXacFlQT8KaJ
/ad4ee/6aAby2QEReqBBwLc8BA1JuozmiuqRfmGoE4d5CvMIdBBKIrI6ujmGOs8gOHatU8RFtEuB
F4M29KR8WwIMn/zUi0v07JMj0lGApwJ18ZO4i57C8W2jusWyperXgTCaVWl7oCw9gO07EeX+3flv
euIK0YhTaO8QI9GuO75Cxsrigw+Qm+0sAzw2gOJTjfDCzjkxLSiTNJDgcBAD2NOf732zOkaXqO1g
nRchkkxhF+NHHoXlapSD8laaRAHPz+rUTuXShwtNdRURv+OQJsExwFCzuneQ4GhnHpogYKlUUN+o
7D2B8pDeEgGzy7HoIGL6YtvfrYYY6NLZnzbI0YEhhKN2yWtA1UmfVn9v3rh4GrHwBtQrjFpZlFGU
riVK6kiLaH6z7bXYvxWp1V6jyo86sQEQog57GQ/zEZXMuMnvELOXKUAOk+phliz9rgLC3XpI/Lsc
RegKtKlGS20uPNEn7sepHSWTVCBigcTT4e8eSF+AvkgdVpVDIM8Q/OhX+N4qd6j0dj/Of6tTO5Ad
z5GeRKQg1h6OZXeeJMtJwhr54D78LC9m8Ni85b8YhcNs0etD8+H4qewk2xrVHB0RGnjuKsbBfZPb
rX9p333OVSgXQCsiEKSFbtrHC4fzInKSk7xC4hk/u7ioGryIfBCikWvYaznxEI5Vqes+D26SAsWF
Q33TVnK8toXxLndmstKJSpaDGXl3utaiyDlQ5Fj1ity+nF+Rkz91UqCYDjjY5aMz2Qe61scZ606N
A9+IPEi2sVeGIMYwaukQip01Sq59Pz/oyY2FQxvKG9StYGIdfuzCVnW0czPga3X0pQTiP5dl8Hye
PSaL8yOd3FZ7Ix1Nr6LAGcoZI6VtCgsUCPXOH+PuQiHk9HwgftG1Rk3v+EVsEPXEGqhEYsyyvFkJ
uBExkRrl3VS1w0vJzckpwbKh8kGjGKmAw8ULI7dBAIpLLeoiZTlM0LuykvMLUzo1ylQ2pdQxVeuP
I9jC7Hkw9Kp3tK5r0Ir1m1mU9/+YVU7DY3+Uo3cHx+uqUATMlYRc7rHJ9Nap+2x40XIX6b7zW+FE
VZrBpgotm85m7Y4WrlO0QQ69umMbNB3eIRa0ICmtuk3rJdaXrrSVTS+s8mufy/GzGgH6dusmuNaS
wTIu3RBTjHT8JNA4Y/9blBbxAD38iC34LVvSqs4ZVCXmpsdAKZH9Lz3ifFfwzt9bEeB9B348qCtU
8/vAWw7WH+GOv21znfzG1IpQ1CbYRtj68EeEjevL/djjD20X+UpvlXqGq3By4RU5oQ5IwkALFCEY
rKpBrRwOg7KSBcKVJa9Kz7weEy+6xzVKveGtxflBdY3JDd0zF+EQpd8lCwFaF1/UryoVvTfIIMql
WPzUad3/PUfxq5ZHZgeBvnOw0h1nTckC0M7IF5mK9vv5PXdqhTWbR4AKvQrG4WiFo4iwhE4ID8Eg
8C53NTDJOTZS50eZTsnxZgLpNZUkyTj1Y13ysumsVkdd2AmJ2dEjBi2ozbqp9XSvyRHYcIx2YD0N
FYUq4YZZdCG1PjVL2jzIDZLvkiEenWJatp45enrnIO6cbIo2LOd5lJQP52epnPpuBigrYin+Ban3
cB+phR9BdKXwUYrBf4tV3Qscc2ykp8n/4VrJeuhCfdhWMLRS/4ce2b2PRjvYmPVYK9KXTq3wqdP1
Mpeuqrw3oJvERnhhKU49pyzshCowKYxPDqn7oV4RFUDrW7mjqiGLVeLJOKt3tXk3WhYKtxmsQAys
9KfzKzNdFsfffwouMZZHndE67ibiMxmoUcLFNmRxsAj8CiIhNtWNoX9Taunl/GCnPrbJ8tOKILSG
WH04QzVr4IANnBmaxupGFFY9k0O9+RfPD5g+Cw0wLicCk8NRWiWC7RmwjqI3IACkyd1Yt+Xj+amc
OjemgXcrnQN0wD58d/bi8gBwNXE2PYKilhE0CJVEWnhdFFPHL+tXV9LsBS7p2GrJnXJhfqc+mQmU
wZ7MnenGHu1lunRtmAEUcoQHDQrRM39T5Ch/LBIjgqiayEn0fH6yJ78bnTyD4iRwq2MVzyLD0ZNf
1DtdZ9sOjEHNkbC+Wp4f5dQZZUbA6SY3Xgqih98t8EvV6gKld1wXcqioehuXwaFey5C/Lxy1U1/P
AvwEupViESjTw6HiUsOSTYlgVHiiu8GdS3t2TTxM+tKTsIsx1DXq8t3XVHXFv1hKiq/yVCDl8dSO
jkAumxVtUkRDE9EHL0GWi3mSIFh3filPfTAqG1SmyIcwmRKH8xthswdtLLjuKiRlErtLxKxTM/vf
3N4YWkxtvAl4aB9txZynODWQNoRk2ysLu7OHK2PAtvX8bE5djHQuCSeB8bBoR2tWeOzIUut7mFhu
t2tQG/QXHVrNs1K2SwPFnETCgSDuLgBdTpYAsAZRGHrS/jjeJVgSQR9SiDC7RoPaq6eFeefWQ/XM
7Wis3LZv1xU40KsxC9vbzvbTu3gsXs/P/WTkaROoUF2hnkOZ5fBTaiM+g0r/f9g7rx250S1Lv0rh
3MxNU6A3QM9ckBFkuMyI9OaGSEvvPZ9+PqbKKFU60tRFA9NAnzrIKimVYgSD/Ln/vdf6FndFSnyt
m0pW7/W6WD7FjR9505yrr6I8Kw/sFhpnTBv8EEHcaqcgJSfo5y/lRxfVt6/ku+dTnOt6SUQYZb1e
drj3QtmNrbr6xbz8B0dBOM7Dgc4BTf7vCwJYFkBwtYIie+5J1u0DZcb4kZbSLz7dHxyHypUams4+
VfT3098yk+Qya1pppYVNdhjjovdq5jy/OGc/uHSZ9MpMx3i8Mh/77llETmtVawrBQaopYL3p9ekF
tG3u1Yh0mAQGGp4sRA/ezz8pi2viu4c6lysYTEPmkAx1P18zsRwSxxGmRLFWoXyB4Sh0YbyPToL5
2yG/qd7BiKwckRDuBRVRir941z9YydHK0HtE2b7ohr5713VYh0kYBNLKkjrxlLEdWht5PV0Z+LR/
/k5/eCRaYxSOzIK4YD6/U9OS5iDFMr4aGnPaV7Cr1jPJLleiAubp54f6wQWDXAbQ5jLRJcDnu0NF
hDkMfmRKqwmNmT0a+oBdJ/RXPz/KspZ9/9Gxf0NlgU4A9ed3H51Za34NI1oCYGYgZ7L0hrjRpk5n
T+z6JDgL8jzJf/HOfiDSoVr65qDL9fRNMaMnTagTqSWvMPV2bNbDUPZ6FaPtHC1eziJTc0/phmyt
CkaDW8AcJc/ydfVWjoS9ieu3iGCqkFLWvPz8bPzwnNP35Wxg0BJV+fML65QOpRdt1xX772o/ZVO6
YsPd/vMlx4Rpuoj6qKz/juCB4MKoA7NdCkTATpM0WEcIR35xlr/qbD5/thT1H3DGZSbPZuvzuxGN
brCEBiBZLszGsDEgtNzPuCzJh35QJpxwqVknnvaB5gVcE14XH8DeRgotZMadnxM6lEt4awHSCNj/
pVa77qJaCI6sdPnZ2M2Y8bq6xzDfkzku7iqA1q09maOpbwNlAQlHH1BhPYAz7hb41B59kNO1jV+O
MKNWmKB/+eE4EU7cweqeILcFh+wDW8xrAGE8fOCMQU1PiZf5SLZWBotY7UQf+GPxA4UsyWTAdR+A
5LE2G2stDSngZOkDomwtPOVJK+eboZhj+nb5zPFHs7JgBPXqEKzNDxxz8oFmjvBwYOcLE7y70ge+
WeazotH7gXWGipbJK/BBxUP9AX7ONSXK3eYDCB2WsWas6x41j93IDdDolBTmkJnPApNuwwGwdD/E
hhd/4KbNr+jpDwx1UjAQ2zdKkwYrBEJB4PRqSeLSiH9mpY7tgP3xA2yNHXxMnKKJtORGIUBau0nM
Zr6QtWGCoJeOs0JQiSgAo+8ielKUnOS/RJEc3cm0M3Abge84KyqhvNe0hlwLmXiF8iNoYfgIXUiX
/IWc5kiCgH6JZRB6ajHgBqQ1lKqvSXb8EeLAsJ1AB+0j3CGVu8DAjNg0l40Wqe1KIr0CT3PL2NpL
Oz2Jncz3jUOsG7ByVH+WR68hhuhODjKiLFqNyAOiIUKwNyHPkS2tpRjrZysTE62PYVodiPfNZKzc
Tb34h7tqbyk+Ar4EiF+4srrFNkh0o1FtelMsu6Ns5MKtX/b9PWjDLgG3zVxiTxak/jxxxT7pZj4c
awmvppnNGUNucZBtdlHi4r6Mh2tRzcBwxGo9kEqBKZ8g9khqHSko2pZE9TEbsdKbgXkuto0lbAaS
kceHzjRbzY4hQmGzbFvw40ObZvEq7UXlfcxVgg0FUYEpLNTCexHR1IHCgSEGPEHOFSvC3rpkIQbM
MOdzdqdl0F7sPKAd49ByDB8Jrje3ShRlb0VTR6dBGvv46GNbv0uiKm7R9JAUZA9hGIorU1X8mism
QwqcWS0m4yGAPLLNjKkhulGbojtSF2sScOLBL06jPAvJyuyYMZHQE9WvgKZJjExSbMG2b5T9YxuF
Q7mpIH0layMOtDuil4beI+bWlx0GVcoxIf9MY5Q6hm6IYEdYt6k1N3aoToB6+jzLQDslFnnBRm2k
gSMLs3VMglTAO+3zQiK8T8Qg86GltmBN0mvNNuqc2MT+GfCJIMDH0iJCE81EvYuwC5CJZpQzCVxh
HCWrEaVLvUaMJZlbCy+2uIosk2Ixt4DsOE0zRycikNrAqQKEL07v42Vw8MrnJMWBANpaaqSSVFrm
CgOvuiOAu9ZlaAjpCPTYloMYzmEnyIyoxzDqwP6J4PlXg6n18ZkuCwOpLHNt6fDlw7rj9fckIlSN
EtYrtkX5vTyIAPy6Pitib7Jq7k5ZJD0JXXnvJ5t60Dv4QTJ24hVtf2wqEUl0KMeIGbkYR5P0l3Co
ZGgGMx5wCIeDRIprEg2EhTQ4531EvhMLDu0PmJASmButSAZv1OsJAkTl6/Mu65tcilcZGA5ExZ3W
GFlCOo3gS80zOrx8FC5EaNA6HDgRMFF6U4xEm0W8f1JtQ+c/8gojn4kMa9U3UX5Od8260liKrglW
JwW9B3i6JiEu3cUgF0BDDBELC8irujLkmymUYr4NE/UGhlXJFZUWwq9ws39TnJooSphdYUdgBIBM
R/n8pAtQT/aASNRVrAdXnC4oB5JPfl4tpitSdyh687paEYn2ylMJj3csGPBgaAdZKotN2TU3H3XE
/6AR/4WM4puS6m9oxLu3pv3NfsqTTw7g5We+OoCBIOKyRfWJ/pMK6wMo/dUBrKhfmHOiCFpE/yiL
FuX2H3hE+YuGlBv9xjJ0RVjJt/7AI0pfFhUA7Q226kj4TemfOIDR0XChfFMyEabGvgllIapXepSo
KT9fSHrSK2UY4eGQrGTX++ptq+jdqYxwsXY0wzd6xbLTD4Zka0U67815PMlpXbh5JhrOiHujpqqA
x8RE99CJxBOIAlM2K1HmU6GrI9EFcQWmdZRVj2HmSkFeuKftK7pEPLfwoSrfbloGLDKzJphWSbHu
csxKli4YNmKFfT2l7UqRq0JzlbAVzofZuBXAxq7pjwlu2+vxuw+39Si3Un6XCJN0KjpFuABkW5+6
IRJ3bCOyg9a3bCmKfCLanuUqvJOysHnEyxZC3ZrXZDSAND7zx2JtMPCIrf6tWghfYWdcBizHq0ia
uZE6wdazPsPZRJSfWj/K0b3cRVdAGw+hVm/lNPO0CeRMuE2eQCGeoX4+aUX+5OvVYz5Xz3UNqkfu
1sRN7ge/PBTG6BLWczIC/SQF+SnLIdZpCmJsX7qGcrUS9NLT/fVgnHIzvgrr8io30O7KuXFOMbGG
FwAnVVozutkn6XgazPuYiB4F3DBPVs8crYPejId+qPB6dCUOHuGxavWO1TO7aJvgypqAThpa/NiO
+C7a7E4350OYGHtoyQ9JMd8NTbr1JXiMRXODcmlNVIWrlPnFFNTAJfyQgFRqIaN4aLL1QMCvrQn+
Edo1kGA0RoP4oKSHoHqDWUvAU3xIquKShK0CfkSwNwrLHbM2csxA3kOd5pVE5lkoZe8VWzeblVUX
rHOwmJuqMY9yxRHxOc7GFG8CMyYVRHOg+K7a+Eg4ORvYYxdo66r2n9j+v+bGvBLaC0GOj2ROEzEK
JyZxgiWg/UT460qo3Xl+6POtSVJLKM3U5vgU+gnOlSg/keC8SWA4QAx3kGh7lpV68DVyUD3tvZAK
bi3MbhMUN5p/XSiAidJLwrTxUYxeJ8cez+84jE6REGwFOCM1MewWIzViQM/bHgRWbrpVcTs3d37e
bfFnPM4G6tdM2zD9WoPXOZv6eWdk6mNUB6fQJ+NETI8TmSckm3GkCrd8BQOY9NCtkDw2vbSjkNho
JaWfODnjxNUpwTnsTa+S5TNa68E5G0o4yOGjJj9xBe3nunGlXnxIZEjPl1LI51Rtct+v7Kwf3nkk
XojJcJX3IP/M0AvIZRNHZWvk9yQVUTvq2p52y9os24MyWDs2JTdRp62atsS4e9ZgkDOTzq2lS6vr
76TYcNXhzAQ6ou1lHWjXYEyeNY2HLkz2tY4JMt6JQeoqi0Cdh7iRK54cteumCR6tNCU8PPcvpnS4
MpabLzSta6nfVN2lWr1l+PqV2K1BfOVa7I5t72i47Qdzq9eVa4rNQSliVy+ts4Luuk31QSj3EI92
EYXghnK7Lsi3SaFiKdlRE+r71NA2k+zfUFKvm7I8CEkGWUywLnoSZAT9og8qToPsFVawldlLDbOX
Z/V6yvtNozVrLXycVO3UtA1eEPjDwyje+lV/zub4jt33i2TGAajZgaK3hnzXrsE1aXoR8Z4Dr21K
4CHlhvT6MHHVfuHqqHYnywEdxxEEomrdiJZ4UqzaSckhgnMX5U7NENrWJQK4pefJnCiE5lVgGe5c
exWXL1U+fp/+VhbZZdW1/x76s0POh88mN9kjgNh2SmzYZeDvyzx/LXHqsKD7wFVhPYmyuqvn3tXD
4Qoa4kCupNSvaSFHTlKm1p2Zlw0rf/lo+WF9UMO4PKvbtHIaQ9yzTT8qwnyoJnKX1UHAgSD05rHz
uVsZX4WeGsWvIQZH8ukOugUEl4y8eA9z/WLBqNiFJHFxGJuMH7VLHYdsK8kPST5ftVr61BX9eQNv
YV+FNcV3m4sbLZH6Q1vKuDMnNTtXefJcalkjn4ZJkc5l8R5Lm9b46YrgmdUQi04Q3YSBHqE7D1Ku
3UryzMhwG+tssKKnFCAMoopshvtGoGHQbJB4XbQZaLp4Km6EbCY8ufRSRnv73BMSIG0xTpJ2JIvQ
YPdvN7WvMT8f9lYqWhusxuR8VMW6CqI71vzUyaYr2Sc+SY+8VCz2cmzeV2F/U6i+YIe1cVNHFUQn
PqzEYIzSVd0hy09RBnFBjnyIRBp9iiYbd71cvMKqe5k75RpoDyG8Q+X4QbIxc/GoCg04Jkm8L/XS
fyprKLchaUltxN0x7vJ+xW1ug2zKnQIAEHH1ZQArD+lFm3ODDF2NAIjtlJjVdCYkfY1I+g7+YLsV
lDjYmtJ4Fs9PQBXvh4k/Rc5iHXtZZi7Ao3mVx8KriB8q6y07EmbPyqthlQTKRNtjDmxJS8/zcqLw
gDy1gDL6fr4XO+VdmKraniULOS2htDwQAx+RBTuNblQP9H0OJChfS7P/mAz+hVWG531u3aNcfBos
+YTiy1XU9jUct5V8GRQDJLaFBMxD6XqoaLPFoiisFK0XQTeyHZMLMfKGAix/WOrZAVoTe/6kg/k1
DgrLd3pF5M/IIx+sZp8253U/V57aaJXrL2cspTZ3ZCv13SKVurOWxIX1OLW3eQVjoFdTAtXiULFR
BgSHKEzOIp3nd28GNCR8mh+CWvVvqtAarskobDV2TFsAD5nkU0btzmjD11wnnc5K5gN+ziVFIAKJ
JGX9Fth+cggbPSE5eBK9SJValxYL5NGmNe0pJuWuqzdyVkOgljjLpkG1NLO9080RPqjaeIOeeymx
dAiV78vxoYrUQ6CVgpNZ/kkxhsxRYEpQXmisU+Y1mVzHJq23I8uIIg6bukGPMra1raCOC5JnQmx0
G4RXt5a16dwcqitU74k9CFArxUS4gIgdrJUyu2YvuZvYnZmhXzs9uXduqeRX1Rge5jyWWNjaFNZv
Xe50rTP3pM6Ro9ASQ3Zems14xlQ2PZn1snpWCZvduLVUt5Cm/CKjA4Y3e1eK2oUZTOZ2CMt7AswC
V4k2jRgLlzM9yhvLkKfZVqwyFnmmESZAU9Vfjymf+FC1mQf0v/HCSrmDj2us+0Z4/4+ssBRJ6BXU
4IpxJfTtdhJJ7jIFGiCV0G0rAajfIgAey+lMruXnqMlWci+/dhSaiKUcOfp9//c/261/aSIt6H/P
XjovfiNT9381v6VP+eu3W66Pn/tzy4ULlKBPNjZ46EEj/wFdYsuFZQEBCL0hklAZIv615ZK+MO7H
1UAYjqljPWcu8NeWC4Gtyd4JwR2jZdX4J1su40MD+HnLhdeeVBxCdBHooxL8vOVK+4HmisbIHezJ
No4OVa2cB2XxXJQyMGQ5dXF3ndCV33S+uSuVdIeO5qyMCbVM9ujxdMDD4oNREgMiENQcKuNbMCvu
lAUHlQKQxz9BmK5E2kYrP9LzmBw1KgK7V9XCARfy1EeyU9GyTWBqY5c75BpEYewPjqxWT2zTZHkT
X1nxEeJmTddHtafS9c21TtrLzioZeHuauavM07FlA2cYAAKdMDwg5+m8Sl1nRGEGa791ZMkeaA61
7hTbdmMAXlzTehIF7pK1qK7K7mQlF3A4o+LSj/d0y6vC0fxVkthmYtiVJyfnMBwtdZtepVfxis4i
7b/36kYRL6mZRBuUP1+VRLPT+ZC6qavdCT7xEXb2SBVUXsFIpOtzLUgOxKcKmm30FkqX+RUg5esq
PS+EWzlht4XIjBUtIAakcMgelMuzKvZEojBmsrKF0QM5uhRsdpjNq206HlDjbfTuohCYFxAqCfdf
stM8dVAr25IHBKOVcZY63f30IjwKj9OL+PFv8ePfy9fwqX3/+jV8kl/ad/nlj3/69/hJ8zRPfenf
1RcNkDnLp0xM4oT82PUn1/Kq5CADdVctmLLQM5UOzdguLcm7gZ/oioPF8+yBCn3GXUIn7z59UhWn
p1RMrrEPXI7iNmlhKXu25BTbcF4TMzAEnlWjfjvCdZA0dwhX9CT14lgTHDIfWWIRqvF3GZLH1y6y
s+Jo1htDKeyZqEX48nzJNTcU1siOHkbH5Glfp7bC4HNX8dPLAPRqdMba7izbeuwd9WjXa/6c+VSo
a4i/xqOX1Zu4fJHNI3sYm6R5RSTl0DEM+uGE/62mE+8zBL3IBKddwY8fbPV6OoXPPkVVc8ogque7
Ud7kex/czibsYMM2CzLmMhBeguaY6Qd5m3Zu4PHjRXg7jpej8qjlu5MuurFwz6UaqNWKhzRNb1iM
Q+8sNHBzKlysxJi6saEtfON+myTIuJxI3ddsV5XxFHYbpffEmcfrqhLWOW+YRgURr9UZjUZH4Ano
lIGn+WeKf1YewFWOLkjR9mBePGpg7i3m1qFjkVOzC8N1UHB/O5N83QinhpyWDMgzGIpYPMW9PbyH
19H52cpdmenOfHcrBM20Q57OBFuLbGpVy8lVZ55dIhOIbulVpznHAESK2Ly2lEPd2+m1cOzDNX+j
PK21YN1M6xG4+hILIB+S7N2P7ugi28nEFPIwOCopCUyFGiVzMNF6MmBuVdBsDRs5ADVAzcveQ0Tk
J2yscJ+SbiFFz1A2QWfvavb67SGnL1QmB4saxIdOyWuz2nV5Ep+AlUcMY27ZClSXWfWe0MsNJidL
x7UBAP1y1luydLB+gUA0WWCO7EPiRtzkrxGVcujgoesdwJMLoNmhDubX5uuRpAVeGp9obI9bZo0K
Si1HMh4Tf3JC480ahDvSblNtk5bbSdkvVqi0tM3gOpTuVFPjnXq56Cb5bS7eium6xPNxbj7JMbV8
CG2apvy8G9K9suDdzXWnD3budulJnK5jssFLtw8O3ZlxN7AeSnZxkV1YIuo0G2OI8PEf+bE7a84+
fpvf+/odkeUVNnduk/UZOFAhv/5fa5zmrTjDgNYMWxbGeT/fTQCRAzsZRXtmu4ujkBLkVKnnlIXS
9MxljypZGKH7ZnbenGsTeUbyHdGYUMuijnuqwrlCLgWllJ2KhBawTRQujVogSXYblAINrZxt6LZh
uIImmRQx9oDTDkkMoZq1dpOt/WE9kIA8GVB7O7i+vn5PWEoTwecvLzmrueQscGK8Ahpj0vyZoDWO
vIIUPFsy+0mMErXlFYDXOxvCtlXep4PuIuhjDGWUQMpt60k/xM8dSV9J46hAVYtzPbgteDz69BTz
jRmvDINpgDufl7SYyE+cnVG+z+GTtTMc9V5w/HFcRyb3jsiDRJ7XUyKfWujbGYleQvVUS9Y632nc
tFF7p2rjukRHaLWaKxu0AQvfTYfyPdBSp8QaIKuZHXcF4SjsW+QbX0qeebA/xKlqwUEdbRXRN5PJ
Vd2hwcBe53dAWaHHzvOFWChI33onID/YJCasU6Vtk+trIS33C+dZm8yVIkBfKer1MLwPwcFsaF8O
nq5juI7EEOXPSVCARBApHdkzUg91ii4iLVfXAjz8kdBhp0albksNxG7rmI1XEvsUkDrrRFaZr1VQ
N4zclolat4d+doXE64TxkW3jeRJLB4i6RyMdb8m4epVzSn/1GOZP/3wo8N8tVXLBSf378tOr3/Kn
V07DW95GX2Ghyw98rTsFnd48WkBsZIufjcQjStmvvf7lW0gh0UOCnkE1i2Twz8pTotkv0/9fGFow
BNDu/ll5ShSlTA6Q/dHqBjsoKv+k8lxa+X/VnaQ9MkzA18dLRDmBaum7Vv9EAhebmgqqb0yeM3pr
Lkepbzaktv3Khvqhovn+WLxcxguo2hed8OcaVyqyUEIsR3KdZglnabfEU5OUu7Ka6VFOwsaREzSG
pCi70xDgoYt4zOfBBIttgpWrakHMo77yhm4O93LCRa9nc+Ni7Oy8ISvcrC9ipgW0aEihLlc5JBXu
OnDzSkoPTQ/LjByiYj7L01a5+OYDP319D9/iTBd90HfvDEsIpuQFxYCy7bvqnUadbiU+h58Fmm4t
nT1HGpuCbW9d2Qq5vSxvbIXnLtPcnx/5s1bn4/PjyPDwlktMN9Tl+9+KiMa5by0/j1eSlAdrrcc7
MC/Lzc+P8sFH+e4NariKvg4XIZZwfX97mGKwpKizLHIktLivV7Umluukg2MkWrkBX7SmUU63iiGN
JAX+S+vHwcNUzncVEXQUUImgXxkC/WtWXq/MWBcBMBfKeziY0cVokdBjS+pQU/j35ACxvtL0G00p
fozr0VgRCV2glil0ZU92b7vtBm28+3iD/xV75/4Nkln99tvZU9n85nb561OLPeE/l0O9FKC8oyBs
/8/nXzZffx28Fcuo8NMv1h9rxkX3Vk+Xb02X8qP8Rb//yf/Xb/6+8lxP5dv//tdL0WHb5m8LeFnf
LkqLo5UL8ycLWcEG+rer7vk1ato6eml/8NN/7qaRVIkEOGP/5Db+fXipfdEXvg7oP8wNmKG/2Ukr
XwBSkYqFBpshJvL9P9czst3A9klszT8i3/54/7/fdZy6r+fjB3chCIVP9yHoMpGajLuLdQyGiPr9
ZRqVFRFOwDedyrdmMpx0lVsecwtkpW1vpi45D4fZkO4Ya51qlfWc1tRUGGeskeq6aJu9lumbDLsN
4NijIOi7olfPuS325pDcApI6F8P5ph/1kWLe2KXd4PV1s5ESok9y+XkSg12tipeFioRWSMibxDny
moVsiHoGh0QI6eYynmuywUtTGsVFHD8bSaK/odNpYlueZelmzK3O07QKiYFQaLveNFqGE5KyHcPM
t0lm6G7bBMezIqfjozj5EPXJ4HAESTAvyAJ9TpqnICmLI5ZQ9kel/lKKESHSMamfU91ku8AaejdH
3XJEMxFu1LhJ7bKUVbbMbcCIRCEBsl5g54SQXQWiVrwghFmEP4h2BSJ9z9u402hsKjkQM9SSwLUq
whGS3GQ0kBt3VUYxNzGMdWKVgjwzU5zPWi3TICxP6K+2Sjxmth9XiWd09VUpU7xB3sD+k/rruuDP
NMawS7ImuLCycttWjG4yisOo7h2/SDyrz9ZpMW2HvkB+Hu4mUk6MZN8Myd6MGd0ptVNnDEnabWEq
ti/mrkBf0NTm8yiq7HJiyxj74e0U9PyB4jxUKZqtuqWTUjbPWmC4udyd+OgfxnJeD2XgSOZ9ScLb
bFV2pObbmakfOzrBYPJkOUJuwX0k+Iv3pDJ+iy39IIUC1vWxO+XVlD+URNyx8+0NJjKSH5QvjTJr
q1hjoy2pZbOV5Dy5VVoZlGDun+M129ZzWrtjLj6OACpullQQ8g7EzejH8RGcgSIUO82P39R+T8qM
y83mGjFRboI8J2R/aFd9nBhcwC910qQndmjapumiXQzbJvF5iVnVC2jrmXwq/eQmEs4zssFeuQ4E
ZzbIIeFlJahz/HKfpekx9Y3sDBxg6zSVdhghKGwVdVKdSCRex6gawyZP+KjOc24HSUiIhTXc+yGd
o3++QP93Kxshr0AY/3nxeN3lz79tm6Vz2Xy73P71s19XXE37olCqgUuXpcWBtLQiv666fEdSPshJ
rKJYQhWW1r/SyeUlZhthM0Jb7G1/9S/hyYPigJCh8FAHzsNa/d1K+7OV93P9g5QFyDBmCZ4HUCLQ
n39nIpLkjNtDQxVmiER2deRoDUV4HyvJc9aFjMrxUrhoGL95OP1guf8QtP9VlHw9Kq4gFdE7tStK
5c9FCb8R6US3aCupJPOtpUii8YkAa4qyXa9G51NdsO3VFS/O0hOif4PZGH2hpA5vYlbZFc8Rwmfy
WP1ak/1XFBPlW37V1m9vLdXE55rh/8sSAqviN5/R33RPp6f6Keiepk8X8vIjv++FNPXLIlAjxRXT
gI5LigLhj70QVQDWRPCqOt9ZgIl/XsWCZH2hrsaIg2Pk6zf/LB4E2fiCQw6BN//jK0jBf3IdLzuQ
v64o8BK408BZAPzghoAx/10dP4FXlQc9ILojSK9ySe4WDQDSODSmq29OzA8u3h8fiTsZLhZgFcYH
nwpqYDG6JKhxsk6MaTovO1E7DXNCEcK24RfF+48OhR4QVgdncBl0fD4UG9COxwtvSgylE5FihDlK
2iWimF/Y3/jw/nbyIMQRcQDqAOwl69C3ewRrybYpEiuGLCo3NL9HItByEmb2SAxpEcZB8rVo/7f1
3nKOvv+0oGuyeWU3vOyAPh+Q2FY0q2hf11pep0erMB/jISZ8CA+imzDgtTEZ/Qp4Tm9keR+fDst0
RuQzMwEpsWv+/iLxs6YSLJStaxYm4yT0U/rGyNpfR0kebpQwNK/6sSRKlqbYWkG/sYmgYe/GsjfO
fQNFDLjHdEVTO7tjU9W4cYDGumdGc5rDwKRkrLVDOHX11hKFciMFunEV9yS+sIbSdGya1Cf906KM
zIqy3SMWNnck+CQP2KszOqUhoTdJlReNUycliUx97Wf2lI7Svc9W0amVxHjoyZnzQkVoVbsZGuGI
BcB88UVffUSTRyaFMdOdzepkDGygztPB8LP2ySjS1xBtuMPWntkD9MhItnqnImeQwCSljTkf1HLw
SSSnwme5N9GbbUwp1e2kjYQ70IzmuWZUw5pRdevqesf0fGyM8TY3tMaL2Fkdk8GUKcT0CAWU1W40
MXsSi0re+AtUjEiQJrgVydl6YqYtXZUUO0R9jklLOtXEUMWUlrnyQJ0P+7bzBNVHdZiSzoBmrsPz
ZUUlJ5hwk+6oxSIAVr0a0+cWUq/jt3p1CFMAw07TicmKYJ36ntF+cimp6XBthCURDlOMeEOYma/V
VPv6DDc0jhCANXkQKauZnKrDCDNsJUSiZteD2b0E+kSPI0S5JyglSkGz8MnPndosPkDOTghZS/1t
HZniWp6rYOXXVrODKZ4c4xSVF6oZfysZC5ZE4jc3hDIxueJhlq7qYtLcJIoxnfjm6DtRKve7sm/a
qynTaOribmUG1YSZsWupNR8COlNIpk2ftnGf6g7iaaYos6jsMOrmT3hHkGujZpZfel9azEhZ06E4
BP9LEmutMwMjklGKItroVVNP665bmo8Z9j2xiI5RY8yNU83da8sSsMtGgmttUR8aoiiRY1+2Is/A
ThSbfewH+lYXObkz3S03amY2EOhNPphIQ+OUcpyuYmB895XeB1u9ZxMTyQwoOksIUTF2/YybgIK7
Z7S/UoBToaKRtNuW7cBJLvVqHQbkbPlF6d+ZLeM6CaDUvaBm4s7MwuRWE3vC5aoqfZwEuqIVXh+P
uLk3hKK5i77FuJcKHXei3k7XkZUFl3mv6Qe9R2XlZwlzt0A3vSZgo2e1YX4mcvcxsvUl8UaZQ/HY
KaV/LkmRiViG8Ker0NfEVVIM/mtE2+A4annszDCC9lY0JheC1jT3plIa7YXallW6FngZzYsQqiXR
XJOVxZs2n8TCHfIePb8x0yiBKwRuqbikuFegqPVyVW1Irxizi16U43BVdUIlvuZWOqCd6/vO9xCZ
mrnnaybTFcVSiuIsFBsfKWNjxTdJwn6eMUsqvjY9LhJ3EodgWkSkZIVWZoH3jUcK53sOkMM7/tSq
j0RM6gwa5Nlgs5RkHbBa8rSHnR6VBqqzwDyJbbYxYopOL5XVoKXDX6oDbuVJiDe5xot9Mo2pu6bZ
o+KxsebEWGvgmc5Mc24yO0WpNexCDVvGLrem/g5ZsYrRggy4p6yXNd2uFq2NU8nN+NIh4pg91JvK
7YCMzNhhu2zfs7KZrqQpC5Vr6Dut5uSZLjA8zOQ53NaCgJU+M7Jy3OOyIU6XigAJZbCE2EX+TeQn
tSeWKgJAVWV40LQHTayt1RRgCGF36q+6tvbdvvcRz1nohati2AVm6AL14oLLJ/9WIayQcUMcv6vh
NDt9Gab2VFkovLicRv5gaRoMzorWCzRlV+ckhyadJe6FTme94HxshV54w0rVHypVKE9tSWyjmHZa
zChR3kD4mhim9lcJl1fRAh4LJODNHM+TCEnBZ2VdN11zrHUM03lG0LUqmKKbVY1XBvpO/r/UncmS
5EZ2td9F64YM87DQQkCMGRk5zxtYZlUR8+BwAA7H0/9fkL91s0qtpmmhhTakGVmVGYPD3e+953wn
WMQmbKc2blMXlbSrX6bLZ7Tme06gbSiGUzCqk58bx6YPTvVSvygl3hBRFvsl1d88YX3ioYrL0d0T
gXlt+f0zFqH5mXMIfaF/MP0MiCuOyrgWBRItNVLxo4xkqj4du7bbr7ZnUPWvL5XmsSFYNdv0wfpZ
F8N1VxFwOXn7MRp+w4O97xz31nUJGKn7R4J271snotw2XaRKzr4I8uljYm+ImzyVGzcg+HMmdb4i
2hkFGMJGVz0VA0mEFoskau97e7rpA5vslTx6HQybZG6U4iTHk8WZSXkf9qyjeT0EJLPgutrj/5px
COXfFjNK+klDvPox9XqKaWFv4FK9dH2P78ib2TJrhmRVQbAyubGWaK89b3kvECvSxE9muSROx75b
Wdu6vPQKxs8BTiRGc7TV+rZxh6shx+WJWJ37Zr/yJ8RODgqrUXA7StXEnunfZB1j6caZzh5DhUd0
9tAbEfTOy1MDBiPxvaE7izA9NEPDOrKBkk0Ap3rmTUGt31PP6EkZrK+UGrduEaIapCPBZmnYiZoj
xE6d4e5J7O022WL4EMyUn1hq2BOaKVB1eDq2kZl2Ia4sRhr7TuQ5bq/hzshL8WqFc5j0jjvcTkVw
58wu4nK8it11vTIAtIna2830IdxijjbI/5GJVPVT4XE1RP119jFU7nFb7aa1OJprePIkxJiu+t46
pnjI3Wyrg1zHUIKucLfwRDlxVvjFY9SEJ6zczi3jizYJ4cUd+AW8+bLFiaU3/eCYu2BE2m0s4atO
9Q+377igeP7EWJVcSjhZOL4ktEFQf8E9SgqSwc2y2dR1t8SmOdz0fUNoK6HY9+bYR8eo896kwXRX
SX2KgjLd+bV5FCvBJlk/jg8z3OcddFzC5o30EK22+oQ8kZ9FsAZXUDDv0qI9aBMAoDvY67kyvKMI
je5QqPU4ZPC7lsD4YMhnHqyJsUcTWud59e/bRaFUthnn4dYp3yszRLXZ39R5JN9yKqQEwDQZ3tLe
61Q9tA14TVhYbyNe5t2w5G/a5zcqfkGyhMs9YRIvnaUemtA9RUoySMVVzeJO972y7RsrMM4qiAjm
9EfFvSB/XLR5YznzkV7jfeToq6mQ17M1LAsFNhg1MAxqL7rwbK31uiWN/aMW2cl3h0O3qNtOeO1O
T/Y1w9WnXlu/4dxCLSIeRJ6+1LX/gCkbveBwHdT5XYU+fDevF4QZoeQ14k8ixZdvvllstDZw0OFv
G4eDVOV+Fe61wePK0FXvOlmdCWS5qcuq3IVhcdPN1peDmIW59H4eyzAuGCvF9Ek/LFc8kLrdJMi6
bsuq3hJTsLOJ4xwkGYlm0GysHBKqb7ZP42p+4QWFpVjPmxzq16bDusWSJYBYOojqB954FqK90cuC
9qVuhzhXGC41nwvnElrnxbpegRwB07rIVTuUy0XhOQ+BGG8s/mccupN1GCuDZPAhjGjGOnM89lMQ
R739bEjr2HawrsxhRXFizvoYKddOjMH+boZ8iVWP0MNwCUOrjG8E2Zs7L5v8q9JRyKFy+Vx37mOb
T0YSFEh4bUX2rUQHR6q3MxT3zKfWhElkBD0U5SphxkU8hfM3UJVp0s79GUWDcVUoY7vyaLNUojdJ
yNsytBviUdfHdanJoHcGM66wjCRyXMWuZ1iECaemyz5rfqR61w156DXnTeBbfLa4GhLDltbBJUZ7
My6y/G7PwZc91nstjRNtm8+UYA6EKOkt29QWbmMV11k97nqfUHNBxsuuzP1sN4Q9astsfkSxz+HS
+0feP2/Fb2/Kov9RL/JEiAmmBx8OnikcJvMyRQ5Fo5JgIJf7WxnhKGpIVh3tWp5Ia0A4Oi4GXd6J
hnxqde3BLyFHdCuBTJvW7EvurJnYWMKZYqfTP5p16jdVjU6hdRBC6bZvt3YtBNHyk9du7AnRrSXN
5WWt9XIl4TF/ywhYfaqi4UYSWpOMemgeGQw68drjI1R5al831UghYuLKeaGlbiVVw/3YbKT6ageb
XFabQSqiui58LCBvbRiZMXfjWWTVZQjX6LF0PwgXWK+NvvBe5syLfguyfN6PykGh4DclIVpF1Sdh
Xo3RFrP4ikyizh/y0PY/K7NeDoPrnFcnzXfKDKubWtvFj3JaA1xXkfQ/DD8yUC8YHscD1+pkzFJk
c1JExxbrjB3n0tTHYrIEDuLFRjbXthRNmdXY1+SqlFfwXQryvIXYkKq53qWhj52Aod7NUHXjI5E3
3q0TVM15qKL3bnXapBhN90daW/hp0mKkvPEzP8kq1mgXjd31wC64d/EuXPdD5T8Omrgc05lw1rQ0
xjsmJbtUYH3sDaGT1PTm27Zw/Rc9SywPEF0ponQvz76ag5MsLDnFZSjT+z7Kmg0hHkbipAWP0yym
10Ln9qmF+nxPcwD9ZZQ71dlem+LJyCquv6lpIrWvvLTasWKDb65ldNueA/R1YRX+FjDz2OKvtr+W
CBuUWa3kEQPvOeXNgIp78EruFlGZo9AXmWoiDHZhf1UpBHl2NgcHQVjd2UvHelsX5g+8r8EuMyP0
b7Tcn8plcW5FZIlHtdrGRkvF9ayxjrm3pnE1h99nDEnbjI3kSq4RX/RiD5vc7Dt98rJ1ehi85tLV
CKCU7Mk+Fu1muXxTV4WbGfjx4yzn1mTf1SbrVl+bDQ3m8LdWaifstkCEDe8uyG2tp7PpisICGuyv
FeKcZjTNGiCCHypCuzX84ASqjt8gsA7qjo6XYZ0lBA73zq9C63UE34gvfCkdF31qlz00LoHrHjNt
v1HyaObZJW2xYBQ02iJ8bbXnUGwVWQKmqGnYYrqtz6vnIpo7qGYHe2dZ9J57kuEx6IZyEy6zue1w
bBNMXuutJZp0PzW+t4P9pQ7zBOhYrPN2cLAv8DM2nepRIzVw5ztypdAoOggGMXBeE14YxoSU3wnF
bclaMCdQtS37joP/kkJlI6EM+Lqqft7zVperyg37PSX/o54XdfmCw2OqC7zhJJiXo8rOJYHrbrj+
IC++jPUlSXN2RmM7G7lzlffp3h3WB5SwVwRvmldZ36gk6rL5esk046MVpeayDPl27qfpigyK4dyP
odpP9Vqfcu3WV9guiVXQjvOWRv63hed5z4QPuoIJwKFjtLgtUlRhXes+pTaXYO3J3VSUQCJGmwiU
folymASpfxqxq5HmbMznoQlQAvftcBxhbsNBS23OynUxbpAp+Sq08F91xiYAsADJb/2KCD76rFxg
yU3o+DttCR4sbU9Nwpz03nMvKkrtb0MH/S5Nm8TTkb0ZWEcihj/bATY2j2vRBdc8yhcBacAorrL4
4KvcvR36/mYpuuiY++a4y1xYZiJSlo5pYpWvsmtmJ5Z9po6ETHz1nfQ3fj1WW/9iYJJh1e0XjVrZ
lZmXZKbTbAolPwtoT7s8JLgH3Iqxy9H+IpINxa3opocyy/xNMGQvs2niUdOq2g5CfyyjcOPenNNt
A/7rwPMeHLLFJ8FdoG6MZnPXNbQh5tZy3nTTYhuZ8yFZ6BPgUnNuaHXqG0GndkNV2RDxBvgJafia
OLJCNVh7nt7ZtovVgmOtsViYmVml8SBSWneZkZ4o1D5Nu/pt8NtTHrI1M85GDLzo8Axa5pYYeMqJ
wZ7fQZqWx0jnSx13s/Ob5dq4/QTBmxg72QXrJrvvL4m8odGyqa1OtJtNMjiBkpnvFhvzsa9MUldB
dJ3Z4svEE6E8UMbUWw4ChN5hUAN4LOytHgLvaEoPnytIpLeV9upW+qG+pg/e3JaL0hQ6JTDRNFX3
Lq35Mi4jr3z3yH3b9qGVHsH6VbjvlnUr7NFFTujyH6cmb65sUwc7cxjNh6j3mF5r6AJJ1hjmcyim
C2bB8bdF006PbWs4J2pxwKFDIF7h+ClsfEKcS9VGRyONLFTUa0ljs+yRR9slPiJcqWF6Y/gLefRC
vOipgrmcVgioGYolnoManlixJs5U/WkXkGE5LlhvjXhZXefGynrzNiOClX0p4lYWiBafIfS7ukAz
GQUvdoner1jtbL8ARbhCWIH+3qgbmhDdc4XDzVk3pEh1zK7AgLpcFvGRQiW1yZp1QuxS6xvLoTzI
YXW3oyqxBZZdZMX2zBU05/GIvZmV4nJRltZH43bdwRktms6OIWKepzt/mbELhE24myr69aWVV0kU
9v7dLGr8crgQhr6tEVIF2txEhekfja54Jn3v2QoLSeszp5DvEN1XWnhx2gISXVgS4YCU1ZmZMY/+
izBAMrZuzxVm3a1UiQqeejS1W3fp34MyPMBsvHN0+NEs8xdXKY8rbjnvhQrH29xdvrv96u5KFztx
6gaUHVJ+5ZnajFWvj6IwKPKEOR6tQXl3PHPDmQiF8XrgiD80pSU3fVHrQy6yZev3TrXLisAw7yq7
q660Ks5eoV8doT+NEtZ8Q2PlsV1N+eAqGhxizFAg10Pjb+3Rvu2nhmsmINowhqmO3rxQp8meFHKK
NnpNpV5ePaenjnJC49xNXJ7rwo0DUiGwUvhFUrvLoz+HL4x3T51V4U9oqk1deZxwQ+bHwyLeW1+L
i0Fw38/LVYA+g0vDhobuNYEM4YfA9w7uw0RA1x7mYHpUQ7EdyZjHWffg93WPsjnYeSWtEFKPz+E6
29x9W5xt5Zi0Q1Hcq0FuaIBvBv5S57EWS2Crqi2OweLdBEX0Fg3mqQTm0bv2fs0ITxLuIVybJ+DS
4a4umsQspgOq3a2MinvyUp7mvH8e2ikZuvBAT3WXL812oh0SNfNVJotNnfs7rOs/RgYE0iIj2Zd3
kJi8D7jDm0EhybY4bFfU6TZi+S4btrLT62sJUX2dW0Y4XlLPettzUa9r4zQInt42OjmBtSNhVGEt
CBHkY18L5B38sF3kNS84NDcQOt81kmNJN0ZdSps1u8raPGm8HtGDuXMNPb7Pjb8bKvvRFzLuB3uM
CfCOrnTkP6f9lCCe3NbuxCpaN1EldhpdTVzmaRzQ+fdtzjfcCIr2e5w13xunFzdLE8mDsrsNp8aV
slX/phznqvFARM8KBgCnepEuxyxzNnnnoiWuuCK0OFS7dk9hylpNnet2VEcaBjhGSBbhlVZZh4pk
2GRlmXB+bJq2v2Ma+hYYbIMhCiaeyuvGax9aSQMpMkdaK8CW6nTcBZ3FVMDiy5iSMvCvlwAfmz/j
6azvHAcKZlbmSZ0zNxrDnRFV7TUf5TnCwT6OA7eMb46yr2VR7JaiunOVexLlVG1kLZ/8tL7T2MA5
6vkhdJ8pdiJ73k1Zdp1FCIaGonlMTXGuNd0vTnQkLptVNPNm8eGft8q5z3JCsNfoA5BkUvPwZRwe
9EeNw4I33nFWyEf+cl0N8izDnv0iPBsTQmkpNjUabd/o8DtS9k88Y9HC4C/uFRAZTvn7vs6unbn8
UHK601lbMEIYr+wSLyuWrgca65prAEyUdBq3vuefp8ldYsO4NDDRa7bdvNw7lU1b26s4EMbyjgP/
vvbH88CVcjUrGgg2rTXefUUKeeVF42lu8wdR9FM8BPOpr+UWTASaIoULM492vWudlmZqEaKhCqPt
dNd6zbXrNHXiZ+ph9vRjXqeboLRPxWRiY3Ck2k4OlpkxYjdNjR4raudMu7EwD0WeUnuyrqhtt+RW
fzhgselITO+dO70MLlunAQVrU8ng5F6APVk9fDfVxOky/bbggR1UeXS7aLO0xfucB/dMjJ5trw3p
vE8ftTOf1iqMjswinlx2rZ7ZIDPO8xjlX3rWV/kc7dLSv9PRhbmQsl0y7LGKKN8MabQLrOFBeTQV
bAzTmD+Wk0Dl7lXNPo2853A1bgOYmXFnYPaVmfs4Fa1M0mFM3Kw+q7n5UXZOvAhUootxG/n5ZyQR
8NN3OaYuhd+llOt461hIb6lNNo5ZnTwc32m0PFS+eJjwwie5J68wod9w/n10hKInvhU+11m+7Bt7
5P4UhNuMqSBWmvY2GCpSYaZqT5jCKxPsWDULLpDpts7blboiNa8BHRbo6KnDjalcbtaVqZwKu4yb
xmxPj3C5nqpSLUme0iapTCPTsabSOuZuah2DiDRxy6z0tSIKAkIVLgXc+YdQ8lzwfNRHqUWwzxY3
vKnZQw4IC61nfZkLmliw49YKR+xQ9hhhNHNFYk8tDR/Mrjma59l5M0oNcnQIovVUAFU9256HAmeU
tdiBOMu31jBcrkChv2OQzBBZ1NWhGuv8sVnT8qsCBHRXa0HXp4qwyTkqNTcTrLSHWRfenRPkJm8G
ttehSSvzxzxHdGIMS01sRGlB5kS64tEz8686X9LhQMaU68RdmU3vhhKaE1J16s4SU6+SJQonDiu7
sg/87K+phppFlMZwL5geHrrKDh6dIlpfQQSHt30DEsOIhNXh/6Fijops3cjZxbs0wDShdei8p0Zu
fig6yYdO1XAc0A/2O18QYFkyhqu3RRYJpjxjs0uDQj0Ivpmt5nqzTXvJpcrmDGtlVnxGIkAoKcmy
8RfwlUzVHe7jmt2nHJeTNy0O9h8wbFzDogcM2jiRTUndCNgMcOlo2M7OokvCxj6rszvbxTnUHuAo
zNvqBU3fgvF+Dq7gvYefeQOEAYjT8pShkorDcJo3yq2XZ3NCgaic7EcGy27TaY1WcVQcAIRB9wdp
t9NVOFETqUJ+L/P8Ixi98bage7AFRCCepsYFI+92cr6Olqo76nWqHgePxmqvCpoy9FU362BZZFR5
F+Jh/2g2dH5SNkqGkjRQvWD9apkN4mmMInVcDDgVvRzZf8w1gLEi+pPohpYHiK1NZObG7aybjp77
bqHt9gA7ojoVo7dHmHDPaMh5wBrJPVgM/PFLHuhmCdt2O3Pbfl3ksh5rp6JPRqa03HCHnXGe1TTU
Cz1vR1qoG9uh1TSj+roTRRqe0y4wbnSXd34czEvXY25b6Fx0c31LBBIjs9bNTu6wKM4OlV5OExQX
MeLN6aaQjpNMngVEIndLLDjBhxhssaP/I3dZ5dd77k7oOAOvARjTcbBP2TjemHPQFawAybCpirzq
avKq6DEaK8zycurk99VKzSHJpqHZiUBNt2FvNpRrfptvptWe9rMiGoVX6y+U+IG7X11JHmWhS4bp
Q56x0Ti0T87psLhXMszGKxd4BiG9YvVpdOR9NcP6W8rDxAB02ERZmXL3twf3yeozu994i7MmTAzp
AIwZGDnYckaDutXQ3BhHfbNAK4g1ot03S1rNoZoLIIEkDtDRGT2AA0vHzzT8mz6VAdmEgPViTzdr
HJbksf6NWOTR6yfg5nNk65y1nJk2TKYspZTo6tR6i/zSz9/wRhtZvORMtjYBkHnn+Lcxt4QlGEVu
sxmBFeONMLOYjY3CvPFFIMf936qmKqXv0KjoS5zXcV7wu/CltdOSlAh0X7LUoSb+XW/1v6HJ+z8r
8L/I3f97df/uc+h+/DOp6eWv/X+BHqJQD2lphGiUrB+yZP6uz0Nm54OVQ7pHdPCFFP13eZ5v/zuy
AZuanBwD8w8Xk+ymMf+Pf7t4n1Cm0m8OmM4TJBb9T8R5F/bZn4RXHkkJ9BXgnhHShMnGuhgP/iww
KwmJsNwJQ2sRFPJelpGFTCh7uqhUtvOs02M0FHJrTytC6N7w9uQ1FTclSA4aX1W7o0DcUNnmqNor
97AWOUSKYLw2jbG6J8bl7k8f7t0ferA/W4J+JxP/Qyb2x6u9ZMVftLeRD8Po51erwp6K3WidZEkt
+ZK2Nd78vhvCp57HhaEacFOK9eho24Qgx8qdGHPOAwyJMSit41gUUm5xGzWMOpzw4HhYV+u8Ruga
RVMJj7NY8U6X2vhRLSUblmjGm1LgxekhJTNvdcv1PgfMuJm61XvswzQbQHwYkDnLlAsfeGGmrHR9
0vE5R7rLaMg3qjvLTk3EREFvUy+m9UdUNYCI/vUn83sc6c+fDJ+O7ZsXXxsdPf8XM9Go6tX1GgFx
gG4WpSkmduU3CNjg9B6CAIFiScgjpWtuMXwtRmBiQcvgsA86/JxtMSRrXwTb2tSMQSDh2/eFaHGU
Gp5HmrXriL94wReXzC8LD8ADLBWkLvCK+Up//iohR8hQooBGPZcZjyMsuqOJDuPbWIeM+4bCy69M
u0c54mUexVdqhweiH58YcaGiKSnDwYC53nVQTpngwi8CwKiOqV8YSY0vacN7hA9eKdg2qcwf5l4u
98s8sR0Oq7bihVt3n6CrTT3+2lJ+rGXlgzBNayBHSMLD2BuVNVCZOvn3aYXeB9LBheBrKrq0kx7h
N8tl6e9XmKxbagnKrgCUMIT9IH8KWpW+TY5VJrOfNw9jEfSfqFHHuPTWkpIt6qdDu3B5TpYmNN5z
G4KMtkL5Xdb4g8elznnxXTPoDVPq6Izc3LhTqGJuO7jRNDtHq7j/1+vnsj/9l6+DUh7dL2Jznq9f
dJ+GaGBWmUjhlIMiZQgYqMdByUfi1GGKpjAb/GqrbAZ/RuuH29bKqEuo8R5K5YAUwtwR+5iUZ3eY
7wr0FS7tZtN6EnO2QHsIHXGbofuUie+MuReHKivPke4Rf4k15dRSoHPOU9od+rwdVDz0BV+S6YLs
XiT9RgVxSqeyyhOvnqjQhQHOjmFETfBmhQ+gNaaXeu7WcQfYkCcQ0tIZ/erK+B1M8OPoo3aOkdmQ
NmqWaRVLZrEVb0pr7M/KQI0pqpiEN4ZPIdqVrZM7JnAEWSUVCL+TkTUSAQ3N+B1GD4EMlVxgrDDB
aSJOEY/9Atpss9YuescGtAXjp8K5K2yfPEfSTVAFTflBVPf2xCkeR/iqzR4oddunwauPuFDuCMXJ
H4dwGepNAIncwBuCOTuTG2ZN4YsvAGK4DYIqe40Qx/3Fd/9PvvrIpkGGL5YAPPuXTRW6UoWsHJzG
VLO40Iya1xVN0xuBiHO/Qpfe0NyWXx2qor+KkP9Z9nvZz3FbcjTicIO7SybEz5sA+e9h2tBhTaTd
d1ukNAuYPD7WwbNPMpzroztOAucWODpT0VWJ8KACtM3P1DHuNupZKkqa7V9Q1H+Pw/hlM/XxXUQX
fzFa8l9V19bidgtjLCuJVOFsczeY92UvB+akwRTDNl539Hl84k4wRgn0HzFXtvqZ8f6YdLl0ELjP
5n4agGTYGUMlowj8JK/AhSvmwIjxWucbtwLUdtJb/mJfDS7K819fO688wuMcEfnxa/aSnhA7I9S2
EpJ7UMS2pV62MDJ1e0jR97ZpfnFUlUP0ZtYN8oiyGm6rvv8tb8oUJIWXMwjk7n3ps5iRzT+bBrpZ
ZQnofkufbe1iwHai1pLBnQ7WhCkqLeu0VWJLLYTzr1jljdP6YkPMV7/1+Bxfay+40MeUtVWdldKu
683+1A1af7eRUkdxvqzqJAfjtkzVLTxRQyWmHxRPNomCfPGM9W/5c/Wno1N3oFTOg3OZohppw6bG
+uamD15dLzdNW7ByKa5dNqu4GzILkKBejdhQUXgitsstEy4GxU6G5XoYKnYq15H6zR7D/JEMUeut
KSwbrLmd08hYDbvar3Jm8lbmK5+mA9kj0HW0sTRDrvT382LWOf/vXz+O1s8S/N8fioBHy4fgj5UI
F/vPD0W5cgBpi8Lycto/2ZPlgny4OAORy2zlGEhoDJI+gRbmyVnW4mCZ6P0WAxpP487ztqHJEZd1
AL9imfrtCMGIzp7v7v/16/w9se6XlYY1iiMa/5RHQJX98+uU2aydKTc5MuamehXCCU8GBZOTudau
LX2IE2bk7C/a8u2EsgRqs3gXc6WuohCdkU0iA2sMbM5o0DBtiSk4jtMsTqsVwtXIyp0V5u6z0Dj7
5DoG28zv9V2fl8YWjI73XuFMvxkbP983wdQcmE8Zf/VF/Gzy4ItwL0EnF3OYxfXYs52f36BRUCfD
tuYNWsAtssGtrszJneAcpfgOh2A4du5YXFudQNQGH5PJcgRh12ceEbcT8xtEQ99NzrO/esit/3Ja
88qi6HKC0jzHHfLLrb0Pm7Q1/cZCGeuWd27QzltDo461AtA52AMOxdBGuLfefPgqXPCvlklFf1R/
/61T5J98OoCM4SyTC84+82taMrp1YLa4OlBWqm/w+f3DHM0MEOxs/av9+Gcr3O9fxCXcmlu/TQlF
ofLzF7FIzUjPrBkXZlDpUtHLW/Th9hV5BU4KQtHr72jnyI8ucLIX3E4Z7V1MF/HsecaJlkDBBTKq
ra+qmxAPjkAjRe3OsAO0OcaMcVfUmA5kQua1Vbn35369D7u6fDKJaEZF3A2fbR3QuLHMQlwFWbSg
n3LKv7D6eJfl9NPzRFoY3AgbnSne6D8I0n/CDlCkzWgGBMpjrjebdtHwgGy/vVZ5uD5P2nVxUC1z
xgFELhImE/cWJzW6un5SoIMMlT/KMgCXVDa4eBDN5P03zA/6EYb8yZyG7qkZmGZgBWG2GOsmHD6F
u4Yv3Au83WwQQhBbdcVl+iK8VeQwWNtS+cwBkBtvQr/3E3fW+p55nXOV5vn0knV+CFmmCk8OlrIv
NbpcmHu4cOCHbb+LDULyTsiOMRvLvDpaK96LuKFZir4sfPLHaQGHaLX1Nuqeqbtma9/nstu7Vnnr
NLThcRrZxf9ey+L/mI0Q59h/36f4z/rrsy0+/+wh5M//0aCwrX9n88ZfarHZYr+6nEfqhxz/498u
HkFCkWk1kGoJetH/R4PCxVro8yzigHP5N3P5v9sHnQjXIfvCxYVHj4KN83/SoPh5l2HvDfnxF8Ag
XgXbZ+z/86MvMDSJdrwoqsn4Bm55WUPBzCHQ1T1Y4T99KHd/PGt/7i/8kaj4j2eQX4enlyw7k0eQ
j8L5NUtLeERbZISrJOPQuW9rNBZfJn58snToUJ5Dw53GnQopl+OusdUXzK6LHSqz5xtdat85kK6R
rjGM5vKWciOrt1kup4gskb68d6dL0zYf/QJvlBM1J+mODc34tlfHeTJJwC7oilKbcu6/cVvs0tjV
KTfE2bcHzVzA6kDe2mXz4uVDgwQSGsE9VWt3RyrezGu5jByyqgjgdJEyj0MLbtLbkPbZUQHgYtq1
okmAR8MFlqtsj87TxHQVJWOV2h+RYwRos1CEv8jII8fCtOoI1GbbQERmH71wxYwRAQ8+RTIOiGKZ
b7Kh7l7lkjYn9FzlQwY0vTyUjnbnpCYGhXAaJaY0MUlg4hY2CXE3z4Gdba1RW/OPMqgg44zsCx9Z
F3m3eZpf8IrL4L2FcqLTzZ3P9uOoxj6aGGsrXkyFX+9gSAZN8Vpl+j6oCMUkyZjqIQlRIr6DkUlf
i4gw7w1AixqpRmtKhZZnRaUITlV9oMuSaDlyK3y1kYw5aIzH5qtpdKF2nasxZ00CIHYiuXxRfWaR
da+o/5yDO3rSwzBkTffUvDTIhZqaMUGhGlKzBy5XfrX405S0aghPrNoewPOgo6cQlVzPeoGXQEhQ
36KKNwL/Iwfqb8fNaLufBmpZO6nX0sm2BEXmw64dtLjTapy/ykEx1Zg4tiZg2tPiJY0r0VGgHbCf
XdOD2lqtS7ibhcBrMmZKm0mnlH4ee4XHCI4VfWjakPMtaRUwvuXcQBxM8w7TpMHkpOV+tuyd0R1+
cC/vEJDYv1O4WDLX4ZArqLtD6H/PmEtYeB61+dRm+BkvCfUD1C/8cYjqzYHhrFXP05urvIqRIorO
MnZAOzHtrwL1Qa9jEVgXfFQrQzfgaKdjg3nKnbSNxMVVUXNstHSxuLi1zhOWifEVkuyTb2zDkGT/
+AGtGkIBSYE087QcN1WoKbUWq0ZAMOWGeHQGj83BQZhPX9JZ3JqgeddGxUAW2p3tcEOg7xC5VSIA
3tDN9Oyh2s6rg6JWGIW0Y4pyqJiTVWGYov2ofqMp2AP1CmueZl7Gk+csCiol2bLBll7qZS5n6B5+
s6kR7wZNPVo7O1LTEygYB1F1IQZ6CU6I+8ZjBBZX+CVuGuJhIDKtnvi+OvME9Rx3IBkvIur0dgiK
8bOHTVTwQzOY6Xmo6g+lR3qU9tSnXGyKIvh/7J3JbuRImq1fpXH3THAetnSnj5K7ptC0IRRSiKOR
NI5GPv39WJldXZmLws1FA93ABQqoRQypcCfN/uGc7ySRvSTWr8lyRH/LeN/rdqppuTuX1MicU8Ai
+CkFsDZFpqraaudksv8s05X2N4xCt277uSsYV6rRn8KyTQdcbN2ytKHtlu774hL8urXy1oQ86s3P
DIb1pwaH4EMSpPDi9LYc75ygdIwIG5wJ/6ywKEP+cRT/d+wW/pdd1H9QKLjI/s19/XP4j9uh+9OF
/V9/7vd7G0aFTn8SeCgDqRz/JfBk/RWKcpfbl66Fu5sb/T/pFc5vPu5TwpmZEyPDWDuHPxYLJr/E
X2PrPLgOVQCrgr9Br/hLF7uCJMCSMYhY459ZbfzD8f0v1aw2LDWCAqS+CL5O1gwOcM7jbRojvtNh
8lDdYdSfmHoFBqzEZVUJ6zBBLQcivwOW31mM+aBwtiIdg5Pi+PXv7d3/f8L+D+3Rv3m0qq+6bf/0
ZPH7f3+kjN88X1+5D/R1CGKDte/8oxT8DRcYhRhQBZ4nNkU0L388UmspSDIn1aO3Plkcpv98pPgl
24Jsxl9ELUWQ598qBYO11vvX4uwfk2lOVaYjrqHDWPhzLWgGxLbYLdz/OK71n1hvvDtbYSib3QUL
tj7gwqEgOca95/8YvbI/xIPUftAu3khLh77LbD/oye3g9+RiHq+ejerQHlX2rFpKlozGLEo40oAh
oyjK1fgp9PadWM5xO2rzPZv9ce+hL4rUgGh7Qe14LN2FeUBXkTGR2O17a2TvUvlvDQOybVVb51nF
P3R3Fc33c7rHMHHG3KFtSMT40bjGcFmm/FdMmSVrNts1BFHCf8WLnBnjdHL2TqaJn9UyeyT1wvCi
nHly2Buq/7Q1/YEfRdyOhGiiCEHPMalVEQrQoG1m88poNdsJAyh0xdG+KYKM6m5yR4RPbJaLqT/3
raFB+kMzuvjususZZEZNbX3V9gJPdMJvXThiP/jp+JSXzYOVNF9xob3YxJzxSWfOt0bWia+y9Alz
r33gmj8E+EIOULrkphHNckKX+sds9m+9tU+14H9/RbswuPj8JyvuNvts667+7v/t79r/qi8f4lf3
19+0/jT//Lv+Z4DmvH/b3+3AZX6m/7Efso+VHQpkLfsdmrn+sd/fbSIZf3OBZ9DfsHbzQBrx+vz+
cmswZFzi14nXhSeHMXtd1v3xdju/4UH1GPdz0TBx4iX/59tt/mYACCLdnOQs0o3Jcf87FwZL8T+9
3rQUnmew7WaaZBNnDPjxz6+37A0TyMa0us/ikbgUbTH7zWzjCNoEXTEC8DVbHaAlSsUSXYuc3tA7
2HAq+6Le+vGIP6RWyI9B1EqSG5t6DQ9IrAQstD9D9LLwP+2YWvUi6p1lOtQ9BloynWYMglnhMnVu
hsT9SFdBU9gjKLm2HcLsHVdpQuxk0+N2j82GWatlLIuxHZgtH3nzuu/A78Tz2IgMKWvc9M6BnCHc
g2yeaxkhI4n1vY0Lr9m3GL6KTQe9Qj0OynBPU7e6mPnw2ze+0hQmXO6797JW1j3InFEcxFznXwVJ
HQ+FHhRvgZGMtDNjKl8Ts2cb0Sma4QsLR3WYdIs8jzyVOOhI2zCZj9fe51CTGtIPi//gWKWYAeF6
C6bR2CCQIiMSErtX5zBnJY2k2NiFhqczmDTxxdbaFc9cya7/3OGDYaCv2W4a4euwnghepBFJkKr0
ob44uBBjMTKf6121etNnjcUhygY3u9NFkhTIfQoxMXOyaGXmdO26/Byowi1xvdiL+rYgRGdATB3g
/UrkyTZ9yW7A0bONPlu53LXe7LeklEDICwvsR6t2eakvYpjg0BED2CHE1C004UNTLuKUGWuSI0cz
iGRGxMgWEEoW14pmha/TdAV8AcFYH2RHRYJJgGfrZihweRxNVjqvs675HyjN7C83regFXM+dn+1c
S15KfQJXXPiVkJHZ2C585V4WVM+oGz0Ch6auazYN3KBb25P2r6SSlbgWsmMinmYwmfC7CZX/6Dur
g6SsKvjHmrAWRW3PZ4vtNytujdTNqzCjsrJ27IMH98HzGtgxuubqR65tICGV8lS+dVO3wVLtySR9
auvcz8cwM2aGzbLhPUP1OzSvbaULkN9ton5iRvZjVJQq62gi5vZVYJTdKtn2KmyF69/XaVZrO2tc
SnFv9E2yguSp4Y52aU/fbU+e0AnQbApXv52JPrGMmE2d6HT2X2I2+nhLTYjBcykrNya2TuCGaLuR
sCyxqMploV7mAyPGlKzT0SOKkvWXRF5fYPjBdpzU2ateuekvWXlewT6AtQX6CWCJuGotGNkLkqiD
cpLqvl9ae+XVy4anqeB532YekuJtU4OvjBgL+dY2y6cxJaY8sL+1ImmYluQ98SFB7psd7BEQzJ7R
EZg32Vb7WEyWTRiQ1bK6tTVSuOFrB2CxByiNKjJFE8NpTPSURBli5U5Tu+rlBIbJnWE2enZQWiX2
oJkaBHSlPt4vtYxfmzSB+d2WPS0fcJAWrKvRP2F8wH4UmFbxlCQB7eZoKu8lEXrw0PSleafPWnub
W4u1KROXrBR+HIiwnh3Ukl2wYBIi04Gs0bqTeEYXAniDvlMfsTP7/tEPBhS0nNSSNYzKGBrFRVxd
J1+D9uJObE4ZQOTT3UwIPdB2YyDfSNDzImtoGb8x4HGCmEcUi9nWNwvEElleYbNC/zCH6ax16lTG
GOi3PlwQnvrRxzTZZqP3Bxv3b93y/29X+PV/rbJszS7/N2X6wIzgzxPb9Q/8Uad7v2GPZ7YKhNC3
WRX8500e/OZweTObcFgbEjap/9dFbge/6QbLOp3W8C+dn+2uOG3d5iInkouolL9FvzYxTP3pJvd0
nJJr+8lyn/8e//eXQj1PuMoIsMRuHYzxqcOIGCDuVZP3GpPxsLM8eQqINyHswGrQ3isbdIZ697J8
2IwmJCWGh+lT4MywQcg3Ln5MeR3hKcOJTTpW+jSbXNBpyqlOlkggLHiiGbbpYLXtlyZRj9kTBlp7
a9j9ccSG2DKoccEYhAbTPWDxR0iqmBtf8UTXN1ZAXORwmk12dkQAhrZqi63NgKtOim3OrZOo5qRc
sjpM08SRZ26czr+X7L0q+0Uz0BcF2Jk07ygFaKRSX67pNHHCLiQ5xCYJyRQrs6dFvNaANMJ20XAW
kcMHO0QZE5IggtKlgeIbVHgLSMDu4lfiEQ+EpqShynGiENbSJu91hadsOhnNe88B2mTs9ooIqmg4
WG8AlRtOy0q9jNqAjQ0r68ELBKm6RCh0LjERg84NL/ZVN/0YCvtzSZdmvZR/1MSuQcjPgiLYYWq8
KTuqmxxjpgZsLCi0gzdC3DWC3WAXCe4bpo04qQ/29GCpmGCvSj17kFs7/8kLrp4kIg6p+WZgM0lj
dm2RT20qQwx7MG7srbz0Xua4g1L9oFnenjTdG129p2Me3JdcjoBffPlkaBlu57h+7nszZBL1LoI6
gkD2wp3Ewnid8TY4cWs2/I+YujeiY45IXnwJmqFPtm5CQFTc1oeyNiMv+LngGyu65dyXnFsNmTjd
Mp0c014DFqzjmuA7+jJ7bslHlnidkfLpbeTn6UO1zI+TncufixymX37zEtNgOmr+oAPdJrF/N+Tl
XWtOKKPv6XzXvOlQw3ASWCrZCsFEGtBPy8ReLDfmUtKb2k+c492zwgo6l4DUlajEIavnfCfzuEIW
TmrEAJ6HfM8NVfqWte7GwTaKt2IybrOlvDfd5uzG2mqzqDe9b2/SPLhAyqL8SrYQabFVOVjs4+e6
5iPFfFAUJ7s0ySCCYxK45K+JYywI/ExuATvEuEvZtIV6anOFAajRsNqY4ofP0NTxvvJEbOr6XHji
2om0Di2g8c7ZMYcd7SkBk6tqsnsy0+AxKz+X5JzM+Q8TwG1a35LzTj7ZaG/d8X0RP4Pu3rXzk8VN
Bs1oINwoNSjNQXYhVVZDzc9vzOdJ638asQd9TjK0Te9X13NskQwBVnHTIr9ZkgoDd7epZIYuQL9r
l/xlTohLx8q4mKxn3Y0FfB89iSQn5oSQsLwJSCsDEvUk3eS+AZSsyqMXj+ZWOMZBdNCDEuVLbKkS
//sar9tYigWD9q3Qw54dP78zivbWksP3lGXvoh3SaJnz1zpZvH2a6pEcrQsyGQpPLYO8kDvzpwF1
7nVpGv9+KrGglXEFMZBzIyIF/ClFoHFiXN9dobuS3Ckr1N+WwavF2HqTEzYdVkF7Z3bOY2vVD4U/
3SJ/2edlXn0Xy+w8l940GeGQ2KE0YwbSBb8fcpAiO6l7KJJsB+PnlOjdYUy126HQty3BS63XvdOL
s9USLqJ086dRtge8bIT+ao9x7+cbL38DELbJk4pYPX9Em8bCi1gdQm+TgTxKWyM+RyZRIj9iRRVR
V8Rcj+a1sr4nSbZR7qrXwT7XTBooWccX/PxJNLpJ+jXFVKSEKGqEJbENYaZH7o0eY0uzvJYceLHg
OBkK78ZowUin9CwRJPWeLE092HcVj6n06XOKztG2nbwic5+3QCqxhsfrIt+Sr8L0n1Kj1fd5oHXc
E4v+OUqf/OG6JJuHxQ9+NLB08sX05Gvulewb4tdWnLQ28PGXfTVdyftceiAeAQTwkuXo/Y9xo6jH
t5p3zfST3ScUw/ve+qxbzAG8GtDBLXmeGSWJZHx3c5FuYyBRZWKdig5/IY8hwuRwsT7YFoQA9CIr
g5fi22Exldt4XdIo+7Yk0VzF2LY8I93r8yv5NxvT0950xkeeFNi5hF3snYVFQOnVXjj70wObeRbz
7Y1JhHAj8ofUcR/Z7hKfpZd1ecZbffGa7B11KsaTQZF3Qv47rrexhWxywwprcLEdpFi8ly0WPJrb
N5Fl22SqNnHmb4fuxrYfJeerNLF96ck7OPOtCY4dTfc+qdVmCgJcZCgl62PX3nTJa9zLd63jpZYn
HNyYhiRm7TYcGVgFotymXrsttOQix37v1dot7ftb5qmjK3+Isn31m3kOOQXPZMZhMCG2Mqr0Ne2a
7AfySMtdGvTexW2SFLgTS8wRO+HSYxXuphFSEapK/ttHe2n6Db3mcsDOvhHepUqmvZcGGxiBlxKm
BMaWbTIHX/bc4oo0t75PQFnu9IQIleV+GLOzyuVxIKcpaSgz0NxunHocjwFapDArcxzRdvFWa/VT
PFU/beJlcIKTuyjirUDAKHiCmWJDuqnHx6Gi3yv8L1MVLhJA+6t3g5feWBN5V1cKbz45p2TQLaIF
12Aa2pneOg4rFA9A7/2N7i1cJW/K1Tjw1GJFgr7KnspXI5nVUcmOd9H012REdHiCf4w+PkmVH+sg
6JFTZTuUNFHuta+OJQhmi+8NuRg72Tc7uPJ0XxnL0GYps73NUZX2CzSPYFfUbIIX69wA04vJV7bg
4g0r22x47t3xSEzyGt0pEUBmNKw68drZUkeojc51TeIS9ke4kMg0TX0vPT4dieemKk6VNx5YAa47
vjPxjFQH9WDhPNRGE3FtvEOotoe9ilEsu9atGQ669mu0ViGJtw3m7N4Q8rGxxP2sDVfTVQ9aWkfK
isWbBUywHNzHQvZvuv6NGHM/1N/GjJGxOxvJR+KQwQpOYdKHjdKmgydLYsnILeC10Snrqtu0uR39
99g86eMzVIFNvNogyNduTs78UgVVJPX5UORIhjhljQpwCTv14NmaC6BoH53wIwcxJPl5GX9wVMmG
r5Pvzt4q3WFkCv2vZipjpFwX4j1fC7xer8yXtlzzap1NbZHfygTa8dV8MCeEBJTaZ2BfG2/EN6UN
j/nkg1lo07CO82/d51UainNiTzcZmP3Qa8dLnh6Z+Z1VOW8rV+gXtqxEQdmfLXp0onBRYef1wei1
nc5qGfz8gTThaoMIcrW7436q790C9a2vflaNPEwLk5wWbyiM3pOZgX5KgFjoi9qRnfzDz7uo9+WD
0RG+yWOQmvdD9u1Bdl0MAAe1fupS82Qt1V1gmNl2ET5ArB5cgTc8SwxLgYtSPsNzZbVxVDnTrsmC
Z3tsjxml00UrM8JkuhiRF4IrkmnwMTA9L/A8CYW4HHCMrupQ8V3kfu3vesx5ojtZzu0gFJaH0vp2
4+VHPfFPMCx7gxPaewhyKz64jL03ZW7eodMDECLu6dN/ur4Oo1LxneDbAk6hPZRV8E6ibLQY2tVs
jWs/F8ep/kK+tI0dGgeR2vWJARB9AGlhTv44LD/wyIVBywdad0erWOmFJlhAkG162Z2wiT739nLI
gvnFSafnwjNvy8w4c0/gnqeuqfUzi4ktetNbE4iEqSE+NZbhrDp8HI3NoG9s8VC7niBAwd6lKd4B
vJ4NHq/0LF09amzwWKu5TbYGJsvhKe+WQ6AVWxqdp5mPXJvEthMcKvlS3YyV6W/xH5I6OPY/fIEw
Px90tPc5+je7mUM9cbZN3n90LHzJlNQ/KV3bNyTE3bZQBumzAjnYmI3VHgcgtnKUqRVzERPki1EY
LYY/c8byLc9e3GSHxJz3TKKsAysn51jmyTbr40cWJsldycAEfGML5WBpOXHTWkzeVZtVcVVLDk3L
IF3OZsiIv64hb0hnTNHsYwPlhOH6W7davQflGrvAh5FW2osCAnynmbR6owXseOnVbo6t49Ji/kWB
9qQ07eKzYeeB93kiG+TdO2TGBsmWLvGN1XKofdq+ehwi30u1l9SnHWD0Ea9Yrrscti4xkFTsTKiv
c+4tO3MqumNZMAZrCpwE7D9ZndSnIogfvJZk77puLozTmk1VVXftGBebkUy93InKFs++azdQm7IC
1rGoPgw3z++yPOm+sG12B7/0y425ymozSjeJaX8zEUax92utu0FnUm0Iv6AyyHBAZENw4/ZcZG0C
CFnp2skZ7SeTmdEWwWYNhoC47gqunDI/RrOzdnU1yENmY2Ga5BQQS+quhsrWOlL/7BuDjLSGcfus
oxaCYObzJe3gEBnMUq8MOo+Z1953OtZIyr80i0NSWr68BYO3vYB1b6EtyzWQpbypFvfqDZJak5fF
HDzwalSPvaHR/dUZzM6pAt1bLd2+tulx+56vLV4qd9NAjtvNrYU3GPMkPVH33rTm69QaD1ZjHubO
u6mljHqruiqe7HORfUvbf2t10MqB911l+baoil/t6IRw6T58LyCb+dMPnpPJeLaM7rEt7SdHifQU
z+knOpwPp0U4Kro3TxseMot/vWabV4EnOmoX96NJeBX0LJqDlJKZQG6cClsLSWOWfQma+HNKqjzb
B4Pg19FiytnB0oVoE9bsKZeOQoKR/0urO8mu1qAqgBthqtBcNE1Di7Pcm41KD1b53hiIMBJ9rMMM
F3LtoYxC1F5u3aG7XcouvXh5ZeEnJWDPr3dLggBK1587rhByCMmxpCXMhp+pqqbQq5aGgwbIid+j
s1b9qU4YXVfpY12Vl9jpLo0JIrikmGqWr5GhoMXFu0kBmYWyAHfcc10rl6JtnqLZ19lJwsDVsgeU
o7u+QEAze/MHW9qT18bjjecn3xlljpHk51KOd5U+fgWgv7d8szT90F3KpXr1sTyzCIUNizPcklVU
tf5rm7OhwePYh1UDEMtkhE5kfJIb76xp7mAyHJzFZbjORWKCoS79HKykvTarpKcTEkk+4L7tsBOx
iIT7dAbIQJrP8IPoTMa5wtvHytuNDDMLyGkZLDgvszYOpWSIBTcs3PmwDr+9hPnQYJkvCGsn8mgY
bxgdbXYDb7w/QrKjlPI+7Kw+CL8D0slN2DfHwWKkoWKtDIOhkOEclDcJJeoM6/sOd8il98Wmt7Rn
AqXGTa01khs393Vc8dN4SLpmuPHqOaUUVcexnJGkpWymXqiIhptAmp8stsNew1M/Ufr5KXp/Hebg
ZWS+z+AV3ewxtebsAlCUC1GzUneCdQiE1JsS4s4nx53u8w6CItOMR0via8p1a37tG/M0MZGfVGA4
Yc8YfDPk3U/pOlGgvnJlA2nvn9JMXcbM+gWzrOfEnOQlsRowt47dzj+S2J1IYkwEgybJzWtHw6zP
AxdwmxCaI+sDS2r9QcbVmR8bg4nePVZQTUKsPkbUT5oKlaWuY91HI5gKZ+QTtNzmWvLNa4Fgl00c
pZ4Bh3Prvd771RYRqrsF7stnvpSMngFRYUlNy/Q5doDk2YxlhgnVscMw5zIurP4MWmQrn1+b0j+y
DLd3lQ3hxGkm++R2cL6HIrsZZgUfC0Ybw25zL3p1Wiwu5YLVCqK5vHiSLeN8ZAJ6aExpsdWaAisX
o6AwE+pT1F3kGE1/lw/zDl8imSieTSdymIj4i8dxZ+DC2OlxUsgoUzz2/Zi4Fw754sU3GeyBwVrP
6zechCvnivqld8W+dcj4JM9svgxOp37MIoOhVOrJd1Ex7BwuUmiHTCafCAIywLho34fCQfmY0mwx
FCGguEVj5p7G8tkx6KNhOSbNSD7n4DwOHlD4XrGmd939aB07ZX9bGbOPAgCscIiMq6udlS87ENw0
ZIFcbtOhedEs/Qi3/wF/KYB4mT504KDCJHa+e0Jo1hrFcqcIokeanzUDbibxYDbRA0ZbPvnYnIir
QqEXBfbwEFQj60dp4aSbvsxJcovK+ji2UA6Qzh3MJX7IWbpI09jritHUDMn/MPY8+uX6uaRl9tAK
/VZ4gdrpCftgDfroSxm/dbm6MfuHQDxItzrUS3uMYze5MphynYQ5J9iFXDkYXqXxvnRY/rrcAZyg
k2xIQLVN2n0W/2ysR7xTBmuzS9aCkGui1nk1Gcsx0lNknvpjfskUcU7cSlqfalutiiNbdiOlyPLK
zOPkeSgh2QxvEFufvJrbrzToBQz5OMYAau3MedN0MYRV4YJBp0BHn0UGt/+QocTNe/d9Vg4CKChu
bmvCeemFx2BFnnPnqSMrxeEs67liB2YJhCOcSzhEvsuwJ2MA1OmAY/SZbSLYPpCOGJ3sI4TJA6i/
DTnLc9jP/gtxV1hnYj+coPfTSddYupGSVv0bgRUdQ+k5Cf3GjFwuntlRe+rvEO4jDPCF42iJg2Sr
J2p6rWzjW/OS7/Wtwi1B3o/ca63+2pccwGO1PDQV/14LKHaFa2kFnp86WHVuquMnxok87sfgpeDZ
UbGOoaB+LxCyboC/s1QtIRFzHE/9Y70eFdpT7QZb7NabiQ8+V/3tONp7qa+Hc7Cv1CcC0PcOUM4S
v7oMJeAcT7P/K6fD0Rh+FoPYiiXduLO+d73hVKh+B5qpGghvfUzVL1N8lP7rTF50nH5xZJ+DdoyM
AVBJ8dZluLhPusj2IHIhbiwEZ06XrnR2XUfLYBgXvN9E6pJt7FTdWSTfUD/DwoCxGivEPPrex00e
zzP0YmlvK8eiYHM2BlyTuMlhQ6UvnlvsaHL5AO3kZKbvqWkdq1JAqr8rDSbIhTscWmEfMpCr0nHv
nOrRtz7KwQpR2EYsIx+A2rBUsLX9YI490cLFtcuKc0zPFlIwRIZbkmXXbquFCbUEt+0u009hJ181
zItQdSSC+uY2l8m9M/qnhRNPAi5jA8piQqTVqdXNlzWE2pUvcrxUbEHi6dmwsl2TfCt2CbLYtOZL
NV0nmOOBeK5xG1bUzra7iLtFG/TTRL6bBkhoZBWhOncPEAZJsL8yy2/0tmYgnGxH6zVb+mPWTE+l
+V5Oc5iP3gPg4H0+V6Gr0q0RnxPnDXDxgSU+6MzA+4GxZOKHrG7sIttnsjzX/TUOhvrJgMtRaNpB
5l5oIA8TXbD14scsj/ECuZtKaSiq5l1OMvdSTJvCNLn0/U1f3UmQgAvh9oV4mOynaoDdYZri1s2i
pH8fzNPMsLc/aqDXPehKxYS/Wz+x4zHaG/ooeFSiuUWtGK72m/RU+McuW45acgLnxPUeFRSKWVRV
z+VyLV2xc/R3jSs8v2nqk0q8Q079kKone8xvp2y14nOBxDw7pwDtcFYkWx+6b8kjs7aFJB0csuUr
tgCF5+q+JJZLqhffxiiwOp/K7pb5cj2tY+flYji0kJO106vkDsFoVBoEeFmHlECvVgJTZYNVF5BC
SJQAMhtm/riFNnD0pHPF3oyknuM/jL0q0uXZqaBD3boUnxoSGkZFOyszwrr5papnq3sxCe2BWWY0
3gMaizP30G2cMQ5BGFaO7k5bACkI7bk18qjPWHQQOhJK24z8ZT83FtwhEMpEE9btpYWkWyV7aKNv
Vn6/dNu5AhLuMTDPm5uq2vvZsGE83FscLBlnlLmzg2VrK+OnsfiPKQGy6BruVg8LiwrWH74TYmXE
W63JbSIEK0Ab+VyZY0ANvJd5hqRbL8OhoP2ifIqKejliDQzZFGw7KJYpX2IJoJRnTvdwt8feAc79
Nm8AAY9QnjnwBvY1KZdPaYRS98UR0Q/tWXnTGIxsy+EGH2N9qLTm2qfxx+TW75ZGe9sPLygP5Us+
ltUJ9SVFoVE0tzOaoGLFei4dcKTusy6zm1YALIUWV0Haz/B2+um2hyEotCuJHOE6Ig/med96Gsex
GzbzFTBzaMzvevmQdTPahiYaJKxJ29avs2ffzJKMBtXtlTnD2WZruw59nwpWEXLpnEjkWSSgdoqG
3zl/TFUkgufZeJb5xYJdQ5EeLpqMap7S2Sp3K2XbGu+M7hMm9jGr26Ppf2CheciZw5rZXYyQ1ydf
wVtmMjrAxNlQK+tjWh7nIUrjV3M6V84jc+5LKywq8B7imQN909EZQ3Wyf1xKNDuYUN7A7mzL4M0f
m5vGtbYYwcnQWUmt0udAEce8XG5RDn1VyU+b8TH4oDoKTBwIKdwq4ELVhYmBxTSqATVnjzcY7x7y
DrkR8rMDfny0QnFbvLlL7O6K2bzjDeujnE1JhMfCZyYRaG902rxUHnugbngrlgqHN77wEgafwO6h
u9mvGHRgV5q3wZgsp0xVUV8kB9lhGg9UBecNM3sOKSGUK/OYgehWmz0QlFrAahkme9NqP2stuFQL
m1yNlNCywMfsZ/34NC72B4o+9J6BejCYD0E6/R56eURjraGJSXoWX8z8AwaUm7ZnK6LUfRDk+kfv
aO4BMBcBVy1N5YIKx/mYWbUTgWAohkUMWZLRFUcvmG+7wZKR4cHjreIEGr6fynvNiR8WtGtH0p9+
BPjbya5gzpHGjc5b1SWHXBjWvTB2cQD42suuUyp5trRpCkVmfQTpQlhTmpC1wgLkit4PLVg/o8bD
usPZpWfxC61hwCMEfi2HtrT3p0A7CTkYTuTOSbHzGL6Tk9QeGk+9JIpvQ062iuz2ZZr8g5Y6HwQ0
7gqi8ULLNp/x/tCEmWipprAwl6s7yiM74l3ioyvr0mNj6jcQAS8ePPgyh2NRm0qdcnISGmS+N6po
dTjQmr6HOtffIQU7G/ChAftVSXKsCqcE5uDNTTjmZfmCR8POMcl77b7rbDPdEiDkDTRKlqlxqiRP
WTE0Zuh1KePLAikUYOw5J3eljLrG6k+a5bgRexzrPNj8mzr2DkxpMWjFm9jPnF0cN/Ue4gFiPrN6
qBFohsEce1cAVnJvVXkfFW5m/vC65raYhBXRbCKN9qYWugXdzdjoCgUgwwpgDv2jZO4SMdM37qYS
BvhGzW5/sEibYA+txIJqwszmezlKtuRECRq7xqQ7xkYIrNUyHou4+Rx8/DKXKjatAMVSbb1NwpPf
4zrmTUwDSeXErKksZPu9ZHoRBsky/OIdBI8WW8N1ARocWQXE1VnkrIOxcN0K/hxaBgAtO4/o74kW
JrFJ6zICFbHM/BqbGRNrilaqdb3nMWBIZjfxAYZosUuHynpj6c5qum6G62AuhFtgZIOpCxVVb/QS
XwFEVsIKKHXLfnrHnPUrraTdHyp3cm5kN1kfLaFE5wTFwy/qWFJiZklxrxtoToChBXEvCMshsOkE
m3ug+lgqpJd2deNqjJ3q+MB30XM2KudUyfZXPxrNlWwIekcWkty6CmQRFxTTHm20qe4m/ZhqVGf4
1IaLAdrzdawCWW+Mrgu+yRm2arxe2rg31wRb8MpOlOX1vE3paTDMakx+41R2Hjhcv6UTLonOa22v
eBz6uHkYK9WxQlmgp07Le09w0Q5gcPkryOus3XaMiljGjo3FnZxV+T2sFQ8zBgUcBpGALzmgvxv9
gvJAmJtATuabUQ3mFSKg+dbT2gCrdsStOS1yb7aOidJtTqhzGuqqmgvGxEYEyIBwZejz6RSzAS1j
6fJeG/VNngcMCHE37xuJbd72K8ScQctKJS4ad1/pt1i8EBEOcBy/GhggETttyJ0u+pYrTrXgZ9lq
BlFjmgeevXVuY8/RdzpVwokZNaUU9+kV0qV68Uag3mZrunf/l70zWY4cSbfzq1zTHmWAY3BgoU3M
wSCDM5nMDSw5YZ4ccMCBp9cX1d12s1pXbWrtZNKmFlmVxWBEwIfzn/OdHnjDLiDLhFzZ+sFJkdM6
h4UrN2M74IWhUHkFwBtNwnRTx6UiGN/LKQE2m1kWN5e4tAEW4aq8Un3I/ikS58EZoFRwRJPNNgYY
suIOBh0msxq0uYLUXuIO/Q2mENgVTTMndxoJeMtVc7wrAsPvN4QWc2lHTrsIAtiN7zAPppoOfGQA
WgPBf9gXbuIna6u1X8M4XtSuqzJz8Koy/DkWQzLS9lYt3YZdzHoQBcYfjLmf9BEahIY5/qzUJWhY
M3byXcfZZtipakSKODpHCbqJKultHXIZ8rFk/tHp/TsTg77aMMbM4Bnib60pGeGy2Ejn1SsBSyPx
AGHowSM756AotIXvmUrEAL1/jY9Wby0rzB2eWdFco26ggOf+iIvRx1YIud6d8/BetslM9dWUn2yV
j9tmwjSUyEAeKKYfHuLSZPctt4xOyOqcc5zE9jHF31mrYGDGXRLetE12Z6J23qdEIJxa2TstXUa5
8YJO3AqxzsY2+TEV0rvKJ/91auru1htqcyfEsLBcC3fLryV4r+MY/LoeTl0Bhu+yFO78iJuUaOv5
ebJHPgS+Ew9JIfz9rOiRunhod4Gn7KPnNfNToLE7F6ZyOBVio8lQKO5tJfQ9WlVrMXwnW7oK7TEK
NilMXbnKLc9vN+VQPafMEuJw8qjjrqZTXMzDVTj1HU9EYsF3dMIvL4NFmvvhsGta5r48Q4xVOu48
K4fD/mc+pfMNktx7o5mZA/XdR8vILHkoEGQg1tZn2URcovKeQ/5QVN4xVYV9CIzgKzy5+znCO9NH
4VHKBs0/JAPc2N1Vx237vq09fcPY0ts5nZlv3LmfqdMrecZyumpIgAcPJq6DG4Ed9HYefUPNe1e8
hE2O5tRGwtMYFYw+u8xJCH9mdsx5ZyzuQIJm+KHRYweRPsyVcm9nPlviwr7lbhkoyQPs05csD8t7
8gr6GsxB/ErU0kZzK344SA3rihKfzWJMc1BNtYtGb9o5I+D4mFPjc+TrH6Ak8AJDjESKn0v9QlFG
SttElwQYpANypEjTQ3tQHUZ23xTiJs89Zv9JY+84/jBJKmdmLh6jStyv4lb6DsasCiGIWfLJ4Bg+
48ClF71YfqL1INE0k3mnpsxewx7FfTFdzOEBQTfTKsomB2bp5eVpFBiUKwI/FlDVioAAxoxaZls5
gejkwDCwaXAQqYu+pd1pPFboeRBDiUOhv/ykZcfxWLADbENRa+INwenil1Pz0cW0SVzhQ79g47OL
A6MzE8HfBNfJQBvHV5044fWM8NfhrtksroWXh15IO2rk2rYnuhztsThEYpLvVRFhzmQseYuNw+UH
KbmHpRUw53GEdbYFxQqqKQ7xoPGl4y0PjjaNUR3CbsIFmuK3W75t3M4zDN64neLsYcDayBEzHJtt
3orsMFwq6vix4WtZqv5Ay181r8IMpCb7mCPHTd+LNFghDJpbjMgQhi18bGcJBOROTbU55gJe8jrS
5Gc92eevLXcEXF9dJjatk5jvqeqyW69cgnUTwLPwi5R0VDxF5gr/KzOdlP8fJDU4qc51GLbdXUHW
/r03kreuCTTXo9LqPuehWb4LWsuuosWeiy1NEMwK3PEygzXJTzwY/q3FSr4TyFBXYhyzBnuMn95b
M2jWJXGG06QRyqd0cA4LtQBvkEWTTRL5nKZdQlWUemY3KFnNtpown6epeSu5P/AkNhaa4YDN40nH
Zvkui7y6ieJ4pFNkgcsnhEVzLRnMtSZisVkao7bzjHABXwR3bElFIhUfHT5W3Nzqlhz7weRFtW7Z
ko5BWDtXQrLDF5Opb7q+rTHMz/OtaTD0qEw+xEwod0a6+RtdF12A53UZTtrCkG6ZYKusdPnZxaYl
6Bxh0MoBnJbSDC82PU45dbW2QqYb5CkImSvl070bJIiGPXYEe1bnssvd/VALfWts+mU2WSGjZxXo
9tAE5bQfK6fbAg/p713rsjGYsWQXkhUr6bBQ2qvCGgPTMofnpcZ2xTNjXaeu472rhDczdcWlVifp
GLTXiHkhwyHKEJfpnhaKns8usInht2Qs1kayRBR+7ryymLxr5opHBsPRClBUu53Awu1qOmNu4jnn
GYmTnGdhIjj0K4jm6D5MbsqY4Ud6ivy7+NKZkaio/+yMx+4UX3fFAuIIrH0wcARQ8bKTFBOvOJCe
yGtsFpibjFxOPrgtoQjRAHnypurkUd60GVQEUTiNF8NDH7oEMQYLtYEDiv/BVMJ7Y+eI97gVS1Li
jfQ/os6KX3RFVXKJnMH8nCG9Idhtgw0scziyreN5lO8RU7S9Tq0FkPnKUQdgES82IqBeh4uT3IXu
VSitk45r9D01MT5uFFhhWaLUJGgxGWNPMbdv2k9WVrFcx6F+sWgX2LgpP02g5fvz15+m938rCPD/
YtxPkLz9X4cDVl9lkunq96Df5S/8LRwQ/IGRn4xHIEjl/Rnw/lvKT/wBFxSYS2RDjHJ8rP7/GfJz
/vBt4CMg70I3DANJ9O7vqXBiAx54F6ayNiMDAgXevxPy40f8nuD9M3oAXiXyBZxisgb/FAywvdyU
HbVQJEvZzDHScRnVr7r0qIlTw07gB/jtffmviC68Df/zTwzwK3khAQeS8n8NFWZN0kw5CXr2Q3AZ
ToEdE3XZyp8YtD6KiDNaq+nUnNzXSPsftqseaLl7n6l1XSnL3Sntf6UXotGA7aLrfzTuzE0dY+vW
68Pzv36tfDz/9GIdAeYmxO8bwEa1sRj+9cXqmeEqkq9gT50Q+qrScMbuCpwkuA8opnFqTp0pDcbh
IJ7AkS33RVbsVaombkHL89wQsyoT8Kkj5WrgmhTrHSWbXONFfy7d9M3PcNziiZrXPbj3n8wn7pXn
MnNasHdr3FtLeJtk4bDtCsJnE2uZGqS7HXUyPtdINRtfEiFs4uwg7Ii1mVHhuxHD2XBC495zMbJa
DuuBU1vct3Jcjkj/giVrrZXb7ZeIYbYSJrkGFyM3NufmtZLNT4qbNKjTEu2pT50SebMPNykL8303
jNZ9QsH1LhKsSlGNREyWkd7yRXrrUtvbyBrOkJLDXVxxcMKCPbtfxJSLrx7/AdUZltkMgmmIr62t
zU0LBTJ77EOFr7SqX9PBi44ylD8Wr3308Zg37Nnr3pSMjjh57zFIFXvZLcs1KffomE/xi2MwX9iG
ZbYzvEF2xAJIcywTGJW1O7vpeixr1lU0ds/JXNkPywiHo6J3ZetQQIwsU4p3xqE5Pbjuns8vOnRN
o28Tm9ZuLqaQxDmkV2n+OWVWdVfSCXANxEaT+kNQ24Nda2gSTwuIlNkeO4BLJ2ln+0eSWyF3zyj2
TuEM+CbjxPbYCXzn0OrAVDJ/GLh3QDeM8YGjX/EEes8ZJRL5XETHaBG/cJ6D92mchaLNyBBwr6ut
U7p3SCZqqynf3tQ9xr8sVc0ZVieOl4J8K1Va3IgKRpdpST9PScJwTfnyNzDz5BN57lc/D3Q0j7D9
11mQDoc2qJr7hRjCpkocs74UH2Lpc5pNh3VqnTgeVTpjmuyADnzUcsl+idB6mdLSvXWZbV3DOOn3
oqV2KsXlKZempNe8tx+LGa0ztSU6TeLT1tMCIrxRmoOu+NMk4efptK5ly1Arbs8RZkii+myr3LxJ
XobJxSkni6OVcRiiMZhwjcqmtWqD2zR33Ccgvjlvjg+nRuF+ajvwg3GMpbYoI/9dks7Aek7/hK2N
2nkmvWv8Ehe7X7PcVFGEapYnz51tHvBT5jygSblTw0xKJaZ8BCtWG4DSVs5AdEjRtICX5KAgV29D
bkYPpYfLlDwn/O3aa86WHS1vs5DTm15i7x5SKcYtlTJJmcc03guclCvuoH3d65MKmD9W/jzdoK96
msFUiHdGxvtBk+NauZZ+LznFBg42xrZUW3tIGy4T8002yWcPDR1Gpncd1ZPc901Iv19xGUgQeRju
x4oeIEYYO1eF3t4O8LJOk+w6oqGi3/aZRyGXNt3naJC0wScGb3Hcv1Qwlpic1FjOszbiDNviB0so
Jn/xav1rEVV7dorQO0gVvOZ0aTxzZevve1fH56Z3khuWoIzsQe9siySstz1Z19t6iBquJCj1xM7C
n7NV53gUlb5vu5YRQVaXdyKH4SybFPZR4M9ItAWevKx21iJuf6Hy4UTLm+EbLc1ZZbNMbn0PgJMH
8RWz5tD86NqUVh3De6mHh2G2nX1KbvpU+aMk/GHfQl56soT3anz7xWfsHHBVb5ObouzSQ+GhPa1F
PjoPvWubK5/CtiPhEnqjWCCpFa3x/fIAH1onxmDCcQ2RoG4rihJA+TlHJFW+iTQ9nySTo3kjcVcc
XNnyXPfV6HER6NyD7dYoA7mFotHFReZz7e3a27bz7ZRdoGs3TdfqNwn1IduR4vTwFkLxI2kbD/ZT
MzeGd1bV314LTRMEqbu1CePk1zJx9gP97FCgy09AFGKT0WF/8gCsH+h7LZC+ZCzffSdpdi5V7xv6
TFKxMiXaUTW46grxzFnXJfX2cZP4N6Gbt/exKgtuZ3SIJcazjpQT2HRPa/GxZFln6JDU8VMvtcOQ
Kx0dujva6Rx3Jr0alr6+T3IN0XRWRyeM8guiuXVXgLDmnWU3y0bTlkoxi8tVs/Klv6kiRGCg09Fd
o2IOv31VXul82mA58zH14sFwI/zEI8Sqm4Ls1HfXeOOdQlOJdk7NCZynZmdDI8AomjPFEB7zFex9
mikPua7oWsfp94Qg9tKoPtpa7PG/BqouTmS6uYF3yKknAaa6Pbc6aPccyNHnGodgxFKN1W2bx967
NeO4jd1pORhvfKQlNL5KZ6mZebvetkUB2raR/kqrpDz3pqKMU07OZaBxRbKn2OYILAAwvWjX+9Wr
4mqO8gAqg92gSQ9zVtvrpGRmUpswvylpVWSSOgYsE/MEIKyM7Hvaypkc0FOVEG4PMaG03eUztMyb
36CT+zbFGGW0i6rullaX7Ex5KtHKIr4O2YEIRU4kNYyPLl6ObJI6z+lgU+X0yK2t3cHqxjEWjoCB
46h4GCrQCDwQ8bU1RO6ry7mDMEJd3/ph5x1mzQBuLBRhqGHC4zBY9qWMRobXXek6x4KGwm8tibaE
7Bgnq8eV6Xgtldgi/8760D2SBG1OHey6l6znS8qSbRk6Ono9d+rKztvRPHA9xZxP/wZiG3Wrh3kw
MMZjNy3XJSX3u2VJ8w3WWHPjdeizIvhGe/dw6DVLRL+cuZv9vr64e+j5GOyEBisHNxeo/U0fYP2y
qpzc6p+iaOsT0bMD/zwpn9G9ttofS2biQ7fg9+69KT5dOn6uk9HkVCdmy64nAbku2P5OajRAyrpI
m13YqfwK20JL7CSLT1MR9F+WuQiuU5U05NOb6WZK5mDvAgZ88LD+DZNON3WdPE69Ux9HBLr14tli
H7kXMyJhQXR3395QyEVrEsvPloKWjqqsJqdEz3JviSUE63BwvWsvwPNYR/OwX3x5x1iHMY9pcAqE
xZfvdfHOt5ATZVozN8cWosnBrZKhZISp4KjDn2k22p3m9TR21OvlmXN2TIn3x8+u6XJ6WGolnyYm
rmSPmH57o/ism6m5Ao24CqjOfWnREe6TcbkogtSF2upTQYnC48WlfpxgMdgFx/c0v5dMU7ZZO+p7
RlKA4dwlDM/spPnLqNk8ezdpWB277kQVBGbIKbmuozz4ogKzvemNEi8Z5Uav4cAsm8LgaE2iFL9f
m9fBXSrq6W4i9pFB+cGMsgQyIpMxaXQ6ai1PfoSw0GT5D/ywHB4FAS8XJQrVuFRnZ044EFplztrd
3MVO9eT1ZBiFU8Ns7nJ/72r/Slhz9sjQ46Yre9wHQkFttsprF8tm3qODkR8qj7mDualRAZlne9z5
rcTAhE+sklm09SU72Zjm363SFOuF7mehg19VPDzNTXu/cBe7wXTzwbD8F2mI9KmJqNxzEsGIpXpq
OWRfVVn6gzLFgfrpmkxC5BQb5LlsHVklp8mKLx9wi2RXdON0zLMYTKzTtuuy9PUhiwd/V80ztaq5
KNayM+3tUi2PqqnDXZLSwlT2hmRMwlgv8+74JC9KqLppS7t9QKjHNUuz6K2n25YqnPjTCrJs1VJp
BEFFk3nDWFrMKYZLO6Gtjw0Mtxw2anR7XL513z4FtHNcFwRj9z7umATThp90I92ofXVTUsx6TCim
XYEDqVcuiToOo6G4s7PSW6H5ertpGHHcL8MhuQxh8nailTGp/IfJtJ8XYC8erqHn2iTJ7+TjytBN
t54CF5vlYJ+diD6CmmEp4qD8KVvqNozKzK1XZYwd6FdPKKs41UQ18IhaKr2emcPUk8eFq1c+vVEW
sTTpYOBhjWwCjymJ5dG57VZ3aUanrENN8CrPy+EKcVLjGitgbg49OM46W64LY0Lc1s0r1I13u1um
jdtxwVm5CKcroljje1KggEP4KR/FkFBghN+LL6rxFU4qFWqsF423bhDjNhRhXnyC2FhIoiU0UnbR
IdLWgf51+uOkTYvBqsqnlq8eV8wlHr6Twva3DsYKpN6GWrtlYBgvYGVtVG+/df33lBjszVVIc1Sb
mbdpGqNbk4roA/loQedqGBNyQlpFPflkB912R9NWtc9876GvoBWiQt6rInpnuPNYDmly5TUXVXjh
GjnM8jHDM30QDLV+ABjJ9h1XclMFz0MUUv7ik9ctu/lsX1Y6GRF7SaHG76NIapg8HvZsIGiozhz1
m+uISu9wbst1LuSldLH57PVSPRbJJUBf+/B7kuIWOSzYsLNQ+aZ8wkGAfSgq4ZV1OrriNb2BiSnn
BNnQaW65rIsHJc1ltk/rXWXmB7/BqRHmsn9rRMEtOUwCplUFyU94qLiaLldNQ0vvAOUHUAD3JV7f
uLPBe2Gy4IFt8bnQfzBUPHj8AltFmWhbFdWOL9A2AKi3B2VzF9rmehJlvuu5h69l/BCB+LiZamqI
ywjjBb06z40sD14y8KHHwXKdLdxcFzrPyaMl18toeY9uk1ovnLkZvrjBfCSpHn9IQgFr0h0X2I6/
Wdqif1WFvpIFdjQqWue1jBqqvbmfbyx/aq/yAK1/7bmt/dwzi9szPLVuFvSNI0PxfidV469K7rJf
izu3H4ur8p3KiQ3+fwnxT77X09x+/ff/9tHoGuDOw1dCkuAviiBox38hITY9QOj/+FV//sfhSy1f
ScNl5y/osAsa8u+4EYjODrVIQP4uuH+ozv/gjTjgwS7NUciDcEhg/fF3/oEF9P8Q0ofn5QoP6Bhs
kf/UFJEiA1dIAr3ocsIJw39HU8Sz81fZTDjS9UGmw6i2fSDRPjiU3zus4CmQGhppd7goXtCXjcfG
EDMdv3FsSlmI1LYMXjjjFavFTyR5EbVo6juoLyZkYah43uUIn3gHez39SobJee5TINPEtJeanCbV
OPmWjgq4q8PIRYeEPOwmsk1lFx5JKE96I0YEoQ2JJIwtJkBwOfu2qYFB9LP9jQFlQkMfg9hQ41uW
2GkLq3yxOEVy2AgA5q9r/2IEi5Fir6QYWFUzjIAvkeVlrypJqdOMdMQ8vQz9x2lKgQ9To3rJhS4G
oAOJeyz4vpz4A8wzBycbqSPu6oihHolxRc1ohb2yEr06hSPePJAXZbBNpFanzCsjigsj+BJzTNwI
HYDrYh2OZxA/ON7x9XVkREYUBWi1wLoCjddjKGyx5dUXAF0SdSorplVMVaHKrrNi8mOgYDMwtKaD
Ak06Je8eSNsN333KMnIqPd73TVdYmJ+iKqN9l+5uFcJS6CP3sHi9HdNQW2TjevbBwDudzXEyDgCy
cTOOsp+TZ8txRdAiunVTGks4Ekw+Js6xTG6svAeLpKpwWmnwGR9NYcsPi7LrmQBeweHPhw2NwpJB
NYpzZj1uWCEJjGWcPkvMV1QHU4uFG8QuinMV0v/Vi94GsBCOcFxkGvMtS8NhGldYWMR1ULQMZZWO
SbDXmXgRyrKPRd5i6HdmGAtVAJCfxNaih/VS1DpYOZWXPWM6ZdPjuWif6WRO3mviO1iuqGQMVx0M
klfg/GwBVdJW1lbO3p8/2rZZv8m2YYWybf9uGbOKm3ErA4FeyvRth8FExKcg0KAwuF/grArjwDkx
18PrREEqkkCb5ynyBircIxZCXlontVgBzciPJef1/NjOHXpQXk1nGSzFe2ZsxN0gYEpdjYlzvSBe
EtH2g/hxiC792kR4iC6h/iJblMpxaY63NKbjgMpJeqE7hpZDbbH+D3Lw+Lq2088+ubiwF0O9+tqr
IYetl7BPHy2YWMtKZ3P4keWj9UoBw8wpXuNtFg2ZKm1sjwNBLsB6RYKHbhfwl/d1KouWSlK0lY0b
xQGyRQw+Cz914Lz4HeO3VTH2w1MoYhCfyptns1FzLZ21V6WI6lgum3zj2xyGQFLTggBM3Rh3DbDW
+yT4Rrgzgqd8VxRR/ZqZUnxEcQWNkZos+hHgLxzLuUBpm6YfGIWnH6Utigd3Ipy1h4xdkxQm/TPt
m7Eg+yVgNzzEowMbOgY/5iHpG7xDxplxg1O0pSJCp/aAD9GJ6/spoHcNYsBiryU1vcq9xHH6YflI
e0lCT9uZIorn4D7EfV2DFfLHcZ/GIzf2wfa8q4E+ZjgHIEY+yXx5b0OUtOlW0Jyh+T5P0mdrVjQW
lxUYsCgd5meVO1y587BIl03Atu/twlkjh/aWU7+Xc+VwmuQatEptY49b42mu7njKwn7LuLAOT34c
OS9KcwwFOno5xMdclF4qNwBKGsQF8WIrrQOCb2iknE4vl+scC/4H+4RVb3wEqplELgwZC7qfWvMQ
wMEWQV6mW4tr6mvfcBNjaJ/Zl/MfJXyrdjIZTjIOHz6mWhcvh2Vy8PTYN4fqXCWqJvsZ5mI1T5O+
NxHGKXDpffAgZGd/9aa4+DWAOULTC91LxmVYBN6JaFn8TYbHqbiSvBtmLSketIi8AjRe1faCxha2
uPDWESISa3oSWIdeGjUBkeXbBe8jES9OFBGqTSUdC4faTcJHqyxoOwLBQoTEoovrzBeritaBGpDE
KGUNgH70PVV8TpI432g0ooS5UhE1X6A1lFcK4KT1jFzOf56yYUVraXWDs5VCDuEJU0HSbqbWiayt
ZtP+GU0S2rozIWGuCikHubO0Jc52UCwPTcNnuoksQvIARwLzruu6fA20R0NK08TyFHtOSSwz6/XH
kGbT7WgNwcX7L2HwcIjHvkrnDD6ACuhgX4DKijUVur+dSP6L4d1l3/6d9+tIL/RCN3DtiAuK/Odi
Mg8zNis5lopoyPu7ykrSI/u2hMkCXEbktb9BbqpPM2GR/4Mz4/8mf+7/Mvr45U38F6fCr/IXpKu/
HCP5C387BrriDzYT3w7pCHZd9zfguHD/AETHAezvZNlLQc8/+LEB/0qwI9HYxQny99EyQFrBXSOU
PFoOJzfaPP8N4DjAur9+XaDGUqfKYPnSjMqIOeKF/34MHHEfFVksfPYBm5sVHbtwJCK2/npHsHL8
Eo4uflbEpNMdI046IWM0w661ucVhXCD2ySmpsGlkMBlwKuXOvzJJ//kqSaMMwGIfBatOio7cSD7i
qkLlLmClDqH7uGjb8gmIOB5eQASVxWk0nKCBAtVtal08odkIuAhTj+h+MkjTxMPga3IrxOKRryK3
le22w6DNNms1GCe9biAgqslkdWdCe/W5yG0Lwbjomic6Jqa3jKfmRzqNxRMoBh3fk3UHGtri76ZP
wNYuzWd5nUGEy8iK8WJ8f+WPur0VE+jADYiq4M32cHesKsFsCxPxxJugfZnuPc3Rbe2WBSiimYP9
vux4Q/Z57Ab35dBjVYyqgEhl5Zg8Z6rqZUzvnMq9XiB2t4cAQk6/bfDD/PDxWkrUwkq+Yz9qH0vo
ugyUlYbrJuFGf0TBYt1LthX0CmcoX5s+J9IAAA8fsEnJDUucid9B4vhnX4090UdXAqFJaluNJ4a1
nMRjr7LTTaMgpazgY7XNQXsS3XSMZ6pVzCI5OuXuMJljJWb7pmILpCc0sUV368dW/ToyzSX6pTuf
+oeSKQjZBKJkAojZL+QdcTVUI/pVJjo7gEGVut95KvPkrYndzmxchsV3YIGi8dheXvV6GVPaYnPV
hyEOGbrnV56qMhsXUFa8znQ6xtsCxrFFKMvgWu4H4YPLpl16nTR0g640xJx51fd5i19yaMRLHQQp
ETsdIdmKJVTequdIZm2Duh1yFKckmjY51VYckG054cKiquSZtHAer6KxYsajOBAHK3NpK0e4UuNt
4qTuz6WYcdNPFkkNknNBuFYUMZ3ZyePHi9n5B541G2eZI+mwdQg+X2KNktL00VR8nxaUP8ZoGtVu
Z7u9OTMu82dCkKXZh0Ve0kFWLjwhbtm76QHHbwVyq88HvJNLQQoDUjw0MBaEskDnrOO3tlKcOBTg
CyjA3OWOOiiUj0Dm5E/Cnr1rFDdlYWFum7fL8fZHUcmSyOBEknnyLKKsSe/8ot0qT9Zjmzl3NAyg
dgxsUuUuGmLNPhr4qA2EV7DqXu4SP7IwqIJVitVqWLkTFFwCFv5IQqhFuNnVFmGAPpoD1F6Ejmc7
QQHdxGKs4EXlojtZTlMocs+4/chKdcPDJAENc7GjDoZjpsDImKmh/hVbKdZlTLTFgzM1frbpG0Pl
FdFl/3OJ2/puqDsi5iYLHXo7OjzQgRWP7XbBF0F0GsJqSIMIpz5EJXsuVzSapyE/xnSPYZIvPy2B
nojdzR99nIAk9ndeMZTNLp6DItgbybm0j7r5G5WIpWyQ1XA/MAphGOS63Ony1CoPRVoT3x78+1H5
wz2CZz+u8WHgVx984cJFahz1JOpL+tPYwPZZSox5oe0FDm3Ze3paU4nE98sZHc70KL/Le6Zm++R3
UAxXDfcMnCDY9G4SFc98FLo13J9wstzjRHcfEiPa7kjHhb4bFCMywCfC5tLZXIZ5Oa2umOAWvIqO
62ffGf3opzxOgNl5aWhX+wXTP6htrq0H9gcQRUZQ47ip0r5+86kRArkXsIjQ3Rps3UUKfrWur5Cq
TV8+9gPxtjWZN18dR9A3F5t8M4dcnzLAKPNoRdisW2P5B7Lw4WNMqPucWkWabRt66gTVoMwuyHBb
nOhFrboPDKGFdaVA0XCsHzvv3bNN+YUZOBz3JIdLviFNmr9Ms5n0DlGWtaXHfcXZLgyBPpFaIWxL
zUs3AZZxQ3qjayFPQ1QTGgM0F4Lsqusm23aYOr+Yb/XBeoyb5luokv0h4qpqrwLSasB8ciiNuyo1
2MLrMCh7xr0z3I2xs5srUnVk/KH68r/tUkfL1bQwglulQTGAwIln1p/Q79kIePur07xgqNnQSOUq
lrIyh30ez7QeMTwhtKODzsa1DftjC2hzYMmnZ5u0gFuL70vn9DOu+vq5sHTPJd2JFK10TOvAvSh+
V8blxZlez6DfJEHJUzOHmvhnskh7V3YqyslFWSSXiJ3z1WmkXKY19mfGpdThDgOrXNxa+65czAc3
OVb+vmDRyBPlT2sz1JE4Matvdj0mfOKb3Jv4lQqNwbRVNiVXRcj34srCkIUonET1W5K2Rb0RjYDs
yqIt7W0fSgaWtZhJRWJQXqDO+la2XUJs0as6nkirB0PkncOobL1dPxfmJg5zoDb4ccK3smbwxWu1
ki8yelG46YSiU0x5/ks/dGWyKy2edJg1FsSfnGvbdY292N2kGbTU1YI8MsBP0f0tbhrj7izTo3DR
E+UCAkSJfppqnbElGgoNGcbwBmzaKWCTrk0trluXqfZtP1s0ZXqOKDeFm4qv1szawjhaTk+kOgEx
1unkfuueQwcBezIFdTaS8AqYOtIikcClGUKgeiuTqAt1kallsAUUxlC1iCvtMFFALWpdD/dVztqp
aZIoh7tgTJI3jpLLgQFWJdfoRNDpgTs4CREzTSDIBKl6Qzks1dEvW/81yuACZzPauw0cT4DCsogz
VJrXeKVVra6DVkbTjrZs8JYE9cg3Zk4WTWtg9vRldKGDQuTUWXiPsUVfqySeIJDLMQR7h3sM5BsH
AZ721mnuXJD641oHdE6uY8j1rPvzSO0bZmkOYRwfQTWNfRq6q9EG1cC618Bnz8qZIB5RbTSkAUzu
uAUQXn6USQSTMO75TdZNXjN+svCpvcg41wLhIAGDA3+eyyG9BOUP5psW0Xvb5p9hLQmlwsnn0sfB
YFxumftc5mGAfoqdaRhiHEPbTWm+Msnw4GgfYW9udMlVmz7odV+p7E6LNnnmGNoCfTLUiRHkNfAC
vMVXyTprvIhRbmV3Xxl8/VNYlNkn3cF8kgFz4eVqZKyi95nh23/AeIAOh1GwvIRnfG7ZDUeWu8Eh
W7AxahieRBaFdwTsvOLaxbMDptAQN8fcs9DbwPvL6aDzPOp+vcS6UC7qeYJt0rroN3oG1JyGwRBe
5ViqIfV4nvtUyVZ/xAhaFIsv0PHWHVj6e1chIG9dp084ljJcS0jo95k468px+ByGMfYN4hDgE8bE
Y88fuThumt3UalhjQRFxEsVyA2qo/h/cndt2nEqarV+oqcEpCLhNMlOp1Fm2bEk3DMuWOR+CAAJ4
+v6o6r3Ly15tj+67vW9q1PBaXiklEETMf85vtrJ/ks4Gx4fzo8HWYZ0A7eiFxRNjGmx4+Vqu9LkO
Nf7Xcx5YbsCmz1+miw4pZT4WOVoEkTHajmFb6JWkJo1j1aMKJ7zbfqrds1s2ZrpbfS9n/LYlp3ZT
3VXXuvAdKBT9lH8XDbv4i2ma5Nckkmm7q3sJjQwOLASxyQ5XBKFwwSge5R409t6t1hOxXiQz0PMs
XLRbsDqjdIWPIeaYD4tlpelhMkXzsephSsZNKcOHMYOSj76NDaPtWF/KeQugzrzyVbOuIcsG+DOG
/qZ8HaII4S9ca/0+hC42lbKbojNeLBujUW+zUmOToe4ci3tQnFw9dA8N0RhxdGozPzU0yYd7oQq2
mdxxAjyfwpS3BlOIW6oWdIVWVjOGuxEHTkOZs+sWIFsq7A9L1hOlLjFWVHuDQj0dsTWmpPc5dO4n
IivRgW9zXo8dX4gFqWXAI2Ybb9vTRxqFUA1FUV8SkNc3/ZBN+XFYIrDZfc+VODmgQsWp5biRoeZl
3RaQJi6489w8h4+go9Y61dRqRFd5QFR311c0qvi9FOrg5w3hGNOUGUoSbujnkSgN7DKWwZMDFam7
KuDXBfHwzxeRM1nlcYxyxso17Lv0hLVDtWepFzrnEzaBFk3gifNFy4KPmbiVPikireM+W0hM7Bd7
jC6V7Bby+xHEx4MZQ34GU0zF3USdM8C1DOsHrllAcrshxVc2rPXCQcKlwH0/hnMVfql66fenxW9E
ztQ2w/c4TtGwosSEvBKjLhPXchyNjdMpDFgZO6u3gLHWnsG0Z7kv7uSBXbImkV5wqMkJtQ9zOGP7
yhd6TAhdokZ6vnqYFbzU04TPE6hLNLNTz3l6iAD73gqmlY6MZsecRD0qJ5gABAYl0mgqIvcR0c2x
4oB3r4nrIS3NyeZE3R14iJurRlbjfh3S4UrynLQbG1ew/tdCnMp+i6q0Zqg/bvd8Aim8L3lhIEqg
KbKAD5fd5IOz42XodBdWgeOdpD0+hNOoG1owqzlTT2x4s+fZ+PobnMdwW+ejlBC6GBPvohN4NW4G
hzqLOMHr9cHq8slsJoAgw94wpR/rLiBrQv6p+4J1xnqyFj/4IJBBbteeFO4OBgc3VmQFMF8Cxqoz
JejB2MRi6JI3uUBIPtrVxO5QVjYYZtnZWXFcvJkjcOcVwyOOkGIG5Exmcycp/H3B+WddR1MH38Xu
4E22VDBZ8VhOHnAjv32uc9aUAAdsT6rLLwN+bgPxpwIdo/iTCr8XKLryvdQpHTPllKFiW01qH6jQ
aLOzU5A+TgnUZPGIvfk9dxeX4FxbM+0g51fJfTetCyyZofA5yxX20t61upTfU4iNkNNqxlc7o4kJ
/S+0trv/x1Q07/ez1bFKv/xU3rD9jX/JaG5I2ZLne5x9/ql6Mf38rx4m1/0Hnn+0K8f1HV+gtP1f
Gc33/+E6AZNO2ydnz0yQ/9z/SWggo0EF4G/RSIrA5vyPZLTQ/am8wWWKy3Pk8DOSFPHtf05bfyju
802eMPrjYTD0stzRiO3uhSX8FTm+tfHCZ/MUd2UiQ6YufvBeVrA345L3r7PPbZJ4QagCh0C2KG97
P09QkTC7ky9bayfBXjGsz45vbRy+nvrujSDJ/iHkj+Fvz8IFa+/OfXTZkRN/XL0mojw3T33Mo4Cp
gLBkDu85S0hr58wuqxpnCd6PjVul6A1R6nzD+pd+KWoxfyqyJbkekpWPxbZV4tXoOmlfSlFJ9IwE
PRBDF7U/GNlpos2OjDA+M+E82lLcuV59l4nh2SLCNZvwxhIYjHheo1rvUd2OyTTGQmEtT+cDdWhA
FOZT0pQ7VzsQg2eMz4U3HTBW2+DLme9aUnjD/RzZ3ptwP/VRK8gQZIROQ3JVUR5z5DsglJ603X1R
4K4TC4NqWFx1Knqyy/lhCbdCbfAOq8PfHKXZWSlVBg3Q+xle9IzEqFuFdIQhX6WyBzkV2kwpvQ1o
y2Q7yay4Y/ggR+85le1xaerLIYw652gpXjAhxtOcx94KyMkrx3pf1oVWjbn+lKcFzMf+IQ/at1TZ
ktg8RAbCqpebUzHAW9UBDArLj/6qjpCHs4qj94Ne7SOg2UvRTQ9ElWO+3uc++FQghbXWSxp6x0K3
Z1SafcXbqByCGxDAfEnzbo1aUgyeSZ9DlfTQ7GGo4NQE5/NIcudpclmk8+wi5WVKzTIhao7T+3Ac
jx0TOsiwMI9K9oRrSW9Gd7bZ25O1da8oWaBf1r/3k+hAjzLAVo7wdPXSLcxCGzwGdnXFxjAuciZu
MsLZ53Gsqq06VmyZcmmuPc32yAG9K45r8cmuqiNvuwPiJr+1+zSm3ZUe/Is0qrzHwXoNWnnTdlh7
SvW1Dw1uoABoHt4Erlou9b1O+8Pci8dibr6Pfr+NQz/5skL8hNYeLmTlreqAsZXOKoodGEIWnIHn
Irj060geFjBh1XybM+j1XLaExNmtEYBa8pgYCz90Q8BGVvf0yZdPmeFsMlOpWyXVKSink6hXBzdX
d3DBxQZJrl56dTNCy+GMkQh6lftPSJIn1+L8uSTjXd1mVCYucD79j1U9gQMNORfmE/FGSKeQOPtm
sU+Tb3fMLRUZz9qwX+cNv4dMenRyahQUwOORXEzSZ1gogQ8wr74UeEZxKtzgv9874Rzu7Dy8NT7D
+DS/QTI42V11ZtaOj20I7mU3XwKT3rc2GLgAktCOzt2drXQcmfIWluslvrPTHIjvM7b6sDbHiTvE
tWqiyc0QY8R0A0N9AJ7je29Ff9c4m+rzzNGGLC1bzyX7UAbrhtHoHjBGX6GqM5MvDFUlFqHkvnoP
ehUT4I6ZQO8GgNsRwgIQj/Jl4Ti/65FKeXNCdw1s4rsY68clOWUe3yjHQgetre3zoym7iyblWDJu
ACP/zgBeHTKwzkQr54qMV17Tn6ZREqUqPxRO8KEeuP8S90kAOaBnkT4JfvUwPUunPhVC73JEw00p
za/AUtxzjLuFGH+DfevaHucDyYt9o+isCaJLXMqxhp7qgt3ISvQt403QVlgYOMTz4H6fu2oP5WIX
hAPMcAdBfYwdcNk5pNherTnmzAxWnrnyk+XO1eocNKCMaG3oHZvQUbonHbOjb/oSJYfLUwanHoEN
3A8zk3CAUF7Zh5LK451nIzWErXhbe5yB1JKh46CvB0EPOBvfeZGfpeXc2I46M6GuYwnQl33j586D
akUz+tHVGrHLu07s4hWFbY959ZKNY6z89QOVdTeZn8ac/ig2A1vkmfMytdxOjYr9URwrP4B00z/Y
IMNXYLpiEfWet9p8osH9TiMtzTo8hAJuSDngeUeH1ZlhLx1cekDDTbZq9qYy5grksY7Ci8SSZ7r4
HlpfXW/L0ZxkdCIr93L2360kiqcNuejJbzO4RJvci8zvOVpMR9xFcGIIGkqFP6PgAEzvCLvSej77
qzyNYXFdeAsFNZC0RmRq25tvDXCKya0BZSfLq0s5XbFSS8bU+N6w30sRY4GYPeYd7W7d/FVmYELa
D2EvjibK4UvYN2qwSDolNUfeyKmRVuTc4qwO5xasfW4Uy57E38JAoU3ab8McDMyZhu6z28sR0E1P
lJqZshc9eFVhHLgGmlcLfa0YsyOv/zSvUfWZ/StQxGQS4n4TQbHe4i17bbMaw+BSizfiZU4Nngww
BoE93VwLryClosrN64pUIe6SpGCijxQfffVqs/B2wzX6tET1BOgc8R98UJXpN7a6YxjD8oGXVyS9
2x4ylUbkW4Iio9C1iwx8nqEwh3m2SQT6ciNjdjMhd+MnNuL1yK8+2ViXd1XHc31NZUj9Lh3XfJVe
b2e3XOK2fyuLkmcnM7q5UDQArodSWt14kYV+pTYbYxLSLpAC+2yWcoChO/hJD8V98Z6HYOB3ZF9E
jkQlAk7w7GNAy4OymffSTHV7XdVjkV+WdN/py3aQZXjjNDXdAWItcQWPjMv2xHl0y1HUCv1dJsll
7pYBbOsJVXEz5RRhTrUPNfZM+1lil3jjSiW3qx5oeq1JgfuHGREqQcHliLR3C8AmKBcr5PURzT7C
zOzAZtoyI9EeegsJyDqLvAAR0dCekTpsKPZ8VQqZWGvvVHhKV2ff6eyXyW/tCumtzouzJJHGqpfn
kzqR+SN9OAfaiTO30zq2WiSnfSlC6tKhhDlw23ljdIfBhCQwa05jd2rICoYzNhuRE2YTjDps8wLA
bYBWvFO45tAHaMya1dWMAEHPztDDiRi7GjgVtHd303tpijeVs4IyDJhvxsKAFb62xsCiF2RMBnqV
Knofj+0cyeeIuoz1lE2Ll+97Eyb6qFQ1OZeuTeX0jpikgqwcNQK8Zyis+uwtqxed4XY05rpOGS3h
uRubi3TU4Xg/M+u6XdpF2/HS9fgTKpWn7SkwxgZzStu2deyRLsjzOQmEVc7eiXMBMgj3VBMBw8Dg
NnNAHGcju2t+MEyxKiC/a5FuWu5k0Nb4ZibXoX8I58mlzQQGzvFUE3CSaRf6Bw+8jDgiNEW42vuS
fI6ZRfMloqz9OlHgOXZuhHOXCFEA0sP2Ch9BrJscypx0xQF+HqarjgbFIgbQxNOp7SGf46GvlbjE
qceYBM+2BFQTzNjJBqv0X/um8NNDkU42HBF7wUtUNXMN8mkKrsa5szBhW2VwbbSoir1N6elIqwA2
rJ3FJJ7WiGn2GbTTKcY2ZsTJEou8Y+ocsfnlT2qvoaZzlrD8vdC4MjZZHwJ+w4bY7nAK6tdllBN0
yi4xwF/Qy6ELFkm5HWcLKCmJv7DRmYI8w+PkZe22bQhIHsiWnOkhrdb2W63V9DbiGgKlPzJ75T2a
iOs8Grt3rVK6Rifi9AszmCkZ9xyz4UC6H1TEf9ypswAYbpGROxXeSDtiVdUnMlLC2/ceuyXiI+az
79cpdoFh3q+OLtq9Loz7JrZiWjaDBrWwM05+nspUX1UTOz/GuknDaL2lkAf2jLAeOKOv+XFK2/RF
yE8pGJM4q/3xG0HEpboNJ39+KsH3e7TMVOyt0Hmirz58NZ8t8LDcLYvF1DXDkfepYIlOANxJ3tEW
o/iEoUQTfJCdD6WZ1hqMVkZgCG9s030N8XQx3VR9613UiajoubETfKMIqdDK1Kyp2EFX3JpSmW6y
XQpobh2cgFLl0PsuiNN/84lDDHtLzd6razxB+tiXpLzbZdOIyGugF+e241NgGoTO99R0DC28bgLM
GglRsmlfW0g9HYIeWwVBjyo701Y+thrAJ/i1Un+d9WaolGbk8g2KTosdjRpcJC9weTGRTx8OcF7z
LCYpxuSzqh69XqmaSs4qIegNjk3F8JcS7iYZ8fpVS1GOMfTkttrrZt4IADg6zigyTARF06Z0b4al
OS6dJBcTAHWe98Zr1UOW5PTgpmORvfLMRt9WvRrk0TXYskTEV7ZerWzqd15gpgKGXjY/VgDjHjb+
6RcZCdIV0drwClvXnm3XbDOAO0CLUee26nsCJ02GjNbW3YzI1BbMPVBjSPVSwrH6h5XIOaYMvbpv
DJzKt4H/xU+QSGxwFfOBDPqpyP34f+6q///TIbW1af73DqnLHotU8+1Hh9T2F/4l7VjiH1GE253m
zW1uGEY+Ms1/dWw7Nib6ENcS/nmUGi/6t7gjxD+8kJgKJyhH8lflv8UdPFK+azMBDjbvFH9f/E88
Uj81bOPOChh2uzQCoSUEcvsRfnRI8R7XWkMwY+LtvgS0jRyjjpbEYq1JTjWy3v/wzfyNf8/5K+4D
Awefx08usFhupaNyM+7/ICWVzJe4d/k83ZRAeawEfFbnpu5xYh53HHhkLyJO4zv8/TTnZoF4LgT3
coHciaGmWc4Ydx4BfJbnvAKAQLclYdcKhfdfEiQt7ul7+zc/KN/vD0bDf/6cwna4ZALhyxFi+95+
+DmjiN66ho77OJf9q2pNds48RXXYotT591/Jr1dAYkwL+DRJ0Mhzf/okZ9REEjRe4ynKFHu2mRhu
EcrDVITtq5xJJP/+8369ApJyO24ccC8hRaw/XXEUgrxmWwzypzRuvBQredSywd+VlcvNaBiK5p4V
/uG6/80vSU6AT3MQ8nGI/GTEw9xe68pnpNl40oqtqu52YKcojcB4cvJa6/vvf0d3u43+7RPdLh/3
lscHBThGI9v+ifEy6D71qrzkdLc2vASRyKcnxiG8v1u70c8FympGVZhjffAk9li6WfvggyJL8U3a
bRVxDu4YD6ZL7zSHgLGJxLQ3UgTD77DO+6Twg4+gSbyvmWnsVxDueJA7zFgfCkiq6vT7X+bvvjtu
EA+eKJMc395u1R9uxT5HvxRZp+KZseB109MOW5OEZMNZtpDV3eDw+8/79dYPUXrdaLtBtpDOT4+o
KEgQ2BmdYJSt42rC+ntJdMw+9Eqrf70y/tunbLsMf71MobQJrFNrQOQ58H66TJFTMe+sYQWbpWB4
G0XFKQzT5g+f4vyV+MPdwBLrsGb6BN59Fs+f7j4hQou4Nh9jB3jciq1YximS8G2ePJARYE+BwSXz
vsnESsVOO1yMHRajgbr7P/B8fnn2IItza/k8fLiYhffTV5vKoEeVI6tnTQmQ44kbtGsaAZURTqHO
Z7g7aeRc/v56bg/0X75kPtRzXYYLnodjWmwm2R/uH2n6SeW91UJcoMDP4+lnYGaRwmP8ttMo5heT
jaJE2Vr+v/jiXcGwVwjJ+NcOf/p9naXejDH8vpnv0eLqoHwQNyE9a9XuNTMzGq0i170taLe4Ghmt
74lCYoFI3PkP68/fffHcY8xJ+NIdx9/ukB++A2rNqapsC6rl65yTJwEBQOYUiGj4mTgmrfNqh/0f
nttfv3c/DDhTstzaTE5C76+fGTTYNBqlKTDCy3KxTLQCrOS4zk2RIqVwzovDliavbEqbP1zxv7nh
t9Qbb3PBtWc69NMNPyA/KTJhpOMDWdCH3XdXw0ifqEdLyKd5oNdsKTnhcWTLDnnQc/YZ2XaPvZte
/P7e+2UtCflBom27wk6Hzc9PP8hMcASiZbghEHsCrIzxYxyVFKlhqtn9/qN+WUv4KDBZQJcYV+Hw
2y7HD5e4MmpyByFpyGjC8qTY0R+EZy9/WBx//RTuIh4nCq4l26+fHeWLk2U+J/ImVrbdw8uo80eA
vcEfbtdfv7aAFYu1CiIqW8Ofd2WDY2ZGRBr8DgcLQvx1eZH52IBtCvv+8Av9+mTwThGR54NeBs8q
f3oykkJN2ejxUQTR7fFgOt86DjhhIf0HUxytzP2geOvy5vdX69eHgxcajnw8ZoK1MPxp15PTC64b
FxK5ltgmFgG7aaYX+XpyzHKtByDmYOCY2gx/Wg1JgHIj/GU9lLzW2G6z+7GlFO5PN8oqgsFTFZVX
2pL6DMQRVGqo3PE+z20MU6Wj84t2xCiMZD+nlwEA/+cpaKMrSLEc621cVsWtv4QTFT3rZqkHU91N
sQuj4GwVabAwzqF+YqeiZnn3EEue1YgjGcJ8mt1kuk6p+S5dX4PqJkzEbL7wDv3iNJ94/gYKekWY
zQiJJOQRb4W4acoe/7xssJ6jdqcPRRKRbtEYyOlhDzPkcqyJCcsmab3HeVwh/OjJ/qLCBQxB50DE
poqsJ8CQLzp6HFbBPeQNzbIeXA75cLjsmab72R/UpygnWAy+q8TN4LT5dFS8T8im9hy6KWtPlDiB
ZLC+JvksPrFj73CFuI56rrpV35ejpnlKyVwifdo+cE2EURxJqU0QCrTdNY6y6qVtaRyD62qrt4SI
55PfR3JlQJhGnJyxwO9qmSCYzqOYx70xiQ32X7lbFbVV3Ss3g8udLRBvdqZF74wBvyKk1gnpxl2K
RsKaHvRbcxDhZLpGAeShfqsCd6fTZaoFoWSyG9lI96mvYfTvLDwey67FL59TrO5RRL0sRtcxFmpG
vO5mm11xAZKnq9IwP41TZ8l9LkrwZ36BIs0pW45PgFo5HGRzRnnHOOT+izYMZDD52FRLLbqbxGHR
U/9a2w5qFiqg5vgy42TNoAIlR0Q0tO4cg2kWr5kCC4TYwjfhoqbBzkAwJOGw+lhJvWEARzHQ6w45
V6bVwe0gvOxxq+bMJdmtfkJDmqiFKbBE7QMQQYg6pvX4/77dfI4As4EUi3oLF2pEaQ03ODEJj14b
g8Wp9K5xP4+Yy+xi/tyjv0RQBiIKfr3FNi8ohtxFGHDnLxK3DNXFzaDuM0zBweYU6sDuj+GaZkff
V+vtQh6N4gJ6scJ9gb/kgto8BD24vkxPJoYE457uhq2LdV2CI/glJOGOeCaJzlw79y5ggvxQErXA
CJeg58NVzQ0Isqr8Pq3AsGPPmarPVSDMfbDaI0mCiZkC47gyvXWrhmnbwn1tjmnSklEWOGvvutr1
nmzDVv6whG53mdVeDRpOU7xQTyaajlEwm2JvBhm8mWZqbsM+zEnhdo2zZXk0N27aj1rvFtHk3yRt
pysVthkICHro1w+4+VHjKeWFBRmC21VYqywQzzqk0W9M161sdEGBhdYfUmSF/m6jcoVsu4ahE1Rv
L4aMH1byDShPuu4wgO6P9qtc+/YgSo+Gl0jQDJ0NodPsGVcAqJuJHqK8ZTlxZ3dqeOIzlJ3rQOD2
Ib7TjHpv+Wic8VBXDFIxF1kDFXYwihgnWCY9NFYlKM4euuWt8ITxdr2l8vvB2qasw6gNvQW6RrAO
IJE8uxYcpl1RUhS5b1rXHGSlFA3Jk4q+jc7ID5tkufWxYRTxUBuOERdTR+N7bLr61Nk2Tag82/5F
sDQAhFmlpheC2NFnvfJAwZ7JW2c3LsheICqiiaJreGfvEcEskiCjba7U7MCZzcIFR2tGhwh3oHER
EDSM7g/5ME6bAaBtLW5XV1+X1SAWFAK7Yigd9MEWyWVlCGZI2nGvs/YJiwmwsgKr6TcxrMPrwLm4
vTCTFsMlse5k76Q23r8BIZ10qVwYpxVlOz4GTd50cUqYaTyi30EEq0J059gYQrCXmVbJHahIhlwE
CCIaZWVGUDsQ21LtgHsnAJp4uGdphv/smj782C1Mry/E4o6v0SpVdYkrWZUHh0423JGtSyilrEV/
IJnFfJAaY3UzLD1MF9pSy/eMTvMbnsrulcFF+zUgMWX2gmDZyOoPRBy2Xz1dzRP04isOztmdHSpi
NjajWnfH8kzqRFg9JEarc19HGAJ4cnXU3RWDgvsyNekCS58ivxtnDGlFyzjK0zcVCO3FWxA9/M7l
NM2jGUrh7DGH4swBKk+YQONS/EYwg9Fcz32zBwcmnzRNCq9rJqmazyxnLjESmNE+tyhhzOSHLAIB
D1LmmXNgmfA2WcUdRKiM+TjksPaUTDnGvtxe4PPwp0xmVdTP1wSSTM1IPRFfJwhwzGEWHoYdnOoE
Oh1zvDA24daECl8tlZdhDa6FF5oFto38inWpJmrKdkbNGBiU03ptnJExwLe5tSQXgdH2Aaksxyou
GSTvJrlmdLUS27IuXL8t71TJ8HWv+pw4B+0rydOCBqPjuYEJiVbtVZ95gQ2swkbACUcOAWbWJesb
Qz+d0e4SLB/q0aY6ba4ZpwKgoafguAYt82rV2j45t6GKev5p0G5W4lJ5WGRwM4Jtk/klk1siOLIu
5Vsok9LjfUC8e/Pls8Q7WY9rkWvrXmNYd6HdVduvgD7Sf1K+arN9Tgii3NGtyuQzwgT/YqUTJuRB
t+szHFjicZ5fMaDwF+l9r6ekZmJKJsJCS1lZWkeral4w9FKcDYgoJLqdZhlcANm9Ts6oahbHxX+k
DniAWp97xTX7LLicLqn3r1JJ+51Oe28vbTZTO1tPyXdCLa3cAY3oymPQr+19z6maiR7xJLE3NYy5
PBy9b95q6I1rVmCx48J8OCPLzUTA6++r0nJvrHYuaAbxqxcZWPN9mBM0Z5yUDBT1Epg7sMCUx7qg
aKbETn8s8WBTUEUuPCL+b2IFFw0Fv7XG97bL1xchMv+j1VJZ70rmeOilus8OjRz1i9FMsAnN1OMe
/KUIbnwPsvmpWIX5bAiSd6QmPfumnaW7xE4Rjp8pCFy/zGOk6WxVa/kxgbbEuuryuokNFcJMqqpB
XSshi2dfJCgXkWr00VVUC+6GBsM+jUzseTGLYv7c2yVjvL6jPiOmU8Bd9+H274CZi5bvYPRrNkiO
Rw9HMakaXQMwwoe1ZT66V/WyflZtQEWFnsVyWzACAStQzpxaR26hCOGVjMrj7BtA4cSK5EdlOlZm
l94+PMYyE1iBQHDq6FhAjZz36GPJl9H1+m/a6PJjgEWxg10wuvRfFa1+YoqMyAMNRTxz08qPkBC6
M++5VGKkk7O1x7xWU0VS9Sra+3YeyJ2q2hwSnQkZhNguI+FjAk4jORTY+mgYpAQ0O9tYDi+Vtoml
WoXlAVqDSvEMyYEXYkBOj55FauYkbxQ3u3Yze0stidJ9Qyzoxp1jk4OAr1IXbyqcNZUk/eKxnwoE
M/6c2oArfyG0RQFEFT3aowqik69doAqkxPSHIeEvgoTIzJOziuI02tNChssv6pelFe4jp5/oW0cN
zkdHDjD4Qd7ZM8gAsCh7LhocEtBdyUtSTYzBeBHAAfEqy01piTfNg85bO99XssbnjCPCu1OZppOU
xviCugSD7w6OYmqecqzGW0Z2Yc82FCMdfS4bAao7RGTd90XKdi2A/XsJC4IlCbd3+c0vbTZ/DAW7
h8VJXMl1cqdz13ebq3yk44d4gMgjIoPFtmWrTaIw62ACx5/YrTS+wOxkdyC7b+SmMo4hjgtjOskB
8e+6lLE5NKvgBClEX8xl6B583iQQVkFbnFrkCK7MOE73GNHYqScTjQM7Eng+kDlXL3cWkzFwLy7i
zIMvHGz+yZoZXP3T6rxjH2XGQtOR3HWhC9CDSSwK+lwnACdznyb2vTBtRoUYbQYHyIH5vDWYMnaQ
oxpf+l4uXmxP9uYdZzF9x5AJ4MUnBAYPhfamfSjr3CKz7OTBkbKITO5T+s5gJJbNQoybeAf3Up+Q
CGYzhI00KTkmR9BwgKeSnO7jqs/kTaE00GzJYJ51IAC20kub2iF42DPZuXWT42gwsR/wxC64wnPV
epBPRoYZ1TIs/t4oNdxITAZjTJ6I12ipp13p8b5nh86/jdVVkNJOLG96xwDukamEONKwM96CAXO/
9icCQ321z3ro32Q0pWMzwJ7mjwV2uGvcu6W3w/dQXmJmwbo+cWi+VA2lQTyAnf84kr44R8xHCEXb
itMCjyaDyUHNr4mL+9BF4lLHVbEfZJDQuUctYPFxmONVfegsf37YRo40zwSl/LgEgcXgsmX0ivAF
pfjgMFah7rlmzYkt9gUY/gtYnP7SsLKtue/cp7S8vg/OwBafwjFA4V5df48oT/paZmk43xZ67V6o
Zh43EwwT1Qt+zYHElWq7+mHUtfc8YiiSeDsz39qFkQOzPe8jnJdkyXlyyK+M5SHjnQsbE8OR2ie6
Wz/roffnK7cnyHSkSdijg6sRVYxDgpW4grBxWvuFk93MbR+QMpB+ctDsefE+5biFCWLCPIzmFXew
ha3sk7W40bTn4jt3EHEwVYkJn0o16mLdd7YWZ3zdNB8CEcj4xRsq5iKdts4+awPDrjJkQd4Zp20+
gjYKMFkPc/lVkfC+mYtmuB66FluvUn2wkjXrqhcj+/nBpIn1XoSK6MNCxrk8e1OJQ83UkwuFiZ3r
zZpua4pJ8Gwd2CcBNdRAljHfqS68cJXUL5FsKn2iPiunUlPP33A+eMtFuBDJ3evQyikZ6RzkBcr1
aFUcPZsL1jZg8dkdefGswmqAo+QYWlJorrhysRFLjs3KhssFPl/F/Ewpxt9whPuEiGhhLI5EeMqg
iLZsmP3yy8pTLPaLNdbXBNn5tjMCPreuP/nfi37x34mA9RQgSjmd2LxxmptxtX1yVymeXLp5N4dH
TUCvy5qC/pZmjWIuXEXAUTUZ7lEYhbuA3PF3VeoCQwfWkvRlaYSPFO3iyd9PurfP6BQi3PVtSrhl
dGq2jnNZLJetmomgpDogBDUVmOviNtdFdcGblbbkwZS4UrKV2TvmsN66mv184LdKs4K1J584M2Pe
yle2cN3Xwc0K6sjb1NyWHv1B8zAM1zpfLIDktfWKNwAd0J9b8C8Z4SbvnCpFDDvizTnElul6dS7p
HU+PnBg7Yu9DIrfnf3HjbmjTKsYSlYa3PhzPD/BJ5XKYQtMhOWAFw9AXUv1MoJgjc+tloMUpM07j
yqk2SgytrE9iMP6z5iGGmTAo/53yqvVRQbhPMU/RPsBpKiWkDaYCS2KLtREtRnECAU61WFclizB/
XLbhE5DAOrrIfR+0u0dyeqvwHjWhQIcPiw0ROxiK3hQCFy9zvvEpyy49UnugmfwMy+jQjN6bDApG
GG7r6wbnvtxaxLBKnjUwrY7VF7Y9Eb9KMtJOZhvrD3Gq6CgN8ttOFwXDnSoKagBmAUXQPdbCWwZh
GBax+S3iQg2r/pRI3d+pHE8bNWodbtalCojR1wq1Jm5qt/+Wk3+GesBmr4DjaI8PBBKtbB+kZfnM
9IeTaW5AGV/2PMy8Y1rXRgoZu1Kds0KzlQQCwflyJ0CVK3aHNcYf/mk43BF/F2+5w8hm1w0LEWu7
GYvPJOWbiKE8ubR9UCcAE9J0wUzVg9YoLxxEv+9M0MLrla098bMor994xc3X2qnBFWzyJDx72wBG
a1SRiD3TL3FIbYEj2x/aOtpAXQmuncBP7lVfsbNJCVCpM1pKgUWUmi/c5BwoY8zcwCHBEht4WBOa
AiitTg8b9Chnez9PQGI/zPxuzdGMlo8dTeKZGQBH7ZUXjn6ckj82kLrd6Y3374iZVrrZDVGMVFzW
bSGbS0JJmCIZKLTikKXbTVkEVQpps5if/wOgtGM3g8XFRVG87ya1PpowHW7/A/Lcsga1YeRbkf3Y
27y0T32FRnL8vXL9i2AuEY49jwmzcEkpBpt2/8OcgfCfTlazGYVKy0cs+E/2zmNJbizLtr/SVvNb
Bi0GPXHAdWhJcgJjBElocaGBr++FzLJ+DI+ocGMNn7XlLJNJOICLK87Ze+2uuBBC71By2emVzEVw
TwxVc6a5oX5QtHYAKpoKHW3oR/ZJvdyQOTq5PJGea7RkgDgKkXdDktXb2pDJGhJMsFc1icyVsrAf
F/DOa1gVf9qW4NbpXELu0Q1aBtZJR0uYTlMSO1jhTSD6OpYdxHvanFeZORbXnz/ld32W5VIODQKV
Yj3tlpPGkdbVliCHpKKBrztHxGElsIKuOtMo+/AqLgoY3V7UF/ryrn97l40ZNaq02eSDbZnXWVuK
+wKIxxmFx/ursAd1OUoQOLNoL05GDKiWBEwJ2xvcvvG20AOtYteTpH/cNbJpgS1PDOaNpTnmSbe1
iMhhJFYMyA1/iAgRbqQMcWnli+D489fzwUfAbkXHkKaQS8OtvX1wUxpQ8JBL+1qxwsM8N4MH7iE5
qnZOWXVu3XVn1/aZdvK7nhGNG506tUovmdabcXJ/qL4hsbAOUOjm/Nb17M2HRFrb2ixeJKZov6HT
iiOCdKrP7/YvycNpywgxhG3pGss+coW3t6uIYKko8vXpuI2IsQXeSTxqXbX7NmHLz2HM3olRo0QG
3xZTWd0dSxo0ChwY9Kkzxqwzj0L96FlgqVb5DE2byPmTJpbZ5LRuap4F9tnqLiWextd6amr4pH92
/dBf5EJvvGZOAJyKtt/3BvkQrtEQbh0tB7gevG8h7F+Yd6vjhGCWLk+QUT9AAXpmwnw3/B0+r+Xj
sjUUbdqijfv9I4N0qgRO25WerY3jQ8YV/UlX0t3n7+ijqzg0MVEZmK5CW/HtVcyA0DKrgvBk5Jpz
icf/C9S/6vY/uIitLneBaEuzTybAvuPDQvfMAUZPjd2gyuymn0vn3HBbhtOb4cYTc9AtWQ5iORvF
ytt7QX5c9zm6X5qjnXGlL+7Cnhnmgi22WDV0AlYwU5SN1cDL6RQt8WbMRUAjzETzoyQpyCvX4qPT
jOIRV6Hz/fOHoH70qBGIahqfIxEB9skLBWxLYhBnIa/KzV9KHMqvXSXvrGEujzqq2UPWAM2azY4q
iD3Y3aXjGCQdwQO9skK8K6UxUjVVk+H589+1XPb0qbkukguUUgh+lBOdCzzcyaDUXnp5peabsIwp
avVqCFDWSg+z7H+GGVnH6uT++Py6H7wtYxkSi16TMqdzMjlwAHHAVzEowM1T8g/IVpQBJddByc/N
8O+3AYwIvL6o90hnM2igvR0ZFHd7MUus8TLN6a2Cy/dzoKjrPKOJ3E6psljlXFJxCvvKdGc8LO4s
znzPJ3bgRU4FVM9E1rHICJfd0NsfkREe27E5Lbze0AIPBaa2hoVBvpDS1Jxq8VWq0+geKOmM3yvR
at90d/xVt5aK5IeKkdREdJ06TYEzR9o36E8x32m5tO4jAJ6rkJB71R/UgfgCAK8krtQLRw2i0Dkx
6gcDBpObRsKdAxpTP31x1FInpVIx6EvV6H6apJzdBWyd12ZrFnezHYhnlf7K5ahztvl8yCyv6WSo
mrAP/1pKGDWn+hx8Lm2lUEzxcq78gtFE2SqIYO8Q7ih3cnLPfRoffLH4wy2EJCYaQsRgb99YQeNV
w1ucw2GS6h26tu56Kgz9zF198CHYPE+dbQEQb/V0XkDTESeqSye24MXeK4UumbHC+NpJK/XM9lBd
ZtqTJ8h6ovPyUA8iqj4Zg2OL/dzsaqT7rRoRnJpnnEGm7giFg/ZVG9KvGxSVgr7CtxJr1bYe8ic1
Di7YqgRHrZdnJp/3T9hWmXLYHfy18zJOVoYqk2HaYRX3DKEmW0AUM/3NPDzz6b0fN6h0EK6wiWQa
QCD09j26MLoynW+I8J4xfi5qjnJ97Q67AsnuVVlQNPl8nL5/o1wPIzITjY4IXTuZUg2CXNB3cT1j
idprDHoQVOGDTVRiavoPLmW7iMINzWaontxaTDk0IyUEonbXQX9aFElz6ox7M3aSM5f64F0tojSk
9YssEnncyVNM6WbZGSOmz2K8nrllbImUEmeu8uG7InKTYYqsirbn26uAnsKlP3BDAc1FXpNZHwtq
QV47GrTmFtv1f/AAf7veyTIENQq3dC25K/Je7iV4uRXK8mQTjfk52e5Hw0JnrWOh1eGbWCfTSe02
mMpVbo252lkZBujsps3qo+hC48wJ7aNLsdCZnDtdm8Ls8pR/O6GF2lCNak8zK6laY9+3MBt0YtWv
SpCX/ucPUH3/xtDDc6xwTADMHHNPToO5WdA1BqrjFaqmvkirRBlrJM5NZWl6sgGfbnkdTqvHVJtp
cTekiy3b/Ru4PFAszEridJaB47eIzemLtBXmMATkZz7J94N3+ZEMKhURG96xk4lGadk3Vh2TrDVC
OR/VINiElJc3nz+L94/d0dhIWwQosKnG0vb2sVOwR6zd22TgoMGAIJ5neykt4hBSU5651LujpIPz
RWO/yzq8nFtPBlMZd1aGFYGMo3guUp92iv00OrQeJ3WJVFAyWwXh6UzndrEf3KJBf4510SFwQnFP
rhu46I4MNtMeeWVwbIowbKjtq+1u1NKjjSbojpcP4SEY5iutN/rjlNrltsLB5VO1VihLlQVcOpoq
D6oc5jOv+f2vQ/hssc9SKE5QaT75dSHgpQq7JSIHDbiXUMLyEqIwsoRQnJPHv98GuRzKGE9o/nkB
9sm7HuclEbck+zCw6x6pnp5vZNvcsujWV9oCNO5pX+NrU4xzX9z7seyi6Wc8q8ySCnWlt6MsqWjT
yAqFMna15tEZ9OmOHA4SZT4fzMsNvN0rsLvTybNWFmQYKP23l6nMwCyddET7Tr31QD4GeraOsidC
Mwd+S7tQG/vBGfaCMu3KzeiRf/4DPrhP6jJslzFyK5yCl//+2yQGAlN1tVwlvIdZbu2CmFtDkA/v
P7/KB0OGygQ1oOUg4vxlGfv9KkyUNaKEljysQO/v2qm/xRABczljvfn8Sh/dj4sbRcXIw0ptnUyU
kySYbhA9eg/FDTZBlfcvtuJWD59f5YNzJoJxfAvI9qn3aPbJ8OgyR407mxuqUblnCF5IX7OnICEd
3g3XVgNww9b1iJpFYPmjNby2ZuNsgdBkGyoyyAaTqUVv0Sb+5z/so/HEiFoOYDjROTycvE51oEdB
886TowQJvCQTFikdjbkhLoBSv7HwG4NiQw4MmWiulGeu/+7x80gYMMzKeJx4CSdzA5NjHXSmDlU6
6aG5CDe9tME3nPlq3j9+ttbsj6hCLN4NNpwnt4nlumFBjjwFFQMksTaKtqQdo9ErMqr6Vpo6Ozdx
EMmoyNPWeTR/N9SoJ8AYYKyIu3Zdi8x+hDyg/v0A/igC/v9Pp+kyxv+905QmcklE0+9O0+V/+F+I
GMuYAoUbzyJ15sV6+a+Yd/Wf9lJNYqvLjmEpQ/8vRMwkx4llnlFMSYFNz+LH/BdEzLT/aSoMAQKZ
ll0AHcY/8ZmejCb2KpzWnOX6dE0wG/ylyv9tDpy1SmuX86FfULE6gnH/UhHiuxVIZi5aKHOHWM2L
47JebCmm2FsdLAiMOQSmFU1U26U5GnQHAiyTx98e4c3f68B/FV1+UyJeb/77H293fX/9MIcSGz+M
7SWngpOvGSSrIJTPUHxOH/JYtN3CVW8GfiifmWcKRJufX/Dt57tckBnN5lBlm9iR7MUQ/Ps8bShD
HVOv1WhbBp2n1E59qHXRPn1+lberOhtzxWTGZONscm57Xyw36BbBLaohBemdcjEGsw41WMbKgtLS
HgtNCx/DTmo31TRE52YOnTv4fwvucm2OPRbeBBo3y52e3GHg6Bx57DGErm2l38K8zA4NKGY0a+A/
VnWmF9u8tQbk1gnkgcYpMBdEnbbNDcW6Ym6xrlvypr5+/kDUt+vj37+KDTPlFqqD7KyWX/3bCLQr
I3T1IIR5MupiY/Jqdkg9GyJNBIncFciNu2QcrmlrNcdqssm0we2zs6xeeSZjiQGourfoEJCK1LpN
B/rMz1tm7dOHxjGbzTBfCgeM5b//9vPgmaOdrwkIA1XqAFhzdWASRv19JBpnZ0+pioRUQEKzqGls
VZY1z63NaBvAaDlWDczMz3/P6WfBO1xqRZArsOmwOzx5WtYM1CNaJI4mWiGUYKgb11UdOWu7UsSX
yHSnPyvp/PV+KIoxCTk2i5tx+l0gq8zw5Ml47cJE3tBitLVVWtbKfb3AQkkHx6pHqNIvyStY0UZv
ryaIgmvML9VBQLND2Q+S+vOn8PZw8tdvYigv22OTmYFy09uXAlrblFpmxevAtuzbuiWuDTFqD/kj
GKm69I1n16BjP7/o6QQBBJLjkGYyKy1239M+ntZVeucGcbIu7SDcOnrTk7SblWee9wdXMZZ5T+Vs
TdXl1OFe0F91Y/p46zFtlu5Pm4Do7fT87vObefcEMXiBoKVVQA8Im/vJXpF0V9gdSWL5qTVll6UW
GfuCThPKkq4NtnMHpygRuXXz+VUJijn5mrgs6x23RpVHp0b49sW1RuGaFEQMv8xnEexEZIpfhjpG
xYYM9GiTD4CkPZLsCAIdRD1BNilKdM1Aq8EJOo6oS1+wNpKs5tbtfSoIRt+WOgKqxWVleo2pEa1X
G1N1V+MmkivbmMe7JDHDi2V3fp0MiXorqWKZ66qlXQFJJGguwllX4RB1JqkNCEKDSzhn5bjtmA62
jZJo5RWP0TRXPaTWdVvo1Qafbo/lZtTQbIZuQ2CsFantU1SN1pUi8qFYQsqBDONiQ8kOC73xUgNS
gZfGaTmstM4m0QAPi7JyVBkSCzd0Vb/PNHj5tyPS/l2FPNPZ6uoEMSWd++xba5pI81x9yp5GV4sD
jygD0aMYiSBXo05FF6uLwX7BG1XXvsghgkND3zfEpN/DCZVPmZGgJMmJ3vh71/dvzeIfjSSmIx39
A7sVJqe3rzRDLUflmjAfW8uFX8ZZsMUFaq0tiZBHn7P+KsqcYv35QHq3aCzjCBMmDFT+Lue03DIE
QdjpIbrzHNDcetZydy2LqvI1UVh/Otcw9ylMfdwh/1BIfnt/RCmnbJ1cLsVXcVQnOnwBIfFepVfG
gXE+bVBQZmfW6g8eKuIq3VKgRLPTf+eaDcM+IIKFENvSbS/TaURHb2c+merIym32J1ZbK3/+TCmv
GWwE2QnSzD+ZVEsDuRWWAG40jo0NTW68QLFTbHQwpbvPX9+7VYzKAgVzjinL+Z+N0MkzTQyADF1p
+o0FhopVq96D24MMp7jzpZrn45nrnfTlWTBUen0U6FnCDfbV5smymcENLzv8gj5ZxWxwcsf95RCR
+BJHc/zQpbn2BbdoN2yVslaxPcJQvBNRkz6bbsT8q6QmkdJz5ZRba5EPAmarlRs4cvhSKb5P+6bA
mHXmu/pgiDtLE4WdIhVdRI1vn1GA12cQbYlSjnzQi65bnIQVKDyras7Z8D+6FJtShLaqxdSsnwxx
9C8kzxRordUIoTYw63ifCOGgvVPPvYkPBjYlkOWzXWQb9Knf3tUUaQ2E/8T2MZcFF8iNQQ6yca1W
ThNb8EMRq0Bk/rMi/F+vH8ACxBEkCNaiQ3h7VShtMSbQ2fY7Oy0o8hgxBbxm8WmM2vZPhzbHCJQ+
lCCWIF7npKoVjbOdYSq1EC47hp8YQbuWc1dvjYSmsErizxnH9vLT3+xPVaoOCCwQoIFx0ZWTkR1E
epojnLT80pLmphFTe+GyzJ4ZjO8/WP5mRD5ciSmeXtrbByhjtH3IVIhatCYXpXzcbfU86q4IXacH
nMpzYBr+yvf3xfRgMQfyvjS2vG+vmKUu+a8aAffAh4TuJ/EIHLZQjZ7OM+aXAjEpolhK+VF1aEYJ
yLYbWuxWQaOCkyWwNcHV6Lj1ugGrklGHsvIHrNPwrSehB6k3IGf0ymZkL9HLVt+5BEo+sHUnA4ZQ
new1DsppG8X68KuBLHkdYpPSNtLuWL6J3SATqBxYYDGRmuQ7QKWOr9A519/GRGHvImyDg29VuyEB
7U32VSbwg1aGskS0JErd/YzKBW+CmwzL0KBrwwvRQKSJuFh5Ws7ViTxyUlNejRqSmMerzx+brpOP
KW/7F3lvwRUsDlTifT8H6cqpWwX3lBRFDr/ZhrLoNKpB5Jsyli9mabTBwbUzeHcJhoYbU8QkPRDp
lQWbJo3xF0x5VF8Zoh6h6IrORi6fzuTZiza2geuiE165Yzj+1FpyEAjwsvLvVtXKfD1ianrgxNA/
IyiGQk1imBpedJk+wvojvvUl6Gv4sk3lGMgEIT0TOYA3+Rl3dVFt2lnnMId2Os82aSwB1akR8l0C
TsjF2JARSFwPP4oJaayz/HWeGnGH9SlJ/FIGi8t5cXuvMBJYxgaJFP+GfaH5upgGfllaP3BfaRx2
mzoewrtsyoIKYPZQXaNgrJ7Yv7UtmKuYKLe4nwuHFA2pkVmRiyZcDcREEWRC9tGI1x8/M0SBpiWM
uR1BFVl6odgX5BgF3b6DwPuYgXyE9geWEBi1nIpDq+FaAMrruHcurBF3KymDHgmXJn8BaQHcz8p1
0Ve7MThYwLJFcOQNjqrHFnQoVxOCeVy2oQAezrvlDwJDimePZL/uqnMw6eAHrO2HRCmIOovL1HEu
AXeUe2EW0Q+t1Nx0S1xXsJ/bAexBmshiH+sFwv5eV8Lb3pq1By6kZN7Y1OXTMBbzHeOaGOggqvqf
skSzs01JP8NQlrPIQdUM5LVVx2cVfO+PA+wilpK1QwnBwaL09iMHV6BmoKk0X0YKIu/CKn3WYe2y
s8SwZu8BL1kZBt8Ohpr6xLkm5olaYVkW0Hgs2lnKcy7n25NSagEjQWp5qfmE8kbFSs1nSbbdYtSb
EJ/mrVltOmPBemOF9Kumdq9do7SvNV6475jdcFGp4l8hC/92O/1+LV6kxJxt2aqwHTNPliqYv84g
ctXyia0ZV0jy0xvhYFGXkZvdfr5UvSv+cf9L/Z6bX/S89ukWw01LfQlh1DFVWMN+LPvJn2ifXSxt
8+Nkjc13EFsFzjgccGqN84pTCLmLmFn5nIMITcDERIWMbPP5D3s/LOjLoGTiDIyk+V3vMc5w9qpJ
YftKXbbQsQd3AMlYiU3pVEyPpCau+jhQPRIRVQ8Z5bD+/PonwtJlYMB3QcWJomrBr5wud3NSKbEZ
DTB5gz68qmKmfqqC1b6AIrHASbvNrLPKWCK1b+y4tfdL8Fe+EHGbb6Ka8y+f/x6696erIfVjiIT0
qci5QmV2smHGmTbiJtND9hJ9dwABPpsbONtEDUg9gFSAfy3WtoCfuyuyIDidaBUDCW+egieF0fyj
nyihwo0p7P2YYv708ozuwEqfTUNZy5qdprcE1Vd7TtDMeoUbjIewctzOr5FTVl4V6uZT2inKTrNS
AHWFKnsSkhu13mlJFGKsCMqsXHUojfpVoDFdesNkWs+RGRZsoKdJxfuXanrAZ9XFV9hAI0R5moqn
YclybdCHCuu1KkammzaXxIDqVgZD3Dbr4RFct44NSlSC/AVjCPcq7+GLXum4bAggKBu/lrkz8YeB
IrzKsDSydT51inPIJoD4mKgJpUZja4/oAY2NHtvatalXzaM1D3O7UWddXnfMwLoXIIcLN0YyodmN
R6t+aGwqC+tOQ9ywGxxNzH5rkk6K6KC4AVMGf2UcbV0lQ0jJnmQX6uBG4E9t6ZFT/yLXqCl8iaGI
dMW4hY4xQrA2Pb2TZEyUrfkjKZ1CbFkhs/wnqFClfYgJ1NMfZzcytZ2cQHEvvDs4b0B27e7AEt7s
ZyyfV4uwtr+QduIahHoEM/CobCyNfTK0siZTt03jDS6cWr2lWdxtBKwvCUvKUcjJQJECVwV5KO6g
rImuF1KEhbMlGR6UcMRUZUX0H3ib4eJl72qgqWVcqRI3GDGBm1pXmtcoCIZbluzwFRiAEWPxjs0X
tr8LtBjEjoaglBQpdCosmQW+vq8cLztqWUkdJF6EdzjYO9MQAxNqsJT6BgbyLemhMRmuaQMIe5BR
+9A0ZMcjLZmybTuVxJcPRW4/lHKwAbPV2bipYszhXmnr4FGUJkjJKRVjp2zmgmGKCzat9FWEZOI6
mWJH81IzySd8oW1E8LnWNsB9AEGT1+GC/wX7n0/+zNenbmpwjI8tCMR8DbTYZKMn+urnMLlltKuM
qiMmCTlKhzcnJbcC+DeeD5kR5JTMtQtTPw4dDbvUch17Es2uGI2oW5nlRMvOMBqLzLIWKk4741Tx
GYRjdTE2gQINsWAA0hYRL9aQ2OQWEmRi+/WMJGJXYrj4EprjsBO564TrOHBHAotUSEhzMVlfu7ab
BHiQYHEtpvQW/KnBA7siFhh4CedXgatpUiaSkqdi/DYI6oq+Pmbjl1nMcNBCl5G2orVcbmU9Lnuc
0PkiSjGSvtKkbuGj14Q601eN8tiBkYCZw6A6jLOR/DTtRtyGDSbrVZXF/Qskx1rxCLdQvqbSFQ+o
kyFjsL8Ut3mrAzSJqdrc86nDOR+sPvuaJo71pdfc7sFUk/TXgCH2sg4rnP8CsPa4yo1mftTcKnzJ
WptUGVBQyG2StCXz0awjePR8Z12+hnpRkvwmVVqgFOQk+c+O2S7xVyMghSCYbJPgkBGa5NJ3WmsG
5jBfCxbSkN5l6jW0+gCgBD7efAukUv/W51EKoDeV08HpB2AznYkNay+E7It1h6WfxhQKsles+uGw
HtI2HY825tN+M3PGvAlGOXwZ88IyaD8XzmPahThLpVRBQWf9CM04msNLtQ9ALaqprU6ezAYn86uh
0XBqEaArDxBWdXPHwkJPeygH/OIoDZV4X3U20TbEpMVXOaGmJMKRWUYl0KFHv66tcM59Qg6D26oq
yycYaegoYhdz41rT+uaHLgTzGeG04hrNbRpS4S+63mt5sFjK6gSPqhhT5WlohQuNiK+y3roz9U4v
1ozoSQk0HXnnjJnOK8dq2pYxgGMEKSndrNBBunJtG21h+Q6qmWk7u274S58kYRND2Yln3nQtaRPo
QEcluZa4uCGe94D31HjxPKvuF7Cn7QqmUAJM1kkoEmTQz6K1m3bWYx8UrFlhV2Y/YpU8Qsqfdvrc
gpW+lRhDIh8FcXEhpxjLK0gPg2DGzhgDD9BNFPuK0Yp6PehF3q9qpxxfQksrlxQSs/gSqHJ+qSPC
fXdRWbCKtkQrFT4vs7sYIXPQcsLQohCoAMiATKHex9kL28Bpl30aUbvql7xGvbKLCn1Bj4N5Cfwk
iAcDwqoIKAjn9BL+Lhj+X+/9H4sv69/33r3552t00nvnf/i79646/8R1gksNtCTAOW0Bmf7de1e1
f1ILosHOZGa72JcomxQlMYT//Q9AzjR3aM/atOAXVT21jn/13g3nnyYFbkQXCCyXVpj+J713Sp6n
G11AuAj5cIexy2VZeVcNC1NHWJa7uN9L577EDA1B1t3hWntMCtHs0ZwTRJFQzK/ZX3l1Z3+XqU6+
1FQ/14Ui2QHr6T4TbuLXzotipISEx+twpA5QGc1FXwEsF61xOZdmcWUa7tHOk4L0roFZHiuC3UVk
fjblHomMZ/R6hWt6PGZ1s6si0Foz3lYzycg6ZiIuLwUAhCQqL10z/2blyms5BDujrX81wkXooh+U
yr6LtH7TGesoe4rcn+V47N2ndlZ2ZnAIBwib8YXKBCj1q4bUupU0MO/T4w0mMhALdrLmq1u98Otw
S1wqMHhWAfa/PM5vWnfkO0rXDlNSTC+jL/ak967Z1tA5PjYm/T5j8pL5fs4uNaoC6FGHlSlek1R5
nK15P7gzqb/VapT5TrgPAyUSOhbXSf2VOEQPu8aqYlGcmQzC6BCO5eVkeLUVbwGOGdiiuqcwr+gz
rRZwjxtjPbjS2oNUZq91ALA05k8RiodWKg3FJfBUonmow++4Akn5QBNOGjWhTlqyU+W4mTjt0mm7
IZxmbZIn5NQKITjVblZCIhtQ912WTbKd0/E1qcdt3tf5qh+x2o/k2ijDdTTVS0bUro/jl7TejOl3
sID6KlUWNl5Gzzz2NW1LeNXtVKg7txfMi9dGC+wG1327p7GZ3IZcNmKnmurQB25qEgcoJVF68Krh
JmsPCV65gkRqNtDkk0ZutI+68qJPVbZPqPjNoL6jbOXZ6k1Q4AW2dR/2/U1o9fe1k3YraU7bRueI
BrKjY6TmX0eEjCvbmm7D0jnqZFDA1HBWhTNvlBbnP26STTUod43J051xarPdaz2Nk6Yxq79U5aeh
tja5S/3lRJxXk29DIFONjcegJ2fIUvct0MjExJOdsOWTk/bYBCPUYsrJueblE0iQee+2/cpsiyPs
lcTrm/Lami4ht/1K7PGqcTO/qMHLtOU2AOFnpl/zqvZ7kp8aJz/GXbMyiiOxU6ywpEK3fmd+n7rs
sSaIN8QuntHoMpX+poF/syodOJkdTjQVKVyM5+JHpM4bQ82eW627D+ICajMlx9mhkVlf4VMkz9S8
hdYCJivbZ4bYDfpwOZXKq5uZX9E6MA6+LNnMS6o98WFQY/dG+dSW9bEvfLgOhwUcQ6f82GsjdBEX
B6Ri3BDesHPS4Dbo819RaPJacJt6xqCqjG/SPDXzqpv79rut1a9uXRLftbyNdsNOHdI4hIRRQB9A
Q31wpuQri+Gz6/B5CFP/1bjKT1VTgLo5vYvFiAkiiNcULY8aUWhdHfpJmN+g21gro3M7kheyyc0Z
dzLJORsQqvcgQb66Zjr7oUztazFxthOzs49KTLETcec+ieXhZoyya1qnJMn09SMgHA/ux6WiZDuF
EllRfJ3JZzPNL2l6kw7xTgZ0EqQObu5VDSZoSvlMxhxR2FX0ojpkwQOV1NhrU6YjHivNIAbEIM88
JTDm66wzxzsm0cFX7elCJbd9haTCWjklcBdbO2qZLe/LSFzEpDByMHWNrZweO6g5s6H1NIJsNg25
JP7JuE+RR9gzvSyjhQrjAExaKUFzPwHiyfHX3+ZNcZ2MVrh3MorIVljNu6CGy1KqwtrMEd8kjryE
bWT8LdWaI5zHdVcG104PP0+kF05pTA9mrjzX2XRDA/+Y2OaVWjReYBw7EQIu6eOfbSTuOCMabPas
n3WAExEwhkOtPIl27qRxtsqc5FAbOXlc5njTd6b4qrcudU4rcgA0mjDqmgnOa18ncmPB0bUnPiND
BBfIruurWEr24z3E1MrILmwzkLugnYAWVVQZrkBRxJdxHiATcYmoj4knUnTR7zUHGKhS6Y8AsfJ9
EijW3mG7ei9qs/PteoyYsZXLAEzbl7bD0mJZY/zERmrYmBT5bxkYRMy3YXwBl2E8hgYt2bAxSO7J
iFwqnEqus1BIuJpwCeVkBayDSYqJbL60a3cjZw5oE9BL0RFKqBO+p2qvpjKAmYJYsupiJb0PqXOu
a87Ia8Lly706Q4kk5Lxqw3tVEOIkBXmM2h3sJwLN4HT7Wl1165qp6gbsH59L71rFVa0b7UaP2v4F
DSgSqsyY1D1a7XC1aHqYaLXiCmwWpuC5l9dYksBeWg/CHKv9mNhMjBy4vZG98rLghdo3o1AUP3I0
3x30/JBW7bjNSKc3oFnkEFkIqkrTfWsXxtrq2PBHU/q1HSNlEyUOfAg3es7CbDUp+kU4Vt0eWtx9
nE7FpWEn6WtLCXlViSE5BJSrV2VuOh7NisqfYBWtDMm+v4szdTtAI9vw3NkIWNpLniQStpPKgLVQ
9YqyuTEN0a/NIgs8A2/h2qzyFjDH8rehcwMjVefXRaF910HLb02SJYgJi3a5dB7oflybikPScWnK
i05ha2A/oZxzt/DpdK9ORjI5y+lFS6qO2WHEQAtcyVMaZ9oRA2jsAFxKT8jLadwqEA3j+VfYxqpP
hZzYMKt+noviR2+Ft1gklHXk5EwBWnapTsmjHjf7Jpwuo1y9nYW90fVi15rdg1bnvgqhDLvo62in
30rJBk3gVeOxx3G2Rea9tZwOXt0mMC7o7NClX3ZJ5iFuzK2b1l7ECSZRB1Qu5Ck20WHOHWKC645M
wEVzIi9LMz24Y34dEh2dDdeyMXdFgVesqraBbq3heYInYasGU2wtUj4NMryuePZsHe6FkbiHKivs
rzBV+uPczyHAl4jxHyk951chOq/JCT+D2UthDdK3y+FfMYI97ABnm4bauKmLfvTbqBQ6hjyjiNet
nDFyzoObrY25qSB9NL25C21aRWDZ44QjtuoeZKXbx4Wm8JIKtoyREpRHejwp/odW2ZbVHN0iZmVJ
RP2SbZoeQQi5rMqW0GN3o+WESPV9a671RsOaNLMgFa6cjz0UqDs1cpNtN8zmrotS9aKvy+Qbhzd5
V5YNYXFiZnvUQLG7Nzjfg0G2QOnAw9UN2Cljf43qMt3LylR2STbK59pAc2YMOsn2Sh8DLBNFAeq0
mh6SeVLBcprdAf6Y+StXcSaX7dDeuor4bsLTg/Ilk/bKaZEPjYRDm6ucA+VVQhVg0zlF/EA9Wtnr
3PqqjxT7Fh627Sc9oJRMtasdtENOtaInKTTQliTASPctAr48rLP5oY41Vg1b6tOG+UPXdxQxdyNk
2kPvxl+0phkN2puK+axmWuzNvRr5jd0lNxBwKTNQCgL9aUEWXSWEbT9aPeHkhihmXupi0a0D9ifU
Pzw1b8SxSEEoz4mrP+tJHnzJdaLgdH0Akp7nM3tExJTfZ4obKyFVGGqG3XTbwc67y7EQyReqWM5+
VE16edqQU9Iqsqr/McMf2409CBkRtd9AditMiLrwbdEZl1rp3MWuuTWpbELCIavNcjayJgWd/FIZ
9gvnccy3PEnQlaG4RNsFynd8MlJsLNNwpVG+ZCj143hkw9741Fdoek0CfnEafNONYZMh36UQUVzE
inrhRqyAk5Ptla58gDP6qGczEGYiTIyR6al8YF096AREKiAj/ZH25prCzVdS8whtF+qGglS1lko5
k+be3GjADj2J69g2ISiSGKqj4w8uM628rNRo79ILEXNJGWio1q4VPpUpmVd5cN2gBWPnpxAJWEbR
AbK+u0q1HnIT0HEvD43neVC0dddrPHy79ojaeXFHi2hgYlVX1hTHh2QyqgdNk8pKpZT2MGcxkcUY
glYWsn6PiDRtA8Op9qukfpyz2b1LU5Jzi3DGtZhZhxwVdhfb4SYIUCNKsltWVcrAX0itK8RC1ZqE
t0NoGxutcu8m9VsZU4GuCHHr621A5YQVZW2jsnMjA9iTWFdhe6HRBrYSNpTQxFedGLdkqHtYhn4V
U7yWMJlBEcO2imjRJJdSfaY4LH+4av8D2viCVm2L/+HuPHYkR9ft+iqC5mzQG+DqDmjDm8xIUzkh
stLQe8+n14ruc6Suhu456pmgSaMLVWkiguT/mb33cuNcbP2cHZ8jaaIwcZfd8aQ6bwDNwJTtxXUY
3ZngQxRN2eAO1KOcG0KB2Dva4a84RUKHtFwcLnU8SXZiaGaQkzLHVDcOaqF1tU5FAMBEiK1/2c0e
EHe2xTnKP5/Twjhmo5YFqxwlGy1RlBex5RHRxToraSnrdF8tRDJyGFB5QHCac6wkI7z7PGHpE5n7
bpC5KchfLHyIbfgMxVzdEBkb74QkL59mQbA8FTfpJYfCAhlWMV4UTPaBLrZt0LOTEex5na2XBmLA
RWeY+ZSitHw0tEHe4E7r/YEpdOKYgOheZA1ZSDw26TEvBeuxzIUYmnGusvMw2QSK6dRsJTEpXiZI
nLd7XsL7bOT9z5F6Y9evg7AT0R92/tBI/RMp9MN5yMp0J5Bs/Eb2FTHTYzaOgVq2TGc1q7BO1qT3
r70mh48ZIZQP0pBwMI0MPoEPhklxG5RFeVt1Nc5cPEASO3i5CV3FAp49pAQAy3Jp3DSMTb5ZZvMp
02pxv0oJvZjBhaobhfQYys1dDtgKR7j3y7ZojeYEHlODcKLXPPrTXOlRdwBPPHAIrHuC1GnfTK0t
X/qMc1PSlsUZAfY+EnoRv5KHiLBRIWT+ZbC0XvZRdsok5ebQhqNU9VBDV56gpSy9kS/NUdKCqu1b
+WGWiBiloR00V4b6yVszclCbneUwtY2f81RVvUYvo4slj/H3gMBEsrtIJXo3rNaBS8uIEcRqDSiB
UJb8dTBoEQkQX/bYnTgjrMxEgDKyValKD7CI4qVTeYi5ahNr3kp3f1u3ssdmAUY4z2SrvX4rhPbC
udvZZIi0LN7wDA3qo1jE9DFZ6OYgBzfSDNOakjMmB36VPgGq6rbShi4DoMRhblx8LUPSn8Y83SZh
MXolnbo3aMTghALRdlb2WoVyHshG7E+W6qUKz3AjS66giC07NifKsOxHWc0aPbr82hbFqb6LXwZM
jTeTWBpb1NAfj2VLCruB+rYu13GfI68t4u+VaQmmOpLMxZchDrfWkHuTKg223BH23corwkgMmX2u
7MhaZv82rXxdPh0qOfdHYvfA6CW2UhcuXem9j7yaRobHj23IRg8Hy8Ulp69PKeqMJWfswETJJIG0
GuKbmPRMCZSqgrW6bkWj2mhtSz450hO6Pqk+yvVXL59XUPcTmxI7Twu6bNiHUqZrLOcIHhAmRhpG
Q/Kq6VrWPml8RW5y7iGWUZ0YfaVS6aeF8VXPSf5UFsKxm6fWM+7MGKsI1Y0kd1TdMv1VltZnOivo
6dmnADkOA2MoeFHX+1k0v+uyfuEhxzMf9zKv9pPwa0+sX0OBcFk8ZAyFx8lBxwSls7k3aSl52Gae
aQHJ+fz6TLA5qIRnFi0e8hQaU6veD+067MVMl/y79rkLdctrzQhuZVaMBHwzL9RCPruWLaZ5UHI/
StMfjS6do6z+EGJrcjH2wi0QssVhGE1qZVmpAacQsX55mXltVQx+HDNNaZaaAJOqaEhwxIVfyFV3
jYhNtpvO5NECFVjqbqhEDuFgUmVm1XML0tGqzXf4KWwRyjIJgNUex2xjDcbjwF7OljPkna1oxyQy
xKl1jEJRwbzdA4ZJWY7WIcLsTqmZu1gLHArxgOBeP/HMnryo7PYqUh2ECJXllZYMLIpMXRBcB5GB
kEfQavoerSkXod5UL2s1f4OgBQF/b0TFNk89NnIntkU7C6YFQ433nKXYQY30w9AJJRM0SToPpU56
56TMZ3zkRjBVKIrjZV8RazwAj+dUIllHRxeTG9ZR5zrACfVotXX1rEwrGZo5o1xW6RNvA2GA85i2
thjXbBDyWTsIjJ4eFYX3JoIC5PQ4JdpsDfQkuhYlJb4yys8LvTc7fuukyBHvV1msIqOZDigKIoti
JMa2ip6QbeQBuZD6Xifwh/TFeNutlW+ikvHaeL5IeaHdCuaMiYmjJiogEah5bAQVPFVfrpY0QFuR
w9iozKsQk1k6RRd5VXf8Js+cice7BKowzHcLGMUGFzuPwpSzESYxsQ9sFiXkk3Ndip4mVJcmJNSM
wDhAJ1kSsEdDmwx/wltUc29RATXlvLxxWEnU+ok3MhI6DJnEGFUWQTrAor2MiVSfKQ2OUt/t9ft9
MU4qmpQpvWYWwO4ujL6kMc48hEsfxFvLNjt683HOgcaiTrsyR+Mh2RL6H0ETu6JGzKg9quGefDya
aNxWeVdrtXZYYFecK0FONp0EejqZBmYzS0kSCZkrHFyXXEckltT6M6q3YFqQ9MpGXV84eIKyEa2N
xG743GvsbUuewYaWniW9eDQ1duSj8jnW6++nEp9ICGSCSzRzSLTIAGc3T5oxZ5tI5Ym69L7INqog
FKofmmdFf0sI+zhHs6ic42ELF8M15OsYs8MU3wXmcY9mpd0bHoIfJbKDbTox9ZE9chaY/TreypBE
z9Wch3NaKgLpvdm2Rfdx1OIB5E1q/hjMhkIxIVaeuRiDdh68rMZQ1Ex5RBAR2o5miXmlrKBTkQRk
C2yyPchxto/rEMrseZS1eZcKgO9bsrpNY/TkUWBi2gArqFTktNwQqa5YlLxLTqHCdBbrQWaFW1ES
jlOETpGdRW0SLp88UQTLZGGgbWiF1NO0nvxMGmTmry8o/TtIPLFmq9CSnY4gw3u0ctDyzM1ShCGh
ajaOTPevFJuWQOG51tlYvGZNX9oIvLV9eceXhMmgbkrVipkgUHZVfdeRyFtogN0WzsG0/o6Fxp2r
rEFiJsasStbU12Wcw0y7BW3H/pKdhGaIftcXH3Jk7LOmPDCyU7bZkL22SyTux0Fvd1k2bYsiqjep
WBj2EEKksYs6d9laEDM1dNKXKeZ9MMnDIb+/7SztI/rqZjcmee9JC3GvssJ72f60pDBlqxOynyy1
6TCZXORJaOxY1LR+YaqjqwAB2xVS9zFgxLulof4Vl6TMROpuYJQ8xaXgk4fNiRRZEyGqA4dk2YuS
O2dF97MxtfesBoWTWaNyq83pxmVwGQoyKWsl+qL6kQ+ghHbKpGv7WRP20ZgWjhgxCraQaHhYXsh6
mEOICBkiZoDU8SBM26hWSkdeaSirQjlm6XyhazjrUfQiDKSnF2oRaGuUBk0qQ7MGV9821AJ5QdR7
Ou3UQiedUEbJS2h2gaqL1nYmg1fNNa8oUghMk2Ur6TEedkaxMbJbmR3Zqp5pW9GrGT6LfJ2zX899
A34NNiGnNARi6Vv0fAXdMDNEH6flEYbPeVSl6yAw3wTt5PXtKlDcWGfCTGd7Be3pW/mXADm44MIn
mQiC70x8IKnBG0XsL3OfPmp9EW1R/J0lIn3bqVocVV5OQ8biqBE/Qz3hSZ8kSBiTPnJS/sHZGIA1
ZTpQZ9Qx3GfKQlr8m9iK35TaG0Mw70JkZDmL+Wg16YG26tyHw2epJsrB7FQL+WlRe3KkTedFiPbI
XDObVPqXPtJwDdUVB/epEPKrFfU2o0MnWSGeK8um7NXUXa0u0Mn6mqzOcnn7E4fcLsAYy3U0xTMO
38MkPoGEoryDeFFMQZF1cJDzyCva7pGP1aZQKpxwpEjqQuuy3JeONdbHkYzuqGizs1qt+2HBLMun
GUUMyGCeRLYRoj+NUTNgzCSFX2YgnFfbSLNeDI5NmwCvk9GKSA4u+n1ILwkvIKGJ4F3S81iRum0q
3PxDWq1nbMcw7JUqdLPB0LbMWF7xH16rkdcyzxZKPLZSUdCsoJ1igusKzfpBIrs9cE1PCjj4fvgc
kZiBvHJbzc/1k2WRPqfH92TbYxM2JJfFfk7XWA/c99KPXMYDVgAYisO3iLNNrydvLRFKSLelPeql
cFTnYcdq2DFFAeCUcU6ScF+FZsNRnKaUgIlTEJngtczeHrFv9YFayaYbNw3jOB19ei6ujxY73luD
UuQRyhUx8wSc3pRqSmOWiFE42gywqj3N8k6FlkerRnxANNDfYcuZXFw715T+g4m12rlygyJZWoUt
MIwIy6z5ZZU8GgGLEbQsr/BlqpiDmxgVO21aRPqF5MjqgnonNQlGoAmqh5L8mCJ1rXE4I6amohIX
izow7+h9hGs2tDshj65tSpKCqZ5jIc92bVwE5E+R7W/1e1k2452lCpMPGO+FTObz0mZbKSLbvs5n
w2OcZ9iwjAcn7fKR92few3kxngBafIsiI9YFjf4d1xZTlFuPBk9A9Mw9Q68yVwOcfvVekPtNquZu
Na4PhQyijE7lOoJxuMZ9zCbNEnhNdUIxJVvCASq9X2T9eW1kfMIpNc6KcOyjR78sag9lFW6GYiTl
FSMrhfTJzCtf7uSAbPsHs61tubfo5z47YBaU9ZvezHiy8OjaJmnqo40JiHLzE8ZvTdSw59Z9C9FO
JbVQcDAsIv6SRseo9n1Zu7F607PuDLvpEMXNKZEFdyaK2VCm+v6pqT9QhncesirV6YdMfhZ6HXaW
HtHLgFcj9XkdeHXk4/iJfoujxcnaZzVffFSaJ0AxftRuU8Lq5wPZioEafVi04fBWiIK+ywPQVray
reXf+Ps5bYlTySxYVcmr3s++0n/Eqi8q9StivPdwES7idJcZKG403klnTIQIjmj7Q57JRKK/k2Dr
1LSbKY/hpveJUfZ6Akwxa9q5/qMoQFaS/k7EpYUrMdkhjnFrA89FA9blVmO8Yo/PJC9TJcPRh1zc
riatth3WuviQ5kb02EZdc0GKww8mEHLbtYIVoOqQHVlpk5+EmagBKLSc1Q3PIaftSMZnV48voWG0
wB4yEc19ZobqXU3AS13i5VjXAxBBpZyCfoTtUxWl+lwmMs3b3PGoT1GoularYrON6zO52NIPzeAO
1uqlZ5CbR9+dakRbMeMRnapi9TJIPeroScQB2qZm/QAVUXfWPD3nkWTaWULerJ2q5rKDygG7Soa7
RzlwmynqsUfnriJ1LPZgDlrhBmDSY9oKT0aPGIjR6g8MJ14N88A1ch6iBHpfO1E1Oaye7xFAQbXg
nwinEmYcbUKZCA5RkLgUuJx38IIbNwvzDznVLyzvnslE2spx/I09ghaDMPmenLieXFxKlofeNHdW
yJy3nrWzRRQAu0nlDLOCSRPyLJzk3EvhK0/5xIWoxYxYcQv6l1FjLYgKH+yRyN0yoYFkq6HK1URs
QX9dJtwtZlVc2qnfrJZyinL1DCXnTZC1B2USdqnSE4LeBqmGkJ8Uh4yPchU2UZZeclio1IXR4yym
u0LpX1VOVyAeKye4GiN6ywWfeelkW2r82MzKpRCJTheYUleK4kwz+8eBtY2UHcOwAkFlDD+17LuV
BsERKe4dulS0JIx8FfA5Np3od4/GkreTow3YEjKGGoEa/7PMFKc59MhYiE+qMlzNHrF3uIaBMmdv
g5Wl0FPqryGMfypiRXkNVxIHcAm9VdiQk97bU4z5XJACRW18Y412ls4aiJAjNtvRHjzkM4XhSZEA
MoE3uswi+e7xciLNxl5CDQ5kURxSheO0UkzuvjZiRnB/JkvwqdCzhdOy2CVa2Q0cDdHGIv5ar0Zg
xuNOUuf7gjG069JyxarOg1qjZQn7t6UuzmnYcfab8aMY64LTkNevj+HDQBSimMtvpbps1X4492Xq
R8wqsIB8y6og+pFs3e4chqlrGPYad4O96KpDE5ilqWyMpVz8vpgVb01lGIu4PG3iOk4zlWJfKJex
6LY6QAAIItE7tkLTFnXhDRYdHqBO+k4lbGRlau7YgiPcNIdLPEtn5KwnWYzOwhS6etfDtevO5dj6
grE8GNZPa/CxTJ9YHwKM6TMPcnVCA2O5+XSnwSGEFMcNYQVfGutRYPWNxD0pAoCT8YsL0hFeqq12
jFgKeYu53UEN/rAMj6axRTy/wW1ynYtHORPcvtfvegAtYm2mtajXW9q2MNtG1rxviKDw4kkGNhED
DAA0ek9Nyb1GCs9pArMU2sJqr4AvnYrOlokyxa3Yd0iVGyNIDXBhSCD3ugVrTLyT7KNC/xTW4oAM
5FEbEk9YpcKuhlGxRaZ1faewoEkX8gKZmwMiSR0p6iF7Ljskpp9R2+8Ii3hg1eYaqXlkxrGjXV1s
ZWHPSX9pVzoprdFYEN3SEMxUVgHxDAGMKxBDaSu5aU/Cxz1ZD5H8WHPJsZGkDCMPthoPgyl+qing
SVV5auriZ2gUpFKPX0PefApCGIhDGIGL5PiWh/ajN9OroMHo4Gx9MDWq7VHfJjVAITk6WGnHWgrL
0QCKKf4WsW14qvEF2+QJ7M4J19594lXIpzZvDmA2zvG0ik4BkKUercKxKp6jA1HGgEfIKp7xp9Vp
/kqRuxWb9j0f4tepC5WAznE/T9LzMjbfJYtdYDiFwPhbuInc2hIDqGBdvlatI+mg4ikZyaYzmPo7
42PSAhJ18Mi6uHAW72RzuZgmnjxwAneVhpFLPkv+CaV6jEp8yFbwtMYdD3hIy+LMyM6APUAgvjXV
BwGW451EQDKctHwnA3uslkq1n8zBzUU2tXlXu5EQHdquxuHLxMzu5H5htYHN1xiY4FXg78xmFOGt
8JMaad4lJLaQ7cvkFoGK5Ne6dSaSUDyEWRw7vEd4BPXcqWTh59r3KKPi2yAYgZSMfMcxjT0lM+N9
Ei+8fTVbskhWKq5HaV+yeHBaXBNO39bMu7lXOR4wJaDxCVp9VJ1QTr611HpciK9x81RmblcEVjS+
9frgmuqhrFnBLC1vdJwmrgFRtQT+p9InxH6tLqGt1kg0dO0Zeb/L0lRjytGN3jIKUHDK+B3M4ZOG
QH5fkm3gZnKu/VQE8RsSIs9U6X2a6LOKuv4hJ1DqcHSwjYjuW6mffSf/qJBBamxS015zBO4FVEVQ
HcfX1UI2MeUUUYpcHFBhI2xIttBRLnxce8FCk8ZK6ZLmqltD0atldhI5GgiMgvYSn4fuaMWnuX9O
jFR1e13fpnK9i2A3Nc34YOZ5vRVrbi1NCm9aryOWGBDFLBKyRmva6cr8qqUNaRCzjK26Fx/XeiEq
othL83jCWHnDeBYAJ/CNuPVVJmL2VOhC0AtUOZHyI6yuLURbFnarj12VxPqBfVYRPzTMphnJ2Wps
XSWUjX00v0R6/tassRL0U/rYCdnHiPIwNL4UyoaOpe+kgWmk3pf7QJiCOtsuGnS1hC1slh/vt0Va
+Xm8OmQ4DfLgW8NDwjxg8jLVXVr6WpElR53a+FJ8ZUFzSC49z/hE3pUaiEhzyg6xgTTMFL2n2HKk
s3bfuBclI+drA0TsljTQa1qRF4ooVdzJS5984cNeN8WgCF9wATIvj8fycUUH+a3EJieMjCsn4yQq
piQ+JYU2La4MsJrV69K/YAKdTghq0ecD3EBhMKT7RejN7bI2im/GZXdYKIEOhZbFP8MybjnS6VuV
ED+RxE7TL0Kx3QhE9tkTO9LXSY/eSZg+tlr6bjTskuS+6ti1YFSyBUP20AXWhzFe22OOtepkKIW4
lbrxuSt5G8WQKainCOWzUWdgUGV5UHZSbkYsNLPPNmodnrkQUwR/le78ZN2NS+lcdfELqGrEbPpz
l6AxlZKyuTdRF4MMKFcoeb6RnVHfmlQXroPF4FN5rygsiGSAwTiIx7TOLk2m2dFAjAoDiA1zJCFg
w1x4DXCOTTL2lyYxHhCyJQ+TXru4ytFPyeW8a9FMgzntYtvIh1OlS69J0u8r+SMdRKCxdCBsZvDl
TD37+TQLsgXNOjsq7G2vpnicyPAbp4OkR77BziXSL5UxbliS2w2FnSF9CRO7xVjYpIMAUqB5U9Kf
iP+ZIT9z3zrMgy3EQ+sbjOfFHwSmfRFU5XswAAfNsr4rxt0Oi/ZU0ysdbsRUUy0aO0iQGBTSU5Te
TWoscZcI4aCcvLRW2N+7l4anCuirtPNUXBX4B5FnCZfKpGPgwScnripvYQ5fmrs1w0wGT8nF8BVa
TOErFYU14J4ZgIQ7r9VLXAZjneyrZLmm92ESRK/QmwSz2y6dRYc7A4Zux8d8sA7haFp2BKcJ51Ay
b+U1jbzcaH+0hfHeYzTP5Tb7GYqC+cxsMPaV1aLyr7HoWZPoj+V9E4CSLaszVKGqYrgYVj0pu1ct
baI7jcnhms+6Yec59g4tPkbZ6o+z9LL27b7rkemWWpAsEYLl1Pq0ZB6SDFiEH4aEn3jBfndMdaiD
prDuhWoKMHoEmYBPXkiIEE3SeaTSkjFDYWe2DSv8jGV2gD2SV8Eaj80QH4z+K+lEpDoqRZKqLasD
NfqdQ5ebZ0IPV82vwD69qkTtanKosyzP7Mmqanz1lGYFNNH0o607lOiydZwMOoCBP2iIR22NMjuv
294Bt8bMNc9THiWT6SVKHZ/Q1tk8nXEZYoMS4FN7kRXdlj6qPLJrjS9AHziSmLi5eJR3CACObSI+
s+OOnUHNJ8TXWoH7Oe8KfgsWtb/bDP6W4eJcf5WPffv11R/f6/+4f+lHxQY+ieL+P3/9Y/fHn6Ov
yn3v33/5g1f2Sb9ch692efjqAIP953/8YRa+/8v/27/8b1+/f5fbUn/9j//+UQ3w4PlukJnLP6cS
3tP9/msrRZD8pFDq39u/fskfZgpB+43ZvGYSRosPFRuqgjHiDzfF/a/uUS6WTsltyCIGxf9lp1D0
34jTM4mPIKXnbmLF2voPO8X9r4iC0pmK4bQlQ0j6O3YKAsJ/9U4jiSEahO94j8sl/5zwnF/t5CGQ
cwKfq2+6vXi7butb8SC9AnezeodE2drVvc9sV+yYcRykzb02DqYg2xh7a798aYfxs9/Wl+5U3vKt
cM4/00/J1Tb5DSGz8TE995ie3ztPdPAeOI1nbYC4baON6ln7dTt+3o1+so2Hbsfg49rs9Pf4on4n
GzrFg/xuxe6QbyQcRs/tDYTcTvA7zzr3bu4jlHHyLY37tT5MXnhNt4pfPTD78PLL4jVXeo+KKutW
eMlGZQPtl+fqOj1NM6Blu7uuBzOYD8Nzv20ehLPyIe9Uh41/0B/0IDtpfhOwh9/Ald4Zfuzo3+ml
2vFbnpS9sQmfC9oc2/owv3n4RQwr2U1uBpIqKP91O+9cc9fsQn5ob7dny9c24lM0n5tdbV1+Dsdk
V/Bto1N8WXbWeXnmLTzwGr5lr/QJH7CTHc5fj63M2bAhgvoYIW48ggN+QadzbpSlHjzKg7hTDrE7
OihWT+Yt3JU+6XEONZddBNNXGfrt4MWv2qbaSb7lY0LfDMeQoSRzrn34ZmyyQMX34c5XmpZes0Of
UxtmfY83081E7jD6jWOT2xgHpT0bi2nPPNnRndKf9wq/13wgx65wzB/941IyZHUm3dZe10OxSa71
vgnuLPJts9Fc3Ul5XeQ18rak23hr+MWmCqI9hdAN3/epOJoXfsILCSUIr7x4yx7J5G0n0yJAQv2g
bJrOTj8jAlResv14ngLzezmiUxlfrAeO2Bdl3z+2Z4TnErurkbwQNueUzbawEU+JL3miWweDI/nD
u7lbdkAzXQvx0l46C49cn6OTxOU5YUjnS3Z15OvdxJHtyNf3VBMiIwk7CRjN/ehsyW6u4yVp7Li3
lRNvGswLsno3WFQZz0u3GZZA6QuFz3Of0sdnpVTYxU/Nnd0miF2yf6PjpXBs1akeUn+12cFs8k+/
vyGZ0p/l0o1SEil4m94qjybZ9OCROJ0ne7RiBr9F81Yc133p92f831FBVIbN/cZlJDrzdkZpzhqJ
QwuhH+jtyG4HX9Jfh7tspP8WZAwd1nce7jUU15ozK5tZOfb25aPzDXYDXr5XbcMhCMbtRUd5Gq/L
o/ZUIEorEexRWTgaS6gF47PDNs2N7fkp90zJ2bSVt84ObEZMiGJ+KFjhjqykUNrhHRw50nZ309+y
ET9mFQsk167ohYHa2st7s1tfStFGl4tD34XojJ76o7oNl5m4ytLTWdzPu2ZL9JDxnu+Ss3ZrvhNZ
36DFDk+wA73eX3blQQ0Qjotf2lPjyZ3bnYfH2i1Rrih+d8b9YrNfXI/aMxJRh17FZXsFWYboPMkv
jd5mBZWrGPFVVyBaOjVsJcYm6kwI/bKjvt5UOs0xUG7tjlvY1p9E2UEsMVZX3NcG9hjsQ6Zhp8fq
on6aLNm92e9Aiu/A18Xz1siP+XvyKGz1gJl0iWg0mL+p7xy62ReGHRZ6ZTu7Ch439TZGy8+QWHnn
/RVfwc/I6ovOYtkpvur2hUGN6mZBjTEfI9q6UXUPNpSSe+XPSbATfWOg60jA9+7nwu5+zA5mA296
aByTk97V472C4mD1cJlyRSC+RUxJDOfdV59Vb+w8QO3CcM7DjzDJfcVXHgdajfgyE2wz7mQve2aV
Jv1Q9yyCyqem2BYvw0uyYliiTNrUE9mvNklgx9bUnTdDD1iTdc90srr+3Ge+Jb7cZ7QbphBiz3Tc
64AaUvu9olrS1oCKlf7Keue9Xh7ZQ5mb6XF6NJ65ppySq/vUP4ij0wEZBei966+Z+2hsJc0ZAMw6
lekv02dsHiLrGgnu9NK9iFcRmZV/V5AKPvSUgLnmBqxh+SRczIdu88l+j1AZ0b3n7BwF9d04iui/
h1cSDTLaP18Lp6MUPRDjdh6IH9Ds8s0YnoYCczzTC1nHPI9JDLeZswT4XsAFbeFaO71L1+AtHns6
B2IyqjM7vvF9XiGdXmOkX9Xkc3NIrhDvWm9AdoUg5mdh821dCEhozeItzw0KY6fUX5QE0UHQ6Ags
EUcvNqlHRNYUqsvzDd+MMbrCc67bxQ9LJfGS1Jlj8iqWr9K57d+kaGv0zhAdum+lZwBdf2jtk3XW
sv2wK4BviYHbeLSzZ1wk4+w8jZ43fRSdpwPi5k7E82erL9H6OR6lHDdxLbsRD0qvPiK24uHucNnP
Bg/WjL+4Dn6P4RzeKUbpRLxwYiHB+rjPyszyWSUWjzXai+DG07Ec3AykpMNUx0J8R2dtp7thO7kw
MH+aD+bJIMjA7Y8N2h1ydH7yn/6Y75ZDeNacwm1+YlDc8qP4UJm6efmBfV/X8qivtzqni/oWb4ef
dWNP++Gncpk26p6mHqAwk/bsUh2Y+jevk3aRNro7uLLPa8VCwYRqDvgfhADipmX4HHOhVZi6Nlyr
rDeSwTamjUZabBY09TZNduHqDhWuh5eJ+drnsCVfEMOFIXhlsQuZxcx+ZQS7eMdFxtU8HjGFoe8d
Non7DhB4tqXKR+Q96buwv4jVjh5l7t1PkaGp+kew2t8quG8VIV3Fr6X17+Xy/667g6/q9F58dX/9
R79U5/+PlOPUp/+iHKcjKLuv5ZdqnK/4RzUuU1ZbZBvf01QJ/DcMvMX/qMbl3yjGCfWmriZdERwZ
X/UPc7Nq/UYaiU5eHOW2BvXgT+Zm6zdWDSJBMxJxzORr/q1i/NfAGo0fYEDIu8cW6sh2CHj6tRRH
CNKThBdxgbSxtdeFMHsWmiE9GZUQ74mdUOCxaIYTRnV/tMSuuw8lRiDFifFvsoTu+ep/Csj74zcx
ya2jX+GdMJW/NAU97PnUZOzB6ZxVjB+Tt5C9wV1zLDGYFZAlmHL8Zi5afCZeI+rtgS4IeOUU/eg7
gSl2xErwiilG3fQjSQtUxlLygP53/TfJv/+HXxT9uEVCtwwmQjL+kvw06p0SEoPAI24cUl9IBSVA
bEKGLHRwiJKFGdb/JtH4rw3T/VMydfov4GCGIsp/BZ4JpOaMocwevkqo8NZ4Y4hV/ChIIgIZfanQ
SyyKS+v9mmQkGVRypNg8gxW2SWy22HYyhMWoGEyZ1v4ROPi37vb/P1kCFrfCv7jrmSZ8fP1yz/Pv
/7jnZagAINVAW8hoZyQiJv95y0vWb3yAhGqSh33Pr7fojP95x0MZUO/MXmA+xPz/3pr/s/9WfyNy
nY6evh2uEPf837rl79Gdf0qivGc0EpjAhSsTJ62af+XpTvmYlIKuCWhHlmpHAPp6tsQm3giz1Xvy
2g4n1ZjGK0lSzLnJM2VEWWmbP71Zlz9+2p+pAb9OAIzffwcDYhFPRsYJ6j3w4c9p7bOeTArprWRI
D6q0qVYw4oYktATHq+YfV+h/GdR2/1Z/fbncp6Ks8yRFvvSXJFP47502ipZgtwbFXi83BlO0pmNN
/K9f0u8hEL/8IIvHsmJZMFRJxORT/PU1ZX1oTqbIa6pm8ODswOYNUXoNvVw/6iccW+jxsOCiRGnK
xKQmXdgkbImqXD40bUmP4xwJT5GY64qr6G1NGb3q1i1bGBBuprHUJKeZeoVBbiUhmOrhQ+q2boxE
KYnCPRZqme7lG0vL+geEUc2ragPDYDa1iFyVCI6LbZT/k7Iz261TWbfwEyHRQ93OznbcxHHsOM4N
itMABUVPUfD058P7Jp728dTSlpa2tLLCBIpq/n+Mb4TRHpF8Wm20LGj1ZHGU2xt3NsG8X+IRYZOT
hs1lhzhtOXSWkpwHJ2xsNJWXxv8U5VZ/Ku3gzesRIP2olUYOa6T9JsTIeC6JVXgZsCaaX2FrsEdp
qzgRIX00gUYuHyKfY0jyeGgHDP+jd4O2a3Jzq0i3Udo751bqT5dzYnxOkYAuEFt2e8cK5oHyay3P
RYrEHFAj+89O4Y52hnGnPMfZDnFD/0czmk6MnSNsKz+PbJGQaBsEkUAOj3NJOxfebNnw85YeKVrT
h6tg0bL1oW3BR2eltO4/Hqwv0YP/DlauyBTlQJD21pjw47A2owxeKyRF+KZ1/uCogpjAzF7UeVqX
7a+08OkwVr5Wj+TLN/XGi/X4HENqyfeOzAPUU1OQ0ahC+IZPRHG8Lzt/FUzQ8P4ZJ4uL88stODiy
ZcjExm4a5Awf38I7zwy8Ib8cOrFL7NwRUHdcKgn/tGLg2Oph6dDx5T5exhGMSuOK3x9f7Hi+4nEJ
gtxChxnYC3A1v/62LWTvJRxUa+ODcLuGReCfqaqcP1dEW199fKmXeOKjV0OQBbFQDjshMhOObiyr
Egr/o0WmmgbURDZtgwh+Bb8hDINjed7GWG82yPkRQs9oVumSd+LWpPAe6eY1TkDoW2rTpQotLC/Q
pIqHXpjoNpRRFlBjWBl99qCLYGf7IHKBhc3lTQWV4o+tTaR2cEBBV6zm/e2Ua31bB02HGsQD9IAQ
2h2sLTB+e2a3o1trU6eVezv4YSLQn7vhl2mZg2fQdEAGYTc1n+qqW83+KYS4zRDWCyWpPMM9zkCB
jpJBlPrf+eP/ne/ddaN4/PzWhZRx4TMdB+uW958kkCIWEGLDjneV1ehHHbdRUMVcQ7EjNjp4qEj+
/l6a0jrrZ2/+BQIxpIoHI3zf4mf/3IlZ/qbrFlSbfPS6Z2wsyfceLthtSJPvNqLRTstLToV7KPU0
/zYL/IINcp3i58cD4WhHvE5aTIkRTM8YBDfb9HVQ/nMjREKShIjYd0tSnlTQFSp96Vn4DkB7gZKs
IM3Te3PjsyFohx0WdLMpA3BZXUii4qIrkEC4ecNPNhl4D3A5PbIaWH92+HhoAn78Y4+n8ePfun6t
//xWUpsdH8wmourCA88hQbMFfST3H1/lKMB5fSQuOyG4SmJFO3Gien2ZvpsJdyhftEvZ/NxyQNgF
WYM4K8jShzody4r9seewFuIuR7YLEg8WYjDefvw7jnhQ//sZMczRCP4+27KjU1MDcjJN2jqFBYMC
FG/qdIfjI71ozBTRzlYTTUGQ2Ij24dFXcdiduP7buY9tIL0zlrOInBn36GlHLc3s0WdPY2ULNrBe
tldBjVAOfSw0JhuW3PbjG37vgoC0YuZAwPPimMBrFkBDwCRpdgKs3FVzHZ4PIa3F2vQOpddInVif
3g4nsgJZDWP6VWvEwdF8OzB0sMWg0Z/KFmWRg+S0J2jtPw9arhKsMVIvEb3HO+HSCNGVE3eVdcI/
7ye7Wye/6MRe9917odEVrtlJhEUc7T2muIJNKrgXIYAcBlbR7iybS338ht67ClkNbOc5x3sMjtdf
hkqYqrWfQ/dugQX6LSkkwZCWJz7Ad68CAY2Z3AFjf/zEgpSMqRg/0jZqVtlzMHjl+TSM5u7jm1m/
n9dTOD5b3orrMfl5xKi+vhnbNXkQKl7MVEzTofaMd2j4o2eFLIDRhN38TUifDktReSdukLPUm0s7
fFiENrEjoyZydGm+YK+FxcnJpOUvB3xV3w8t6mIkoNW+XgQNCWyi22W1rYz+r74U92yIEoCVxMp/
/BTW+f3oKVBmEHG4niFjdDOvn0Jg3D7P/BEHWzM2P9O2pqGC1P5c+LM5UWF4SfJ4fS0fmjWfuBfQ
m6UN/PpaWAo7+F4qocKwiG987QJ3gsQ+seUY4ft4BfMpwopn25+CrkDbEpcyuVIYP6BhpmP2rRmm
KPms+FvujD8qg3OHM+ZBQQkpwdmOmADnJcdmI7xeVhtfz5oqqlOAg+pHQ6kev6mmfuzXPMdSivCs
tzvv3AflmZ747N8+V59NHAFRNMBjtsDrEPhnrTIdnII5cVGDaLbYVQoW2EqH8XzxQnXiq3w7bxKj
xF6OrBYbaNBxVjYnh9L4Di1pSzX2HxTTw5U1pAXHUPEXXM1wYu/z9s4IYPZtClPsVDxSCV/fGcQ/
5S0Tl5tnFHLSagzV7EE6NFodOzrxGJ11/L0eM9xU5KEJWFNbKCu8vprSUeIX/QpWc7tl09gRRP24
bz6BYyLWdKnsw1R60TdVxu7d2K/ZMR62tMIJiouPP5S30wXCcPelVup5Kwf89Q/xdJxrn1wzGhRz
8+imU086AbjQTduBNaJQmCx4Bexgj8Y3OLFdf/vI13ndRdPAAZZM06OPtJh9cnDI4tpAt/NBG3LI
7/Ou3WYW/dGPb/N48l0/TKrEYtVMcGY7XhSJJMxgu0paMXL85VTkCSeRm/7HIeRzL74T8F6RaLis
9a+fJXHlIEJG3W5ltBQ3GLVRLpHJcqW9oD5xqZcj2r8DaI0VJjSG7KS1GOXG67P950OURVCD9Qdy
3mATQdiFrulsTjxKU3o2MAFCj0Cfc6RQIHQpAGNgHBHxz8BIjANUTMYCVN6Qhf3WMLLGbdNV7VVL
9h9es8no6AvzDt2mKiCnDKO7lT9qnN/pZumWqb5Nx7ZA7IB9L//PL4r7CjmdrhlqAfrEo/vyCSMg
N61BVK+G8xVBgi0K/t7Hw+EF+3/0+HyCdBHmrFVhppfXl5kz6jljiSorQBr8ZMpMyg01KEty9MOO
qGWg4q2Naezr0OO45TxpMRVkgJO/e6Uapu3cxQva0jE/IEBDdOiHYttMPkYSXDsWnoAsH0As+5MK
kDriutw1Y9KB14TANdDUnQA6jpaC3Pvxnb3Z5jMw1qYHxRomaJaXozsT4MaXVsoOQ4y8d0Ap/uyn
Ve4y59EnH4v9HhwGxJBG5fcJPJar0G28E1X+tx8bnxufGdfHX8rH/frhjqqMdJl4zXZKdHnIE/A8
ZHukJ9aHd67CpnDd4fgOFzqeuVI9SDnVJOY4beahbXaDC53oU4lhb2ZqCqyRK1z2hngPCY89ep5Y
nNjAOwYnNqaeR6JnxF9IROU5cPf4fsy9Yte5fW32IhcocRVFgcp2keKJcRmbE8PWWXeir4ftuhay
ZkQUwUHpHR2eMkeJRVYBeTnuHeSjLbBMVJTsKU9FdLwzjJjGWJsCOkGUubyjBQoHslaphaERPGUw
Xi1+AN8jrAKqjURzRoQLZTqttl3kV/O+ccdQ7sIRiMqtPabu/cdj+s2bZp8Rruo7DjOsFv767/+Z
62yvU43Mezr2Q5Jfhaz9Oyq4+vDxVdzjNZlThscaQVwIpe41Juz1ZWY2tHWE3BCHHwLRJnbFgUpL
9zvAk7mlLCeuK4NUZelQWydNHV63ZpryjQL6RqcIls0hNDqln+xgQLGHKAaPhiQ1q0T2qcTSftab
OPjqhzOkD68Mdx///HUcvhoa668nNjlg80JJNDzav+Q14mJwyQDIfBAAdZNBEVuhvH1Aa//jS70d
htTYqLlyyGALQ4P1aHCYnmCEOXJxxk+AFID70BbZppjZ4Xml+fi3j4LeQPkLSrJ77Ny9pEfiUFVj
sxez3tj5N+SU5EUMjTWe2FMAtj9+EMR9sgrDlOabZWY4WoVHhY8xTbHhLK7s6cokpLBtKgFK42Bw
UeV7DgLxF69KEBP5zPlPcqiGYlMUkfWk8tl+GMbaffSrUH5VBfGcBHGVD+W42o2FNU6Pjt2bey6f
3CcBiQ5gC6DtuWWGfZyNcZhvjO9Z937SW+lt3Rdzie3BCl8IHJjBAjh51y7P9UeRO9Zf5eEF2kKf
gC4k4iT5RgQEgiq3IcSkdwYBC8HEQDC1jw0NgC2WSSwyuAJjkUUwCtj20MkQSj6zZ48/JTQ8cBa6
Neo84rCsP7nbTl8XOfjJ3rfTxd1MbYBs2cvN8J3ImXRBVpVVP9oA0x2lZgeJ52iXFLDdsIv0wWnn
4FcbiXIAWIuefCepDoaHKpgxvhe1wFgy1LGxGWUsilcG8HF+Eas5+EG0zLSW2DI0JTQlkJKnoa0B
0xAysNHu+uFIDUPsDJtsLM9lK1DDG1BRAgwPx/4ddArx0FfVbJ3hTG7uRq/uHpIRni7Qbpv6CadK
9gVEcxc3hcmHbx6zf7PTkGT+NO40/Igxkl2Bj8ymbWqPcbYL1VL9sk2I413NCktgisyZeboOCVeR
bUcEeCUMVLLa+oPxvEV9mlfLN7rUJdQjnVruRR+4NDSKqoSF5fZlnB8GXYNaYJ2PnutgMfhEE/El
gG877cmkccEyJuP4c3AYP7io5YIBGrfqTxVUmGWkXJbrCnzFcgZmarihLlR9z6ZQPrZNXYxbUlGc
btuM9OEOqCDI4nBCq17RLFSJsYlhahrwRKrrulPgw41xMSvhJdbpZh6hXQkFyAiLv8eyb4OL6W5G
dAlQGooS04Y1g98E9D8gH5JxC2GiS3pu1Q4X4ezdmsCqXe0JcgFUP0Z/6iWw9BbD/6SoqhYYrgkJ
CnEv+NTTP5cVUR4sEKSyneu4CkMQ3haEz6DtMJjPFPzRV0mHE+s0W/TNYqhO23GB1wayrPZulBHd
+vCqZV8PmIl2MrCXCHZNjuGCAMoeab/AdGqpIjIHo5LhHv6cpgmjZPa97poh2k7Lon+opOxiPH4G
9sEYRgleDg4+VwkG/AftDhiOR23PFn6qBgaxKPyx37aqQNWJLaca8TU0ki4nXrAQd5tD0UKbUHSX
lK2bB/gXgEYd7Xp8k4vbfCkhp+G4nPP5j9ExGJWmB0gWVZO+L4ir6NFOsY3m56jqaQB1CQbLRMTx
Et5X8Pco68JBI/JUptn43TSxhwyQzZNNc0IOfNjOgAA0WkRxP9qEwF0WczhAnADJfqWnBvxLWYy0
BXIJuGEz+/48bofeRljpmNE81UGGnzZq9HybG99uICV2o/+paUoXi5LNPvbSToF6ErAzIsg28Zro
posKbxTpwBdTY8F95QsW3qWoBDjp2I41++TOd51d2w8CL1cBrkqZEoIxOaeAkbLW092OjgCA+dLQ
8IDvImYO0aNydjlE5DPhpA46bdlMM3HHc/bbpEQb7qs46Q9W2EafwgrKgetR94NpmjTPnFsQmgHG
8W/LVDeQrULm7m2Bx/VXurpyt15DlCemI5rtTJ3rBCsrLLVpkHlbyKkS2HHqmJnmZSUTCKdRhrMt
GxLUkrFWzbltq/xhGEj82AWVomMTJV5BUlJvEbHniQFltRZmoU+scnTGc8bBbOcPBX4mX3QkVAEC
9HIYlGP/Oxc2NkPXnbxu0xPFap+btkBA2npBdRct7fwHrC2izWgYvO/+MCN7IVKJxWPqcyG3vXGF
2sO27IFbdIveKQUonZkxqkaidHJd7FagwnJbxV32TMhyPF0FgkXvfIjtHu7DMNGyyQXHwo3ksEss
x2jXiMR1TFbMCDp4qcPpq3EtDomgV1KB3I6GkzPDKrfiMy3H9utiy+CQtc41BaUAW7C+jDqYC62y
+U6x70bps9VEzwoHZZXS/JEwLRSfO4pPYCO+tVHFeF/lEVyZ6j7WjBlajqg/Sbhvnkq/uODwB/67
+GPn8sBG9yLQ9pYyyec6CG+S0KYTCa8+xhWuGMtxAF4BF+xZlIVfZaseexZ3v+kvIabLr7XMb6ZZ
XwZh+YzVE3RUfb04T/V4X6RqH3u/nAGVvRNd+PwN/ZwfyiHb58o7sLJGuF3jYpf7mITHPoRn63WY
4wduY5NWifcjxe0K+IICNLG0n0erxEWZOdl4l1RRCOArEOaclgG8YJs/6yHztAMHDEpvq9s0iQze
nfYsj/r7USM0T/kwRlVfJ1PJtJvxlqLoi2/Ki8HyF+6QrKCue2S/cY/DkTIhyUo/7Crqzu0Zstm8
/AizYN/2MOVcHAdxd4fr8wFrHuxPPW+Kwb2Lm/SLDKOLoHiI02svUN1u5KS2Uax0l4yyYd9Mf4s2
RXKFDUEhR1Pp8OA06bWfAUGVZlrOvAXWmvFimo3TV9LPziZtOQBno4vO9h6SXv50umrbDsRhl7o5
qyb3kKzxSXVZHei6fDfAYp2MElpGk8Wu7a8u9iUBcWvbxAFlaEi63GYID989G5BieSjy4XgjwtKp
hLy47FuILPyM21AFcBqmR6v97k3ONrXkLzmUv/tkUhvTV3zl5moNzhEYzGKhPielATVtORcydbwf
cc6LN+ARPGsyn5wMxX4yX07o3+H47ybX/l0zgPZtufwmAWmi7T4F8+cpDR5LvqfNStlZQvs8HYP2
bkL9R2wP27iUb33a23H9m9jC8xmna1SlZ0HbBvB+oes3Q/fkWn0NFrS4LfPuHOT3hjQAe2sv4zMf
/uc6hiBWw2TbjxFTXFubu7EDTpLALAG+hR4/t4h8IqqxY5Nk4Onqurqehsa+6uxkpdu18WPG0PEv
7Cm49iKYrXN/bie4BIBBXRWannEUX7UB3tgBIi1gJusmlBgQUAXSEc3NecI+5ozw59+VLLAKqe6P
dNX9FDtPUZeZbd//1JoMUfTWUE4uptRw2AwGH2JjVdfJVaEC8y0ExfbDRfDxW7kl8BbXiWa8ouxB
IH5AOLdADiHyFnEDxxDXv8cekg2W2A393N4R4tCKCyg0br1CLOZom0HM7rdY+ckLzfoyJ7zDHZbv
clEEI8A7yUlpTBqSmbpM41CN0Sju55bCVOmta0vvpvAwK3xTf8SUgL30ZD3pLcEP9tkgU3IXlsZy
dn7v5EAYVsif4qvINhkSmmg7km41bAWzwbOhPf1sE/Pkbwawpit2VZNIgroFYGjdkO6wGrrBRU6u
12pOFqr9xNkxmff20g0OOI0KnpgVgzAELO85P8mqqL60bmbu/HDSEm5mRv0eGEUHxbosEow0/YKV
pO3i+Hc2yuzH4Gv8nsar2y+R5uPatWURk+ccF/Chh8GCtN14M6wECjp4ZEwLzMhbQLA0s2TbWGQD
UI08WuB310lRt9ueJFxOO13bgoRgcbmLsRYtrIMAGizR75cin5xNVXgkcIxo2FHzTGCrto5v2IYE
xul+Nb2Pu4CsqPBOAFEF/uyH6NiBmDBZNnNdAP7RjQPFYaIORhBE7PydE5/0tcntMGCnbal9lDki
Gnfe5FEzI/uV3e3kFmD4M6pV+rKNFiRes6O9O69EwHHTMsEW6KzHPtrTXUrBLXaA70lMJYpSW2Pw
V1Ytr68mlvDR11QzNkFUEochLKfZh8XQAR1y9FU996hekTLB2w2SseW2lx7AU+/28jqKFUt7KInL
gi0XLdm2likc7Al9LGbkqFWMHdH0twu9SIB6xlkeSonGaUdFIfkGNLV6JnEYcBPRWs5PN8kE/3e0
ge5Q3SbZ3nMwYOhFsS3j3B+QaLT257JqFPLAZlOnn+pWiXkXj7DyGaEtEgNbePYVsU5DfE7FB4Ju
Gor8rpgcfP1tWT9GRaNvqAJw8/jCecq0E621UjuRUdHXdozTxbVW4dtChymoq4h9RpG4P5i8gZmA
aWFlj0fSlTdAtil21oUN2aNNmvRCKp1/T03l4VmQeaShiYTI44zrjc+2n9a3ALE9Pmy/hC/rSvVt
KkqY8rJcm7TIZwC9lAlf46ZMq/i7FGhvNsscY8Aqq2a66D0iKtkh2eTODCGpfR6YKXyI5Id9sdIe
k8mUzLRf83CUn5MQTjoYjzn0zoOl00RPqBgwUFdNz5wzCEKKPVgQh0YX9bUTtVm78ZSVPTf8B9/D
wkOUY7exi5VAiJgytyKESrY9XkDodWK4dZKy+rmIkp6dHi33Zx0m9TW6hdHZCm1FGPDYeP+y2Dh/
gde2cDIA/ByfKehcJeelmMJgN+YNSEbpZjzRiaMYuc+jE2063y49kiPqFdOMSqbfN4sOSBxokCTe
0o3sml00LeMvaiH2sIuVJ76G6VTd8tfqp9KpOcoXKIy+ZoJt7g503ojZpm+Hv05bJXdtLfunoQMU
up/7dW6SFA04BDV+Fm4ozOBtltOQnXcdcKtDas9pA/rWZ0cbJgUtAwLjKXvMcz83uyn3QbFCjBrk
PhZO/uikWfmYCHdh1ogM/25ugHOpMlSfOwubNl9/yYbSAhfUbipKBZgM1bJCWQY1XUHEXlmmM43Z
rR44sm/RfPO9aLYBF3HKoYajRIMVh167/XuK7BzbVmB3j3Xj1wMlxzKyt2E4As0sksrfGuz2MfAX
BgBYX4Mlp3BVeAZB81JCDYb+BfwDxVVlQVwPLPovQXxd2vBs+XCd8VduNPzOirY5OZYVO8feBqNN
qJFFWDlBBXGztT335U8X3R3NEo4AMaQ5draFGb+xo7X6veMn7LLSJTCsKnBxbue5Su9TO+wfaiBU
LGCpmvw9FQvGBPEKLNzCUO/YgQyNhgNQdhCskwPNhTEHWT9Upgk23VTMPaaAIHPOgjq2PzkDyqad
6SM8LnDf454MFZHeEu5T41QjKmDN6C7gCxBewVmkF7XGuuNbAwhPaHL7Ehhwu2syjUvKl1YKnaeN
nsidhq2FytP+OTOfuQfddPYThM/ljzvr5jlJE5/QVdNG18NE+sKGzNnky5zlwj0r5274arGTaLdl
nzPEgEyAAJXQw9ozDtFrhcuz5R+nHB0GQ9bmUMR6qk8bD/nQc8nEhcirrGfwBKYV+a5Px55QtmEc
zqBRrRGaPdnC+5hsF9xYI8FUm8SCB8XiVckvlAN8+9PM0tXxKadLf9ZGBCsVvZ9+HhyqYXtA3Gxu
slTDR8I3XoJbaFm/YGmn6W3QNQyGsKcESVhPDtRWzstIwqUFwAj+mFN+J643+O3YLDKsT6PLntlr
WMEtqvjGXcDr+UtY/5CFUN4+MrBm5tJaWjB7c/GLIn14DT1ruKn7kDFVsCcOKTR200+oIe21TgVF
JmXHL21931LnH9di36mNIx0N1nqsT7l+daX/Wxt35eLUicxBLfSVxEw4mWsOxyckDu9dBGGHg1KU
a9DbeX0RRwuawRWnU46e+b4reVCFqrMTrWgsPcel2xARMxrwl1hs+g9HpVufGX9AQ6G24VCp35l0
xCVZ3YKjSAt0aZfOxWShnjAdLLeqsH93IiUCEHobjhKP8ke2DdLUzHtlNfFjCB7DcJLvyGluiYlp
GSd1QhSQIviHE4fPkTTpyuxXlGcK+2tewV6pY4JrLyivQSwLCPIk0be0MOsSJ2SuizzhWER12GdL
nzcdacvJgOs+EtKOdmOxZjcXrRmuM4JV/L0upuirMy4DSQejDqGdzJVrX0IRXidEj9loM7g2e1IS
HNNv4yjcvyRacYCTmf/Yk3JIyvQo+7893NFnEjDkCJtiMWZXFSskWHUq/IP6H1y58GLT7nwmXfGo
u6Gmme4OWI+EXQdgUKoxAZkeTvnT4FbtE6vtcFuwGsLKCvzyMRsHDgFzLRsUJmwxieLo6SJeLZBw
JDUCEHXsU9ecFsLwBnyrpV9+7/IC9ULdBZFkL8UUfz5xmgG3w+nYgtSqh4u+icVvP+rqO2g+hLU2
EBKfjEQmBrp0qZyDDXg327hR3yZI68Erpgmz12aOKbXCWmraR9vxpwfXX+2bfi2pcbU6JKI5onSO
W5nGFMZpA2d2U1p9yeuocufGL6s8ISJ3MekOpRHJFVCDq68F+y/2mWyKr7g7+TdvNPvOYVba2vej
n/+1RtVeoMcCBwRxKLuXqbcAZ57i9DLX4EKLpqN8B6iZA/4gWkzRI4jxZ6ePlm0+BPr+4w/7xZj0
uqHjY1sJmCP5Hvi4j7qodTHJWHo5nXAzJAFo8SB5JJaeSr5LaAwuicJzRnCnZNjfOsuY40MLaO0S
7WMhG4oK0u325Nm0N+5C0QyutQo/u3Mc3uteAqMJE7UAo0E5/23RNpzij3/+S1Pu1c9HR7cK80PX
x9MRry68fyembKjznKc/bFVkOHuk8cTjH6Ki++rTzHiKpl5/7mLT3zVRbm44h5qHxoTedNY1oqED
glgFBy2mujV62J7Oex03DWyXxv7bajhFUAvL8FCUhEoeOqnVj6TTACMyQoVmiKkBbEgngsPKjEY0
zky0/Q205wquT9cm13nmDI9ULNJ8w2az7OleGXO9FJ0fb3MzwymlIVI+yZ5GyUVgbOJGk6rVz6rx
ll9lbXIqZnxHKyFHVA9lSpGcpYjt4omn+GZCRJzAbjNCp4Be/9jcwAEG2OKM8su3RPsHYqx4zhpn
OPGu3va42Xq8WAe9iBUEvMnrd6WcdnIYNUD0DIXkgzPzARkZj38JfajLi7wVtAXWA4I4LGu4O5jx
eBj3vpNYl8209rw+vu03nhP0H+v9xuiSkBLwfl//INfyso6ifwPwJ22uZ+R3nAl6/5EMAZu4AiAX
DaFPn72KfiJN52pvlereHQ0VY+okn9o1OG/ue4p+Psfrj3/cm/7iy2/jZ2G+IQbxuL9oKuLsFYUR
MgTzlb3XZYegTu6qWJr9x1dy1m/k1TfEpdYeJmJeJDFIp18/BiRv0u3wj7KRnADrzn0X/RWkI24D
RSK88HS9C9ajfi3D4RAykFbObvq0ODHxFz3N/Y2OBvuqT715P5qi+hQPNp0PSfm57tzk4cTPXZfn
45+L+Q6NhIdnCLfQ659rUBwRlalJH/EzyCKyRegSif5gut69GHPgaCymeOfZekKP0/gzwnz8lNsE
byoCKwoOsnc0K8iGrz37Ou7B9xFY62d0s2OgdcZpTwz8dd/y5gfj5fEiGz2jfyw2aqbSmYYJM1ez
1NGhzgmZS6E6YW0Kf9Uj4IMTD+itwgCFId9XsArBQQUdvc/RtijwOUS0h0GibyQb9n3t++0ekVB3
geoOlM242HdTBP2T8nm98yLyq5g41X8UwfN90SJnYo6QdgQIZV+/KduZlYnoX4H2G4c/luwTPGxT
dQipu18oU4Un5Grrmz960MjEEflRAObu/XXj94+CwyR2kHUzNRUxdtXn0O+r7yrU0dXkF/LEXvW9
SyGyZt5Yrb+2f6SDiK2MWuNEs4rWVk08qAsWoEjYHEIVFuKEZuTtxpgiFwnadhhjOnqj+POD0Xge
UxRuN0yRcLv9XUaA/YmrvHNLzIXkzcJGw316bNeyGth1vs6Iz40WEp6MsW7yyqmuEmcMv308RN9+
EQFGe9LChYtpFv/M6xfV6qRz5nhR22Yq9DlRAsuF5ajmovVo8hdeI3f//XrrzIbFFOvum+vJpE6a
kcLKdkzm4GwaU4AbSAz2tlDx5xxMbHFi9n47RwWoudiVsKygljnW+uvBmSKnZ0Ut8S1wtCYeTLpx
S36qE50VfUGtekyhJDnxQjOiKsoT+pR3HjDyEoG+hWapg67s9QNukqrxOROorcqr4MabZLqr3Lb7
lHoQVlKPje7HD/iNKB9OGLuvCJ8fC4mLOPX1Bae0tgmWYlKDY3K3nAffy4M6S86Xv0AzYQqqE8/3
nW0r1+Pe8BfGARLOo6mllhCF3LFqtrsfF3d/7i4uzjb77fm02X2ZNic+9Zdz5+tp5dW1jv3Jc8qJ
zF6vdXm4P3Chs7Ozv18vv5y4zNuP/PVVjjbitLCU3WmuYvpHU9OcEKdU9W98dy8viWnRRr+FBvt4
s1xPNoFa6420+/7BXLXb+VafB5flgbyGbb3td+YMLcYFbXDoj7fQwp8+HiVvZ5hVLgrdDqIcdtoV
e/fv/EzhgnBfG3qKT5luYxIdXwg3bw7dsMT/+WlyKYENjQGCZC08Gh9NMnpW1xILOLdu+tizSrL8
if+q5mdatlcRcYzhDXPTsRXFbcF2x2AMOTzl5X2bVsHd7Eu6fQUEtY+f3Vup5Op1cWPUmMJdgSPr
+PlncVvCyfhz0BLaMYfjJ2JV0m0HG3zXItAoaczY6Y9SWdNOYnc4yMrNxl3uNuH1xz/jvVcoBHt3
pGer4fH4VzQWsywvknK0M+xpxU0XMP+/iS6zTyzmb78H1nJ8bDh6Mb6wKL2+X5xRsg5BBm+llU8X
qG/BEJrTQua3m9/QYUxCHcB+jhz86DLIYIhQiMgFKyysPtteuzWs3XJFx46t+uUZV+3dcSZAYChS
B9Gmsp/yxo6/KtVkX7PUd6/oiCyoRoOoR8tTrtKNgM4ThKRkEoe0bodTJ6l3Hg3FSA4F2ORxWx4/
ml7SYEKpsxbKeiqvq5Eyqpv2xAtYp+zX0x48Bh6OE3MGwcxw9KpHW4ASp/FCI1uDfQ6r6EvmabiN
TigfOtcLPcQApj8xwN67t9CllMRgj1bbyuvXDgjcEqVHEZDUreBCtBEJ2hGQ7I+H8Xtfk4ulAScF
cwQLydHN5Q5KMjp9xVZWvgTYRKy72abkylGsUCGRlrPbZO4+8VKFfapeECHHstSXopnt/sSn/c43
5XoCh6PLl+Wybr++ZfixPWwfxM5sHeUudimz+p6cz2K3y3Yf3/c7T5e4j/WNMgXzv6PR3ho3Fyon
hSQITL9HOejuwwm3+cdXeWeh4RWu1goXJQpz/dH+LhVaIRZFMqbmttv1Vlj8nCmHdRuFbumCaj8x
2TCZ94aYGlKn826nsQfhw2jIny+66FLGQGgH1OnbBp1WvnH61L7CNI/yshPNblDQ+ukDNDuC5Nud
0nRjPr6Fd94Jp0sWD0qGbDKO/Y0eelXjZA7Yxz6KDkDY4fwN9iWNw/+ugUdy7lK74nDIUYkP7fXr
x7SrA0q5TOzewh5/0Wi8MC03ny2Oil+k9lNQyFn3peiW8ALFPi1LqxI3H9/vW6sKvwJuQhitEzu4
qaMPogkN4p2Y0rIZirAnLLQBkEheCiWqBMK+FWd/O5N5SNwK+8xyp/wLc5D/28Tk3CFgcfgHkOK+
JjuTWca/6BbcoIT+TmBTtcdyj7zEwDaP6FLLslwDDFepoGrlNzMTI/Lx7bwzd73YCTDbYr6B2/H6
mSZOy6HUIWjZr735Gy2T+CvnRQD21E/2jj2JB9AI2Yln+M6YwRFr4yaM191AeDTqy3pAvTyxQoPl
QAIyOvKqH8kwb+PMPrG/d1/m+KPZOaSeQMXzRYZ/XEyji11kKpNkI7dIdTaBo+HmZSR5AY4pUa7Z
uqY532NFBLOgiuI+Lxaxt1Ov/VJlvUBr4O1mMVpX3VjlfKi5sokodBZ5v4Q4T+iblQhEx1UgvG/l
VPYQDoGDbUlr94JPKcCYn25ROz+bcPGea+pYam8Ns3ujEcwT0FQFIebjhOYlnq9eQf1waviLmTHq
YSafhT1gU3vhJvJc65YcmYk0jlGUNzhcw+9WUUWXddGAFyXznlDkdqFqqOPWuUFpng7/x9mZLcet
XGv6VRz7Hm4Mianj2BcFoMjiLJIiJd0gKJHCPM94+v7AdnerUBVVvY8j7PAObhJDJjJX/usfXNGr
BDubbUWKjNEVuIoTqgpXezIbcleEVKYbwsiM567Vldc+GMtvGkBrtShly+lRMi28cFXWfXKCskq6
aoeS7iYrWXxl2+FEI4be8WMqB4bYoOHXfMhAQ91vgE0k/b5IsBjxAtGq2PjpAZwVUOgrGn20c6tg
qm5DTtIY+jQzoY/TZDV8TdZABJ8Uytz1cty0gHU1CddbP4MmaGeQsByU/bAADTsH89PVAM9FGQI5
Rp/wOO+tQMcRv5kaKdvYzUBgnkGS3HaSenjuaWJU0cZOg/il9rNgculv129GkeGnUbPHxZ5JDna0
MdKcv2rn40zanKrXN3CvLMlNZxIFNpmftyVasVaNtlIqaFowu0qI1KLEC9Ia27m9wEABjiI8+blw
FdQyVwMpvpNbllb/FXcWeFsSgEnlDiPO8qnum9lNRiz5lZ/RYibCTzTvtH8IUa2wQU/dpDXC276L
DKxtUY/dppU9qRcNLC/YdKMMvxp2q/UR0kRjbHm0G7OU1dITmMUzV8ek0eFA4iTn0ZeSMZ8cpAJW
hChH4U1yYr2DEo3krKlTrTp6CqNH78pJcqGlj7pnScP8vRyDbnRauR8iNwJXhIeAq76B1WwEG1cd
oX7CV7AAPweCWe/ldtKYxII4LPSL2DY5pUpD1CtkI/3FigKuUBVJLm2IcuRVEwjQkxQRBW2GEb06
ltsZ1SMem2VTVZc+sjILUnfTEFhc4aK3JcdRYASXF71xOdNhoBPXKKXGzA/hwTMRM9DZsNCu514S
rVvJyfSjrhW/v9LVsu0cKTFS0+s+sfvcT8uSeGc7RNpc5YL+YU1CulOF2N5fTP1YG+g2laK8szro
9ISQBHp8SVz4AFOmlEwcK+vIzHdzSSCKF/D5Tl5cW8NTYBaBuGSXIqcoqiOSqKHnv/ZsWG8h4H7t
JWyScLoIUCaUHJqW4kmB0Wn3dpdgtRWRXIAOIwreo1bOn4ci4cxiNope3IhmYKGs5Y7JEht08Dyr
Fx188Nr3f4ppal8aMyG7h4/J/Kgo0Ojc9E0yeDk015tBiQr5e2+B3W+w3RMEDXW+/R1OpA85qI8f
dLg6XyUK+scwG4AnZMz2FmJqnjuSlc5wNvRWuYq7rNa8RDaC9wl5/VcoFsXL6c3pCFhiArUj4YVd
JeONtCr4oEkB6TUDYfJ9HcuPaJeykqRXhaQlWnVLGrYUhA8DffLvUqgZV1KPwvnCFkFFuBnUWKjc
c3Rm8/rc4Pc3FNAbpI74zQGugwDub5lFaHU1uXopdJBGfJ1ojMAS0WX92ihyHKQJIRW/hi4tNQgt
GGwhwVJSoimjAR5KJ2vZmx7K0zdhRNrkTFOYv51+aUcqV9Ty9gInL+4ma+xCR0WsZzPYASoJy0kp
zgntlJP301c53MIR5S2Do7F94wG4qoJIf4BFOHIVycQ8t7oJcK+q4u3pixxphO1fZf2q6aAOkcJV
ss3Px83uu+N9+XLmEuceZFWL1KXZ1cFyiQTD+NT9gH/nfUAj3TwlW3I9N92Zgks7HJ/9Z1oqsj/g
CcMKcDRouSC2U97strj3prfaDisaV3PzbXVr3ykX0mNyiTf6FoOqrX1BVo6neMWWpHKX4Mfb6ZK0
Nlc+M7GP3ZglQGoWM0W+ulUpqLQaIdKCEqdEt+iZVc8qrNnnBIFH3jeEKRR1TFEbeGY1pHEDTTHE
XgkYIa13eqvLWyMes4emLAr39NgeYsu4M0J75IANtkV3ef9NJ3rOyQtbHIjLBdSuoIbnUfZG8XPw
Z+Mq60fEPHhMNM+VVAd4FMeBdGawjzBoTBruNmFa6JX5JFefCb32yVR6+PlKosf5DXQWaJ5NswjR
UhSNjZuYVv/uW75Zb6qpad/10bdwJS8lvXXaWOsJshvIK++beWGRq6QFjJQfSMUJfL5I1UTL0B7r
yN/MqsIfXbLDZGdYRMRuwrJCnFJ1Vdmcea8Hbl70VmhYWYhNwZQ5BK0ww3yegw7VJXrTJEHNmrSJ
dksmeP9eT/VAvFVW+k6fqThtC20qf+UN0x3bwVI8SeFotHDFtNHTBtuSdrqSdI+hAfpOtBlmgU6O
1EJ4pyfCERADwzvAVDB3mteWvRoGUMaqG23aGunSdcXrb36ytKxzKjNPnpq+IzQB+OjXnMzRjxBI
YTslvZqdW82WD2i1cXB2paGjcvLBJnI19bsSP54AQxmglMGWrs0OxMtJURqGSAKovcjKTqcfY1ss
VuDlPA5eBlj11sx58vPMCzkE8zgO4RwjOIXR2F97JvYpbn8JXC5Hr9v4FrVesVGxT70OVDESnVli
EG9Vspfk0fTQxuH4lRmByEdJpHsz9313wGjAo2k1XXKSwqFe8Y0LaDHitqXBd2a6LSvw+rWx24I/
LWsG0OP+Z6xIEO0GjMmI1NNIrs2ldgeTBeHmNKfPQk3PIRrLZFhdj2Y5rSiFTZTW+ep6fYdyMvPH
1DGAgO7g/paXVTuNl2eG4Mhs4PBrWSCpuCOa63PpXAWZHQdR6kRRCrjjjw00GyXQJSiwo0R4s+B7
yDem0SJJS+U+nzY6jcfvwSwbZ1b+wzdsLcwg0D3O+tzN6nuezZSALAsAs+1sjJeVwiJioJ1e9FnX
ruB7Rl/PPPvyCvdfMSdgWt2frAT4FKuVufLrQsOJnIDX3pY+0gYnB1Zq5UsVc7YGVBa3pP5UCA2I
oW9jPd75lkkYdYrElKRhKXuYlZTc8QC3h3n2zTPIqnrIC8BLiQP/0j+gL7nuWdtdDolNA5XLa6vx
t5y84cW1CfmAsTWQzZPVtkE6WpmrnGvb+kFHnPEbm/6akFlOVcamISz3Dm7VQBSbr+FXMsOJZeEv
FpkZXZLqLUjrAIfvyfxZD4Y8eh165v9GJwRGNwsXwwrewkK9/+VMcW2rQQiI2SQFTFfNDyUyPYpg
bDFXMbXf0SQ1j003BC81uC1c+lpSb+2pLsYz++CR8Va5FXup4enLr2HORpWbeJxUsP/R1i8JajPQ
c7XimjbFOTrQkc2J1KeF4AbpYNly1f2HVrVoQseCaWMzx8ZWHq32Kp+N9Ek3k+hJwWam21AsBBds
BwRyWkpzn2p6cN0oRnlpEuW1g12Q3yV2a5OxXBU7SYrnS4VzV3IGOT1cg62FJrwEVcHQoU+xf6Nt
CPG0xRTTmbRB/q6NTYskUSYVL8Zay2ykEH1uX+5sXGXOeQgf+eApiah+LE3FVmS9H3ZEMNezVkAr
MOt+YiHHHWebQBgiGscqzPsQmQO88pjAt01nVvbPPu6Hr7bcN7LXw8kmxk0i8lAiPy90oS9gnpr2
E5TaJUxcO7P+H67H2ENy5NJomFGYrtdjs+nnOWSRdLTESm8AMMh/VerpvzEaIKAsf7quLPyj/dGw
yQw3uh51kxUU/VOSmSh46bi9j1QsD21TjZyD/YZkHorKM/48R/w72NXojmJzgr03m8/+tQ1o86k0
kHft23i36fgAXTdG3Dstaq7fkJFiTC8Kf9wiap7uUxv6zCb2teorQgjjIsoa/0uVzPU5aPjYbRFw
yfSCkAS6v6a7Bapd08UktKgqLQSHgzxgfSFyHxgisTV4f2r8U9Q62qFMZSGuc+W5S+Rk9DBrMnd+
lZWI+oLmHMX+yGKiK3w2dEvYP/iC9t+WNELHSkLkPnPczU8Z2IsHRqjvEoukkNMb1ZFLcRbC6XIh
P9rK51rz51ltUjQMVfzGKWy8LGqcH1w1ipLbYjDOVR2fvqP7eyLCAesTUPhs+6/WrdDvGr8KReuM
ZSqme9SGmWfTcyX2SwnKO0TlhOkQUIr+Sypaeju14aNDbWztNYlrsJmCNIXnCvoxucpyFz5oVhHA
mjf5oStMqUdEGM+kO5jx9DrjmACGQp2jI+/JZPPO6lvN2La0oH5AgVNeMWtpXlNUni/kWP9S7VJ+
aZVe/lEbzRVt0HQ791XSe7PdR3ig5AQnz20l2FjatAouiths5K0ftdqXxm5kwoYKGYp4W/EBIOOM
UDAhY8KtRUph0jpS2dO+7KUsJG2mtP0PZUBneZGk9qiQBAXAt1n6rtqmyAmv3xRy0I8g+XkyO32q
tkC9UOZeIr9WSd4hAuTnYPD6NvEwEt+TR/38qk8jbgpKhtSLX48kNuPWqGA3Ddr4O1VZUC4E5J8J
gaqRPmuBYZw7jS4LyGp8YXiqZCXQsKWFtNqMUc0j8xIgobxPfweIJVxR28OWCFf1Ev+TAGnk2JxZ
1Y5QcmyYRjQXcQAVMhZg+x9LMozd3NTUUqTYtlsdWv+Njtr+YY5lA1B2NA23QRCKuELqLwcaWy4d
3+4i1TL1Sy0TBYwYQOwCtF4c5uTKvsmB686Un0dgvk9CvYnHtUmUxNrFUtP9TOrA0ImhllLPlO3E
BYeMvRzP4B9RYPZ3EOktZCR0HDRq0vuCIvAm7Q2Sh0IfGeHpr/7TTGs1VJjckiiBaRq8ivVQJeUg
q1G4aDr0uFBcMLQ+dy2+vY9uKFFDVZXQWy8cZe1xQuLzPFlFpBLolis0AdE7vCVVgdsOev/IQB8T
4btil0X8HEb+NG868hSobXuludWUHpcWv6wlyVV0DDpQUHP0pMGpDborqi6yL1H7m4aDqpWwaCuy
tfdoHlCJzkkS39eT4f9q2rzrtoFtTPdCqNVVHoWEMak+QcdtCy/7TPFwZB7TT4P1yJEF7691FxZ1
SoBZTNU4YpY6tyq09h0QVnHrLPA3Me01+ljhOV7iwUJsAgJDOqGuY0Q4Qu9PY7+JoC9jYuLUqZTt
fDNurhD5Ub+U5rla9bCA5AL0CpcGJWdAlv3VtbSKRgqLi2PlmFB5/ihV77QqlOfID+MfkuioIPUA
k3iM2oYnJFDkToC16rehOivvtar8NuqO9PBJm5/1ypw+QqNpv9ASmF9Pz9NDJBp4l8IIXGMp76Ew
7t8pZX9rNmVVOpoEH+piDtqK2MRhGvStUKopulViLNTcUinJE6Ti8wfcEsaBxiZ1Gzgfdo6zU4Dp
T5sujrriPutL7dxh6qDWNDnfccAl4wkGCfvo/k3mzEFGT0MxPYnkbQSh+j3pGWIrO1P9V1OfMeY1
R2P6FZRx/NLPMm5J6MCpcbAwsoQTKGj+nNRMK/RNypAFO7kvoUoPHXaJO7woqd3tz1NZC238gufD
+CQQJRIw7GmS3sVEySo9VSxJhZYEufPC1opZnKlSD7FqnJZRa6BptxgJqDL7zynMNjeHBIZR02di
18cKnRatEoSDmz0IS2q5yFl6r1NwCws7Ogc2GlzEe7SXz0yLg+PrcidQwfg2F6h5Tfls2Tq1NGen
Cbvsu0X7c6PqzUWoSldBFCgXaj9uofHszAkXzGrOaKSl5xaJzyV7bwn9vAe2OtjYsArWo+6zUhWN
udyD2gx3QwChEnNk1fhuBMLyN02QKQ6EEUoHU6bFFOAvM8gKiSnwHB4WQonbhPm8G3LfvGyCUL61
BZ1HH6zsph70bhvlfoUjzzhepBWo0OSD5tFCk/EASFLPKES9hdwTeFlVo8hv2mpr5ZgpFHKLZXlh
qddWXbcvp1/84SLFgwLzoilYSGef29wf1WIcI69qbJ1yprH951kee68tOnOL6Wv1+PcvxdGWiUaO
FhDV6rSCDU5StxECjE4MtJhTY9yWLSJy9IjF5elLffpl7w8l5y7wlgW25Mk+d8s/Hqs1pSmoqpgt
K58xrK2GiUoN2VtWK72Hptl0KdkqsdG6ynIQfo/emAKSDMpiNCaN00Y2KzlGYW78kMu0281FivR8
KKpXVUOzGVmMpBUo4iELM+keqFt5CGi74ZwdlZei6oPtmGRdioVDLu80YyLUlGCRm2oqynNkkQNM
jobBsqkt1RJ08PWRXJnw2QQYzJzEnIwPOczT3MW1SXpIfMgjW/iXvXQhE0GieT4CmhlFZ4/b55CW
9L44QyAtxk+wEg6nPeVybLsgJBpU10t3HIR8WSoWctFqMMMM55JUf1HbUvt1ergOtmcegTQccMvl
0+N4v78MaTbrfDgnOALFfXSndP54X3bmsLNnNYGGagOJzNG5Jef4RbFFQCwMOWpdE5DF0UaCkCUo
t0P7wMEtdxs/6NwWm+m3ORnnZ9FaZ6PklhPRamJyOF36w5S3iKFXJ6aowDAR2Ix4ZS0pLok/UC7L
miIebS1Vj5+Iwpn5H44UEgaG02KEM8ghzhidUqNCjQkbPv3uD5CKz34T+zGTCNBtfTLVBM6VQ4oP
px5xrYrG/gUpFPKZD/KwXIaOCVuLLppBsw5QfH+IybVIErpXMNGn2rppoiz4OqlV6iCeCnet3eiu
n2TirsDc7GES0DLxchlvjLpvttg9Td9PP/SRVY/7oJWHJpK+3tpuv5ujYcBMLXOUqIu/G3GG8XVg
+D/kwKYyOX2tw0bOwkT942Kr2mxCzs804wMNbH/0wsi4QoqzBUcdsEoh71Saou+MMPZKFi4OWXpx
5vpHphzVFjeg0T6xiUvZf/VamkBAxQAGpCb+HluS/RrrVegJ3GAgmbPBlHM8vE40Oe9HugePtQ00
hqGk9twM+nSmtDoy3VisILhzUFkm3Ao2kuq+UnItJHpYgc0SGJJ+qWMefm66HRtgtK5E3HN4XbwA
9p/ZFHOohsTrOjGnReKDrOZRndQaY0xYkJs+xw0jLpiuXpFl+QUKSo3kXYvbGge5IS9eS1J+QWBR
lORyEAPJZmnlnR6YI6/icx+E87+0VNZ0hLBjXcpNxiXQwehanFCvjaTSd6evcuRNAGBjwYzPu8r/
Wa2tyIEmU0QE80wWNkxzHxE1l8bwvg1bOVPEHXsgKklOO2Lx4l8fQa3Cpslqs5SQPWBfCwzsSIrG
eeDp9BMdSlo5yH22x4WxSITW9G49iMrcFlgBjYSEPGEjTGq57MeW4cawVq6mcIDslI3N1G/DYg5R
Y/fhYG5IDTSJygr7J80eo/wC560u9KSuhF83B9bESTAXKsnKg09IfBiWgLan7/zYC4LpB80H8rF2
IG4ljQLztxbhVjHDkbUaYV9jcHMugevIiIN+AgkjIEAltmacF2GhWqTGFk6sBDlGcnLjaZIgP1oy
Z+XM53yosl7EIhBYkYCi+SMxd/9Dq3V8g0Ka55B2Bg4KEqat1Fj5fZ7hhpoWCgaDsza7Vl6Yt6pG
zGJS5BJ5tsK+p5souZ3cUxjXdvtlhPR15th/7O6QIbLE4yKggYWudlulnOwQQVuOpWjtkx0O4fRD
nQPjJ1W8Yt1Ovmwauxjjg7sy1kThtWnePxIaTG/T5FPx8YGSs4a895EqSVOZc5sa8vE5ysWReWGp
lIdLigdi/fXBowgiMEM4Ew7oRb3rVOS7s3Zuoz+ExmkukeZjsSjiu01w1f5QkexiQw/taieXa6z9
+xF/3XImFZvsQBi1UeSaOILdxUUT3hVY7qYuTvHhdxx3X2dF0lyoVeW5dfrw2IcsgpBWZK/MHY7c
+/eE22oNk1Vgv1SYw5dStIuTXZX8xgp63oph6i7hwnhSnH20HLI9MdrlxaCAMp/+MI9MFBpagurE
BM3mZlb7xYiMu0FSUeGyYshwqNPUo6MVP9SAwo95MOMBnmfTRSDLZHRWsekZWTk5Egl1T7VcIUqH
DOMZVTHvlESrzsjdDitVms443SDbhb0m9NUsxiDX1sucMZMkGK9tU1i3uLDa16k2EoKE5u5CSgfr
TIPnyEUZEFpXyxsBUVpVDXOZ943e4dfU+DO7E+ZZt3j4tBfVWExO5Uu5W4SYBZwZh+Wv7pfH9PhU
BMqLSEGlMt+fD31oJCpOfZUz1lnzPWTOPBVQu75Z5SDu8IjEHQPfOPvNMEJsaYFZVMXJdeyy8Jjx
0xcjbMOfDW4AdwoK3oUpZU7fOzU3Xk/f55Hb5JzCgQsyIc299YgUaddIrVzCOTezdtsVIryuauwD
h7zRfkBZP5ewcwTfI5EDrTHcMJKTGI/991LBsKhinQuKHlo1+wg5gqki5m/IiIKMzVzNfpYinh4U
KRhfJ+zyFsMikVmuX7a6F6ECUC8Lip3Yq9nZrmo/Tj7wjcxwYYpH7KdPv5/DLWjZ3aCQcSKVKQZW
1X6KmA6yCmC9IskDpW4Q3gUtoEZnYcH09y9FRB2gLt8nTJvVm+l1KnhYqawgWBR5mC7am9KK+82E
F+6ZpzrySbBwohii58koGMsy/geoECYAeZJMX8IssBKFnV5YP2dNDa4kW55wDcY1G7K3VsvnLFyO
vE54a5RvS11lcPH9C2P/lWKOKGPooNSVFzS97eYiTza26IMz5eIh+8/E7ZULLTUv1gfG8hL+eEgr
j6HwiOVafpJb+O2O4UdeIyZcIk/bdpOMGmdmHLJnezuavj54JivSfFmmBu77koRp5oaCk9RZo7Il
vHAzWpFGZoWBg4Nere4C0gyx5g66yrMDtfJdCa/VH6WB3famhztvk6jAMeHMynJk7GgI0yWHZ4xg
eK0ZKisbmkTml04y6uELyZLdtcaGcKOTP/gIfUR2szmOv5yem4f7OjWRDiuVcpX+2dpYzQoA8jAX
wtqhKnyvBADdaPEgn6vBNIZktWgudgsLNw6VGeEj+0M2KqTLN4qNuDyaVDQKk/HFGGe0+qhR5k1E
J3aHEacOBi3EnVQgeoVKg4NISdmEEESydqM9N2eZPIezljBCOt4KMwqAZf25SGRmTBwja0cNLbbN
mBOHSwqDbmOoocy2E4cDPP6QaFd5IwLN3HZKVy2BSFWa4gnqm8Emb1LzRyhnyX3kNx0Wk136cnqI
DldyAZONbhTtCELp1r1GKxW0qkoZYRFBDT+MNEQOUQjhTgYGtZs2NcKL0xc8UoYxu9jbQLzg+pjm
ckd/fGCsucQOSYSXZkWledgPGdiXQ5yIMYn7QSUcxmiLa4ugZ1Fd6ek4bOuGsMV+1IJHGKzGNW3n
s+S2ZZXcn0KIuPg+QGYMOlbrrz6TcgWLYhVLLwyoSnSRlvkrKcP4e6iX80eR0Ovd2qLDZC0pEZd4
fdF1T0BUWbH1fYuQhZSGCQpQrC1fpbrV3mFlN8K1mlmRnXGGJKzQZvh15lUeVo901VgRqZ1BWBjI
/Vc5VJDw5FqW8LjrCSTpm5RW0qSPO5WOpCe0SSBXDMetUhvDXWWbre72cqm945psbE/fy+Fk1zUD
igeAM9w7cMz9Wylx7aW+xq+yCco3VM7Ktd1pv9ADtWeKwcM1hQvBKWVThSgGZXX/QlJoRhnTiwvV
g+8oShLTRqU7cfpxjl1lOY8ImFY0TQ9E6Kofh1XLQSdpQiZFn1veWGARffoqhy+NtZE5h55wWZLX
mkq1L7DeMJTEicKidham4RazzOCqUfX301c6fB4AA4M2Fa9m6T+s3lrFmXhxpycENsnza4BB4Puh
OWvOdOSBKEVov1MhULBby2388W23BHZpSuWjsx0S+zYqx+EjAHl26wYTmoGp+RqkbbxBa0sucTdD
qFe63sWgtXKCvKaviSHidRpEWMcnnXlmaz+8Oc4OCvxpzhKcAtfBXyzTiu+nKaJSUb37SarijNZo
j7GVtD9Ov+0jfcUF5mCnpZ2n84WuPkwNw0aWkETaELnV8vnNSrKJFbW5gtQZe0M8kkkvsWU40EhV
1zfC5rlr6uCFulX921YTGCksSiwLmvBCk1uNSZwDDQy0g9juYDYIeR53hhokl2ce+bANY+PFo7N4
MntQMa0eOZC6yU8qAsZytU6+2uz9m8iiFYM7M/wUIcegD7jqJ23fvWtNMbh43/Q/T9/E4QjDeObs
xH9Qm+N8tz/9kCejY2SPRMhgRNtw4mQIcNFh41+de6tHtrHFm4csYkpuomTXQhXS+VhzM/IJrbAg
MUgv0gVGi9JWuSZCJcfPN9T132kxm9EGsErcThP1gOPLAmKUIIMWN0C5p/ExN1ZsOqdfxLG7s5fF
C7YjEe7aWuE/pwPeZ6QsQrWy8I/sMWi7UNH0Prdo7J9xfq+vYrmXIyfQENhAdwkusPJ+tHILbcjE
+YFsl5lU0dO3dbgKAf3xUagLRxtDoNX4kE2RhlKbZE4zdim8NZHtDBy7/+5WtLAMUboAMnJihEq1
PwuUMW5lTqi5QwdK+lmmUXFNw3ymqa/LZwC2gwfiUvRALRmVENdbTwIsS0WZwyFy7IHQwj7WgguO
6H8bV8bNV0eRxF6PqJJ/2H+g3Jew0xzwe0d5UF5CXsLeu7ZM9/TgLK9lrwQCbgeIAo7iC4ZBuvqA
o9ScRx9TRCe18vFrlUTaVw0b2RdTa+Qd/GZjExhyfTni4I7l3Vz8/VEDEl4yL/mGZW5i/yEjv7eL
3OBoBSVlAVLt/KK0OjJkCrKeTj/pwVmI8bIW0vDS8F8+4f1LQSKj6G8wIlHVAveubJOrCilWVyGl
udb+/aS/xe1l4fR/stMwU9q/XIPBjF32i9WMZeS7jN3Zq4zBosM5G66axP1FUnXCIU2v3KJn44xk
QXhQaP5u2DcjDzfv/vH0GwDaPxxtbor2ATQBulDrHcoa2HisiigTYALiLoYO72YHJE+G/JKrg+3o
yUj0xZhpwT03QPbeBJ38La2B6DZWoYn3KICDeBHqwfA2t9p0TQe7u6hwTlGdTDFUePpZzrYXlPqE
0UDTFTPkIHtu2SBSSKRzoHSPkC6MFrVKJetPhtF2YoPQAYoYOCyhYaEy1c+hjw2zI4IBgwu/HTBM
Nuthyq4oQqGF5izCDspvXF7kQCIGuh1Iu/HyViSRGxqFetdIth/jO9I31x1GVjj356H1kYVTf2mU
YyqR0RTPePjDY0WY3Rv1HU0rK8YceyCW0a47LXQgEkhvsRkN13YItQ/RfaQxR4OAwO5uMKUfBWbb
r4Hpq0T51dO3zmy09yAupB+lHOk5sel6WGw6NTFt9oJOuiOfVyLdXQwlxtNUSdVNv1gQuWXf4kcM
JQtn50Se8VaCZRNLu1kOo4tR4Ip0kQVGOG8qtcRlzypKjAWIvpNdqVHtHxkxCTwgwrRvJZG7YiN3
Mhlc0oRi7L4NBQuVgt02NMBsJM2pSyfD8Dq9IiIrjWdMRzHXZJhGEL94SwO6/N5nRabi1d7M+Ke1
8fgMU1gVrjnK9dc6H7Lc7eyWnBXYvrW5KSC/Vy5CIVocujLhKNXYplxuhqnsXmZSGZ8xcacfFZdV
m29TZkkABbEcC88m+rG4mstFXVfOeUb/oWNzI1oBMN/tsYntN8wyQ3fJMKWPV9cG4VxjXuL4xwla
HV1jkcYhzZzT93huRj5s7PjVTTASyKMphZ1vAlsnHAnyVvfS2dksY1HdU2mCPSckDo9D8Q7Q2Y1P
ttxVLwnuYLAJIWAxQziJ3tAQkBWnVRpY3BFFVAgXS+sf5BbnbicPzXoR5tN+gEMYlkvgeoJhBd9T
uAn8wfyKm0hcOFpoW3flXPc3Gm+TP2cGSxae1ovZmxFUksFbIW51inTJVmAimgvLL7G8qSj0cQMw
zDJ8eik43MLYLCmXWPgX/sy6bvPnMa7jpIRsHGD3L8st24wN1fv0VQ45zYs6C44F3w6+kZxB9hdB
tTTNSC2WLJghwtd2DJOndFANYgsgpPqhSC8BBuwvyqhhC53ryFxUqQ0xIC71B1NJ469jVxGmBCRn
P2upbdDDroczN3m4AyJRWExlAZF0EE51/x4FHdS5SzmLKBU6JCdabIltuJo3VRSJL/OoT19hDeEP
Q17kJgN6351+SYdDAfWOUzz6DaSZYDL714e0NUOlELgSy6V1X+Tp+NQ0sn3mKQ9rQ/Yji72WA4qx
lBWrjR6gR83kMM4caaDLM8xbX9jEPsvPeqBvzVx/gTx1E1sz/laE0U7EcuL8It/XWX8GuDso13Hq
Io0YiRlNWs7zq41RUUurHVQ0Wr42+T9t0jPcvJib68ogCOrvvlo+PsA4C7Mrtn571VcZRDWkVOFL
xENpXpRa6v8uG/NvZzzQwFwOmJxA0L5CONgfQGFPutnQPCNitE22gwjEcxQ1wRkE5MhroxIE/qA1
BcNv3f7HrJ7MpBKUqvb7hFCTet6SA7fY9ZtnzrGHExJe/2IXATsSg9m1A2StwV4wiR53dItSJYnM
aeuX0I9Pj80hN4oRoUcNX2Upk0AF919bpzdhE0fk1ds4rBArlYNeObOczJbX+VRFGwSKA5lEnKLI
EIun4TXV4zImYkqDBe2XVbfrtC7tz3woR56eYwrNWdxfQbY+D/l/gBlNWKUCP3wMVOrc8JBcWl6i
4Gt0+umPXAXE0Vp8OShIoersP3yiVg3RnaDEZqoQOGd3w52cpsqZd3xkztBhB4IHOeNstKYX611i
9EOsLAZs2A0OcVNuQZhRp9XmuUPeIfix6O6BeOk1LASzNSGz9IuCbbPiIGH28kNIrsxLPNvT1y7S
w0uVyIGHrlOSL4EfRNiaq8ar6BP9ueo5KJ9+tZ+8yf0jDXeisajSwbWZJKsFPSyxL/YjiDIGdmHR
1eTP8rcw6dqfEBQj+GjI4JvNUA25dY3Rl/aiDFUcXvVGNKVOZrXiyac381VJCuIB8wR9QKoW3W5q
zTH0UtxKfyHPhjiqgu9ep/ZUNtt5HuT3pB1GDRubAAQ/LrPst+UPteoWQQGWGInZ+Hr6OQ8HV6XF
QqcF/uLiT7p6zDY2xlKBBeRg5hu7QI0C28FY/YZk0jpzqcMtcsF3Bd1LZClwJlc8AR30GDEP1s+T
pkXq1Sx3nWdWogk2ZVyIuyojwtoryGz9BipRQgMf9Oqc4/zh8Q3vTDYNmDcL3rS+B6OuJtxYCCEa
iah+yWNCS0iOb7aaWWk/1DAZt8KvkpfT7/jwvMRKgGCDEQXkPuDtEWPSMJewhrXmBp6oP+j6K3Zd
+m3jRzM7aXJOaXzogbcIZ1h2GFC6JPa6sZtwyJBTgWgiSZTqKbNmwpSVOSMOrQqsTttNgRbU5Llp
0mOo2mgCraRMn0w774gua9PwIRp8jhdFKWHZpcDyekqIY3G1FmEB9AI8dXf0m6pfRZPXj+E8FLQA
9TD6TrKTjfkpYSIPDdpm8iBz2lfEZkkddHEpTr0yKJLkZvQTQ9oQG1mhhupKIl8qS8oU1xCwZVzO
PeK3ZE5NfhmTGy1gjTS46VY1gabRnEzfaqk2w4V66XeXY8AuuclZt87Jwg4+DfqCfPg0H6FKcNZY
fv7HGl7rhJcSdEiG2dw0NwBmHcoEgpYFogT39Aw5aCGBW3yWFgh8+A7XHdYAVZUlR30HsG2mt4mK
OG4x4KovySuoLjniBqglTPXOLxKs/05f+2AT4dpLjAYLALAp/91/TKRdUoBiEnMUOiZXsA8qh1/Q
dp9X+R+/xv8ZfBQP/3vlbP79X/zzr6LE2TkI29U//vu+/Mif2vrjo719K/9r+dX/+6/u/+K/b6Nf
5IwWv9v1v7X3S/z9/1zffWvf9v6BU3rUTl+6j3p6/Gi6tP28AHe6/Jv/vz/8x8fnX3meyo9//UXg
RN4ufy2Iivyv//xo9/6vvygO/3jhy9//zw/v3jJ+z6mLtzZ6O/iNj7em5Zftf3KAgmIMCxC0lan2
1z+Gj8+faP/kXLWcrCATMCqC5TLnDB7+6y9h/BORDT+l6oSLhlvvX/9oiu7zR+o/qbfYPbFNZSYt
P/o/T743Rv9vzP6Rd9lDEeVtwx9m6P/YA2UVORwIpWlga02Hc23b0ekoEjHBDIFdCN0rDIhL1v9i
7ryW40a6Lf1CgzPw5haFMjQiRVISJd0gZFrwLmESiaefD+oT/6hAHlZorua2O6gsAGl2rr1MLfQL
VYy1WWi/h1mV+Ku1GG4RW3IddznCSGIMVcmVGh9ds9c/da5OSn3Gmn8cva7F8rHLWj+shxoh8KQH
RIXmPgn3mEZ6+nPac3qRCjuRuwLuQyC4i03MjVO71Ye0UGV1UzjopEMMSpy7QE60iUHZITM345w3
e8ucfBnS5NW+VLFhPMkyQ5hWED14VNKDLZRWQ/CUNcgkabY7ekRmZX7TFbjj7Oy+8O/ZUvE++mOW
/Pe3+PPdbw6N9aVQ2UFaslmXaIvWb/PH7kNDpHbggAI/xctOYGvrLf6TXX9MHOba/9589D8H2hzL
LwbabHNLyhkhewbCpPFZtYS+ln7oWmispbWHChaiYbkecNV6e9jtScyUpjBmggOn0nfxN4VHQjrV
ZNU60jBFkTWh7dgD8RPKHHvxwSYVPjSdwbuw172oL9dRaSCA8NPH5GDcbHYd3OI4kHOM/+MYrCr/
bF+UHooSVZnvOxgXddh7LvevwlwiurjNcVZ2G5UslAs3sd8mO38sLlQ7KKxY9itu7q12A+cfeFC4
W7jlTDPaGdMugk/tvAOLNOcws+bOCjFtBKRUEJ3v/CSRM8G0ZfWuy3InOyVTGRBoPoz6LVQJei1W
LNRz1sj40e6K8UEbm0Bdt8IgxHIq1ihYGwW1Otr5qFoKdxdu4uBrZR2OsoSvLRrn06xZkwwriywj
DlzP+b7uMvpBrwwDe2Bhu4r40lw9tskEFgjRqkK/jcz+ALzUg01OJbY2gdPnkE70ortwQm72iN9v
i7sUfWFa65Tl2+LR9YgEViPR9iD76Drd7pOKNfW9nc1LziAvCIPrl8FAh2qNmzLF4masCgGrm3Cp
xLPGKHdtMPjuzu/H4dYiCuY9HSI8GzwMIXrP1O+0Qmv3CBzEA9rx5SRwcy6p6bTx1rHShmRqgQuq
lefRXNi0r99eRJtN4vdb8VcJBMwlLsBb1McnZa5QDWHGqtbkEcqlJpDgyT4atKl5gJTSl/u3R3zt
5aCEQO/ITY0afhvgMqYCAFZNuD+yvh6d0vP/ic2qnr6qViR1CP6DI3inp+UJQXSg4wlL3iMNit74
PKzGO7tJi9VVt2RFFUoE1w4GstX0MfMILdml2dSbx7d/8eYQW9/RGoWCywqAB1vOBr5Z1DTksc3X
ZGE8dhaecwj1axb628O82M/oSq7cAPrk3FtR5J0vZzXh4lYukEkWGzcPcgyHPaa9T522DO9Lc73k
tPNwYet+IY/i2VgTdJGhmdAoctb58cch4YAmauZYaaEOiRKFCnYD+dEJulXA0IztF7tVyxLK3kss
iIVzOR17pQ+cJ66Vf3j7+V95zaiP7d8gAQDotgdnq2mNPWtw+LUYzB2s5UA7Pb40/V4dxlyNGji4
EDtvds3KKbHTclrINcukX5Vu0eyLAmn4LrVirwizxLa/TnIur/yhDr5OFcSQqajSH2Be2V1T+sRE
jUgUkCHjk/r/8AYo2OBMGFzytjQm1ZAImVpkcHZlOkQOaWNXVDbJ34/CvQ7LTtS5xnqOnX/yNhEY
+wdCC5PcGN57jaxC+jnW89vPsr2QMLFWFg6LRmfJ2NtV7qF3MpaZ12xYaXXQ3L44Zkv7HpKMnRFl
aVcnzAWS3VJ58dXbI68fcHMsUm5ycUVJAPFkKy80yYp2cBbGmx3rUHynmhQ3Daab9pDbKsBvbW7e
wYbSPntKStIj2+QS8/SFoGF9eJS0qEzxZ4JHv5ljfdLpo+2vZ43MrB3OV2UkcuiWWeHmjxonJrLT
ITn2o4V5mNeKG2Qe46kw3DlaSm+4Nkqp3jkJFuUDJL5L0OIrez63en6jBVUBpv+mXsNvGjfEzE9w
4hXGfeG640MC/WttZS7TrV8arTi8/Ulemwwr0M6+Rv304pSZ6zmzaguvE7bZCplrv9zYOIp/r1Hx
w6Kz+iiDxfoOFaT6/PbIr2yqpC9QaABSAU9t4cAA29HKaeg0ozWnChMWE7KVU0TusMjg17kwgzGs
ubCVvTIqExCsBlLGygnaYMr4cIupnHFf6vQqC3XZJV/kVHXGXlgSVoGD8BUAaVouZa/8dofdzH0f
VgHWjFSo68XvfG0LhBtydDuc5NVi+0y6pj/1WmcaHO11d53UTeyg+9RbbU//0bjGyt+arq1q1H6p
YU0mlxV6gVNHgsSvDBpiciIMyTd2SVGZRLzRwqT/GKjlO45Ai3kKxq6PsTaBiwSCbHcl1NR4kQej
9P0PfmJXU9jPFD4nwx4dddWbFd34uVp6ogv45+f7xMtyFfaYxd1YCRVn1CFj/mj6s0UwrmZ6d7kc
bXU0RV/Swq5zdwwHb8TYcg7KFKr7XAQiVPPo4IdYyUuBOS/6hqwRLsGotljMoMlbGY4VaOXo6Avr
ODCHmziRco/IcbKoZpsUzlI97vKq0CPiheUtAdfNTaBm/S4IcvuksPS58tXYXuVIde66QTfvJ0ty
wXx7hr9ynrGHo95CBYBqZ7udK9NJ+nqC4J8nrkWOcOvsPYlDy4VhXtlVobRxXsDWoD+4LZ/tQMyK
z0/1lbYYbyEpwNlMuhDtiCTNIj9u1C0xqJYb+SRq77LC0y/c9159UPg5MG+hq9JMO5/bgyzGTClQ
PzfXjM+GqfpdjlvlBXrOa+Upd6mVToV6ee29nA/DDa7SuTiDJbSOe7BLSVCwPmI+E9vVQTkjnhmq
aoOrhhbc0TFFdvC7OXtv9ktw1WYFyRWVEvUntK+w7nVczgIjtZNQ5RfbKi93VZY67tsrfsMms23F
qUAvsoHMclIOPU4KhN3YQOv5c9vI5G5RgQFKmz/Pg+5eOGFf9MxW7jN4Pwc8I6+44/k7QsIYBE1K
BjV6FedUmolzX8OgutJV4pyCBUNaL5vcX8A9Fihk0kP3y+WdaEbibuu0uyQNejkz+DlokDjL1hp9
KzRVhopN4m60EFM/EVUNHIZKwQF6e6G9UD6vT405DnsCL50u+aZwckm9rmODAPsZTlLUzQkJcULN
GHZ0k3msCEd/L7nxk96r07UUuSTsj6z6CElcYx9K9Ob7tbdRofvvUn2XNeWD6S3ekZQmEOo0Mb6/
/YPXzf78MOD3/r5/Ik7BxXpzb5FFVjXDAD4gZfPd5ihow1LXhl3mzMVw4eW8PPHAdgkBZU6YLqSV
zbtJKrsh55p3syAFvx8XUWZoKqyPndLdj1mzSpQJibjwgK/OQzL7EI8iGCYQa1tnVeBuYkaCUAfp
R4/Gy4EuCduzWej1rlQFpjIwq4ydxr0K//jFrkOr96cUHVKGEMZx2wuUzNdeOddokE4wBlbH5vyt
rWaGkkWRMTe4GSbdDAqltVI0oczm+EJV9dqEtAF/6IUBBLEpb5ahlbqAAwEv3aw163GUM7o4K587
ao5AT4Pi1JDDjTMed3F5SrIYKTaGC/hgpqU/iB0tp7kkFM3Ojp67pPNncm6w1EN1M+T3QUc42AG5
PHlCynFT4/T25Hxl86I1Ag4DQkL34Lej8h8Xz0pLDK8Y+e3eZMgHvPvyU+OrIGzw6zg2wi7fmfGY
485g2peEDy+PMvYKsI7feDkvbrPD58YiVhIo6IwPu3QHMr18GvJqyGGgTZn2QIRyf0tuueP8o1ty
+TBPRi6itx//hRMbm8kajQ4uC3qJKHyzYJRTxHM7ofEY7Tr7QOvXIVso8VAnOB/9XvSnafG5MOjW
sCcaafrcwvDuw8JQ+cdO9vMud/ACP8UtRldv/7JXPgzaKMxzfaThsBo2kypX/qSbCUHaFpyVL6Ok
wXvoG9N4l01aT4LAAGPtEAfKyq4gVNbVx7eHf2Uv/802BrLGp4c7w/nRorQY+08v42YY213I3CC/
QCWXLiSvrFPX5HpKj5OoGGbg+Si1T+SNj8FoKL0gaUOHzvuuMXFxD7XGnf+6cEHyD4oE4kCbHCLa
+WB5MxU6omEtFBaoRphhj87dNBsv7cGvvDrgTd4ZggsO5y2TpcCu2jGSdUlhdXaVwk4lbKfMLsDO
L/KBmbkIcVcpLtkf6JM2E8Qrs0nZ+OdSg7tc5dtFfkrHqbeusqzpv7oVLr9XhAkFkSJLfmXa5m2Y
aMlPU44jItOh/OaPBmga1OhfVZYQBqWTIr/jH7PWKDszw6UIi7env55XVAYciGADqKq2TBcwRcdX
pDOTQu8b+2wIVIhCw76wq728WsN+WtFCvrcLALB+oj92tbLqQD0SRtFohO/6VcCYmb3x0WpS75YC
tr9wBPzu627OeFjUiGs8Gl8oTzZnfJcWWk8VrIXcAOqwnTvt2TRpBlhLPx4TMSdhRjLBLertYpeU
eBsOeGvlYUYyZdQW2XI1SijCTuFXJ7f3k0PnC5OkpMS+ajTr1g4GTLvzoRcXquzXpipRLugwmat0
xjdzyFya2Wi9WAsbrklcSEV20pT+t7y7dabSG+VwWYUoeHucf410ENrolNxq4fU512JxUgjQYti/
PbNe20tQdoGnYSPkvjjJFjKsbYnnJ2b9cRCJ2SXHqQ2s1SKgIuXy7weDN79aK9Dbw/vl/JHmxdEr
USotbIkovM0I/rxqeqAku0mCC1X+a9+IJY4tCBsKJ8LmG+HCBDcJ7nm4OD4u5obor8qhsh/efqBX
Csc10wJlGBfLtTVz/kAFmYDEQrGbTJk37KjxxaFZBhrG/ePc46U3ZX/r/ETL26EjzRUW5Hs1iD8f
0UEq20LYS2BgtXB67bm9dwZtvjDDX84K2EEYe/4mFnJb3ZSmBta+heo5x6YRu0pd82KCABfD2xte
mhzffocvvxRjAZyy67MPcAc6f6Ixx2JMg1Cx4wKjRxBhujCBRHxhb3sFDQHAQ2CJUIbJDg3/fJhC
4bvQxOSoxFOv/RBYSMKNtNt33eJ0oZJ2/VUvkvxOVml34+S4x+SeRkhA7qInEeOPQtbB0ww34p1t
LvmnXq/jS+ziV146cmSa8OhN16bGprIrp8bKqoDJ1JMYERJgSzfFG2RA+zU2v7z90l9OXMABWGjY
bFCA+9ud13ZiIBADQKTXPeTPNd09pbnVrrbEvB54InnKfDk44dvDvlI4no+7eUYED+PcYIi5I/ov
3jvC+pa3LYaoRr5Enl85H0rLco85XstoBAb3PpiKb1URLGgS0FccpgExrCpk8+3t38Ub5vOfH0X8
sH+VdXSladWcT4/KVbSQA5x3XT3t2odeLZr2UW+XsrzGJcXJn5Z6ItCD2tL4RXJnJnYii10ogwQK
tQ9Oiy/cTghNv6tdnC4PeTriRgF06z/R2nPtEx++9I5Zkpifckco/AG8WdCdnvCxoxAOnH0ADVDt
Gn0xzJBiJLVCv41zbefjxE3F3AeiuJ6wSXMiWlgYv8MSRKrhLIuRR8NcWNwFpKv/U0KyewQL5wq7
SDk+gEnlZlgnov4xNUbW3wyjswYkOq1dhPFszc6OX6kIgJRM79vSA+HkhF2btUNjkpICA0Q9Wy76
w30gDOKIk3hBck1KXnsDVtipHbxxqDHFUsgfs0ksF+KacRb8YeDcenGROFGVgzJhIhaknzwsCDK8
cRFrhC6+IJ86sZJIHdkGBE/jNk0Sqj5j2CQhtBdhOxrG90Ez6u8BaGRNWZaisyp4J0ukz6kGgUHT
7A9BwYvc9ZMg9tyXuKlWwQyG0lMfp/umNq0vHlmXP/u+Lc1odib7OomnBpsxZ5qOdVuTTGvorReC
BgpqDfIkYeb1w/Kjs8b22UU2Yy+8YRnXjhWmeHI8TCYlaiikRSa4UVledXDqHKNTMxeDDY9A2EFo
GLH/iJgV2BTddiuPmZ/a5BngWG4dU5GVjxWC5s89nIzPs6oerG7Mr0TmCmPvx5X4p+tN40cxdc1z
HGjLe8z3mgIx2eD89OUMT1ZrtaR5b+t1Cwfatto8spBirdFqtWdAaFNqJmTbcqZdnyTDB2MavSEs
vd74BNBhLde5k/rWvvRyYokrgsZbAC6sqqAElvIgUyXTyJwGotkwyjbfe6zdB124iluA4WvPQ6b8
H3krbNRpfpI+WfytsVNzT9NRj6XtIkdq5dfeAAVHE6bpH8sur945A1YZu8qcZ3NfCMOqrkfbG5ln
fjIYfDGRoFBx3PgJ3aZpErSSGLeSfIIyzGd9uJtUVn4v8krelbY3fC+EavIrTxr5VYfCLlzq2WVy
Gkb/1OR5aoSdyDInBHtVSVhYs3GDHkh4e8cdTcKAraZND64x6+4+DXQ8+F2oH2SNxzE6HmKQ05rM
3wzCo+za+Js9LxoHYWXDK1kU2vOdTggqPiRtepwx2HLDwFucJ2fSkgF4120Tbuljn0T27IvyOPvJ
/LO2tPxr1/UGOr5Wx1KtMWogD0Ct9lNZ5XUTlV2P2lujNfl99Ej8JKAwE+OuxUl62fUVZgVHIm5J
n2klzjT7Gc51dZPpHQkXXQDN9aRNDum/fqOIyhB9k4WVoawbfi8ZqTDDpl+F4dUfjJELJso6R447
fHjkNcIJz4sWM5Wo+WSV/dMEBrb+nq7Fn906aW5r1M0SXlQcfNWbevpsQw3nuy2A2yFIFmIXcDQ0
0Rk3PGenB2N1r5VVY++01Bw+4KS7fB5XSGIUrtHDjKibYKcGs0yjlBThT3onic+dUqe/XwxHoVlc
HPOLN6Xx+4wtG8PrPhsfufwvD4FKIO/U8EJUmHWLpY5wEggjRQ1jT9edb2ctn1wYxAIadXBf9035
Y+iNdIpkvsi90+ZI45JMkw+LyJzv3VT297pEQRG29qR/l91Yequ5UKGDgq9uzj3HFHmzWfFrFI7+
rHLdJLgY8vYD1C0yJLXM6V1cUqXDK259fQmbZnHtyKQJ8yixWG53xjzN+Q5XA+8a77xBRHZnI0Ec
h9iNHHvq5E2sjdUc6XlWfkgs2flHEC37g2EOQ4IjUpE/6n6XfueWBmAex7b/jaTb4jlT4/Bk43K+
nHScfpAMeqzuVSE/PGPpHP/egCq29Ly7Ex4Z3iH+4sQr+pYW/2pQZj0jpbOKJ9days/s3IF/q2OW
5+LL0jY/Bjcu0hNBFR3EQ6kQjbB8P/olRuqHTuewImo3m56EThtuzx2VFkqnxkS70ToVkzm8pAZi
S2mVuNxPBMmyNBulwrYkmSNDlHpLCmf6Tuti/VtvoG0PE1mqn6qYkxqtIwjzVeDk6Gstu3aX0A7S
4CuZOzhS4n8sblIO7fLaoTtJmGBuoAmuLfNuKNFXhoNj9cbJJDKCncOKi3sa1rGIYBLBByP/iPCW
FFgyhzzEXhrlpsJaHKN86qFCU8ibMezHz1VlXvCNAWKLJ8fS5JD6g9HsPWGlH6W/CPMYw9kROUZo
pZWk14lkwSlN0MYs4hwHyNHPWtKrR+ytooYpqE6Jv2h3vRuk6a537OTHYquqjxZbmndGLAxjT7+q
OfWxQ+tfS2v5w15sSwKfWUjM0zpY25i6mP19nGi2xFFcuATntXY84X81+t8J5q0+lW4biNsgaZZ9
UWUljdyuSj9jJGGT5u3aGHOLytYfzGoBcl4SRPjHYbBoSLI5JO4Vgmzza2bh4hhqLgdHSJ/Cez8b
Bs3XWY/597S6SzFiiD2imdGhalGra819ouwg22WzM+hHMh5lchqNKfgM7z4xd0vW99cjylk2mE7M
79iadRHCTlriu7I2qqgi3CaIqt+Eod6pcRWWjSKMGRG4DBP4b4QvtfrihkWxjBjUGY5fIU4duvjQ
2VqWh14K3onNmV+OtzFf7qcjPPkFANMmITuPvafAX/KJ0PC8RCzedaQTW05pQnUIeib4ZK8mjY60
vqm5rGAGUvNpu6SadVLSvdkxwlzz2XnjMTDbyA1y887tx+Bey4fhsY3T9M7FmvQ+TQ1PXdc9q9dU
FoYWlWXMj6IWQRLOU25jGzHBYdzlqldfKf7ImSLT3syjWJciCXUjKybkrLPCAMmZ+odEleaXglhv
Nq1FFXZUjK53VxIZsAvsUdLJTvUImULwK+9d7dto0s7UF5U68B4J0doZnKGYY9ZJfTAzqU8Hy1IG
AbBCEutiarBbUEyYB4++dPfo9vqcR85gTskj6yPFG2xI4mbXsA7LsEg0/4tURVpek19RlzcloYVT
6Gejym8wBxAQVUq9FOQZlHlxVTi6/W7E68nYtV43OjvNADQLTegF4p2DKRSpBl1VVPvOKcnYIr61
Ho6mpkb/6Jl11l7Pfl5QJ+i5SA5arDv5MZiEDelpVAPJ5+P8sRRa/kQgTTDvBa0E4rp7zXZCD1ec
j3qDQTTJLc5ESJRRYPbbDUFS7GcnL1Q0TkHxDCUKrXMcNPonp/KSD04zV+a1iU7pupk9Y4mcoiU8
vggUZTZT5b3wCkosK/bzU2BYMr/2p1G+qwHK6FDhj1OGUDbGOpK4wA7hNHvluO/d3lspaF0AZSZb
5lNd+F4VYSbMvFaO5t0Ws25Ue6/sK++2bDAaDamrRsqXVAtw3Jd98GhUnvQPjZrin9M0JN5hmcuk
JCLGMeuTOTpwmOvGT39NXh7z2yhW3hGLod85sbmsg0NiiDCxNn9wes6fWEzOTMacKh8aSzqgI231
vjXSNL5qzVh80dugvoeXXZB8oMvu2MipgLNA9hlldWtM8y7RBnePdSUNdFoBSETsEfNjp9VVdSuW
UUv2ix4bYt8OM1GDbkP8ry0pCkJdOeZyKHvl9QfhVgX6LkhpDitsLPKdjQZjJIZA5eO+jet5J8Dh
XCcsxrIm7kqmyyc48t2dA2vdOqWLQtuMC3xRPRQyLdq9r5fxhL/n1HVhbCCrwj7OshVe4Yq//1/J
IgocBKHzNA7FVUiRiIPSMGndjmZLb17AOF/p8gFqkM64KgngtWx9TooSddtkQhYrlNPCQB5+jqnN
PU+lMKV8I+Y9+A6Qs9S/92IU16k+9ddlO8f/uO6c/j2ug98OTn/0G1dK6AavIthCr0UlEvqZZnps
taL/xyvqGL22TXTDhTv1azfqVaZMIwRt9pba4Vgx1bU18OBd04Q4qveR7PP+V62ZTkjH27xwh3+F
t4bIbCWFwZRaKbobaAw3HrNobYAkMlGGUB+meggXbQkIgivnn3FKcpXr1GyBRtV9LDS/ve9UYO9H
x5xw019Qdadx0HZhqRGzUmA+ZF94I6+BLi4cdgBdmCiYsZxjDFA09cbtcRJTBNPAoErLJQzmfFWW
+tp74nz03Vg36sIMfNkw5KherWZXn2Rg1w2Wh1OGMY8xdK5cdMEhD4LhRveE/U8x5EFkxV19KiZZ
ueAZpGh7Emf/t+fBOqfOkRUWwMpVRUKGmHSLxJpEFxR+zfhiydV1U0j/RGRQ/6U3629UxvH7uQIs
6DXtryUWOEuBk1p0yehp0xY8f91zphF8JB0kFpocr7kCVdeWHnf7BegzDWtVfqYXnl942+s33Dwt
3XPSzwF16M9t3aA1YQTlssDftJLcukbEwmVhoRZqnCy95X9cjGh4iRqyueA7TTcaogSoy/lTano2
zl0LH7LXmubQDIgME5s42GWm4uRcc2Mj8mab09K3C2lzR+m45sDnTB8DvasPC0zda2YIHT47C9Kd
RMN6qbf3ykvhKGQXhHsC9r8l9sl88tvUnBMKEdKCZQFMrje3aW4d9M74+fZ0eznd0WVgowZ/EDKh
vu0xSE0vq7n2YEBNTXNLHpjQTrmtBeR3pxh47YbATp7HZdaSo5XSDQ4xP8Ci8O0f8VJoA6aDBoQ2
JiZJXClWuPGPVhrcOsdNVkaJGauhum7MxfV3Is3sp8oQ8lHrOuPrHE9LGdUcPXiGWibFFfoK/6em
6cElF+BXcFcfgSQNA7JlYTSb6xf64/dklq+1v2ULUy7MfVcuNkR1iox2KfyHKm0Auau0PSZN51Oa
k3tUjlZ36MZ4Ook8n75M4IH7se3j6O0X9XJmrL+LxhMcKFQtW6K1MOfAUgMzIy+rMpoXGA0egcb7
JPG1U7l0l/iGLzcjeK10G1CNwHGlpXr+HtCF6B0TkX55Lf1nRZOKjvbQF1QQ67UgUVTYeTHCtMFT
+ZJJyvqPn+8NPCEbEf0OtkTabeeDu2OeW22s4LdKJY6iayVW+kSZ/PUrZeaxCBDGkHLxgljnuvli
rEzDlGvjhwIe9XtBUt+BNI3+Cs2VuqTCebkDcarQBmOhQFPm4D1/rAKoQtMcjrWxE8m9g09RVOe1
t7MHlDhvP9srQ3l02lB3rho2fZvcPlWmMAacq+EAjUu0DP0aFQxIuHTxfKEt9QpTgBGYLNS4dKZ5
sPPHSjy0ZlOqc1DPaXXjjnX7jJinbOko1rjoT8kswxix0W0VaPpJLuYvc8qaCE6lvmsHUOTRw5fJ
FnAqu1Fb9qA28cEdbYTl5CzKa/IiLhkEv/p6SKqE8QvPlCbr+U+eghnqZ8JqakdXgobFg3/TsRcd
cF1art7+FC+3FHrSfGyyJ9jrvBexexMiuQK/u3RHj1qv7gWGED4eXt38M08Ju0ejNpVfiE/N8Uuc
bbzJcLpKp28dNgPDXiyiq3Z+BQsssuhhmA9tGiTB6e3f+JsXcbbiYEtgMYmJGVUomq1NCWANeh+X
+pLuFrqC6jnJZoy1ZGdhIV0CX89Rok2qPLpGncrjMJtYbbR62UMRLrw4mj1Hn9GkuwKWB3v8oWu7
BqkfrimSmrKBPU4rSLvDmNUUh6noBmKZ7DgzQxNVUhtSdtXyunIs8W6ssr4gIySZ932ip/OVNsY6
nQitmNVdT6vCvLBSfp9zm0dHIbS2vnkDOCxuNps4rrizNjFllzUuR6l12hyVul98BYCwmmjxRwz9
ARG9IiqUXbYHDifzkJdBWRD1irjmpl+azApHaxHObVY4sbYvaTs8WZDef5CqDISYB/bS7NyBbx9S
f41f86oxARrI/cUeac7Snv5ilj69/VVfbKOgmKhmsdFAEYFh0Ka135HWUFBxpjtN57pHEqm3a4WS
F8iQL68TcAe4JVkOxTN15NZ7kFflZwZBb7t8jNvbvBqD+djXqk+jsrIFeiBfWz4qEdcA3lldnYSf
Y5aQjW0TTS09TpA6J9CiZB7QYoN3xOZ+8ud8ucBoevk2Vqt03gglPp4eW9KOC+BtzDT2dp6Rz8dk
7Bfs/Dp9/7fvnJXORkjYFFUN/KzznQVkxMlZrUBJqZeAjEMc2E0LiYUXpu2L6g2Wvrl6iLGHEbjr
bnYwjf9uYoGS7WTbphG5ckaISQg5wdVQN8c8mfEwX3tG2KDa/bVwmJeHt5/0RYXAL+B9IsqGBEWg
zmZ2Sb2erG7hF9hmox16m0QGD8HZLf3aZALIG+Y9vu/B0aRd+P7todeXeL5kbfhva8gtvZC1K3/+
kjHaFyNZ3XRYZbfsJNqTd6v7/yO7jvGAZ0h14Wb2ytRZ76LeqqLC4GBrLBej4oNPC+QytIV+NZf2
T4XK/sIX9V6Ossq2uQutCs21Jj9/qpj78FCqCVM4t3KeC8Dq4pAGNpi+oG5I93lfJAVtyhS9TaaP
NSHrCEhVCyNMgjDBxmis6b7J+vGHZhvlENqKfrE32s14muq6fIZVMn+PtXRkH2h6UPbelMsjPDbz
rvS8wTuYMvOIPl8aqw8nfulXPH8CbT8WxWRHC2uKvGlDwxK90/sKzM3xmvG+US0uC/hj6nT9a017
Iks2j//xS6ubTuhm3ORQ4VUU7GnPxmh5oQmXUaFBE4gGmwiiPfBzZUdBkST2gaN+xumRo+rZjFFX
R6JtzQduJbL50AACqZvZLBZo5vM0dHt41zMXlX4ujbBuB5Kj6G73nxdoWUaU4go6R3maNhNvdGzM
41AsATXFYjX3mhZ7A56PZB9EPYvlIYFwhYphLuMPOckY3/rWbSEQIGjov7S0oa8crx0gdKbpIv7d
Mv7K8uR/NDI5Mz950xjl/0fLk1WI/B+PiReWJ1c//im/1T/PLE/Wv/jX8kQzcDZZ/aYwLAO35Iym
ivvX80Qz7f9irZAdguSPkgq90n9MT1zvv1AVwwCFJ4WOgy3qP6YnrvVfKFVhhK++Tmjn3L8yPTkH
qZw1R5l7IgxyPOuwqnI2eIISCrOmsZn2JNXci6ZJ9gryxrHz5z5CO1fuSr29xGk/3/jWMVfhuOkS
uMY2RI73+RYxuk4ax2nb74XXZ98mSTaVIQ1iu/3p/ST1Syyk8zL53+FItETZiOEMso/NjjToA0ZC
Vtfva4q6Y29DpOOGVNJ5bd0Lu9+rQ2GhsJK1LXRum7tRPJb0+I2i3yeGps8hBBh6Mti9Y2Lf2MW/
K+7MY+h/tjL57+cKEBOtxEfsFDevEWfyBtJm02O4IIq7lNPkmBWl9bXLi+pp0KQbidJsZWi6o3hH
+rx9YfzXPiOGWy6JeRgf8rznn3HS9djFFlhAifWrm3YtRfxCcHQuYw6BQrMu4Kmvjrfi2ThTYs22
fd4glq1pwrTZL3HcPfpL171zZ2u60aXv3wSkFfyxit//exD/+XpfHw5wSTeBFHFjPX+8jgpQOihv
962neRGN/S4a2sbc9Uy1kwz88vT348FJ45aLRm7lfp+P16uW7C2Qgr3yZ/cwJK7xXpdl8K4yk+5e
mlZ74fm2cxXEHE9RIPR1B0I2uvl8peOPi13MYl/ni/2eVnd+6FdyRgn/5Mvbj7bBx1CPbMbaVFkB
VLW8tjqxH+u6vyq4XUPwxskRUSBJUEky3sGUe4/N0/RgN4F+EzTSPhVej1n127/ktYdmwsLeXfUi
yDPPX7LM1QTyxA9RAY7MytNQTAZpdjONnfz+9lDr/Pi/5d3vZ4YyzkWRTX91Fdg8M5V1mzhL2u2d
dKWtZPTancWYnwbVlMGuH+SPhD+s9mlCO/vtoc/L6nVorgYUYDgZwOJxg8021BpF0KkuqfbVp2yv
3dnmbvysHUcVLU9vD/TiGVfXBMQV3BJwAuGKdv46LaEJkXRBuvfsluBDqFf3rWHnUNc9XLurIPGu
oO5Ze1Pq2SV47ZWxeVK82bgLgSluo8CnzLUyrYEBaJdTdvN/2DuT5biRbNv+yrM3hwx9M0UTEewp
kaKaCYxUA0fvgDvar78rlPnqpaislOX8WpnVREmCEQDcj5+z99p0FswTze31mvywGrqT9XURrr4o
9u53Hbdfvl0SdTBYsz8jlWYjPj9jf2muTo3bgegT+MebbjxxEbSPqC4vN/yDaQkIFr6TMR+HuaPZ
UeTDb9aJX18mWlQc9CFE40k71w4/X3+I6ojSVIlM7d5+sAtnZzwNXNORYCwyu/GtJHQ2DyyY1uGJ
3GhcERDGcW32v4up/fUekPCNd5BNiEMMXJaf/xTVdIjl9CCzFfhzQjzH19LtnWTwRXe0gAOlhKlF
h8Uyf+eJ+vsLYxM9H9+wD726B/kyqSq3pOTjqvnkLS3EWQBPxx3j6m1RTe77dSOfdV9+54/6ZQGx
mGvQSqZXyPSFXf7nT2xuINMQQqIIIoM7NVYAU2YIG0qXo/mb6e3ffMYzoDDCxnuOPXotEF98ZCYz
esesw757vYjIOyjfni9kGwXJilYUpZkKH7rI+1060a9XpvYMqQxh9J3zpl89Yc6yBKsylzZzWkQE
eW30nwqzfpKb65yc3iguXc1TLvIuevvP68nrPRcSLkNwbic04YDZ0avnaUFO3PD7i8wbyICsFtxP
5u45VyjN3lrA1i/++XKvXAIsH+ed1ra4ozY6Svr0P9/NsjfsaKiUkXLU2p/nsmR4ZguN8AHdzClc
8/E6N4KijOVcietij8qbwDCcFz2FYzaUTR3T+3Iv5CLVo+GO8wldypL95o+kmcKf8dNWwmSS9v6P
2odq7/VMNwjzQReEAKR5sHZtYnrzuH+2GLc3391at8MtIrduvW6ZgZpXhS4rJ0MTsvvH2RNOc5T7
YlfHFQ1x86DKngYfCjB6bak55Xb5mWmxCQeC4EzrIRdTGyXuqCRikaH3mGmunVAn/I2d93m2t747
mQXab3jz22jouOohn2Zt0OT7ZSictjlNMGGXZLMleU4wUJv21lmc8Bl2c+t/IFJBFDeoLkeZ5r2z
lUkNjhPFnqH1i7n6BDsbopif9k3Z9NWNEZVrx2NXYgAeOOU761QngoA7VK52XbvZ6kB+Rbvd5/eD
I3AatD1F2qGLrM18nMKFwbfsEeCQ/PoRHUw3JiHEAy9BDFS856BCsA/BrGHaz3JhZIfwurvfBeST
C0MMkZnKpiVkRe3SuB54IVEl6VY9R+7s0EL1xuXYolGE8FVUAUPmfcbJtgeCYIuz2m4cmCrEI/GG
n8H3DPNlMRpkjc7rGNyuITPJdOFM0hIjlCMWqaNcjiwpAkmicB2jT928syI0WP3QZmtpn3VbG4we
hU3v+SzsQDqIa+UpnEZ1jugCQZYYeizWi0pV6/MadvPt1Ac+4m5D5/PdPK9nue4kBSOCsrWMZLMk
vW3qdwNBUOldW/uATJLfhzqGrKXbbhf9d0Z5ugNrAtzwgkGTnhI+d4mMAW0Ort6wxEKZj0R10hMS
yKyEKYdLUZhGRhxjZBxHz9PFwdoNRlGdXbZu4ukNseyYF/5tANrPTfxRD2Uq0XFXGWFXI0lniw2o
cBAitA+Lvwb1ZelWdPOFsakDG7BDgivFFVPdlkCK1NpEX2em2pYrhg/nsPahKvSFr2C1JZM1wHFq
VgskdWT1BF7Zm8y/RZGxoOcjyAHxdj0uGRLZIkoIxpgfHVrMeVxiVhFpu2BSJI7LyFsCyOb+Q1O7
dpm5o7aI1GBh6Q4uBrRHpytKbsOo6cJvKtcHZy91/w68rdGklrZBN5n4BzI4/mt7ZW572R5bu9Lh
ne73cL4ge0PdLkvuFFcDc7eH1XcY6YueoXZmbmYePkjdjddyh5dIDEjQcwUCXpjCVPNk4UrY6KF1
onQYNm7WcjS7qeqPk+fm924zqvbEHl716HzxqSXmoAYK0laigOzYglDDkAbFYt+Y1XuiO/In9pZz
5pYw8SU5UR7dT2tO8CrmCOSnbYNzJ/GlPSGZLrb+xS8U+wWVouGiKom28tCZ1TDfCyuvkJ0S/D5k
NBuat66NBebo9KY8wEro2qwpxx6NymZO0f0m/SG65wASEX+hSkfeLEGwPvTSturLqDWn63K0xJjZ
W919WeuyZqS6TnOeemGfX3Tlau3JSvVEMERJfgtiPtvGp9uYqJJrj7kcQmpsNGkXtdOWtX3jLTGV
Px7YbvaLr5W2zT0r9tC+MRoOImm5R+I0Ay+JYr2H5p0eqySvVHmP7WIAlpV7ImU14RAjWuwJidkw
BEgYtVjjh8IoEb5CV+xmhkVSizgcAi3uJmmVZYYLTorLul2kvuj7hYwz0YNlPoB17VVS2M2yHLxN
Wibjh8i7nQg52N7Xc+3OlAME5hwrjRzmHTJ4b07dxgQIQGwacT3mTHx96XNUzUr/LGP2gU7Ea4UI
J9GO3B80Wqhzto+1HvZaGV2Mkn+yD/hyzDBGp2gBBe2iPY9lIKR5YUM7uOs2CRYMbVvh3E2mOz0F
5hiYp8KcFhxHhXjMw83/2HYtJ525U+pHwksOJKxBPujPdGtjsdYyihWlWZlCnXAHJqRkHwJE6khM
mFvDWvHqlXJn31mWNvG3sntfF7m3ZWXeVff+WHVYrAaxTXHYakLU5RC2DysgBhbQzbcegq4rvqho
RrpPiUb/yh9hHdcbFd0FQqx+u6h5z4sDIK+tPu6oF9WFS6LNYcHwvKQ+dgO2o7AsvrVFPeDUAFJd
HAdtBe8jhls6tRci21kYN6LngxY5R9J6+zShbt+Oq9Ldpc8EkHlMn+sHJNIVvidhLFe7cpHpI0du
FMvAWuxHEDAEznV9YHwc1b5/71pnrTKrQpF4mvY8TJTCqIFMT2ApgdCDX5dGTlseeKRYlgosiTd7
NC4qtpfc+GYJT79tobfIC9SiMvOIbWFLtaTZ4t2vLOR4hmlfYmly57SsmZGmDoLW4ZBTQ1cAEx2k
oRRK7ERnQdrMLALjJ7GXozcjmiduK4aOBdS8KCk6eD82+2URcCdMoaIXT2A/OYi1Q1+Sz81wAI2J
onjtWxdpfVTuL4gziazopVkzgfWXvadxHvh3gz1sKOJ6f4YCZdah4B83qROdL3uetEJdir7/ig2G
A6QT9AFxU4F61KRwPU9FIy6VJzozBccOS5nqpHvx5ga2lzG7xQ27oJrTet6Cl94dFDbxwZJhsk42
UjyYGZiYSBzWK2OCsDavSz14Kqu2Ud24Vrk/FsE6fGo2bU6xIHVwfNgCbDDErEFiTYLCKr4aUxH6
R2MKLfEe7GJ91yP2IgULu4qKDYTDlIZGU3/Zene7GP1i8rPcz532iA0tetx4rF2SpIgci5GjsH7s
dT2moz/XX/K8GjD7WJPAQxH69XLZ4zmm5HQofch4GsgHpYS72oJpai5ad1XNYdkJZTO1tX5a5Gaf
JMNMtOsuJLuk4Ya3qdy6zshmKyzeF2swHyCIbTJbRG59y7W5IFA1tFxSmlzR/coxXpz2YLZoBjFD
XlHUCZNpSxdsTUrFFF4SW6XNZB/N4q10G+6WCi3MHuinR+uGpEWlDs0kQz7W6ERFxryomhK3sbri
aPkE06ar6zjyyrBUV7LIzvYz6txmSNp1ZfVq/LFzT4Dg3C6LeKHN2N7nTRzsqZDb5VA00dPSSyBX
4QvVpOvcQAYhC2kXkU0qneHwG02ReKv8wKy0fOqQYBdxMfbMnbQMVAXXwV3fG+bUZ+5cho/djj0h
jYacqbKg/v66UIjSmPGF/dgZc/G4LViKTgYegQ8Eby3yK3Nq6xi5eneIPVrX9qbDHNrEc7QU+DAb
e62pbotBX6tdVNeTVp68m71xuKzycJYHGXSSVcyQznKxh0sVYD7ZgEward/EfU3vBh8cuVdoxWe/
AwZATkjiI0TAW7UMAHBBAjXjQeTaaG/H2ZzFITSUYIjo47o5yWVAfkHCKFYeqFqLE6+DS4JkI8Od
LI92ge5FI2z51BReHsSr6MbwipJXl6dqBKsYMyPDe7bboX6ONqCX+EzmDk/R2DRXDP1MdayLsaWy
CfPi1E/awUemJDF0yyqck7E4Pdv6omqS7XDmvRjOZH2RMPzOUtjcxxeCEzhdpg5dxozIBi84I5BH
nFDlFvs4cQ3kGsiZ4t0kkjzhfSa4Yg2m9hB4w3JrDAAU43UMeWCDaFii2HNhu8TCFhG/0NzVGT9M
lZvYug7nbN3ycKKtKau3FWQ7PJuDhYJesTGeJD7NOeYUyDW7zQ6/6tINNh7Pbf1iCHdS1LoDK1/g
LpqYPLlVK9DfhVBWC1toedJFj+J8mA2T5L4mWHS6tDaY7zGonM9OV1bPc01f5qiw1+PFnKLupmzy
CBufDFBb9LPTfKjocXSwLkbe0DLEA0jXaLEvMP5ryk7U8DnlpOUOuA3RE8V6bAPM7OGAvNdQIak7
dlXjRO2idegohLuxuggx7x9NFVXENLq1p++2cA/R2jP8kyfXVQZVyAJZUjByL1LGC3LLts0wvRQI
eP1hZu9aU4H9F+LPSqKhYUkcXWsECCZWNXXm5dog+8hsSr0FVWE4xzMIhnvRTsFjsZrqMtDraBzq
JeegR3TvcuhdzzAzxDXUkDYMFZPizNBuii2hyzAiNaeOZL45noxpejr7SAKaiHKysYUZ/nzsGWpz
Q/laeTCDrafFuO7SJ2HDnr9WC53AS9folHlVlQORgmGot5ML5m3KqqbsXsKhGdzDlK/tF8LkV94U
rMfsFV3gyLReGMHhnWGnS5m9d3WsXAiR+Ef1fgwire3M53syjh3cszaBEFodOntq8EAtur8wNlDI
pzlojS98p/POQLmrxniUnH3jrpmjS/L8tnecYic28L2iOHJ93jLLsNfqztgxiYx2G3WxNRT71Rn9
UlKUOsaCszPAvthUa/+unhGZJeHiRSL2Ju5HjMRoGVOGzvtdP+JNZPU1l/fz2crJj29RxZ80T/dA
mPInw2+8Efc5Hc24t+z87eSaOcHSOCFlVu4opNKu2Cl9xZq31xPNAycBWkAYX0tQB0Nol+WPXusU
c445C56aM0Z+5bUdT1HjaBXvi6akE7JDrDGbHRWLFc72Snnuhwel2XJGjnRTGjQ2VnWUHOLBawdK
hhBT2PsmbIt0HoqeHKtNzfvRzRVS/W0wCIIuvSi6CHG9At1qTdwb3lquBy3FeJjQmYGDXrXtZZaD
eSj2APPUCRMxgHaBQ55B4op6Z4LvK0AzhduEqYg668WfVrEcsLQFD6Gau+vS1TiyzVaEeSJEBTM/
6LdojVHdaTt1gpJdz6EtUtwxF/If3WnfFuKuCufGVVPgsrDZOoopCtog8zFqj1dG22w9o3aUX3HZ
GIK0n02PGL1mLW9FFEzbBaqApTgw8OKrK5Xf8ch3dlhc2YMIpiOLPrnfXbf27rGtfBEhWEXXzDea
5w8hlqbzARWheTJVrasOHvbr8Q5htyq/EelQEJ3iTazV6cSnYt5iY9gGPLoNPGi1qqOLoQqKLR6H
qsItg0O1THTlmkPWgIfaf2iDW1pgMnz0gSHuj8OcIzvqw2l7Cs16sQ+elS8Xed+RBmqsFHREmZfr
592WBtG3ghUJrDx7klnK6Ztbq/2a5OudZcT1yuW63MG0JUrYXRc3da+stKTsWK+Bd7Vk0HTBpDPT
Ugyg+5BlGHlDnxsXMrSxCTl45N/m5or+qmf3UHedwQ4ee87klLfaCER0CNnI4M5UdlCcMCMwmhxq
IxoODbXxnPp9FJTpbow47nKsRJRmbuEcZmLXh9Rw1va72xjBjYzs3T44xfmWmKNbsOPPg5/6HLHg
KBb0iGEp0C+MeQzUJ5TnOszC2mIj5NXEY+9EerHPWVrD53APqNBWVxj++3VvJ4+jt21drtNeEPLJ
rPgtGZmY6lfhjlviTVEZpCBUdYPruaf7G/mr/aVvRzcHCdxUY0KzoEXkYjWFk/Az43qtvZKczLVn
M8e0jWbrwG7VcvrVUA6ZN8nivUkFRohHN48CIbpCmgpMSTMM25dQHLH2CAWCCZY4SBZjGQFem8aY
Yn0XAcERnCE5Wox2cSLDKYS8QOl5UUOJFWlVLdMNvYRgp42QL2XaoYdeU0t2IwKeEBdZYk6EGcVM
3Mrn1VbTraCo5UXtHf/sapzBadHdwNIpQAbt5JrsxZPVlpzVc2tdr8emqAEMmJCpdpdg7KTyZf69
ZOV9abUfvh8NFGIJtl24c6U7M/zYQzk+cElvu9yx/z5BtRrX2PFF/lVsI9kF5OYa9klwkmRHUR4e
ik4OwR0V4r6dfPJOSXUa92KNmRFCka3cNtzw+HYja88ewhRoKq1uK1WIJWmnfnwJrBJcBubb8Zux
NcGLqYf+zoVtRddiDUOq+c7XLSU1XZernsaNwKPgedcV6bjWSfv2Xl4MgzSfRracD4SCYMzfMNu/
BzFnfh0Ca7Vv5dDRIptFqZ3UdPnBi71ZimMvh8I/CIALJ9crbMbH9Mp07OzuF0Z3R8l2Yydz4fgo
76uhPE7K4QzbjxT2hCtb+72/VO7FVm31V2cQVsTOYFgvLB/T8I4aWvjYk7cAr3tAAZHSZ6h53jmO
iQxDGNUIrSGCCDkjD18LZeRrwqm5RvGlLTPzlEPHRgU7N5pEN+Oz4mjIgTkK+f9gGwERl3uD9B8z
7uSk0UIRJWmYACxVDk7GBc0thGJTmJmcSqAXptOstBOdcTt4ZUuvgd7jrDLZ2gFHV0j5hH7DZ/rY
OrUBfcNhNz7M1my+TESHVTEtTAZTHoqQh8p36/Aqh2UQxrar5RhbVbPwxEYcJK98hNCHYpg6hgJY
Ys9Cy0DP6eic31ks3/MlG1NbH3gWwlPf43GP886p7xpnX6ljiPjt6Y0pOz/aAFMcwnEjKOugCDhF
zbSLP7PU1d35eShu6zoqvgVGISyKXugDGX3oils2gMo4SmY/JmxaXodkcjH6JrjtjZ45essLM1Nh
TBmTbbIBuI1JPxntcLIGh/OUI9u8yYZZR1ZcjxOIu8IfBnSNTUB0xjD3n3BRu/vBz+flXRe084ZI
ZvfxZwHS7hLs1euFpduRnsPgt+2pJpRl4AqKdajuavlUmMyhLqKZRf+Bhs0YZe3u4pjuaGO6B3K2
SFAbCy3OJvceok9tia080gnh5M5KYeGsdfs+iCtbw9Dwc8Dn8dBJMhUqY56bIw+dvjPpf2PTbiKO
hqU1HKBu7CFnEjmrdNuFonMb7sAlSqNoSXPp/fZWyEnQihLe/kQvh0EWYQ0NZ/mcvoYZVMtH5ZKf
rG1ffJiiafYSr/JBrWrOIfCoYHaQRYNjlbtN1xjd97zNdCQL6XytWLBoKgWQvjEROshFvXA4LvWI
yVCBo08coxFXkqnROSVm11dBTwkUY3/zjiwInGTmBbNWItsm7NOw37Ewc+KDW9PIiNfRkP6YM2+x
A5gAE7VBsu3DZB1g0NF57yifOdGEFdhqUexM9iGAWEHCDHKernVdbndGmefRAZ6hpw4s9HN/bfYs
6sdwxyx4WmezpaopdFgDxilHjT9SDp/o5xLvRCfOs9Ni7oYTpDN6ygtjqvloDHbzqKtNtCePEI6T
QIZj4Q2ewk813VxMZoap3vrO6PVXuMGLG757jWgxzI27HDknzm02hTyRtQC8oouqo/+scve63PLC
jn2v5PRlu0NZZ3S5yOzW6PzPxAqSxOLBbvMzkLhHAQ5PqX4XFa3gFII4/VkA6wX20uUBqMTFmZ/W
EpV2SoLdzi7LNCiVOhw/Qs3huL3Rd8gxywFDSWG7dSoVyuOEZfl1SZO3V/XnEYYIx6FZdd2Nrnae
wp5s+S/2LAWp7nYXfvHrwX50CRjESEavd4pzLE2S19yuD8UmnG+BGokY2rpp+OCPTnj0h5BWYpQb
BvONAJczG6Sfl4dS4NTJmCY7K4qi5SM6g/llXRb6JHmZ96SUL0NzbPFmMR0BDOVe5LRAgBHxWGK9
iZrGB3REXESmDSZcx95oy8vaD2oviYp9CE+t2rx3ESejinV08tW94KRs0Q4CYkKDe3/nRaoSmXRF
Xx6hOPj2DdUfJ5aGhlx+5Tr9nL8rmU+otOmEuXwfjDpqRm5loIL3jFsiL202RpHHfuB9vTK2tRLw
JYLWuZ3Wdd7uwqqS0bveHuvg2q39Un/26sip6QlUdJeZUqp7coZbJ2bwiE71N0qfX0bJDjxW1AkY
QkF/YvX7ebTrtnLzOTSueF7L5WLVjn9nrnaUscg5Bxzy/870yCj5bHa1TaQ+59BkZJ0/X6+uACEJ
5gmpwSQhdZH6nny3qU5KBEAP2D/+UAf8r972/yJs+cuE/Be97eW3UX3bfpLbnn/gT7mt/Ya0mDNU
FoePjSvq7If7f3LbNz8E6RDQGPl7SO7/o7Z1oze01n/kXyGjtHj7/6O25Z8s8HFIAwIIa9xf699E
DP7Qmv51ko/XgeTrIDqrDkxYla9EfkR4skSPLiSxsycAv3qvYF4Zvcw2F1IHL19Xf6KVPJ3wC+xk
imvOn/EAui82l2X9qupl+LSOWK7o6deP6GDaM/9L+x/zJSye8nUcsWJF7fgJAeazy4r35cd3/b+P
HY8dd/2/y7wvn7v/c/O8ffs5DfP8M38+ecGbM0kdyYwTOei9iDj9z5MXvTnLuzGi4nh1WErP7Pc/
0y0Di+cLKzfiOSyqiKhQJCpapgRfBuYbHEk8x388ka9CDv+IG/37ZMsfqqS/PnYIHvGGnjXCngl3
8zUroXRhpeO+2NPW3zvAef1WXECBcxEUBfVJNDm1fYGdcc5Q9E23Q+FN5RV5ECliBXI0mhPbF73Z
IncCK2ZWwmlN6AVyoOEKisMgiMoPs0eXKenLYPnc0BwNDkLn687k0cTqvFomJ//KJuIGr+2sKY93
M5a2dO4ZKKzfrauBiQzHWRUT2B5HE2ee445lZyDsVnbP1a53qpy8mh40kiQdbPhm6lKZ7xcOPExV
yqi9wgy+j6mDROCgdqZLMIto7WXtqMTl4nvVF4wiF5gyVJtUuIIv5eoS9Ln5cnpCkguPCCnmcFTl
sh4827QguAn3ATt+biYUA9Nj4bfMaLy8+9xwsqYl7fftcReG9WzDAdjidmKwujFtel5lpT93tPpP
CFnpTGhq5/99D/X2I2H2HLz639/D+2/j9NPif/7P/3wF/fCNj1YOOaofQqz68TL9ufiH1htiJc5q
WJzc/MP5xf3zFTTMN3TYgDecgXfInND18Y9/voSGFb5B4MIbyoSdAhnj1L/ZAM6C2P//Ip43EnRt
1DP40fmlof+qKhEeDK9irIpswKYa073bj75V5/8Ki//nVTBCR6jWqUt+0E//olAd5WL3A04kFBfy
nVGFRxmVz2INbtxeIGqo53vD6b//5S7c//EZ/iqXP0vlXn+ywON/WMNZsV4zy7tQdt1IzEq65JuX
ARE03hG+nV97an9e59m5WTvbTv75mtyWX67JisrddljbqLt+rrkWXSM9UTN9eKP8YEUgdiiOGSl7
TnP45yv9rIj84xsFt0EmGPsuD9GrfduizRoUoTZSdAXLU9+ZSAYLs7lditkiije3To656APhrs1v
NIq/fEauZ+PLwR1JVAnpIT9/xogzpofeaMjmirCDtHe19dD2+AjSOrfF73J4f3k+z1JuC4Q2oXBU
O78YPxEFFcyaxoxyyCP3Ss3AegPxx+L1X50rf3sVrhSYZ14LevyfP5PeGCQ3lY8doFnzm7BDZAUz
Umb/fM9eX4W0aLyliGbO7HY2pldXcTrpKLfMx6zR3XZPj8LgrEsT6p+v8vr+nK9CrIt9lssiun/N
swah5aquKVQ2MQ2O+9ZaHnon9y/lYOXHf77U33wg8qLJtaITG5CWc35I//Ja146nPaPt4OZuJNyj
xSGppZ1/lxr8N1fBuUnw3dnpf86B+PkqhAQ1Z4YhDbXFClKm5Dpe6Mb++5sTInRlG3UwYhA++PNV
0KP1tS0xZRH/5ceqrbAtTsiq/903xsLAWs8SCJPlHDbxaoHYvMod2rFaM4al1anK5WodGZozCvzn
65xf/78ufn4Ifgb2hs3egof+dUoLN2GcpwgbdmCqNWsZTZxs7OqfEK/kwJdrt7v/5wu+MgFQFEY8
BcE54ezsWybD4efvT7Q9PGISwJkbnTV9Ayz1yTLqAwa46tL15XPhttEROL2VAQZUVxARy+tgKX6H
m6J6PF/qrx8eeTrPC7vjmQ9BmfnqS2ZWujNpbEE4F7YbJCTdz2NszHvQXciqlbJOPQy4TurSakTM
WY9R+5QzTw7fggcvtqNBB/vbZhL4fGk3w6puBvog+0fPZq2779lL28uIRjVloQPLbI8n5OnY9Bd7
fAeEtyphcIC/QPjr7uOpqRZ5D213mQ/dIkd6X8Cn4tURK1MRW6LS5P1qTwJCnw2fW5+zDTc4zSjQ
fFtnlZ78IDWlEIq2aRnhLl6W7avKx2rPmKTs7scC8wfyCkHz9QrrvVu/WzxDbVf4mterqfLQI5iB
hiZZQJkYU7HJfbu16r2vjSvbqXV4Te+w9tKCcdh1jxyb3lXUhdgnPLN/j/q7VCB1FS3gzssZX5O+
clV121ilGKfrR8zNNLGXvNiuc+2Y8msXtm0Qh7TGVUYrK6iSZs5H1DlkZzIVbAS4m54wBDtmcmjY
GUKP4IMKRoK+bVuPYWb4K+oFWKVOiJJCefe12zDzZ57lXrnsdCFzBEh9qelp99CjMymSrnBshLER
tJHYKW36YMo1ei/tLBv3vq3W4J3ZBgDZFCoA9wrhF3p5g8/93djHiBYsfvAgnlWuvlR6WPakpKeH
6t9ci88C9em70JHOZ2amAcNKpCpzvLp1M9E8X0yErTU9y5hp17K+VVIun1Qh1+8EZrEzT27xcRrc
8bk00eGlbUkjOkGLg5JD5av/0SUzqID/Frkika4Krn3i4erYNkLjDviJhL8tHXGqOKrtB42CkCON
9IMhQwep0G9zRKA96fMw5qSQ0gWthTo4W196yWwzdjKKwLwdB398UrDDvaNDNwiF7VhK4J4VGjJ6
ib4Tm7aEhYkCHg6iXOeyTmct2qNRV8FnXZTyo9Fu/ofFkWiO7sPZr8L+bWTmar+ZUDBPU6bhZR5L
WlsWYxc7escts13YKssZkU5ZtJz1INGTjw5myVqDmTpI4NWurkIDCNFxJESrO9QjZFGISOGAiAR9
rJXmk+rCZCm84A4UpOuATj2HSYMWt5nfClJ4bwAy1Dr/VAPDvYM+szCFdAv/62438hH2I7klatdI
TkOS59HVusP8GSCbZ5D3ZwVvwXcT6ZKPZ9weQ4fuQSw9DE0MwfKu721UspKhURHbRMRUiQVA9zGY
qnN2T1hFj7VYGu9iRQl3K+DZzkneuoCrGlCR9Q2TSPeTsc8DM1LNgfOKdjoIZmPEoJflBtlQybSb
LESiE96N3bbWtwC9aZhObpBzQLQB/iOr3hgrEbxiJEvUN35i1KOvipuhstDLh+U+MZzMrWA52AQ2
pEZpE87mdx0eBmIcIKCYJX4VON5CZgqS24BS2+ggsBlA92PSGrcB6p+hvy9AwkkrY5GpMjIco/lS
eMF8Pc/jsF0SH9DzUC4GI0saqMXXLQqHZUQ1bLo3HqyMl56tbIs7HQrA5d7qfZsYGD45o6uK4zjZ
7qctdMVndDTl025p51ODajw45tAEYLYXLVEGUhTrQxPNFhQbFOoX6KZ66xhugMz5EH3TZd5WGB4j
28D9RHd9e1m2oX8Xipp4d8h6tM77BS0hfOkdEQIU88bNHIAwoL+j0r7uDUiYiRTYGlARBeaX3lXD
kE1Fy8vT8FbAUyo8D5kA0ofvHNAaj/HGPDQMPzbBjIpRw3DhMRM8Qc2izJnJ6vjQqOCHvXDh/L1J
t/82lpNxtYMmsmJni6xP3h7sH9uxXqMElOw5NMWwG+hMRYnVs3I33sbAqV1xEcrZPfIsI96Yo2F9
3s1F0R+3SRGKvW2a1RXqie1dCLv1e9QN0mUppgpIGlHucF5Qzrx4rAFfjYpYI8ZYhv/WHjSR74tL
MjaY4shgOMcelGHkU1NGd0VgcbXHjhyGYB8R+vXos5bZES8oBOlnuGEZlbwb07RkRhXBUu1zq37I
eeahO1U2pkIkeIWMJ6efcFxbbn1Xz3bJYMnxe2aSYLKaLEea/p0GjDOn0Kb7Q6CDkmndWg72vUma
91vHk9D0O7P9otdZ3gOKoG2BAizc4n0bx+elM4kbXrAtPKKU2j6uYtI6GXKbR7+lY/O1YA/aLhok
+11c5a1E07K1m3fYXGmNZIpgPIitSbNe1oyocEdqUd1jloTN21aT9dbcpZCx70fGcADKo5eEb0K+
61cxoGg2hcdEqVub79Gw01VpVO9iNguN7VpNzgzfg0PfW1vPdQNuj8DSWCz+5tFtF/JDiGJgQRv4
P8yd144kSXqlX4XgvTdcC4C7Fx4eMiO1qqobQ0rXysxcPv1+0d0csHtBgnNBgMDMAI3qysnMcDf7
xTnfsVhy9YbOXxio2uUmQj4cbLLFWb5dJR0vGRo29me3qYV9YGwFqLnDZxYlvkTvFPttUPZXis7l
IawyXu1F+gHURIMtBeYeQLm6RCSBZrO6j5wBoEitK8e/7iuHTZRYzUJsZm2NV2iFyLBcoOzez1xx
mrN2MK/lhQWBIEWoZ86c0sHhU0akBzO425jB6H/1pj3tq445OJR2fMPVUhULihwxPI5DtQZxhj6y
vAYvMCu2+AJK1aIm45d0a5j7qDC6DdEa6kE4uXvr9nPpbddZcrOEWXVc1os8AlIXaUk1J92vhWTG
IfFnVwt+odp99e3W/gDm2x7wumLV7nBRvLRLAyUHfr5x27WLr7DIOdmXSwlP/GJqvrtOycSt5mtn
sWPzOCSdcM13S7nWXYe++ovaDtJkmnr62RA9PH+EUeraZjIptzoMxZqwp14RU0I/v7e0MJ6MGr7B
EfN4dx5kgBRomLLxfa3DqU8GG4R5rJylPGKOC1F8BprCrwxdgkx0pEtqYms4Nul4IVTZonygwVxX
8ng799GoLqkRgmCTdTtJk/CP0DfQojO195qk68a6ivEd90SWTFFxZLFjApRWzDdikE48r4EIw7sq
4ITDXNT63XbFSPBUoJuqNqXlIkpht6/jWSjrLoPuY5DnieI+zuS0ujGLMfb2NoDii3xdqWfd1+G1
dKul35OnwsberZXVP2EFsMkNrgF0IAXssnzLR6UWxPhixAtYKtvhDmXdTCHbNYCKSKfIuYbCzIzT
UuV14rUqWreuawzeVg5+h3aQnWEaR1oyluxmI9SbOVPzS+oEnbZnIlr6msRRu4TO00ZEJsONbLyf
OtSYX9ixs1yYCgqxZZC8APz2jXcTu5eLAmyqnwdZR/eVtqwaxbHFhtXEr3oX1ODIt7CbKOPGBhGA
XMhc3UqRV+goszlrd2bJfDUG6dsZdJylZcZTNLbXAA9nxHehJT+gmEJA8O2+Jp3BY5dLZkWw2tzu
EfkyYRfVKGTGYd2Mnet+tnm6+pseG1UYt3CjuYt9nEToV9B+xC70HWvnagcR6rIqTWNBVviyK/s+
eKCeG1CF9U3+PNId9Ns2JC7QbUmmY20+L1isVsxHUo2SFG3YnUnhBRDjPL/NvnxYJrcjupofpiPn
Z35r9Vefd729SQuxdrGLpeZ9VZl8AJOLEhqEPHVwXjXRL0xAhBBgqlQejkdCuOl+cKZF0P2JI8kL
e8S5OAcLQpWZ+AAB7M5KClM1z+O41E8mBoUlBvEavIg6rD5nYdc+U/a0R50RcggjZvWqY+ohmUK+
OfFz5JxN1/YgAa6gkQweO9x2VtyBkEcBbuQVThycN78s6U4rgFCwsxhD4ZLFyqqi94qdA0GI1WjT
OxSA2Xm/zJI6p5m/M9TrHn7GVb35ToWv0qF744gtxyrf9f1UnB2JXDYW4PDQOBnF8tYNEyLiaS2G
n2yv5Y8gk2UZQwpcPtET4wrJmtC6JqfMvDIce3nyim5yYxODV3ultVEE22ZMw88QscfJcVEAcBvZ
w6/BWxrw04L1K9z7irwCz3lyo266zXyf1EMrKPq7LNVccA75s9TV9KGHzPXq7yg1ZoWbBGtp7Ml2
fmXljZ0qb1Z3Ih2zQYTQkST5MfAk0I3kdmgSnmKnb3laGrcGwolPiSDdiPXQUNCOdcEHptLC29Y6
r6ndJjk9IRQInsbi8mbWhZF9h7Srj7M1XOwtCz5GSvEJaa+KQuTni25rO1msGgl1YyzNfeGatdgG
F4XgZk4RD2zqqY2OTS+a9zJcxo5zze9xgnhEF8aliQEP+WBrjYh3RINe3wiaD68cSmtj+zKkYvI1
CMR6SKlDPCWXNxEQqxMbYRr9cIxcIiZtUCRsJYQ4PCql7fIh5h0K5ymgiEDAv1752E6J9hUi/Jgq
YbKerCy0pWTRmyevk9pMArG0P7yKxKGroiOsLOaWHKD+j9HYxBKTCjcwYsAixm9jPRPK5d8XbbFg
aeJ7KpNWOsbPLpjUV0RcE0LwthxuuVHmDo0xaMqsl8vPVUX1c+C0mMNsfNHfQvay245zoz8crdOv
YZxLImqbtdFJmBp5GUf+1H8v/EozgiH8oOX+8rkype0+ThZtzUY2bXoAQGNlmzBYxl8BkR6vg8mS
H3NJypQd2xyaVjNEysepE6Hy8NljpYkoIuesG5ephU+5TcTzgq6Dy8uJppPuLLzWQCtYwWUYbxDL
ND4jC6lbt9uiBWoXdF010o+qbS2agmoIZGKrZg4SiVaaHKauGFgRGxeM3mzRxDl9p9p4FAr7lsfD
UB4k+upph6m/Wl+g4BMGvvo1pLMUOLOmwwiDr4AO594M8vnLMLqCZGUPOS/SXAs/U96kJjzPiowB
og/rvtr0o+8WeCPW4pfozeDNLVSPkMMfLLRjuH38xKTwdzZpV48VgKKszzYDHQzfVqArohCKPl26
cx4p59qvO/HsFmJqnCdt9eQWPQepNlccImMkCbAZ5jALn1YErvKeGUSGSLBoABQH/Olr0K/mMSuz
NOXmkP37WrqzlUS2qdLzmCsuxBDgC2a6KtcHE/POnMwZksbNuISMNjvZuvPJLTo/3/q+xtHepBhJ
YjwWxYdv41/nAvZRfiLcx3+YZw3/G4348OMon81ro136F8MkNAiL3tK+mPPqPhaqDj3EZJcX1ZxF
/jqTIYE0ziSoAyLz/I3fxP7URcNFZy/oQdHIIh+JO0WrH2cFlD7qGQ8ucWVB08bg0Q/RpsYLdqed
7I58NBQEHekbd9XiIEVKhyHK9jU0iR9gwD2M0MRQkHaGKAjhN9eNRx+/ZC4K9BIRnZOTrXBMg8rv
f1jFEJpnspGBSCCmXjgBFdur7RJYfFKxLasGOSD368rZ4dpmbmJ2DiaOFkKCC4eekGSMM0FWYkQp
jAotPI5mNsohJqtFuPtwQEO4cGWT7hWLJQ2/m4pb7yL8bRE2FFl4mropkk84LIf2BkpQGyZeNZN9
FptGqvRJrKE3POEemDu8qhgl64TouQAmQ6Td4b6Z8apedXOQ6XO21KPME7MKBu8GMDsPZdx2I3r5
OOrczniROljVvaO7ZvoVKt+vblIsHKPYTTar7b2bwdJJrIFf33YQE0q7iZdWU800JYRq3gO8/lig
q2bN7zulQ3MPoTCIdgOCNdpLvUQR2ygiji6SP8PtzL4+W906oukGYiLmMbH7iO07nlgdMd+wFWMt
Ikwwu8KQh1OfO5/zQG6MibSVqsKOzQx75g4tSFfRRjtzFKDZNmS269dLC2KiA/vKbFNeOyO0qi8C
VZp1aw2T4X1kNtLO/TK0FI5zCwON28FhLulhcaL55qdoGNbgYsLnCLKGLuGZ4xBTwMZYAciXkAaH
bHQ2suMsxXDllF5NEh3Zp8w9gTKy1vba+qse18uBwhit8a4seAbVFayGgt8amn1WRwXy3e4jD5Tl
bBpzzC04uBwz/Zl8tH568saWcDamaawA7obGNQNmZnblCZLS0NgTONUWBsDZySB7/JF7S5UvOueI
3ZQZQfCJ23h98bygd2/3wkFtd1UCHMgf5mJeYN5ACLt4oAYRXs3tss70k8OganL1BGuApGnM1sYE
Ybut7+CUgKMh4v7i+QV04hvOsWTLYm+8mnSoH7WQ4oFtT+vYAG+cqMr3qSeLcj4ulsJ6vtWjP6fh
Ph8syOPovfPUYWxcQmYTjJNpmIJq45hKm5cIUp/DNp4hDMjzFEiHS3k0vN4vtylvgroApGsW0n9s
q/4n5Dvjl9SD/EL00ql/2Q3N55sm7/TfLv9XH223ENGa6f/7139Ek/Lnd3JRbf3lH7YNH8pyP3zJ
5eFLDRV/9Y914eXf/O/+4b98/f5VnrBt/59//WiHRl++Wsq39RdFgIuG5j8XEGDmzYa3Jn/7//7O
HyoC2/8tvPCMEPKwAiXwntXUHyIC2/wt8gJgt2jFbJN1B3/yp4bA839zXfQ9cPhYAwb8rX8oCDzn
txCAAnQMj/HK5cv9+49+98cW5b9S8vxNQBbAfbpIDX2WPqxNffPvzG9XeBUTIK9LgoAkqaRrLJeD
snHtN4o0TXGEhvu16hibynn+VSGz3ZhrHpS7FZE9uyCAvirBEVhfjYrlzHYlgYhE2Jb599YeU91s
6XnG6K5JSau6mmfLWBKp/PnlP/zK//y5/qNawPk7JxbFBT8CiimfBTD0rr/TaKFLOAEOHMw4E8bd
w5r22YVf2MKRKalZUybrVf6Z2zK6Cmqz/6LKDP0NJwby17zL0wqPZe64JGmtPdsbG3sLQvX8zhdu
7WxQ0FVAVi2SrXHc6wczBW+C747g9uPsLWG56x3C3zdGGFbpAfPS3B+UrTHeTibXDs1lSkIO887q
hxgm88SelZlYqCaGj45k93QXpVP94i75jHlXkYC1ydZeoh1vdfXRkbZ7WYcFc5VkFbiAzWS2wCBk
rol6LGaEKhB4fFoBYgmYNeTLWJKRaVxUzyO8LWD6pcHwNJdpd5c5emIw3ZUUEyogWmOnUjHhDOVD
PjP1CO/9sMoxOGN3G7eFlUfkzLZKMZCufUsdfBqZaTfg5j+jSl7Ck+c1ottbyl7RXgdV9xnmQX9i
1uZdFRSKG+a7jTwSlSp/FkEhXTYtqcMviRQLKgESFoNNRFLcoScMinHrpO/GjF56V802XsEaiucN
dqfBis2huUSKGqvhb60qoAnCjkAJadDZEHEIe+C2zke2TmPUrJ9Cg06J62xyvnt2hIofopqerGoY
sQM7mf2Vcqtkm6yU+VbTM95YmS7s2xZdybmffLrBump5Aya+49pJ2YB1QYHb1zOnlVyE1JkeAj/V
7EEUoJzdjOP/1qxz8oKsCWQP6b2j7VA7g8EJFSpf+FbtRaFfDzX0Gul6Lw2F8gcLpcXfYGLP6GlU
Q+tE/B6uREtC/UWTH3VV7JfW3PPpZUvKFk/OtyurQJ0YFyRKQiBd6J4NA8HRnjJnlFc9y8VvClOe
ZjztlgsWMWJ1x5NoXuLNhovZYZyyt4mSL9iifY1+LmBY+DMaXUZ5I28NxNFugidUeO4js9E9Ilkw
LUa52HYSsE+l6hMVkYo44xfmLYvoDTjmS3Xk+VtUPMnS2xvuYJYoxI2WHeIqpleE1WBxZB0Od/AT
FD7gEWeSKKzwAd36Oj0x2C5+FBWMoTgP5+kXyx5cMBkdxBzj/cK9SwKTnx0XA08wqIeu+zYwM3wM
BpCtzZo1y4FtQBjuYa5U34236Os6KNsnxkabUhFHwusQMeWqeImvTCGn9zpL/ZNXuwUORZgv2OPC
nzoIQ3VYs0U8Lbrnw84Mnj5cW/oDHmsXHSNMpSvvN838ye4K30yU2SEMCQKcoMuAEnJvqD78EQ3D
qA9ZNtP+Rl1Xk34ajbCnYCsH1MUlJIJCwGnZWJ5g4zyAX3ZoWy1nOaK0olbpVT9zSFlG8M0dSEjt
yO87CTO/zXeDEWhrq7whDBNTSopAyviWyTbTyS5Wba+CeI1SJbZMAtU7lCD16pHh58ROZYrTxZVR
7mszIHB5cFwNdp7wh4vr17Kf8ADwMi/+NAxJs6YkIGRTRqStPQXLOzqhttmKGUY/SqOU/DeLcAK2
2EG5mVTbXNIINQT/0ZXuwgCHh4ZKXurXkqMVHpKNN5YF3TA3G8PLAhwc+Tg5pErV9Vblc3SC4DUJ
FuLikk46ob4EC0vK5Dz3uDM60usfsghG0cYaCGTYWCpsmqvIXMjeAlxCdik5eagkZnwrHs5dZ7Bj
6c9kcfq+lVt3qbDcdJfVOcZVk9Fiu/PLjvxw9A9uQFIfLsFdBGHqJpfQqw4GHkl+QwEDCaI6SrSn
eMunN9uW2VOIIAjuCnkCnzZmsHlrYp4aWQFjmv70c8yqGe+4H4er0JTeluPSREk7Wk/oXyvGzYUP
47uzm+UKh35YJ1Nozm+kU1vX+ay7gazsCccdxOWcAQDCbci/HFlt7uNSGyJtP0aQea5wdizPLCPo
LUulmnsUE+FtkJX2vS1m9S3DFr7K2MxyV6L5wQE3DaXGqKqCKlZRaUe8YQ6vvxYsqLcVBzeb8SlL
bwsiA9lXT0Rpxj5PF8YiQZxy2Gn1tuCFZEg20H7E4CEhg8iu0/S1OtDPdASsomaAkjzsY+AtBwwr
5JO1Uz70OyZJ+lefmYwZkCG0dLpZmc9bMXnlBwZGjJ7NGA6ELRKRUSRY7d2nXJDnF1e1HsOTHrC2
blzejzvfIVsz9lKDprXHAblsDBuwSUxFM7Iy4xFLxJwy9LbTCcPd6LleebZlG91NUuunuYY2iXN1
EneLRBTPUDOrsED1eF7/UA79TxTK3VfzqOXXl6ZS/ms9/L+0PP4v9bXnYf6q39tBpn+tj/lLf9TH
/m9Uay7V56XODXj+/lEfe7/BbfKQRyKTxfz8u4z23+tj8zcLISNVNTRL4tkupMU/FbY4LFwXtCGS
WDTw+OnDf6ZAdry/arGokF2+h9/liwT6hNbfxYVL52WpM6RubCuNBXaYl62u0amwzWeN0HXRZsZl
dsiK2rpfQO5tPFDV28JkrpBZbBfGcuVcE5R7uQxt5LlR+BLZ1TtCVr1frWlKnIs/MUr1W177b10g
Xlrp/lxnEGq9E+xCL//GufZkLqQS+xmLLivrLpMUp9vo5qwzLzoFS/oQGOGn616AGizRjvPaBzGy
oyDxwT9v2AsaV81l2NBn4r2fo+mntpgi4GrLHxnMLZgRecHW1AyutcVY2veXBoYD9Q6pSQMNF+3+
3Cm4U41ad2EKSCyDyHRrCjM6CPYU5ws/apNmwFIUeL/AWZ7DRvxK61Gf2P/cZ+IS4sx1E24ib+z3
hbeUp8FgU4rGiIXnYP2iVYLsRgwJV9MHXtHqFGmGobVqt7MlrpAmkPabOuGuaet3TP/OPie5kyV/
2u8KG1nApPx1Z+LF2vDh9HHPPJ3KPcXWX3smP1L4Nl1mqeOU6wQAgj6B2kmvmLv8YmnIyDuQ9ntr
FjNcPhl4B9euyYguGFhiF7SJlg6eG7NCfYOY5hqak7HpUMdtCoeNsAW5GIvneqxD4zzlytpBhe5v
yB+2EtaJ9BjLMjFGbB4yd/aQtJBn2TGYJdXIvq48VfCNSouKPvNjNGv1htH2i7PYQSyosfkfDYUt
6p+dy9zaTRcGQIP3QoDDE/SAcBN6MzuVbHzhDNa4Ypdr76I+oAgcbmyRk3etlxCDA71ZlTHHyI3l
kIsUeILA0p9Z46ueGJS5dv/IplCw/h2vmYYxy22admtKxp45Gy1wHDvv98l5WL2JDtedsM5er13o
YDWajT67WUdwYErY7+aS+tsBGiqEwHbXuebPge1zXLImtuqMkS26lorwCVa4pAsC2HyXI20Hs7Bb
I22e19DflZcmx54ZoirvteoNsSPtfN7hF++ZjXCso1qRG2J77W3tDPJp6oCsktMXS+GiKvC4u5rp
1Veuu4ErahzZTM5xFcIdYNL7UzrpU4dp+NEzyOTIUyinTpbtEf37Ccuek63Cg+UAnTJE5x/bPmCf
yU9p7fKWthbmF/1TB7LAvEA1w1z+5D5144kdA9daIA7FQFab1OMJH/p8GLVzNIswPESLs++8ptiP
PF+vppbv2jfLxGraIWkvH0IKLnTnY8ne5WP4yxzSj3Dsn0f6y3gmFTAJK7NBfNb5cR2t0d4aWn+T
BXyf1VjddBGjaDbeJMir4KocrOhIL7ueZ4I/TqqxqXMAfLNjZMfvzMhiyP7hLhZUeCFPVjbbDCz9
8lWGstrlbolXXU2Pjlf8zPNpq9duTUJ7dPaGI6uE0AWwZBZVP2ejvXcVpWx7QT1FdZ/RiSO0BySl
b5jrQ6G33Q2ggzQOEVIfPOB4ux4aKn2mSUmCpvVhCZT3BHUvRJk4VQlwD4ZYK6d/YlnLVe3ooyps
yavGbL2o8PXapWK+MOb3pu1c2Q0xw4WRW5vmjQ3j/ADY6yicjp0u7vRE1EC7otUMyFrRN1G6vEsx
lXtDX6IVPQHFIQWg1Hf8Nw+eowjjLMMBHr9UILMY1uehCd5HaDbVWPKKtqnPmrJ3dmQHvFZTVCb0
puQyQyere/N9TfmUqwC6m6oKARiPt1OCh2uNgSVVYHgJaB8gkILv58LwOxD38oWj3mQCW16syuP1
bM+fLY0OW7Aqdiisj1Bqg22AMS/+fXjyT9UmT23Nf/5ebvxlNvffS2PZf7U3b/WX+vuX+suc73/J
YM9jqvafD/au2+qzHf861rv8jT/KFocKhFnTJRXX9EysMf+Y6vm/8WC7CP9IIqEMuYzu/qxa3JDs
Fu530kzRWv9emvyjavF+c8HOk8WFevCiev6nqhYE738vW/BdXIgZl8AXpPfEB/1V0N0HvTvkGXDM
gvQpIxzFuHXVou+LsjdYjJO/BzW1S+9IlQljswisbV4O44YEX31bsgcuDrQZJgnbQx62YCwzbR98
bASvIMqiLV/w05H0CVoX/c5UGftODC1JqmbvxbQ4lVvZXcHiED8K5Ht7CqPiYR0bNwkaFIe+Ee2r
MlUnU4VDLGvjGx7lfG35y6Ovuk9hA3AhdZDCiotBT1NsqQFjjOgR85wyjmqAxvbwvLZ1euN6QiUB
4xjzDmofAAwL52GJlEHYnD79ZOiPdgQr/zSwIsmYgjjeIe/Bi7Syqp/G1vrFIj4Ey+IUtDJZyk7j
d3ZfsLPGyDxwvKLObhZjoInwWsYw6xJtpN8u16Pdv0B5MuTethdytlrMQqyEUVlfNuFuDD82P1rG
ANzCL3xgN2VPT6X0s11n9muYDu559hX6PYz0/GG6MHRzmqjip0VACywFAnQpEWePbxXx32hWW3Pk
Sm2C2wpJEUK4Wfioc2dxq7K6ew+BDse1e7knOt89YO4Qt/T72XiSaeQ9e+wdbWaTfW1sMfLOT5Fh
effKraACaawoHya3UuLDM4mAl/XqhHaLFYss7WJbmewoY4SEwxur+uqMMcs7AdJjXw8x9hJ05Rbb
HgkkDZwsj8XA9ZJL2fwqhcflmJZAQz1EwiwdDe9q1KVHYSWNW112/nCcIjFeBVPtwR9z3Gdx+eYH
39/oVLH4U0vZbyXRRQ9LdNemLZCprhmjpNRe8cvGjLmpUCpUqrSvy3FGFQvYMD+rIsqhUxCkWZQ+
/HCySTaeMecseBCypGHqH8YwDNEHVh5zFtiCQuXRTkskcO5AjLaqB1Y84WvqMxupGDHGi8mK0Wum
nUEbu/Okm6T9cu2XCyqOyIWfEJBT003ePjKEwE6FFEeHUNFos6Vf7BA9s+lX9rTp0XYKYd+z3QnO
PF4JFCSGUmVQbMs1t+j1GyCC5gpwuFl/pvNqJ3nL00Ba/bLvXPSGvTvu4G9MG7wU/m4UK0vM1XOT
uTPzI6X8edLiFJX3E1CJI8O5Ojb1ysxOeYjqhdansHfTre8MxknbUHPzMnr04BjtcYggSB8qO6mi
WR+8uXqx9EgYqw2vJrLYvaOHwmSDdC2vDZAoYJ/SZPYZsGPBQAvLD8GHvFwZYXurlvx2mcVZtGjV
2lFPO9M1N+koN17LbNKoniMTXdTUVvlxcjEkjNZzsJT+GSwWuqgQjU8qbVzsgYdgx8m/1wLgpAyn
97UL/F01ymecsox3eoTgQfYjjcbquoVtj3cWeFnC9Blx6zzfZ92a3TX9shzTuqSAWsxd7vv+ux4v
cz+npgsxZMMK2NCH3gjNF6gTvIEsNJ9laKFdS7vgsjVnmsHr9o1ll+Ez03Dmywg/7EOdogRI/LJo
NlSd4w69BMMckd+sK6/6hpdXlOzh4XVtGX5Uz8vaAXS1B9V5sGBKfduETgLi6FxByTj7y8SkUtUe
dBFMww7bRYZY9+torPcMv0MCgNnMwlI5VZkH1c/K/X1l+oYZL7bfHbo0wCCSM6RyhOVf9W1/qOCO
AzvswOHZ7dBe59PqmHHDA//iAXOqkgK27CPC3vlicp4rh4PHSXfMf3pUdC4pIF5Z3POgAB5etf3T
NZfw2PJwb+epd+9rpXI+dd0xnKlk99IZleCgzDhq0b6PUbitMTDHIZLNizMiw0ATVKCcJjhj+2ll
Y93xbuwA1FnHihaWOnFmPJYtlxK/apGXauW/sUERO/bWYCLJxjwELehCETKnXINWNBxZLGCYh7Ju
31TYmSiuonpvjgimq3EWXHwsCQhmtYFeRd3ZqFFjZfQfl6g/9zxEEOAjk0OuG6f0jJlMJql0BzjD
ruE85Ky5WsjWueslegzyX/6yBrf9PEQ706vLa+h4YsPuIx54Da9VKX9My3Gs+M49Xx4cq9lmcOKv
O9+/a4e+3UqTf1dU43p1kZPfQt1E8iiFBMTG4jypShi4ve/WSTj4dgLq3dc7cpX22u3IPdTGa4Px
95SZqr2rUsvbYWoRd5CFwzh3mi02tsQe6MqQcZ/zHrV3XTe39cjIFklvB6yz35UIC9jxI26ouO4M
I8H1iMGXBf126cv5LNiO7JqB4amJ7AFipz75itGrQL6B1e+R0et7To7GJh9H46DQzuy9mZGztXpj
HUtk/9WW1Pa7yOHRW7Luxg+DOxyp3YmEBX0cZgNdS9V/q9L6Hi2rPXdIKT+WdWiSwCLcdyhugnDO
9n1b+gSylPZDb/BDoyRcH8nYZFYxayI0wBDvAmXbh8gv6jMCLfOOrro40RAPxwo+3dau0/62aOru
zqhQjwWqtt6tsKd8R2NCkHwb4+Vzr/Mgeoqapf1pW312oGfkeRzsF2kg8nXbjvuL4Fqb4YrHK5GJ
wwCBkLOl6+97Zl+PiEPSF8y83wNN08YGOgY6bxI3eXeBWTPvifuaaARg9w/j3F2+5JAd7MDM9zDc
wO87Xg0aHbVwi1wnQUkrT72ezE3vKnWNruLs1OgeMxMYIE3qGzDe7imYPXVfllN35Vutw8vfrEez
o1qC6TZdO95Qb0NOw5MMyBXiUxIQwBdcHpxY4Vm4eBk6cz618KvO+ISRo9AZHn2kukeUDdWHmi5S
zHIxY2FNz10bvBRps6ukM51Gi6wI5UXNXTCKecvMt91qpKfPE/zW24aq+JZB1bMV0roE0HyB70Kx
5l5/MBaRb810bA8t4ogrybnyCMtuvloRieFpSOd2Y4fs0tBuBvnPHh8EAxReD2+fLzmI50gwPdWG
sWV+5DWbmt02zoW8bhNCs6cr3qQKQqzfVm+YVbIcdV/0hkes/WGRGXUNqCicjppJydZwqvVtAjNL
ZP2ihl+1Sr0HfyaKhO1Q+1LXnnu3DBBFffyOLDmDZyY+3sHhOr8C+cJIZc7Me/ZYTC86lVFfLln6
c/Kz8bucU/rSgvgmCMncp4C4ypt1AKO2stX67qxmBIPX0J/3BfQyZN/bjD/+rIOhP5kIAr/Z5n6R
GSw2zeQPBznUPjioUp/NdPIfNMbdbcDRD8cXLkzC7MnD+eOQE4FEyz4sLiYXcsZD41qzKjISaK3B
UwGxGILlxCkI8a6NF5QuyaiiaNcogsO22pM9B6pRFEfhhfPVrElrCVR2M+eDJOuBwRTOucsBpdcd
QD3nhhBu+6P0O4/viPay0av65iXBpueyptrl/cVaoyGVnEAjv84MBwrULV+ofBochI7/onu2lTx/
3d0U6vciGNPjnFIvFAGZBYbtk/dkMHijWhyeO0Z6OxwtPwEGYAkkLnoXjiPDkvA5HZdd65pHIBsn
zx+ZhrWB2Ge26vbddFlgled6sHt+g6Z6gt75CJR4g7z6mguP5sN274nkQZ5ZnfGd3qclcaze57yq
TUgVUq2Q1i3xsYrM38+NumtCczj0wfrWhsZNTupcnDW22nVQN3cudSW7eUJgoI1vDVdRY9vBVrls
GWq5pwzJjw2jNVk43T4MsCiGXCYb8us+O6V+gNg7Ctalz8AR060B1f7F0Lx/QWX0iXnJslkgO1fT
at2KMRXbeTARBARL8dpmNUM75I+7ZW2iQ+6PRcK+GPW+M79jIoHMOUFGpfJBRuRVfCur9TFHBtQ+
K0oWDp5tPvh6D7p548zTtje9ZWdSdDRmOWxNlkknOP/fVtGdenbSR0EvgezUqR+RKYjjMlkhOOdU
JjWa7JOGBxuzVYlOuAXTHZ5ag3MNIua6Nh2BGkJsYVvnB88yTgYx5xunFN1h9Mh8SYlril3PY19r
ynfofi6GzRmNGkEn0iMd116n8txj3NmQfgEIpg5TRfmAlmPR0xsLveK6JlLplgP5tdG9fGwKD2Ki
tim4lrJiVO4e2HLPCf8S93ql+2SkSj53/M5jSJn1KU1RZlzwMjKY7wYVRhfoylOV2RbPdXSQUZC0
SNWR1RxrgVYEL++868voRXOqRI7hn5mskyfkor30Fn7hkkDCLWsE5yidmT38anCMtoRa/j/qzms5
bjTLuq/yvwA64M0tXFpmkkmK7gZBSiS893j6f0HV0SNSNeLU3E1EVbVaVRT8Z87Ze20tElZuaPEq
1Dp4WgOmG0JQ8yjJanA2zfnJ1GHkiQzSVH3gZyvA2R5QClxpyPq3cat0PpsmA5muglhNhYSuK5Gn
AeD0G1Wst5DKa5d+IzbmufpGUbAHaQoH2mo737Si6FsmpNmzFV7FJt0Au9JHkyMNw6FIKVZ3eiuT
ThJ1TmYFF6b6AQ18fZRG/uAWk9YsB1sr5JFIeCAGQ/DqvuSRFt8Q0DHTUU5jqVJvS6qinjj2/tQQ
3YZjgo8332RKOvtNqtxnBErYXTKmO8pt/UHou5GNp1YgeqBZ0rHQMFB7p1K7n4zEl1MYoQbSWR+X
IKtvK7srQsETRFb7QR5sGzzA1LQ7mhBF0XkSRc94BDknjCYBraDj3HqWM18Q+miDNwCckMrJM/Lv
ZNQ7SkHoRjLrmj1gu9wuBXrPKaFzI0vF9YyBapsuPbzCvCu3c9IGWyLAOsZvMkvluWTZabBkXrw2
LOZdMgGYjZO4AyOZ/IBjf92qft7qyXWoicl2xBezTdvusanwgSq58lxzbW4mpTqiC6U6Wvm5H96w
gq+VCWJlZhnrUiK6YCCYg6vHVB8mR8+f06Qqt4tcbsdspJgzVI5Y6D/KLn8WDHngR9gQy3n/LS1x
jZRsJdJWhbh6NfbWKTb1ByjXrwH6fG9G4uNmmn7o0oSqbjJdocWdcLBK2HiQ+wssT1YRxrJTCG6D
Kwk1mHndcqNInA6JNHU+aR2rFdnELkYF2Ia83tFSQlusYhhwmDzQaPQISNje5odIFAl30roblCe9
k3TDSVq6J4NEKgcI/y3hQKrHFDawuVSpLuFwKkQcVClR3o42mDc8ndbnLoQ2Nk2vj9LQy8xlB3LS
S+kcbg2p6ygjED3V1pHKoiKStgSA5Aj8Z1Q7oj488kWcVuVXOfXbToY7Sww3kpapUpyK5SpVm672
iCoY0Gy3NCvuTSvFWT204zU+uxVgDx9KlcpDFuDZqyMLUzsZJLu5xIwCaLI84Bu0YJEILGpajOps
MFPLmRVBuyHS3C0A20t1bZKRTFrHJNQon9pzjpskzHo2f8yeJoFfYMpH3GXGuI+DOnSNEfYAFbvD
sDbHLJJAyBZnmWIpd7EiX5HiQLdei3rIgaOABbOeHbANphch3NvWdWyh85/mC5qTc9YwFc/WNmrN
6rWSoczL9Vxc9ZR80Gcl712ZEWaFGB05Vxq5FoGjlLC5mop9Fr04671I4Q1oWfF9iEa2GAn3Ku5U
YS8Jor7P0UdQWxG+S6LE4KSWC+YKeg4FIR92XMo5GP5ZdmJtAUSJtsxLFDpffdxNZ0yPFuxeLIBs
NtIrlu/rTlS55Zg3ptn7cxp0V3BbBUoe4YAdu+ZeTAm4VOQrRhVcjQAtsdN+D+p2oyXCJWcnvq27
+EJjjJKjmF0aVGYHOUNrk4c3Jgweujv5fu4aP9TCewRPP8S8S30pKxWXyIwGDgIyZ7VqyBdQcYWi
f9I3LQ2Zsn3Q41n1EUgTsgVoGDPEdW3Or5lZvWkRmhyEFaITASe3k6o2HUliKtXaTY1ArJiWU5lP
xxCJcCsW+1odX8ycmQAg/LAhYm7wcJ0jqI763E0JpvDzYlXisOmlnSE9KZJQbFRZuG4jE46YDPmU
dqM7IR+vqmuwVjQQGKVAoNeUk/r5fagpbYQqHWzSol7mLDjoxkTQSUP7YzWZuD3KYrpuwbLJy9nA
LqfQK6Qr5vdD+JKBQhrx2NnwVfdNQysrofs5qIN8wZ1oOD2TOLb08KaNU2ZFU3gazOwZ5eY1ZWcy
2owsdoewhwIE+wiFKdoPYhOS7gaMwD1Fh9HWqqpBIB9jYtDRTBoIMG15npmFljTYpLhlO/i6k/Ew
l+V7Q2OU/b+S2UGUX1s6JNhQNrJrNLeCr0hZvYnIGqGJRBxATPqOOLebsopzHw++5euzxAaCPWWE
GSGEsS/G3VWfEbQkpfXbJHf3YdP6UyK/zDnuHjnAkhWoMkXA2Ng21FpchTKXwyRdu5CMMQvO5jkD
Wq9o1ms/s9ucehyAFrqUwagMXtClckE8dbZgsW6kLZXiDESYWciwnlC7YOXUdh1GMWeRmovZirEd
iXWI4YXXGz74bUYhxbEKuYTZg8odCMFABbPunUmi7BsQO0nmoEBUa1Z/E0bxOVWTHHt4rNxlSnXP
ngyJL0QSW0mTU10Kt+WiPndd8d0oJjeUSEnTlYEu54xpOaXcguRRbuxBMX7AGhxts6sAJxPs3Iz5
WZ+7zJ1CPXYpSMdOLBU3Aj9I0VYO3CrNNwFvc6ENFECJYXIGDkf4QDLbozqFnjjPkkfOuMZCHB+3
shBeuMwmEVfgvvH0CT/UAI4zZnQEViZ8Y0MpuKwSJ9FQUCyJZPRkssoMr7DtZucD/OddFUZ6jBEy
vnY1FeUB63dyA7ckbztsFhnu6CWqYQcUG7ihU1nWStEOOqdNZkDes1VTvxXejWTYCXX6ZqI6FHXp
OpjSXWP0L6FJRgOo1/vYkEtHVaLzDNe5EaJtP3WHrOWTW6R6csRuBGrNNH9OyzLYgv3m94pE9GEq
566RR7NPCp7lEYJHnz8poUWj7XCMKb1QkrDJv3GhqeyIj9Lvo745sMV6Ze88bmLxOEzDJrKa6zhU
v03prB6GIVyrw8Ge+Ecoxm+zFH+XqgT6w/AIG8GW6pdYth6QnT4PaqDf52DEEXsv+M9F5phSDXZd
HZHlwuCDo71PN/j6gGZrquK2RrGVzGUzdfq9JquvXSfdp0kbbdc0Au6WScQQ03z5ZrJ+qqKM9gVO
I7mZsbm1tKcT+ZGNYk6fQtZcoUZ3Sg2L0KSQ2EzefXfUlX2rV98rpjy0Eem0N2labVJE7zu1HmWw
NJa21aXxPFLHA9rIKg/+0s3cC5TfsztzVG7MSnjUYPbiHhRKTya4zqsrljmatvyIxK6+wtHMc+if
zbLE8jqsLVYzAEcTBam3GuR4gLPuT4tJ21VQmwPV88OUWRCLrWOhmpITGwsIVYHge2h3dmkwB+JW
TBnmhPqNQBU8IAEGmkbXzqohJ3YbpDdT39F6UTGM9OFdGajXea9eT0l4zQJv8oZWdDRzXLZFrhHW
SLMeu1RtIyJVmWT0GbRKR1YGSwlbIB2QxQ9rMG2UbgZCDzg4mvExStw+bl2NhAJeLrgGwJFTENQG
Qkkd1Z5ogr0hcoq4ymIsz6VY0+mkGfqPusb/s5bw+f+aos38o+Hjtm/ighb3Bz3b+iN/NYYFDBqW
iVuZQgS2QHJ2ab3+mxqpmZBbJUmzqEr9NH7Atvp3b1j/FyRVleYwm1tUZhhG/qNokzCQ0MRFBqeI
0OG0f4QMpkX9ga+l0ZwGK0dD2ABAIYlo7j52hkOkq3qCNMNeqph1Y8VSgu2gnJTMSJlukv0lZdVZ
LwE2IMuaxodcL6aDhhaV8idi/mCrJlJ4H6UmHJoWjAGiHjVL0U0yCfl5nq+/lPW68BKti/1kiJDt
AtoR/AKRJYkW2pg8J8ICmp/cgF6hENIy36gGnDMXEWhOFJ0pv6hTTxdMIzCMvhWCesK/UG4aaIsC
wI+gAvicLeTTMn3WvjpbM0h+EC6MaF5STs2m6Ikcsdkt0C1O5IV9PjT+YXBIRYPdkZmN+koBaSJh
q1wiyaffmFa7sDXIVBjEmbCDDutbeqMGhHaym9VIcEMWniGbAbPCXKjo5I+UWWR8R/IT3RcCkDFf
bDpAMhKK7xuVStY7qVDht4Al57dGKbkcywyVB3wO0UVG34HAu6NI28O36JyBvU5E0ScoqFabaPPa
Zmhy5tw8yhwZNbNJY8+YXhorod6DBPI5jol9c0iSRuAnWHpVu6VEopZbWTKJFClhF45ErsSVtYwy
HpswuIwy6yYEcQRNR0ma3eXNqsQSSaq8Yy8SALuVFfNEhadhT9qZ1mNMLBcEBnnNswuHfFNVohQz
bOmhH7Lapt9Ryv2+wYePks0qqNUGad1P3sKCv75STQExUEx3s3Jaa20WT6rS3Jr0tyOb9WDxQpSM
3B4JrRV0N8SIVKGys9R38l+GyK2phSgkaKmq6SWGunSQ55FFoUgSKpVOS6OuWrCwuFEk2CIDDzN3
FFSkcHmGsUZMVxhI0k2lit/EsIwfM5JRks08xzn7UPK3OkfOIlKWdFSGtH+zooQc2A5V6iyUnWuk
OIUe+HxHRPwFjdQHLoFgDQiLbtGMQ9SUPUWvUEqil0LqhRjdejm956Y6ESxEXkNjJyY5cjchhVfB
H6DC3Mz1KgKC3yO5vSo0jxO993AP4ENMdjpuwNtu6EvkDOokTvI3Uw21+rUl0TI5wMsabrFkDOYD
tXBlcg0amIjfNawR27oRgts+T4m86EkGyWxM5GwP4qzOqougL7mBiEBYmXCiHi/jNqLVcxpYOo+2
oUoswmHlGdGGtoFC55jmxZVUykbvUslE2NGGHYAIucct7llVuHTXgUiqhFtpMoJYkBH0JR1VX1kS
FFXpfoAQpEDT1clSb4o5kfr9EGpKuRWFUu/YdRTqZMeSFhLFl4bDsS0z4jzZwfW1U0TwATxNriqN
R9QqYGFUXbyRyoh0FUtMI69OVa3bkfLW3rGGF2ix5531gzI56xXiWIWXbCzSsxWLNBwRqE4CNzNR
XhCkD88jgtjYDkEbnKiNaIkz4ay9qxYrJgS9xjFqk2LGfpYlAN2xaCoJA6vkukIqKC1rhHWrPwVg
hRKn1rT5heix4BHpWfhW47x4BwJD2b1KtIVqg17NGKC7chQ3tZ4pE0J7Izpq1JCag6kE6Q9NpNpk
J8kyniVCqKCehXqun0iWpqFdFgsbZkNYzFetyBRpzYViE1G0YE53oan0N7Wlp8vGQnbJ4pnFA52Q
OIJ2RkqMTGUWZ8xdNS1Z4AE0O6TdKC3ULQzUlpMma9qmXWKqcl0cstWb6W3uUBJScqjLKj8BSqya
14yFFrUBzOuqZ4Um3u0Ii2DuASg09mMKQMeLonKgD4PsN2YI1Gn9Nc3zSEgarV61wRA0ixP4uFkb
r1Idp4NNuJG4nXothMJtBnD/yPmpnlMC0557AueR6C7NRLu/nuPXgBSa3hXZu6KaG7Oo9iYzJ3OY
zQ/gljkh1HJjNg2FqaZM6ge5Lcs3wi2XH0h1xDMFtXXMSRp9dueMvaojTi1VcIJe6cQjGWyxD80U
W0mPqNgKE2MhvWujBiGjz0dEEgGP66azZu2ZfMXZk01lT0Qd2mW8ZHhTknz2x3nSadMT5XKndjSn
7L7VMUvxBw5bcdKmzu7Esn+lrk5pMc0F65VlHZ7zQKVQ4BBkC7NBMDW+TeoFgUD5vjZ3Mqloqj0s
eno/dIbWszOCtk7Uh2lcBZiVMvxoeX8LW2SVBidkk29UJcgfdZwewq61NGuL+reLNkI0wBBshbEI
7c4YqN1JJNLcYQMUHwas9hRPC5YByJn0yLxRE9bFyJqrS4j7TPMCDQ4tCHed1DdqZnQdF2tJrf+F
8PB/uIT8v+se1sDq/klkWLx8Lz8sJdcf+GspafyLTQbrPihquoSQT2Gp9tdKkn8DvNnCPmzyhiAl
/K+FpKr8C4Iqbj9DwjZh4jj+z0Jy/VeySqCACMf4r3CAf+Adxo78YSW5qhVJwMCfzIRlAauVP6F9
jYguETEyA7XOGzQCodsfbjSXd8WPnMQdtleUj3qgbuGt6eB59Qo338Qb47zMPiwFZ5ztwz1ALVCr
zkbZdN6AhP4Rkf++91mWJP74OG+1/eB1+zHcavoerBilz/Z033qtnW/zreGZ/tIcMe/YFWB+HZzK
vYgHkKAqRLt2SdXLzq8G7VLF9sCJYXjwB9eUvMkPRjt8Btzm3PScxQ0xOZ7lZptop3vwr1xe+0N0
o4zkhh/7QxzZvX1PePNRPMk3sA25HJoEvryvjvpG3lSu9nQQ3Iw/RHDFB3Xb7DNPfo39wOu39wQ7
3uK6s9cj0J0wzgDClGPgK7EXG7Z4GZ7kq97p7Rtyjz3pjJdJs+/3N/f3ln11WP/P7DTHbNd6z6pD
PpTdHJsj/ds9wDrOPbdz+9G/uwvt18mtjp3be/ml5DfT+5pEPnI1UWUcxA0SBB5HjDibXMn7yCcp
GfYDf9xzbN9xr+xk17kdv8fa4rtlCzYTkGm/Nk+Km146F1/oEbH2abYSJ/4mYWSI6W8QG0/2Qkhw
LnsB5ab+vmzEXbXtDquaC/WA4pP5Co8kPGo38XXoVJt2C8wP9heaqtaLck8+o/fp2z1/6eZ5NK6b
x8XPXNONj+GO9+B+8mZbc/XnbI9hT6mox7roPakqjdcE4WTXcWwLrZPeVK/qiFjH7t+qs5Q66pvm
1zf9pt9kbvedUl2T2oci5rEp2u6ZgV8TMHq5M8+aitfyNlxp2Fs3BIWRRmxbD4T32YMtflO4Gm7c
FWxQ2Wue6VBnbhrtmJSi3XUR7Z6aaRe991RZSaZnivNDrzuIO5y/x+Zpfh7ROrFtQgFIubaGBAXD
MaQC4krjpgZddGxFbxgeFjKLs5N1AxvJpTP8UF1FR/lKuYXlsOm/6ca18Gq9lgRoiEA+EY4z6fML
cQ+31BXOOPYJfbwaR090mhTxEiArP+efpsOvG5nCo61Xm/Fo7KjzLRobFPLT3BlxjHSltLseuy1w
r3cUcJT7cDOMml/d9S8RbeNjd6aZ25S7cd4zIZfRVnGDfXSd7JIj+t/+HRShu7ivuOvs6+vjnvNn
sr0l95IhoJzAx9nRIxXJ6o7tj4JciH7Mu/6sX9EB2tBINjHKOIKn7FNf4AVbbVKsKb7DqeMdkDYu
7T6s7CB3fZymRHnBciITieXSI29dTVrXg3Sd0hF6clEjBrfi98S3sZPYw6bfqlfgRvAhIPD/zoVZ
duFHfu9fz1s8j06YHvBDc3cwciAkOCnn4BsRw+76BYvKt/khSvH12uRNH3MqoXALHzXGDcMZHlGT
XYeH6YduevWb8ApOhL0yvQrQKvW01TZF+FBTkpzvKPBL2/mq8FXHn73Zg2TV7Rb3XPna4VWwkfag
ozwkP9KTvhdiW39BvmynbwHWWHqmjvkE+k+wm638dB1eWS94h0F1JdfyRbmOLcxAmDuelnnXOdKN
ciU/mccKz3sIx723v4s7abkyz97iGBvzMbCFq/yIktOuXuXrnXLZYDs+Re/KybweHERft8r+VO+Q
fftQA0T8ZOkOiZp6rzZcUHOqWpuGpcuw7L28QGEhhGwn2rfRtrzeJ57iPHgwrO3T7HoaJi7vO6o1
N3TaH/KRX9miqz4WL08KgzmCDtaVfuexv/CjF/QZNnVBm6hRb/KyLet+bzyeZF9yThRX71uQLOdl
zyXY8eDku/LYu51nnsudyH8Ckcyu7MHRUYDbFv8NunLdzk7afnQ5If56OAJhBV2E5hsgzg70Z3ql
P6U7Ndh375pm88vs/cnY/DyLU3dPS4BW3waf1D3QHsZFyLGs8o71EegB3jFYmfbwnsj71i1Qajf2
4mBQtinBr9eU7/jlESozlg2NqarbQ7ylz0ZMp91Jm372e5efQRiwyTRfyNzFdCZeT/FK/R7SL6g0
X/HCa23zJFxJXIOlumAjcGhteCtdYyN5pfuivHyjpLG/dbbvwq7oXfmgH0z/24lCDH5bpLbai+ZQ
smbeNK6kU4pO6BqRidv7tUto8Wb9u/OEG6NyhGfmWE7f2NA+CO+KlzRnp75pgek45iPr4tN4RCiq
k8dsR1dW/TwHjvCDRo7RucAcwYEG3o3lIkXCnbtB7juEWzBj/M5TxikLoEAoiJp+JWyVYWu5Emgg
tdyDav1fLCX/Bx6W/0vuFAVLyX+/cDzETfwKQufD0nH9kX9XIbGE/EsigAbLqvwzPYrF219rRyg/
WG6pAsoy/8RB+8va8V9E0vCToqmBn5FX7+z/+7etVpCk1Ve7/jYoGxN7if5PfLWrC+YXyj+HADZD
bVKEtmnqJqtH/v0v4RPgO1VRCbvhmqAymT4Eq550mH9QSRp/1HVq7KS609xSpy2bimrrJhKt4bHX
1YNc99Jf7uy/iEB/g4+RP65k17PRibbRFQ3rjaTwy49nI01xlkfBkl6PGeLMRlDojuTZPZg+2RYE
5JO5VBQU3Clwgi7rULZKsRtL1lZYimclGXUUymZOc8Js7yYFfdXQqPVOHxXxqpuC6Yhf4XGKCT/+
5ZH/zXlLa632v7IS/jpvtKE6mwCKxiCBPp43BPiuNwYhuRardgeDeYPqBS+E1LJSsNT0pmzQ1JmL
2SHzH6DwmFLoB3KabcZKGw99Gzbf+3xo76GBnbRpn0sSZe//vJR/c4bgiH47Qw2yEcEsFK7h83yq
NgNdUdUp5QxzgI0X1MfDOxRQ1Ynol3hEmGkH0VxQlYs1JtqevJ96gS6kg2HWTAt1W9vWZzVXx5si
LNuTUSwlIFBa1aMwoqwS88Kf4iEjyj0Uz1RTw6M1ibOHkkl3tckKDn++HO3zawssR2IDRcQaTSid
jKePNzzuExpXQtWcU0UfMUeLjaJCr9VU34RP58LamjBlRMulxX0j4XQRX2uh08/UF4COxsPMTqQL
sw1a8cQNhRZzJOzndf3QN069VMJ3uJ1kxuc6vUFq5hth0orrtfz9Vswt3aUIH+Jdpd0qrAJpGZtH
FB34yBc1F6kmNxJgh4UgbKHKysM0K6hPzUrJHuaEKoEtxKBn4l55WPAi3GU1GfEQMmCD42SNimd8
Gosryd0bz4v6adaJimb3kWlRLmPF71qkNT+qHfrAIByCfk96bvPF+7J+aL+80AYWMirndEdwgsCr
VD4NCyKpAW3YxuXtImFTXstgfmdW6unPj/Hz6PPbYRg3fx19VCXvNLOMyttuiauNkCzRJkMlTD+j
DNmiSeYVQTzPvIHQNpIwvy9oZt+B5r7LZ+Hxz+eybuI/XvK6f1fpJOqQq9iZr2PTLyOhip4nUWa9
uiz5gpBJ0adTSYGZZWtpHnsIJQ6DeLMZp0hA+DRK77NVsiRlyAJNhzq9MEx1r1IQdDRjvWfUzt14
NrozgoECHW0NAxA9xEZWR4wqI99Ko7cok1Jpq6ud6uCoL2EEN8s2W7r0IRKH6QowcXVuTGxxRpSg
6qta8drKRunC31T666S+p9ptbv98K6RPwzAdM1EjYkezJFM2CI5aTY2/3Ipp1pWgw5J9qRSKoPNy
lXAf2gThqGhRZNT3ekUOSpf4wPdv61x3vjj+b28fBCJSORVFNFVSx8RPg1UlAwLsVKzIBLPUey2g
vFwgu9IzHY54MGfbUQzi21gooHHFdNDUdFJtTUFuyO83ziil2TFFO3n+83n97WkZIk0zTRdNQ/lU
Z4k7Te6VdlIuyKUe9E6WThrWzt2fD/JpoObec+1MxAr/87Nu9PHez1EaBDE9o0uI2Gejy2Dv9bLZ
9U33xcf30ZmqcSBN59OGvEjKFTFrrDF+fcggE8xWVdLysiQ5bEhcP61dN8jL2mKe7vNSnr6YJdc/
8MOYYjJQizJGVpOQK2J1Px6wiWoo95LSXUK1BdEznyfQCMDMfqw+0QasOSS4/Itj/s2rrGsmgRws
lWS6ttanZ5YArwbhN1SXCUPnuDS3EQCGpek3+I5ejURyF4v9Ra1Q4o7eZaRwf36av18zvDuZyC2V
nE4ZLfLHa44pt7eROk6XUYjQPiHBuUlj2PsGLrwzZv1XTkneq2Y/fPUNf3pZTZE4RLjU3GYiCU3j
5wz6yzesFrjaehiVZ3UslpNY0fAVpHI/0thObAm2OAiyePGqoCz9Jc2DBzUKBx83R72te7N/YToq
r5Oglr+4I2tJ9NfXgKGFOK21kroubGnLfBpn0wFnDiOxfta7Zb7pzUHb54hMnDxvg9uFQo0+wUTt
glTxiU4/GO0EFG8aYYCjMa2NIt72LFr8CD8a45ExurnIe1RrOtNDVS3+nx+g9KlNb/J5rHmLaxFX
pKP3GWiILSwhgGsRzgWN7lYBQ0Eiu6RdWcrsygXlkI7wKwFedrZ88Qg/vTsmmgWVMrGhwYTEwr4q
EX79QANMVUkzdvN5tXKY3UxZtWXUz0Z0hxU58H5ZL8mWjJMvht9PI9DP4yqwMFXFQFTIp/rxuFKW
AAqKouWsjHHstm3ZkvHUpg7puN0Xd3e9hF+GBFOmek4FHYGGqigSL8PHQ/UYFjB/6CmqblE4GaNw
LBY8RbzYlkMsBtZDdXr64oF+vDyTLQZyC3zUzDDY/C3x0/uHn0gloL5ZLqKByljJQX0omMhYlSmN
tDUyMEHhEOY7pe6N3dzq34Gdh35pFNJeXBqAuaMw+EEOGFyAM5jYfz69NU74l1vy8/RYocsi0wzo
AFX9NEpqtDXB4WfzJS+6b/R6Fy9ECLPBhmAde/j72N/pcYm9GD0mYNmOQRi3p7jvGxco2nhA2Fl6
y0TdNx4r3TN1kq500M+rPaaNntShTXfyUjhmEhtE0uvVKZeT5apJCY7oJvWxNxfJT5V+2ist0ug/
X9zPIf6/nvdfF6ezsV3nN/5hflpWxi2QEVxnyyVLyGCylLg/KOOYetUyYYtGHy74WY7HIDFfewCa
RL+gfLf6/IaX6Bvm/lZxonzpv//5tH675ev+1xJXnZCs8Fp8+tAUrR7SPpilS9Klyg/N7IttVNSG
U+dwTaJYmJ7MvGx8KRC/Wul8HKS5HxxZZ1o013xpOkKf3kXRmNSS6A7pEgdGBuZegH6EjP6Lmf63
N54xRDHh1pP/yVL+8/UFXaiPEukLF4a4YdMo2kPd1iiKJf3f5Z//dgP/8XterwfUBjdTVwxWuzS5
Pn7Pit4Qw6eUzUXrkvBRK6Xe0wrrIEtxaI84+uPIgn7+56f3+0vF3M5CkWqJIrN2/5wGadYkrTEb
9JeEvQTEnki+1mvSnuRS6FAroPCMgD7d9zTPPLEdOqj8hPTSJAZ+hAZ2GxcjXZLEaL8aaT7OdOvd
WE9s/YaBdxqA0j7eDSSJhdJWQX+RRZUFSCxLz7Gs9ocgUBa8nVVwCFIcgMxpZHeIVbFnakkoHaQy
cIDpGLEL8zNysDfaQqEza7vXMjTf1EJIEUXNwxdjsfpxpvvrdGmgI0kzoab8ZLn9Ot/IhYURTKma
SyPTeFjqccrtUhfDjVEPvtlU9Z6PNN+oRqP6ltlPl2EwUxQt8hI96xF+eP7MdidJS3QMlDY8scvq
XrW6yzeaFQeHPKzKNxlBOXF79AOAcMQHq6JIMEA1cNJKs46RbBYe0tPqBGLjWUzT+p6BAfArVTHj
hIOZ6W4Zm1OEIPUy4HNHNoyjtUfEv69qtXYjhRj0uM+j3Rfv2O9DBNUx4jih47H8h7Dw8VGa+oT3
c4jqCxmwVLhn9MTBXKt7TRjmvR6XGg2kyNwOY3+tlcvyQFiL9RTMw2NqNjnOzqgj7QEDuKyhKJut
dD7NZKzvdSzpr38+1Y/L+p9PEXaqxVnKBnnN4joY/LLuS/oi7wkvry7ZrHZQrjK8GDG8gHLK8Mwv
2uL9+Xi/f/Ks5hHSc3NY2SvKej6/Hq/DqxRqQXVhmyE+orYnYIjCRxNblGHmTt9ZGr2dPx/z9wFt
ZQACn9bovUMY/LRsyA2TYg24uUs5STqto1h2o07Fko1g64sp629upwFskAWKtb4Av1X2hIFIjJZD
mblJDGSShKcyoZQfR2mxz/og/cfHg2SkWAzV1BJ1qrwfb6eR68ACs4VAvtYiqK0aLeij0Qz0pBo8
SUiqf5QpzuvCehxpA04stkkmO9uPx2vbrmviIabqMTb6FrsDrZw4Gnyd9D6ciEQsJFVe7hrgaV8s
M3/WkD4sBtYqw8oL/7klZLfy8dDItHSgvVwqiUXj01TH02tFqsJ9V2gnudaUDWVb0U9jUT4J4Jv9
VKu0XUbWlldB8wGQIYNxHor+MZXx1ILwIalEGCdk2hudP9YFlC5ITDqB2TbbQlUEBxZT89BnQ/jQ
o5LDhYH+h4xPX6k7eq5UBcdtNnb9oVzK4z98Y9drNSj2rysNDSDUx2utmmDOx4HXKIwywrZqQmRy
hk8WuNm8/fOhfvsgPx1qHcp++SCDfi6WQGIAMMEKAF1rHytyLdg2WA9dVD/Kcyd98c7+LHx8epLs
UtjbU0ZQDV6qj4dUBykp9dnMLryq4n5Cb9o7WYbZXy/JrRl7LKiKERVegwC2bpbBZYgoT2Jekr6D
9NXribbi48KkvyMtzRPyiq6VgAPMSpbYr0ZFv5RtDFFbQTAAxAWistC9rdsKTx+EUrSnZiF9kty3
5FCbJM5NZrnv8uKrC/20GVy/FvotjP6MdtTQfy9hCHNVlmafXsgj9TpGw6OEh88BB934RS5MrjWp
t7A7yB7rMwsE8leA/d+Go/UEVLpDnAYz0ed6QjYO1ObJd71MQoAsIBJ09S0f1dFnsd59m8c83fz5
bfpUQPnrkk11RcNKNIrYCn98tlAV6y6JouyixLW+B2DmA2zYarBRibqSmm0olOqpGBrEceqCgKFW
aX9G01dlsd9XeVy59bOLhnKePfmngarH702pJMQvmMzxprdIxklVYqxsk8A/NH9v2NlBeYSTiVW0
DfDigPesBh5TkGo3RCeb6Ci+ehy/TURUixmr12YVFRbT/HRz+lYuWlPQiosUa+aDQUiKu4xgEcly
kW7+/CA+9cZ+Pgiq8WwM11hwk9H644PA60Ati/3CpWrx0JcEtq6WW9SaodaGCpKGPNxDEC98rEID
cm1B9kXL6MnwIoynwIvkaCB0qCQUSbqRpJBw0wyLFtdAFa7DT2ysiz2nTzVtGwQWeY9/voB1tftx
kJAI4FgrcRZsPapyH89fleB3EkhXXlQz1+0Ca6FPndP8YiyS1lv+22HWfb1syAxJ+qeCH6OBZsrj
UF4GIXyLB2M7xuZDWSszATlauO01MKZE5wQ3ioAUQQh6aYNRY/6WUuRxMrzpX1z2331AuDI1A4U0
Cxb2Px+vm5yjUIyt4v+zdyY7ciNbtv2XmrNAGvvBmzhJb6LvIxQTQoqQaOx7Y/P1b1F5kSWFElLl
8AEPd3KRSqW7083Njp2z99r1nVZx5S7zwo/A92dnaeM8UP+tl9Vy3We9dk7k1YMop/Go/nQR+VDZ
08RhmTq0crbeKxfAD0VFohmj0BBB3xr0DaIRBFlo5fo3mAVZVLp9d0jwp+zNSqFZo5VVluoPnfMP
NyHegGcSb8LyNZntmuaHZ2BmSb7JIbu7ZlBO0KwTALM+e8KM9znpGw2FsLRAAePJXUnM+UOh8WHh
/fXiPvhoc1sV9NJ+/gL0AkCdgx/4LpnTd6Et1gXN8PLh96vb/uUZb7Xv9oz5kK7Nr/HnV3HsTq3N
5Ix3tFa9g2kB3FiZSu/4OnD0LKYgr69xsKILwnuHVMqdlaIUAyMRPzjNmt/ltbd+drI6v6o84Mum
kccvC0L/Twn+04NlmHIv5DzuK3OBuTIM9l6OYt2nZY/GkIbNcZg8BuRVch3HE33TUfXns3Tzg2vI
F2wP5cGcXR/Hp+yugOWhm4knDcv74p+v61xfypnAbjdxswc1417TewANwFt8cI8Ko6esX9t2Xy/n
akn7g3JBUCT73z9D8aF08Rj46yx5vFcsGHoI2zL6oXQplZH35myud62fvpmLh83T1/SzovRJealL
GGPc6T3c26mYCL1emldA15/ykX5xV+Tpl6Yuh0tIY80tnEyyMyQh7lojwWJknnPeVCMZZGU9XYPY
8wNfgXmyBX5+3DMLKj8VixD+dHFcyZ77w0f7ZQ16Fgc3lT0XSJpMH1eHWWou4Cip33F3AKOczdpt
lcr45t8/QEYs4C4I4aG3Kj48QCfVJ3/GI3M3FjOqvzRKFjfSaJQ7ssNPNtxLzzlqs7VlWR3yCXle
Vd2AAamSp6S/rir40uZy6U0GsQZVlAxHaLkPeYrNakqDxR03u9WuMacnEDB/2ij/4dunK2sYFMgG
25XufqiRp2VKYCkO3t3ogu0j/hFsMzwAkHJiLk7gxKEEEWqSML2o8YsKxoQwXbL60mp7UAsWnR2M
3zIArrSSZDidrdJ7U77bHOwROHvLOPtW6QwYPE0v3nMfsyinkNqlBCSFdmIz5hRiOmIrK/5wdn+f
pf1wKLGwt3qNOySUJU/QzP95YRuZhXVCGtrdnJvLPobdxGgYF+qq5pt1Vc0l7mX/qcfLHZrTCBvZ
XeyrqVVrUC9MhlMLSDOcDljqWOjNHVtKxvRodsIctFf4+0X0oabhvRJRxkG9TWlo532f3/zwIySn
BdS0P4o7CBMGjWaSRzuASQGEPO0PV5V/fCn6hcw7BSWU/vFcWoAOJmg87kSZxdy/2uLgI4aIMImr
u99/qo/1418fi88luFxTPusfSrXZHsgDGhrzjuy28ZhbiRGWpMbTMtLPuf+S4Vynp8LLkwMopics
J7DsdLg9mHPWUBj8OvSsfvr9m/pQzX9/T4CGPbqyaMTYF35eFla9uUPXDv6RnL5RSzeVOBBreFtg
3vnDt/qPL8UhzBdKY4iR1s8vtUHYXADr5h3m0EfN1xdCUlMnhFZJJFedqLPff7J/WPHsQHgl0BG4
zHY+zsoTyBygwSv/zh/N+gssWz8wEg88d2ohyvRQPbzMkyC0jOjN4xp72rtnK48UJ0AcOVbATN40
xCxZSLmeNd2NT2uaNieD5idjN1Jj//AL/fXkoffBVIkp8Tak3nIsfjx5JjyL9BPX7H41ZRVqq5je
TAM+OhohvGSFGE9dldp/qIo+loZ8/5xyqMXot1LVMyf++VVVo1bfUCWw/1E4p6xm9IQbqNkDM16u
uwEVSDXO5me25SbMa7+7Bp6yScbX4a+v6/+byP8LOPgPK3dLJfxP2uBGR/8//3X5uRg+/6Td3P79
v7SbhvXfm0oCiQQuHaRB/2Mg50+4y1g2PYBtis1s5W//uImBHN3G9m0yT9jOsr+lm6b939ziBIcz
DE/GPea/Yot/NxD9cNPZ2qn+VnPScNlG/PbHNatPSamRSQ0GxaR5BQRWTBYkJ2CFDvmpKHTS5fNg
mjdG8XmVN974ONaHAemas8hbnUGDCaZnJuR1yKO+v58w5NX9sdOfsBodzVzfpaURJW0ddBkRA+vR
M25XMQSO/bI2lw6g2e2lp+ZBzAeQuYE615q3GjiRFhnLMXl05lsdfV2HWjgsoY/IuQKp0mIdIZh4
CwaNwxpiFls+lghnYybK7qzmH7mFHhLn55VlyH1/p4NcSbuvRZmFUCopS2+aBKqd9dWqb8hPpuHQ
3SuA2XnzbZ0Qefsvy0ZHKdsvRrxcD/pygjCJQgipYnLsbPMy18s9ElCQdS9e/oVrfQDuMmAKDSiL
5Dw2RYOQ0smPusUksu1NNM1Fbd/DMT9I9RnE25PtJdEcT4glGD6YU30s4ycyrvdYGPf0tM7JPIxc
uL3GbJy0WvEQAcQZal9zTR9ACuVucySRJDTmb/NUHohIatzbJSVm7aTkDJP005icS4hTtqvt9Bw4
YHdVYtgwSTWIwaRM8Rsy8XIBRiGOhf7VWN+89UHzPxsOzF7wdEYJ+nz5YlMww3+78WOomJ6Mcvdo
d0lEAvtB7/FguS96CiVLa4Ox4SaCLxwOGKAOUqKNQ1zLCIctAaihXxEpveYHgEHX8+aUwMcp+pkx
sRGM0jwsqgXUNUYdLWp3bq5MvGY9aRHgcfRiwp/aIxMFRkBciGw/VwVqo4ylk5KId47B/CyV/YE5
TtDD4uN2cd7oghiWe3Ojvr3D/ghaglsQgIXWcJo9a4e9VYcgLuoiIFsOIE8XaGjjp8Q8zHjEHbuI
KuJugfDBKoNRkPQnpz/QGQhnH0jT5F44JaBzCqkqtnCUpIfVu24GmyYlKa1wW0VxljhPSn1qkMSW
xWVB3OaIT7bil7C9YmK/GiNxNkT9ltWnfPMqzBvO85Slb6TyRU23hApzeMuvDdknCRbYfnU8Cti4
l5j0PObcBGvvrRT2CNHgJSADkimhDc0h1K2wMt/KfPP3o62dqyUsqgSezoKpxcB2M4dMXoHc3Thw
ijVYNMZ9k8/XyF5/2Alv/ipPfwzzdLfy63+q1v9sMIQqUJhsOtCPVSs0F+HLgSgjUXxL8Zb15WNO
+TzFcJumcBU3iUlgErCBtfMurDY7LW4ZGdATGOfvtXg61EW8h8S1V6axVyR1JABYYrlHoMFfc4PG
+FLNd2sBBigciDvG0cbfMQhd9Cn6F0iB9X7K8AbheBXqvJZ3KzdQVwsgTAcL+S4WyHTXfEUPIbB2
e/qTv7Fn+DUzqgPkwG8c2e164VjvEphUVmnnKC5bGLVFfwIXQIRwvxALT/zI9FDwJioP2KjtEFEE
yf+uJEbNng+/f6gf+lO/PtStUPuhvGbwUOY1cO3dWjzqQ35j1Vm45besc74rq9elIThFf4ENtXoH
Y+mgQP9JE/ddVfDxe7WYlX+3rFqcUj+/hUqRUjltqP3cIHfSAbmEMRrwVH9TSLowX1aTsCdiHN3I
7iLMa7a4s5xTpb207mmOo7y+ZqvQxZOeXvCr1xaiV8/JRy7IAnCQpjjHRmc8M/6hWvq5gv3+4Gjf
oBGir0f787tw5ocHZ7BiUPoXQOOAesG8GlFjrO7Fkq9/WPdbI/LD4+GFTEI0BPorw//4DcHlGPWp
HHf8ygQWyGKHPtKbD6l3TNo/vZb7y8faLrzgq2DUONbW0v/5y9iiBjURS9Qv2oVXOXdubJzSfjom
JSwNR4WVtWUFSfCr5svUIOZhMGbYp7yObKTm+XRZuMAXSPje5Uv2CKsMaFqxTyBiLQW5RokWJpzz
DAo4O8sjcI17hNThZD5JfrwkcL1D3I/Y/wMf6m2qsNRuu/kIozi5mvo3w0oPg73crEbYe9Pl7HRn
87Wl37beGJk0S5PltpPGDhVx6DvfFhvYqMnIkh+m5uZw1PD0gbHSV/otMAZUaZ5qfb4AuIG6m61k
miPy0GnbP4G8YY9tTw2TBEiNx4Rcy/Vbqd0keX/WkQcF1Y5VQVLnHG6QSoBrdb9LSqhbBkFaHIhe
2wVD/KAXp9RrSDE/umQw0vc13WZPFNjOcPtdx2NwP6mk20/Ns2Y/bccwToKDjc3QckAbLgEJRUdf
dsD07huXIMV0Zvh6Oc14HZd3Q7/IvTZ0Nh+W9rBkEIaL98Urz/QycjL7bBkhtvnfPOPd5RGYesTk
Mpiqz2OeEg517aIxKq8JIx31Uz7QKjTYqla++uckV6Hefj8Byvp5GP2w9ewAyks4QuXoxcVkhGaG
oYBU15JQ+cIbd5NcDisyREc2NHjciJ4upMqzPJnDHrKuvmWRkrlh4ZqzdD46/Jx1poVgnoa1fPCK
4SBhqQFdsEMLBH3hWseZpJoe6wpi84UPb+bNzudoW8eRJfUmWn73hXGOPr4m9p1kD0nvmKjGLDYO
7vKWyTbMKHhMfidb4GbC2Yefwk4uisQPa2IXLGozXq6SDtlf1ilTMTmeT7m7nqEqF/2hMg+9RAWP
XxZImhEnkRrbo+vcDKPFVu4etyPVnL5DJqHbsXNjCtK1inEjejIHQfZ7PGKFzaOYPBEjGw4svb2e
78l59wyiqmyo7mNyNOmBJbYXKFJQPIrHRZ7ZmX8iVGWHZWWXo5GVDE07Ag2q/m4V9n1hPipbXZrW
iHXcOTMaGpCPnqx2rWfCZjGDXkYZdFtyVXdlfJfzSTztRsYGdprbdnwDDkz1RYazzlhQP1MLJQHx
qJO7n7z+rPcx9FHFivLbODnUI0j3anFXWaQmNNPJwPkqmm+1fnSGu6ZTu8wET0sMn0kgLnizPMdy
mbykgDEXPSMzRAMXIU7Sv6H8m7yvkC1QPVHX+YG7ckQaT613PdpGaK9HQkMJ9eIQL30Oau3BTp/H
+QGd3gkDzM6f5H1eEO6goNxUQ9CJa7AzkQuEd+zftJrvy3qZRoxEvgyXaTqTcXK/lZTgfqOtiVj2
MKUQFMjmreqfm7w5CmrNJb8GKLMfxk96Kh9xJoUrMDYHxiL1ndkftfiy96PEe1I0HddOBmlCNhGl
pk3iHmMUzQg89BgU3QsF6TKgOtkCAbAiTLPLUr0piEwzZ9bKcrdSjnrjsysuE7bZXj0Tx0HznXVJ
JvNgrZHliA1uGC7ipdbPeg1INL95NRKteKpoEMbasDfFjXHMobkSuyLkU6vJs6Rnj63zJ5987gmq
tpfaGzk/GI3i2gUc7hAdZ1broS1Jq4aCbC70W0crBCQVagXJuMUC6Ka/bg0vSJz5mPmIe52T2VG3
YHRwHH7GON27ZQ/F98S3hfT0acwejepbRa2kZRAzHVIjdOtELCuQ4yfkldFaG2F2X8zvNteeth6P
M3HwPAVNcw7Dsp5Jhm/IdQJddrdaf9fm6ynGZFBBs0O9FzjpETRRSBOJ3FawoNWyW8058qp7joYe
OxiopAd9ArvEKi1Oyjtvtc8GneTtrQz0NQ3tJic1zuW+QqJgRAgv3oKOsoo8H/ttmuzAM/jZ6kCu
WK34UJe5iRAzgTrU9iykvaSqTQxiXziHcm62JOBFCQ5h4T7by31pVSH4r2DNa1Si7wYIYba8EY8X
FcQB39dOwjloA/eLt54p/zhZeHDtS6gZ5/HwmOvHccI43B1ydVT6pwk1Ijj/NsXy61Yn27rW7MOM
Gm267bQwVcdEPzTxmTVcmPM9jJs2PhZUBZ5x4XZNKAY4OORu9hAEeu1rP7/E3L2ofXwbOAIqvpxM
hNzeZc5hal/X6qnZXqcsrsoue9WIM1Z2+4rqKIhxBGRP5OyGHmggqvt9Pz90bnJBWmWoWLS+DgIz
w7Gd6MB6rnN7IbgOGGeTgFpzrzTu38Au9ythfJ2qX730mCsRanN7PkykRq17iztsHiX6/GDUp9q5
Uvkn5b4aong0OiewjG8lBuGFQIGsDhdJCNLMOoUfImMsgVxMpAjXV2Kcgnzd44qPuRDJ9GRC7tbi
CB7bDv1xjKBy0cFkuGzgOTsRkB3/duULQ8UROIYbQvneCZbqPPawYInDIcsAsLTBISP4jXbDvt2Q
kLTjpXHWsZnazaEczKMyHlffuhW1DX1I8mOBjtmp/ez5OzIdnlu2+qkGi871Sjb3c38xju3O9UEY
xc2FUdBeU7sBcqQ3SbyOL1zur0zMfVX7GM9fNW256s3ypMGtQKlE5mb+Dew4Lj7skPJU+RFdCb6Y
T5pJzprvRxViVruYg0GvLn14//HMRpyPMCC5zj9MxJ4SWkF7YYx6k/sKy7oBUNTN0HL5/N7C/Ugy
xLBgq+tDULfJYayyh7Ru2U22Qy4/Wwl19KGClSqOGBVFDlCgCl63LwLSukueD6FUUcdiz5jYzDxd
k09oAy1t1+pSiCZCRRYVHDGFAqehOM+Jr6/9EtQ12PTsbNAJkW4WCBpwoQBOmfW5qjh866DILYoT
rOpQiwABXmn8liV9lSH+1s5lyFAQbTQEY/eGhPDG6ZgIbbFVfBYzKC1SnCyN0Q2IZGEfStTym6cN
Q92FyY1fi7OvSreDTfiUlw1K5OYI8mxf6t6V3KoUs7/O0hnWhx6m1tFYyj0BqGFTsHr05tJK6hCG
J5d2qHrj0xzDqO6zyIlZqeA8NDN0svmqyCk78/KyGa7LnPKj7KJ5u7XO1WeSo67GLjnBn493JZHT
uaKQGN97tkwGpGdk250SkHoeehpKxGBub1bwYX2Z7dGpnXwKUcijXpNErlO+o2gi8asI2gr9RPdK
puleoDYD8A6OEHKVy+lQGgFZTfuJZ+RB0FXans140M9NfQ1nbByJlu4t51Pp3Y84AFXC8Ve9sJqt
ODAW/WCV/S4bZJiD5YMDHBbxa29sqp/yaC1clesVauJTxxSYeLmoqB/X6pFLgWh64nftvVWs7GH7
rvmcFJAV1GW5ai9JR96vZZy32UvivZQ5JSWA62m5NOcaxGlfXMNrvJrAkcBqPGyDVppwtlWcAWoL
yyr9ay7zrzrP/wtgwP8OT/X/ElZgawz/7eD+pS9Ne+Zz9f5TY3r7C381pgXtZ6Sv26AOz4Bjblfh
/zAF+BOmLqRbbrZJBzjw341p2wJfShMZN6WLTAEq1d+NaaK6dS68TOHIF0IE6v0rsukHkRz+yE0K
hbeLBjdOAP57P99odci8HSYPPdCIqV0jc830YQ+qtIo5vzRuq5vkhKyxHBr52nITMPPcnA9iFN2f
1EA/Dxi/vxVsrNijLUiuRJp/uMorq53aHhVpMBbdEvErAATVdXcQz/+dJPnXV/owynGJdVjGRuhB
ORMYR9AjA9O8y66dVOjRDyvhH/py//SAAdH6prfZlf1fNLtwAYteqww9qNZBHVZyEOCOW03op+hq
KknhSkAIUEM/M3eJmMXeH9Xy+vs38U9P9sf38OHJrhZbL1IbcPquTK9Ns4WpVaUMuA2uRL9/qQ8d
km09mQZR8kyIjc2o+mF0aS+qnOKG9eStC9a7zscFNEP9p0/KD0GjBzBP/R/adNvX9UMP6Ptrkohl
83PYTIreh49Huhl8S8nHy/gW5U4jriUSmiYD3HDalZbrUN4l3dvff9LvpLaPL8swcNP5oYAwPgpg
FoIsqxy8BR1OVT97NJkvuLOsWdSrCQZqbc4xDRa3Alxqe50fWn5c6Kdu6Tz1uqw65DU7ockUlbrT
cQWHnGuBF860+35YNRLZ9KS5buj/w+paoEbeuKRRucHvP8Q/rQzsB/ADmJgZxkerRJFjlESFZgSu
lYsFhYZUB78oUx3s1Fh/+v2L4eT99ZtCQ87jAqDC9vXRf0CgqA+fliK6JiIOQhBqc58dJk1vie+U
3o741iYOlVVoRTAlwr1w7VZQDjZ2Azhnjem0ImGNp6CZt/hcQw6UjBpavhCAptsyEqnM4ajwSlYh
2FgLpN46zA+oqGg78dzrR+RSc/kIHzKVgZ+MBLADXK48tFSWUkgpIeILMuYZ5xheBauspNdKPo8i
98tNM8CYpgegx23obh01hKoUm1mrmlAf0yq9gbUMMKBpqV0JgW2Ngj5Bvr5W5JVSOWVgAS87b+SG
7A6Jdt/ZysI6Z8sGlUm12lxDMPkFZjsRMRg32BX9VfPejETfdDWt0QG/8lrvzpg9nGHuyCV6MHoJ
Qku2w4g8QA5jhCpGy8N5NPKXQW/9m9EsCeOmf9M82hAk3MtJqfqWWF27PCzkWrLDF6v76A9NMqO6
LMS12/XtJx4TDhhvEuM7mBJ32Y9WkhJVtcbot3o3sb9Oltxc2oaKmScWRf/mWIv7nJaj84JZjeFH
jWHgrLGH9Q0GB9zOwqjNFzvH4NxlhHGSYjLdqrpz6Ve0cf6ag1Twwq5aQd6TEDLcDvksZFjWjf20
0HKhgYBu/T7rCH1HlVjr97hPtyIsrtW9lzfe3eqikCLRXSz48DNvsBhsIX9u7LqoGIuUI104wCkw
QLx+gJ/VuS3MPjKYYX8p5b6B7I6zw5pr6bchs+jmZZaWX1gkwQ7QgU2mKmZeTeraTnpxRgrdxLyJ
jQpPvu4WkYOzhf5H7frWSr2b6OrgoN5yzmRVW9ZZ6ikRc5MqJ5UdHNPLHqu4E27gYbAfNwBFTq58
7XaPPdoHk0xY36Lg3qwgJws7U713Ve+gQ/QktLJRxfZs7hTsGf5ZZvWpuJqqLa2dRu0G4+jACURd
2c63ia5XIug5abZMPSydgRGDywjLuS7eTJmngKe7DGl2J3VwfP6ihteGrN52r2naqgckd9rLcelX
MFkZRGCfItcdHk1OsgVT6IJdgIMNDf2arjlsScftPxdtnBj0MW2LmXNO8oRaM/D6yhfaVQIzyD4K
2dKG6BzMjpc5EQVOWImG8pUUPsZRXtkMTkg4H0th8Bbst5yPrl+d22Bms8e6pZzijrj1ZypnbYnK
zmdvuYzdZdIuRTcuy/OMVEBFAAntdt9Uwzx/jXsk5adkkvyPgBzUn8FCflHxRfAjswJ/KvqrmqDj
EWlXLNW1GEQur/Vuor8E76k+t5JFIoGJk1G/bVrNfLb1AXDY6ix1d4jhzhBiweqUwSToDrJFVQs8
O90HBsES8J/1ZmkQjrST60OYJMQxEEbsr6d57oY00NyMFQyStgi5rFj3lSEkIS5TakrANL5OcnZP
WoXMdZCOQ7owO61bXxuPTlLY+PIMnR2ETbO2jWdbM+UN/Ybpi2GPK+i9skkBDOdVHLevteN0K1fZ
acwr/VIK1Qrsl0YHQz4249Y9ErrqoAFQanCID2m6VjTGDmuBa3FJ08aF4YFOqim5qMSVkbAVa6UO
PSVJnYditLnb+vOKVrmvbAuUmYSKcSnGvCwPk9WwCEdha3UYZ8noAf+Yh4cWHIM8lqRhAZDTPZSB
I/8x/EGEezwvNrdnwlUaMmO0YXQIbjbH5FCTL1JeWn2TiyMJ7X19PwKbh7eZVc5TPjrqwVGVf6EZ
HQQ218GvPOfGZkWxreS87sZ5L3NHgmPD/TbryBQlwr7Hvjbje0vOxJslrbJDQgMJjCnmEui63Maj
GyF9marlrpdN/yjHpb5QPjpAZ/LUU6wtIz/nJOY66USd6IcI9/8lGOb5KsuKz8SGkNrbEgYbVVOz
0rrv6If1BZdW6au9JSaXWzfJJHLQ0LkmXVk8APlX+s4eDf18gf3Z5l4e6U27W6fsU5I5SWiZhafD
GxrsY12O6V7rfP8lH+kpr25y26nBpkfY2Bel78eX6cpEkLDbva1oakyz7pxrncfYul7Vng0oP3NG
xB3rst6T7EfkmEveb4VxHdGD7kT0PPPItFSk3J50ehd+vaXodOoeeWC0jft9mhdyP+jNMXbb53bd
UmWsZvY+9yU8O7cuyuNYDeMJHHTxyZ/FjLLCUnSN2Ljm2fYOflKwq7jGukSNNb9Vfv2c53Fx7NA3
LGbLESAgzederJq9a8/ZZTZXzS51zf487xtTh3gWv1o02YlhmohTHz03/mL406kytfiYV+LNmxqb
W3RpvNJM1YKBfNSd22OyoPeggwLPJn0HZuM5nifnOe7X5sFk1yMFffVutWUFmKuYZJnu+C2TWPY1
X573ffs2uwQBIIm8rckO95M6OxD99gwW62by0YcDSoOLsT2rvCiGKIGpwRyepNQAXgH00KJSp1h2
JGzb8qxPjQdRmFaA17yB3Y2Sm/68e8ysmJlVLhBKpC1QUA3ExkhtQE65ZekvgGgG+npdshwMeN9X
mVdZ+JWXFS0OKdSMYhU4W5W3r1bVyvtKEIzCGH5o7bCLZ09EbtLcFETZ74dWxScq2QeEp8bVlNqc
OKKtrvHGn2EVPZYNnHCvr7/ISVxlfnwmOgDwA7S5kzfU61mduNcpmsLAH3tswvQ9Y9eHw1Rt28ok
kyULKX8vGlXJb1SK3pfvmWSlT36zdHxyfzRrPc9A2TMlGgUzBKY+7AaoRFAUljTeUGXzgxMXcmEk
tRRWHFmdPDXQwe/tybyGN/ZVH/k7GK/F0e6zQNX6t6ly9hRpw3Wj0clTlXdQwuyDRivfYkafobWl
2UAmu5akTb3MNmhwa5W3ObdeeskZEbBCkMmpN1p9u+oMjoxurhguFnuzdzsSxuA2e/QJ3b6NRmem
rTquAZcdAZx1iKgG41NqTyKsC09FhArf1haoCumWr0mvvHsTZEXuMdrVdHg3WAF2fuxdxjYMTLf5
bPmKS4zW39MfPKF3DfpEvgxm/LAghycnigieWhchvcrPZcb5tiEEd0MbX5UFHcm0aSNyGeU5gC62
GKqecTDe+pYSvJ1qL3BbQz/InHLZjAsvpK+scz+1tMDvBf+ySqz4kGSZuT371Hkh4WwgWnX5phcw
RySal34kyCvtvjQl8DMRgz3rnTQAqE9knbu8WrocI4n8YNV8uvPewn67IAWnIEbPnyYeibHJ9OjN
aepEA/Ebh6ozFUNRZ5qCqW6ZrJdzp1Usd3+gSvWJIGeuXHcvpM6RRSYtBFRiBAW3m4eFba8lIyPw
8i49liMB8CmStfslnatnOTki3rnA/3lqZVKiVTGlR3TjJPSvLpF/KwOAkXGIwZprgyJ1NIabazkA
W7VHHn1VTHZIfeJUJ0P2Am6oZq/ji0+4bXqgE936p4ZsmKtMLbEFhQLhG6GsDcnksW8eod/IM8EJ
zE0vdhgrdZ2YTzo2I4T+BMYS9jpmrJy+yt2d5UvzS2I4RRHYOvwfkv7M7huPsSAceqgYY+CMeO/Q
1tCwjkeLnMeWUN4tPXKS+34a3Fd/nC1IytViq1ODD/2qp9fDY9T0+CHTt940WSzizlvSog5Mzciu
9IGWetgBm9kGRQYHAb0owaK2+5TRg5PLHZ8yi6OmEy0wFl8fUBd5MZWvsPF0bllvRh8qYAFPXH3v
ialKSACgiYPYZGoJURGVzIBEJw3/X1kKeVGjNPmtiQ2ccmNPBEzYEFYyHJK61dudQ0rIyTAZlCBg
WqLJjgWCbxuQTzZq/fPkux0xkEvFU3JFR9tq8plQB42XOBdpYQ462idF/MAkq46VztEFXNsYyyfH
XdKnNClZqHD63AfDmznGMKsTqCadROEOjGNaxU2f8ayWErlzrBG30SxudSOX1reAvcSSsyHJZ16c
ZN1XN2sZSCsMfEfGNct4GoTVfo2Fm76WU6VuYSROhGqhHSzGBsXiVFetGbmFbz8PXUwVWFTtesh7
oyZC0lrdOWgmWmY7kfkOJMR1NL4omfrPVuyzHxV2krHv5hqid5Pgs0fcWQiEOhYm0xSzmO4st63f
c0WSPRfclv73OLew2WsuBYG1dorrymjZbeT7vVUhujPqr523WK96GdsPplMCMK4BZdVAGO0m3kHn
6saQtB/8UnLeaAXEmU/vRDGbHdj4Xva7wVHGHUkqw20S22V6RiDPeFdMFAc7GkOaOpBEknNcTk6B
Sq4fp11qeuuXuLTr20VLmhI4VFI8xbVo31ShrzAjLXLk+ZU1NmshaR9ISBu4+DpkeYctIx4igZl7
AE4eeyYLc+1QswzrmpihH9vWq1PFpICMs0jftF53HU7cmFgNPlAPqhnFHATv2bwdzYY7kDW4fR9S
Iqwv3lq3aF48t+J+PailOvSiKR7nPjbcnVGV1TtRrRaay6Rr71Qxcz/V16rGkc9OS6wqYNH3FhPl
GsSLPrmoQhLHgoDHHCCal4WKdF0nEhpX4o4vUlNpU8gkW/tUIIUjAm3VGsS8xWaXVd7c53t4oDOE
+rxgfjcMC5cqO+404timcUZKU3gQuJTguJBTlhBILQr7zmTW4jFSasVjsbhID4zeG7mpDaBYGVMC
dDxKR6/aSBNdc1I0HpP9MiTGxB3PMU6lvSTwhWQ2zPsVlf/AIFb4y6VdjBDKMY5mTxpzKnfnZpa8
dSlbjZ1mTx1qJ9BgTdiCsUGnbGJzowGx3Yy0Ll+/emY/gjGv44oaXyntDqvVls7auwVGobgDZWo3
3fToaJ3DgNHnY1JgV+2tsaYJ86tpyfsjzAm3POiE5912w+xbwTr3OmO2nAgPFpagg6zyYYDlP/Vs
5+ilW65rao9wYiZuvHG85zi1oYS5NSfUnogTMe57I84RoP89Cfin/u/W8PypS0gA2RYs4YNz/d4D
5s9/UMI5teU0sVkyDyKs5W61m+xU0hQixNCv0VaYIxHag+mjlBk8ndRl7s/1VUMw4d5wGu1B9Hl7
2Sdb2tbv39gvjVre14YBQeGOxh0r5M/vK/XtPs+3OZUwl08qzUbqc2ZK9ZikhEWv+h/cbv/wchYA
ZVrhAletYWyNyB8eQ560nTPOBF/6/5e6M1mOG0m39Ktc6z3KAMds1rcXMXMIDqJEDRsYJVKYJ8fg
Djx9f8jK6isG1Yyr6lVvMisrBw8ADof7/5/zHbck7hCAE71yZLNI+n8ulpszJeETWaBphTZFaIsK
pHB8yzwV6jmiikVquikQlSTqntoaS/ljGVf1FliaMX3zFW34p3bU8Lfc3jtT6PxNVZXCDLtjqiyO
77gn97YClkCVkf7CxBq+eN7xlPaeif6pUmc0iW/uK7hCUwgPiQ/EHkSir+/r6GXEay9DaYkioC3t
HOXZAEG/99ShRb69fX/a/ObSlotC/wg1CvDsyXP0h64w3aW+L4gYRxGT6Cvee1Ziwzinvn0z1MJ8
AyxtMfsxQZknQ9n4qiQsA4aKSar3TTY1FclGpPtY7j8RxX/U2PzvdS3/v8tlXMxj/2fB+k3rUsJ3
fipeNy/5V/4mont4Z1Dwhh6PGtIUMIt/dS8N2/oHvFn6BiBSeMkW7uvfsYyOWFqeTBAUsuKfkTn/
8TcR3Tb/wUzF6+rS7wSgCxjhT9J0mNz/tbYyAt7vJVBHkPIYetapNprdUzE7pHqv4y73b8BLpffQ
JNpdMMbpJe3vmsal40SrtsrTozl4ycMv9+o3i/tJC2h5EcC94wYDFYO+nuXt9dunmjitEqrda36p
8QkyNduxAVlK41T6YqT+umrqie2503fpjYuvmAMKFZrtHIzsMvFszlfa9ZrHciIkLW3YkbTaVh8F
WWrzHhy1iyCg8rcVvJwzC+RJX3L56XyN6NFx3+icUSd+/dNbqpa0hjk8et6ky8NkpmCju7ThGDFR
F/0ytWIodqE2aNr10SzSCxpaVn41aYGe6P37+Hq15rfgcrQpa0NdxRnFsvL6t5Dv3hWt0HqtXZcD
flwNlnfw6kVl3NQ5VYyc5TzDk5iGChmMydbo/R9wyoRf7gYrDBGjQJxwnZ4uo+00dWWcEF1UQy+d
t+E4sM1ySPY1dzRJs+90E9ydbzlZQFhjOddQwsYxOsiw7M29bsiRuwRxOk47YbjRtC4MMyu2hYqp
TTspeZ9XwlTqnB79xCa73DfWfF5L8MPucvdOph9V9dyz+kyxZ04glSfjjPek1KGGMVCA1EBSGGbJ
pRk5o3FXOlNIhDxhiTqmg1B76F5FobptT7uNvr6FnxZmFmT0xzM3d1HFv3pNlx+KLpOnu/SKvBPV
fBCmeN2jeVjzJuWa020wPJiyznfNYKJXM0XbE8EtiMU8ZLMhkhssKUm210RbRithzq3edrO0kAxV
bUBGVWcrcYZRby82ite/EacCH+zAweDMvVym6C/7E6a5mGRNRHVYu7G8LVq7kess6Zci4qS8GXXb
VIOBCh22R0AjSP0OCoq2BlDuQzU0HKVilQWXMyTU712Cvo/CZ66uWrf4nrXZEi+uc/mhdnu4GWQq
kJVY8c0k3d1QkbmdJFGflI0yaB50HCLSY/joR58Q36lPPlUgF3P3cjbxwC/FZ/YQ1mvvEPOIQiQb
VGyQnOWJKDt5QP5cIB0dfDo02A+ItQ5EPKxK02TXrMySLNg6ahGOK+VkWzUJ83MSjEQ1QXWjWUvc
BNUNkYlzLmha+CcPBY8v1Gu2Gg4mTHZ0Jw+lRVZHSQ0ppyPrgnSLWrUXMHZ1tgmpClXfM1Fysvej
tBquirK/INS2zraZsqkK9sFdWEEYB0Cg1YXfoAHkrLEj3lA+DuagPk52+CWsXPuiiFJFv7ccrGTd
l42/7aTU12FfcTatcCr5orpNLTQUwAf6Cqlj2e9tU2aIvgPzYz1Wz1WFzNL2i08FUISbSS5iP+pj
2daIsL25+FOIrFfbyfTXteX0WBVstQOP8HNsPRoiTfVNm6QyIiivmytlyI4IysYxD0KiPmajVV7J
QPJLDBBrVdvPEPvCOHnOJV301djye5mqfrDtTA2qBFQOxOOp6HbTvHSg/AGukMa7RRbGPgacfJgb
3TxYXvxAfdtaxcyIQ6EByzq6aDFhRRUS/Lht9o32giejLax1FtsJWYqpRVJ55H1jKb3sbEmkDY3+
w1Sb8cGtRHWpkcVSLvShHemeVIg1JYqRHJ9YuJ9bjwZz7hsPc0ZNsYOzf1FYU7wn3oYE5NQnphx1
I51xpT40tfgURm1+Kxq6+lbKiRiZOpFupdwbaXU9IU36IkttfJOjEyfM1YyuGPGlMxlzylPuJVGf
w4se2va5RPjr6m7LsTPfd4Uu7oyg19s2iMqHJumhfIZ6Zw7Vi61F221BNMfBRsM2QRxrevM9PaTs
uymB3a01nU6XkkyU/ez6zn9uOQPchc7gfZY6Cl4aOSO6p2hJ3lafGDdO5qX7pjuy7xBOOVx4/gys
tq7VyjWrK9PtqBVSeuIMynPYOvB4qIuD3tlkoGBW5AWn96rv1UU8y+jCrsuy3isSp29GCCkYZFCA
r+aQLvOo6gu7CzzSvJpqL0YvebQnKrbVbF9lRFBT3lHOZZyD/VypsnD2w5jg7x0XespE2DyHdpQR
TTv+IFtWQoNzK/kE4Ut+F8oWTFDlzLsgFdWD21Nu6SktYOBkZ0O9EhL9U1jRcxgSA7Npj2gh6Jr+
M9IxrJPGoiQRJmG9q0AYZE1zXlF3QThQgUc7FKzaocBk4uXOkPEm5VW3y7Xny4uk03DDModoujL9
Ehuu/RBQIdtC8Gy/s7DmB+WI9lui6uIOegipXyaHLGtCocxNx41bIqTIWWA/YkcVmIF8j1IJpGzE
uAIvhiFy8cldLBgJaEr2QJpXNqRFeFG2Q45PrZ2PMYU0FCVmvhZJeixcMIZh4oSHyvUQhY6EBKba
dPatGr435jx8sgQzloQ+oS9V6sndGNB5KEvUmEWk7uj7f8UXgxDaDOQFBdHEXXN+dLezsNTXes7T
+3CMIvrQuXUfIK74QFvAuBCjqjaTR/lJlj7qdZXIj5pSRrcpfdS/bGru+Kv0MTOr7JD7uF5WWAb9
Cxqo8UfcZvr7SE3wSz9R4CALl7je0m/qm2m05oOV9/xBJ+j7QB7KZ6vOu5RiTlZ97fNpPEzw1EnH
GqdDJDWVnL6IKFzblSw+5bO+twvsUdrwpu/hTIpyO/XfS8d9CdsWN1VjG8mVLc3ioZRtfjOIbPyp
09Zk72tn9bXhxOE+yozk0AUzrPTZ5vHZuQrUhs4bmnW+c5/Kbn6WaTp8ceBhfSitUq2cwg4uMYTr
dTIvN0FzH0l/UQDRyhJjJJLJkFxFq9zqjOIarFOC+BzpTPvYSuKt5VCEt4SBTWweU9Vuu7avHkUe
2Mj00eO7fqmv7brzDhYpzpciap6sPhrvERBklxQM9Z6Os7/zXCO/kdozt40CETtUsnuMqia6LpQU
F1OQTQhAxv6uLboc9AujKf5p7FE4JPISC7kc9bT1aQfv4w6REDsw9Rlddn+Ty3J0915cS3cXFZ03
76Y8bW8DxBoY61UvVyUZ0C9m2vQjPVnW/bxMb7yOg4Ty+nBrsIfiz+GOHOMX1IjIiIOq2qalJ++G
jCjgBLnXuvOyjA739IgyAqxS3UfQBLT3xQHHsqO2TL0ubxGrDMCp6nVnZraBYdG1OFiN97EU+ZEG
cvLBUkICwojyGgt/Qa2OLlV6gXDIfGw5mF1HteFdU8SHJ0DkPGmiyE/3pJ5jPndT/2DV2vgh/fEl
DbE/RakILtnxT8QujvzBj1jRVpGlSFGv0owuP+cA2Tb1NqdxvtMyEKQ1WwZZLoPzbHR2eB0k5YBC
ph/G23QQu6W1mxnN8KkDLrl3R9P72NSu2PW6GS6wpIhvfljuusCn6Jz0s/XiNiHTfxLVXeTEcs8m
VH/VQzPf0JsYbgDSoWEC4H7hNbTvV22TI+osGn1lpzPwAjm1h7FvF0mKJTBrevZVSocFxVnzeZzD
8NKwY6Rj0ILq6yZycJ4kBV2eIM2v0oJT18w82aOMqi6dyh4PpR5BR0dFLdl2iJfGcxTNP1XgQ2dt
CcYyWwetDj66lk2mOWny+Fa0sHZkqdcPvNnF1YwCrltLCZopYAeOTt2ecC/OznbC5/CIUdS8Sevc
/6rt0sctG1np1gYmuJ4iTa14zDkItfTBPppRLR/b2LS/QGxllfcJ73qxOJjekR1Nm7UrB+AvusdO
xdv8JEbnoQxSWqt8hLTfhw9RruW3YSzih5Hy4E811/lLHDbJfZpG5FYRZH8IOjqPKzQ6Eq8Dvd01
xV594Xn4OtImee493B15jsXZjvDkpWnYbGqZ5Md+eWbCiQmyHCu+VXnapIcM9Pkqz3hF7MlsH+oU
VkY2O+wuwJ3a+0zPpIOPi5XFHtP4XghZ4+t38xTLaCiuhOgo+jeV4f5ogC48RPbYE/ytoulRjY1x
j/YjIU8TKRe9K+Kuv6DGwICBV/wB5j/Chzqd4FmWwXMiYI5vEF+yAjh0OzA2mNOdW6P579KysS8n
5Bu3BrIJhE5VQmWaFws7Schbvxv0lFyXIxDGAQ0rZAdzeh4g0GMiKScpdjQx/a8iVkserkUVe8X2
L/jkIHMBB2KH2ZKsxZC2K7N+Fxql1pf0BrLg0UVrSiTsEPLFpLzI264oZ4Ys2pLQsB3H8ZCKOepW
wsI0IqN7kEvTZDNDvSY5tDH6TDhzovEO9DCnO2ZHToQYjCy1y1rPCzfKnEZ3J5ARletYBDXuwz78
ZCVD+SzsvjmMHPZ+xi2+F/YWUOD0MMd3BDlhvBgXN5BELjiw7oQDigDfozEzVNUx8Qk8XycWyfVm
Hyy2ypEtT+y3X/nyJtcNdeCDmWZhvM404KL9YDrRtDG7nu8GTSxvHxkp3v3ebpLrLLTIWpcZXsi8
Z3+z4ctTfy3b2Ndby6+iT54MumGHWnBu1iAmarUZZwvbnW94rdjF4Vg898oOPpEHZtxoJfkPD0uj
mv9mbTxFfLYwmyBNzFdZ4McfYYFGT+Yc+HgVbaPcI4DR+HdQc35SKWy3PXVV/2sFLLZba8Cf/d4K
p1BuUrblEhNl4j+FGfIOJEHsCImCRf2B+tDvzWRt1l1+Y8D2ADEK3pT2MbrJAOqDrD9oNtvsSSDB
oRIxErPaqJbWyapJRXJdEEV/s+DZivXyuS7Wk4JyeJlHVfDJam3tooUEM39FowvsYz7kYfatQqJL
tEVRGZemaQz9nu3BMO+zya3h+zIMUBNMgcWVSmasyUhZ8YANMjIfgy5Hk0AjjnZyERvMV0EKF/QC
s4V5RwoImBenatAz2uxbUmw3pf+IAIWgKEPzRLdBM7hq57cBm+NKlbi+o7oP2ZWbhX/vNFZ6g6UV
HWaY8bSKwkSqiKGPIGS0K0dj0MHXROLj2URDYG8rD/t+PWvYIYl31wKMuWxEZjyJxMLHg9GUG5YV
WWcsvSIMuqgGQark+oGuG5+G0rNwhUkn/NwsDfug9tpyW+tJXg1DbD9pFu+buiC3L6QWCQRFGzWa
R6dnyUukg1GoLDlzDghzmn3u9UO/npKZZu4coK/b8dNtb6edkQBdA/cA+cAYJbvt+3WZE7QEFSMX
3Jegju9C0qKSe9KmaOmVdWOEs99vcebhG+T0k8aIffIsbPZhmdGVK5BsgF4ZMu9pzGYbPajCncEn
WoT92i/6uL8lAM9wtlbgxuUKRKqL7M0VaFDmtB++DuAAvbWRq/LKnGL0630yYvCqmf5gAA1EluvR
bItLVRSOsWdpCSdOakMBoSWZwx5jHyqWZb+Qu+u0LFA9vn8T3tTQgEZR2qboyLxzPYBirws/LZzX
2uQMDZA6i38QXVJW6zHq6pdJIaDjp6i1aTfWPdJ+Nvx80Mnc9GYiA3s3t47opbJbq0gdZm3q6DNZ
IG+KtPw4OPZwuimcha5z+uNMhOR9Q0IhH5M2+xRHFgc/iUkelXLZluO1ioNsXwDST7f9nLk1EYkt
RCDDaTmbvX+jXjealvIibSZwwLTT6N+9wfjHjRDoNkZoTdNEa3eUVyXqkm3s2T2RVJl7ZnK+bv78
czhAjFQNaWxBGzx5LE4VdgQameUqmpyn3tDNY+91EBZ7LzzTof3tSOFC9LBC4Fz+iQOqjGvCs2Ii
toyU5MJ0Cs3LtkzUug/Hv7nYf9Rm+n/xzy0D/aibSaZx0nf/63/+PfDS1Xn1F9uqT3viuF7k9OGl
G4r+Xz2W5Z/87/7Nv9FrH6cG9NqPGmHm8l8jobB63SyiWPhOf+mpGZ7+4+ZF/ccebd0Lj+blr992
8fyf/8MK+Vf/pre54T+w/+BEwYVCzWgpv/7LJGf+I0AADMucTwD/g7/zd5vJ4O+wPcFMwtPj3+K7
xaT9JXrX42kChLPAIf3FdvvXXfi7s8MN/L9m5SwV0P8qD9NGxjKCD4bcAxsmNtDB16uEsrVpaLr8
1x0FVFr1dm/8rCzYa7/cnL+H/ZXitKy4J8MAPrZIkwJUTjn6dC5Gc00GQBNcGz1aE9vM5o0j+/pG
NlX1GTK087nuDXFhW6X5GTOedwYE+fYq6WQhCsCqiPuQlKPXV4mYQ3ZsIOJjZc7sQHLSebFrfXj/
Gn83CCBFGi107/DFnXx1EhOhVG3FyZEmIRyNCRBMIQAPvD/K67d6eWAhtkkil9mgLH9efsUv9XyD
ymcUTmlyNDUpEzTeS5puc7kxgvJc6sjvLgheuElpji4g7cDXQ+VDy7SWQ3LMpmz4EdaBsTNLCdDh
/Sv63TAkGdCvw04qSLh7PUyfBO4UDlyRHsse2Q/e4cKFh/D+KKeYy+XG+eglEO7T2iTMbrmxv9y4
dOxqwxrN5BiHdXPsbCR9tW0WuzoSL6rDnSA7L9jawxDsFLa0zahhlEiid/98Li7dZdoRNmgP8GWv
fwe6QCcy2Dwekw4ufhKU7maY/eKMM/L1V+2vaeLbeF89NkP4B08NaeFUlZG2RXJsc/NZkZeFrKm5
dxu6s5MA2fv+zf3NIwRqyzxhqbItwrdeX9PAPUc/7SXHdHAGyps2orhOt2dau7+Z+kRn4it2mPq8
ySd3jrPH6NEYyY42cv89UZok2JfTCzGs6sxL9uZ6lmYZrXyL9L1FHXAyJctcWgWxMOWxr3J4Bgzc
HaKws86sGG8eErx0dkBLb87lLXNOVsWoh0BLlYYVYy5TPBtl/uzFTY8csAzuiREZ//QxMR5KmuUB
kadL3f31Y5osu1Oyo+YbzYSdkuULDcEOyu0fTgZsowT68MzZhZOvt1z1Ly9aWwwcxTKnPGrhWhcz
p1kE07l9ZpS37/NfwywJTLzSFJRP5lztcoXSj2AseIjTpXYwSYhWP6dYknZJH4vbaR7v7aDtfjaj
rG8jMZJvPdfT7k8v1wXB6iMIWQJBxGk0SeoWU43dODk6iTNtk8F45jiu//jJcYE4gInS4utli5Mn
V3SiHtqUFywk430bVTLdUPk/13d/O+1fj3Iy7Wscdl1hT8kRh1i4TgTVnRic/5lrefMa80lZXi72
HZw6bPdklHDSQUFdpzyWhnA2GOWmb0ViDFvkAMHd+8/m90NBcV80IeyAl7//y1Q060AFtW+WRxgY
3oNtJ9gqRKv6x9yjm796f7Bl+Xm1x3H4irECLpoTdtzuyWCzxNxZ04M4lrK4w/TjXbSLSD0C4GiZ
47pozRkNrRrPbK3ePjSGRUi4RB6yipwqPOx80mMfE50QWLEBfCrFxjrl5xLB3t5JRiGiCyA7CyLT
/fWdBDGWNYbl1scW6kOzHoUxlFft3OGqmnro5Bd/fC9JD+AVBh6xHOFP7qWf2XM3znlz9DukPtuo
nYvHAodARBl4Dm5ifw6eJ2PwjroxgOq9P/jbZZnNCHtuiA2ADfhMv77WWPoOkiC/PdZ9b1UbRPA+
mvRKZl9R7dnfUO5l1pkPzpvby86HSh2fT4dODR7r10MK2k6Iq8uOrHW3wyxYxHcchgnLiSz3DMHy
zXxhKDYgFoAONJxv1IcGlUTfa+r+SFS1+Omo1LppyC4+V3/4zRWxv1mgBX9pj4KTr4Cahmm2qmI8
ou0fr5wypxc+dPFFbETRlz98Xn+J1Hy2dLzjPrKF1zevDnPpGK4csKCXHcaPhKqLpgo6B0Z/cCzI
XO+P95tLo37H6YsNq8U5frnDv6wqcY1tPwm74WgILqhrwn5TyQr8RaP9My/3mzVluTRUUD6bAw6J
pwIWpp7UZj4MR3ZD1pMyCzhmCA+uteurm2omLQCg0uht/TJ2z2Ty/WaecC9ZVQjCsKCXnBQq5hmX
cN9Zw1Fhp92hCLCokSbzmUrQayUM+9TlAn8Z5eTZeW3axkMohqNdml8H1IVb4SxOPGAIH/GWqvUc
ZepP95F/jck+mx4FKXjByQfIruxmxsvFlQW5v3FSkLJZItG04BL4N2YK5beAI37IJuXkSOiJOR7t
3h+OYYOPrLYx/3ZuSeyoZ53bhvx2UrI+ezRy2O6f1pUqVWtyR7zhOBM7haLINL+YkTlfphhgzjyz
E1nVXw+NjzHwnnABk7CUvH4BMPKPKk7FeAwMMgRXeA6ymxm26+XSskOPqkV10A1mNLpWIaysBkDq
i9/K6raViABk4iK6ev9O/2a2kjjIcSpEnMvu9uQnNaZuTT6E43FScP7mCF2IM6bRmc/S70ZB6W8u
y8wSS3LyPCEBGP3cM8o8QoswWuzWOdvQ7fvX8ub7s8xLhyIJ5R0+RMHJzjZNdD9MwsVdrvjUpnwC
96iy2gvfKtovQ9dlf7yekfvhcsgnOQrLRLBMrV/WMzWFSWf05nyk2wdFlQeFcAd45myJZvOnl8ak
cdhFEJULy/uveLlfhpo6v6rnwjGPmSlZtsquE7QagS0kG6NVfrQuMl2eq/C+XUTp7wdsJMjJE5g1
TuZG7Jc09aw4PDqDxuWTEdSb7g0cj5I8nyBq4Nr01XhXkBhbHwsKL+dgNG8XOU55i5cBHyFt61NJ
8pAIs7WG1Dh6gQwuld9Yt4RrdPuys6g704uBc5h1ESj69+/22+nqUG7jlfDZFmIBW37XL3fbTdyI
alUdHWdm2ZYmHOjhmnzCPx1l+TpQ0QBSTY3tdDUw8bxorw6iY4TsZjc5gtyBFKPt+6NQLuTXvtpf
E2SNhBmcEy8FJqyTT4XbGE7Bgxa37cgNu9e+pjsDDtoN7uOwkmjdKJYiiWpna76OQymcyxKmCsGc
WRPqkhZuU45r1Dad2s7RbHqYv2UR1NCyIppdN91gUxghM800LpByS3tDg5nYrtKOEWa6oEkeDY/e
+WaYbKc45E3UiI0k+ZMHacWyonXctN1m0CkAfcdUQUpqfJ253+j6ltO6Aen8uahEmt8BV+IdE+ji
vasq6lLo8rHOG+QN6UC32mzotu/kWA7ZU5qPCu7rKJzoLsGdFt7Skuh+up1EfQ+nxkiuqzponAtR
hUN/T3+paTczHSvQ1q1XmAe7L80c4MvQfYnL2fc3ZQDW4DoIoiKETWAjnPI6O0FkjUZlvE6tork2
TV089r1PiENGpSr96E0uXlWSGekA2lMhbhKoBOltgupwwvI9B986ykufDUEhaz+HeY9N11N1TJ9V
RcPnIm9z45peZwa6PYggHW2nKYqs+0xZbkumWuAHtzNabrXDAOU/2c5kBZukrIL8oq66ukU7NQTz
ofUbhT6lgG+7SbNR+JBzQuIYRicD2VBJdMq7SBgaPYm2ik1DascXifIVBdzgl/W2c/hUQam0YYTG
YZQ+NYk5wGk1XSx8PRXdC6OP82xjdZ3ZrRpdGqjK8qj7HinhfegVqtEt28kxvTZ7B3JD0zjhy4hF
cYYKVuDPS3tODPsoIWd3M3tG4xyNaqS3m8++QnMXduwTt+AVHP+2tA2cr61RDP53vodOtjJyf0CS
XBVuG2wbf7YxmhshsUVz0H33ZN0IQCF5MeycTsX5PSZwoUGNlqb4pinLJS+zHyrgTakb1Psiwlm9
JZK+8VcJreBhN2uHJHffzWB1RYDzwl3n5gqCMbZigswo2uUzZ3CgHpfCFZ0HGtyGtwJkNBiwlYYj
fuiqb2FR9LlpgJadFcLVLicE+8orfFqaYyHl8G2arLbbhUrZRGvmtkR7I+xGAZc22q5DJeDq6ipA
zMqNN1ymezZ2ZXolu6pAfuUZvfWs4FNUDSBrUBTHgchw7Asd/Wa+F20kLnrXRH+KV7sxnlBi1NWq
IfOUPF9h1sV+7NKlgxsX3j3dhIQufUrh11x5URu7F16YiHjnFw1om3mI+uYizfmXV1NGhtl2XkxF
66ZXBAjzpXSIphqLFrQzp6ZoqwazufPiSnmYL2ly3KJP7tFdjI0IvsRFgQJuRftBVo+zRYDWM83U
Kv6CvEwoYMpFrBvIp2aZDDjpc4+sCCPQdvfUFK3bf8h526dro+GUs8/9kvp33yCXIPk60VEjNzOS
0Od0rHonJQGkxsjc7MBngU66nF17IitH/Ywj47tOqLflVtGTujI0lxJK20tiuV976d/GIRocr3Ef
JgWU2ohcdE3SNbe+25U/u0FXu74SA07GKURsad+Q7GNNSG7ksEcWfDML8bnqHKYSGBsC7sRtnxoO
rnPapJ8mtiirlNr6JaKKPQHi9Nwjqs3mMNM9j+LmJmottQtnpK9Zi+Ugq4GYC/CqK5Sa7X0G33oD
qZHOPLpA7DrQcpRvHPD1VjdRStnOmNyfOpaIjFPvmMl4WA+Ra3wo29q5KER4ayNW345KxwSI298n
2vFk3BjXttujka6qZudS0dr3gxVjKqf1NC05zoURjV9o9R78IGsItEztj4Oqr0M0AbiZF7TFnGUH
NrTjGnDR3ewk2Wbokd1NY47SOfKX/3vBs89yH3RTd4s9OmNHHEOZ9ypwsVb5zS5dax2TFgbeidSZ
0e12Oo3aK4oc8ZdIZeSR6elLZwnKbdhpVjMH80svKZDGttluDsoXMht2hYqig9N70ZSE66bVVkd3
wrbDgzXYrbuWXgnDYkUDT9UPDRlHxmbI+qG+U2UWzocepG5x73jSDdekAVjGJetkOFx6RTymBxnD
t1h7Mgnq23qKVPVDz9Ws7ya0cO7GNGQd6HVmppV6meRUjz/zdBLjhzCvY4gQGPqpwlMlsfcNEYLi
BdtmOYEWw24+f1yCwEkXMA1kv5fwOAL5o6ixBdyZNU424gYiAVOpIan6spwG0nLoaBcf0D2m/r5Q
sw31JRvK8mBlFke2kZKRuwMuFNc/UQoQnLtO+NZiXyonqmTD2lHavo5i3/lhzX4aPkUs0lDQO7Md
tl5FBOyqrgILdr/MU6DOGbYeCMS8UW6zRowiCqiO/uitRKC9L2NhDOqar5cfrYIkS/KNIeL8Bk1p
KLcUqQKMAt0YPpZJiX/HMbr6OQyrhhSI3pj1VYjQ11uc+wi1aq0CwNGtUTqHxBpDQhLcuSGQIgET
uOqFmXBaqkznZ9VH4JNU6YJkGtiRFltVZOk3Pum2XJEp2FagXYbkEqoOeqe8tUGVCGLPy12rCvNO
D5iuUVAODlc61IbzEXFO8qMtFcnC5shX5bol2YbPIMC4fIMOYzBvenfBTARVWnUb7gubtynQTsMx
IG6Qg4EG2ABhWigk8UR/DK2k491VupzlAXlcCiddG23eo+xNwgkN2Bwm11InJslBNf4mfQ1aDQx7
UvultymFtIwLoBSkQpjSBlVTjR4qbEi/BWi7stBht6H4ZcV6NbQZHzCvdN37VmoCmGJrqD40ISUf
vsxmPt0ijSXjqG7dzvkwVEEs72RLFtNmTvHlbTJbkcvDso73PGxs9Nu9hKyxgQ3htYfUUla0V36t
xCWW3NG4L+1Gk7TSms03dgXeXVLQbyWKSZFAm8V6SLcFm/xv7PLN8rLlleRAL6BKPw+J2V47Oh6x
daRJIWZUeo2brfshz0eNAjxFChXNkVvtdSt6b12PSeQs3AGJOwmMD5kidj4UrIgB5CcbHENyMMD3
JDuEK8ojFwNtWrLq2h6RPi0yNZFeRItkJ1m5fk6jyEgry2T6AHavf+xko+W4GvWyl0AdBlwqaHIj
Wju61iDhU5dZ4zqyND5UdtuGWL8mvgttHI0oNjurY5ng09IQ3osS+NldNpoX41iBk87SJKPhgokN
ToXgNVX7lhyO6WiZmlDhZq7sGWpcCe1HlOTBo33LcKqUGSXAjVRek1+EvZE8pn6Jz8MGDfhQzWaK
ZaJu23ofDFH4nKYW3IAOFRkPr49oORP+GT9RNmmrw8SevtoVWQ7ezY4h063eP2m8Oa1RcLNo5bCo
ClpL7snxu0t0GljpmNyQDxLfZHVTs7ZY1S0fMuxLop+mlTMo+8yob+o3f41Klh6bP5qPpy1UNvW5
rKchuUGkWV1I1LBbKOT+EqF+7gLf1BeWocAwU2Cgskhd8fWxkOK5ZTXwA25AJSDhM8z8OAUO1Rog
mGItRZ2eMSG+OYcyIEUT3NTI0BbF1+sB/XgRgtX4H3Vp+wC/XesrFMj6TNnkt6PQsSWq1cb4G5yc
ds0WSbsGMXhjzfidDoBVvOg2BEibnKnq/W6gpfyLPZVzIG2R15czes4o86ZPb1rXbi9E0YGXnjK5
f38a/m5CcKwG50id0sUK/nqUpu/gOdTYq9GuxIcQOQJOy6w6+oV3rkDyuwnBdHBppVKooAfxeih0
j2zWlcLJTTh6X5AC41QA7NnqfaXN++XfuC7mHRZf3i3qr68Hy+rElyg+0puqK5xbM1btj7mD9GJP
+CTeH+q3D4p6lom0b9FKnRS2qqIqarsvKE5adsxHVqJ/fISLmowf/42BKL7S/WPZoFT/+poKJ03h
8zrpTRRVpMB4hu892qRg9//GFF80AyiZKCejWTwZh68CpLgsuynrfPjsT57uN/XcFNWflnQC5FJU
c3iN+BNStNfjzG0ViXlgQviJO2zixMJ04gfnKANvHw9dVh9z+QJG5ymdjNIRJsjXFBMVHlB9jcDT
vC69vDgj/Hn7HmElp1rkLLUhns5JH6PApqLNcPSPQw1yI0Iws2YTBGipKsQfP57XQ51UqICHjgGG
Av/oq8E6tmYV3NKcOkcif3vboMmzw0BWyNKAGuD1wwlgSbVOpcIjSG3/oh2gJUYcec+Uut/eNmQG
9D+ZA8w2cdpWHsMC4HUh45tmRDM61SUhdJ3TEhdRtOH/5uy8duXGsbZ9RQSUw2mlHewtt+22u90n
QgdbOVPx6r+HHuD/d6mEErbHB42ZxphFilxcXOsN6dc3nx9k8elGgk0B1rgukLqDa2R94UeByCOt
/VCCFSxAtjvW5f44G1f71TiryL04qCThWxEH0sD9Yyhxie2+C7fCZS+0l0vnRfLtUdwEHkLXXBn4
sv2uP1Y2SS9RCXiA+hg0HQO8+DNWAEbyONpz/O/96W3sDAtInpIfgV6OTMn1YOhOpyKLtDhICvQt
XV1Cw0Lnu/5xf5jbrUG5GGiZicKGg/bTahUpfqL9S7YadFGefltwTL/YfcVbPxfLsFPC3htLFYVf
lbDxMvOE5yxZMCTG8hFsqXWqOm1EhgyP9PvTul09VVa2CUlIrygo+PVQPdW+MJqmJJCFGX6lMKBf
6K+6O3fS1oRUl05pyDDauhlROLVptUmRYn6UdO5Zd3C5/wT9Ox2OfrZ45s4x3pwUnwqIrw0uZR0s
tFCPXLs3ySLGkYrApDTk9N7ZSV5VLnJVmvcAfHHFcjMp5JeSzHn9lZABrDS756INB8QoFRlNawhK
9vDYal71vvfG9D2cWJjjVjVR/dALTN3uf72NdfVYVCCx2MQSGldfDzFU6kBzkwZuR8mcJ9sSJkdU
E6o/kJm39iw91N92M2Gl4UDXgwRNW0V6K7LqMRZtGli92V14BdHkdGp5tKwsfXbSXr6Lys5ARoWO
7/15bnxQTyPVAMJHB5L/XC91MkARRHU3DdI5h1DXwG3sR2Pe2aVbo2AJqrgD6s8aAmN7EwbVjUyD
BOzjH46WxsWJ/zGJdo63uuLX66jTd1TLSMtzvXEQEONJPLGOwhyXz4606s+pG4VHJ+TVVVP/9XcG
3NomJFCcPUjCQCDVD3oVTwqU1FFkFUlQdwBvZ08Ml7wT/rN0ff3z/S+lvsTN3AjCjrpFIbusEnhs
L9BHscIkyCIYd5yJCAzpSz0Y2tcqdeHzL8New29zduqDkVU5ClV6PbuRanyeiCQN7EG3UO4Ny2dX
TAL1X4St789u6wTQzSSBx/GCPG51AtpEgtuYiGN9IvPPTtzk7xopiudRCbgOug15rA1r1DTg7p/v
D705SzheaqKUQ9xVRjdRFkeaLkyDSXe6v0xfpjAHOsQfaS6Ecq87vrlFPV/XbLanTYS7XtM4LprZ
Y4zA6z39GNZmfYqXLDuXg16+c7TF+nZ/dpvb5tV4q21TwFXNNOpeQTHOFt34/HsETfZQTGn6TOOq
eI+zbrGD6NhaUYOv6SupPZ6aqxU1yzwefaEqm2E4vwvT2BsPOP6V38LYRH35/gRX5C+eSFwSr0db
bR3KTnS3UiMN9LarrdNUNriZDiL8Le2RFEfpPqanSCEYqZse8i+eJ39AH9nLLH6KSK3PpyJhKSCL
kjRc1Xnwo198OMbcxONIxbPM3fI/qIPUk6RrUrEdKrRyj6VD05AWVjV+bG0j/K1P6ugRhnP6NEFY
Q/y5tOudEL+1A2AvAvUlCzEsfxWjPK/DZifV0mDW+xij63TsLqWOS54iJ/fZw1i6/3DZ1ztVms1N
YJFB8f9VCJTVxgOaEIZ9TyO8t+n1VKX5dUlRcGpyR+zEjq3bhfcYWZaC2YOwvD5SjSfa0JPEDnOi
OTSEWM4686Bd7u+zrQhFcYu27c/UZI0XkLCHy66f06ACOBNosdN9ziGGvjesscBSRfrvzNCSjzqe
HjsQy82VtBHOAxFMyctfraTVZlrdlYhOZ35mn/1uac6RMZjPYE6anb2i/qr1JgZQYpiOrahHazA1
F1ifkIZnwTK13wufrSqRP//eNabxjdrf/BDH3vyt8qriOz3PbgcjuHmGTNIfKGQAum1DbeVX12mu
RQ3/JkQ0hDfBgxCFhNKypPANjaluP2d1Iv9wCzunaz/q/2FK9m0uB+tSe735udUE3d/YHpdvb//w
sFFsMCLgtBDZuv5R2Ty3lI5JkbTKpHja6jp2ofUi/zbGeaBUl5d/0VXoPgkMnXYWZGvPQenRuHux
h7fX2dloZoNfacDhXMyckAdJXfxxq5Q+2aktNBRvhGnT+NW1zK1OOd4V/c7R2oodpm8bILngP1O+
uZ67MMOYx0CXBsaS6R8aoBVf4BmlLzrCu6dOi+0HPx6wI7+/4lt3JFh+OCyUENWZvh7Vb9KJ6lud
BnlpYWhlV1almlex+DBQKX8yS13sHO6tI2ZRS6ZkQNoPx/l6RBxrEKHLljRoTb1B97joK/+UT4gU
HtwE06ZfWFbceXm0KQA8mcf1cMMSaoWX+1xZMfaAOX4p/3RZBG7Hj5P4Mo6j/yPmpfX1F5YV1qQy
VzQd56dK56vTBWumdxLIkkGPrI5E/x6rJwznKVIoomR/MXu9+3J/yK115WWqqSowKet6XSeZVjOK
dww5meUHN46m+VS30RADRbeyj78wGJRocNvwhHi2Xa8q/ggLgt+Sx73d5l/tHnTgpZqS/B+ksmmg
3x/sFrVK2sFgGlx4GJjoq16PNvnol/tIUQddxTtGpBmWFOBYz3RklyOyB5h9WfrHROvKk5ti0DVj
NBOkUedWB4GW1C8EbkB53BCgpig2rHaUKlP1GM1k9F777FtYSDSSqpjiJPmOF5jZ1Hzo+yx0Dtgb
1+/x2euinV9wy6BSC0KsgpDLTUUMv16QBhoRdtf8BMQ58InSO216vwy4OqOVuXyoPV8kaCeMv0ld
Wu/RtdCRLtB7SAnjuPcO3IqbIKTpA/Eko1CrAsyrnY48Y9yYmMIGCK57FwpXVYyOf9S862sPi7Y+
9v+1piJ/qavK2dsX6ruvr1DFDgYrYZiAtFf7omv7OcpFlgdlAToVYydh/Sm9tP9TSDttj87cdQ/m
0OPit4y1rJWVASYoooFRvRPUtoI3rymqGDBB2KirPZGiYZehep0Feq/EdZOW/tIRmVVa0Ase7/1F
ZlH4QwjsA3Zyv62RXRp0Bs8cIuq6sSCZVymIZwrjo+NFWJdafO6FtD7lPdAEPNTQy+ptOe+VzLfi
Dcxi1fK0iTjW6q62Jr+arVFwc2Bm916fmvFoIdz/aTCSXdnNje8Ml5MtRmLGVI3rPSZQWkqActBu
ANx+CSdZIq6nO0/gfsW7roi/puWg7azr9vT+/5irTLez0VJN6jILNCpj78Y5+gSWoHwXVnXxdD+8
qROy3sVULelZo8sOJl/9klcnqALi12igDYIQFzlUmYxsXh6asseKCZ1PZE/HXrQ72c7mmJASUdGG
9HajLYvxC/Skuc6w6KMdj0DZ0osDJxzmVGbiWD64e9f+VpwgoVTJlceOWddoJ4F/X2YaWTAl4Naw
fwMNZ5Rh82gYmfNudJNYHjpuyZPAnW4nUGydEVQcqPZReqBvqf79qxWOB9Bbg8H+EVH7XGlhgNE3
pA6n/yiSsDvNxV6dY/Oh/HrEVYAufTfHvCXNgtIAP2uRep26GtUYAOXts4t5x2lxy2+FMfkPhkRY
O4lRh7u/rbaeah7tH7J7uDrE5utJU7MFDFuzrYyitB8SX8MHxAmHnXLj5md1fIs0539M2utR8iU2
l6ZA7SkulUkGtf1DlzneKRJD/H4Asn4Z5OzV+MWCvb0/wc0T+mro1Vd1Yo8HVKjTzKA7LA6+k8df
Gg/M40FzFYj4/miby6nUB9ShAUCw+qLolg2oJOV5MIslRCNvGMis6mac9qobW9MCKKeQ8qAUkEG+
XlFDUpDXEaELWq/GZiZ17EkC/tULCgqtBib+/rw2hyMbV2Q/h+K0+vevzkZt1EuSRh471aHjgLxw
3vwBCLb7IZwQtfX7g20tIm871ZpWnRpzlTai6BuLckGpkr+6PnXg9ZFrneKdPbk5JY/oxq6nfbIm
y8MM6CoMtPNA0tPAVQhnKuPBLGP5eexcr/uFFxSpIIx4OEwIfKySENHRJff7Ng/6ysw+S0vO31rT
j/9EnsVC15ISwi9UmXiwoRGhQ/zhrbpKNsJSL1G4WPLAdoVLjl/UD4MvwSLmQNOPVTxbvyGVOT/e
/3Ybq+rDceUxQwFe2S9cbxRpo4ZoliRb1mKGIxrUZk7zEHwaItCdsfO+2MpwIbj+fIwjwQm19no0
IjamlAbVnzbH57gfnO45sfL8CQnAGTFStAalERbvU5Bn9cFuteYkrM79M9e7cmc3bVyVaEfTMUJ/
gTC3RlQ4XShyImiOf5o11U8Ix4EoDAsNrGibLObvEqnVv+4v9cZ9he6QKs/D6mJbrc5kW0JYGJaR
nI466z96hSoynAENW+7B/ADlK7wAgHeHnUiwcTgpWyq+KmdTg8B2veT4h/pVj3JdYJXLLE5t7Eow
kqOBv+f96W3VnohwcJkp8ii5nVVuBQnRFVXZFgEOMVZ2xpKdBpxjVPmXRVY8l4H0p4/p0BzTwU5x
GDWLU9xEsKtRX3lBg7Z5xBdZ/Hb/V219Z9U1Q4GOVzsQ0+vpLy3q3rygiwDwk36WzZDkB6FXzQNE
Gu0JMmr97f6AW0kCXkCq+GfxkL4hYxrhKIdiIU6RAYVHWUr/uNTGDNNBGxWrQjtmNICReO5BxWqs
2O+ayMqdaW/tNUIlqSf9GC6B1b1Gfwl4kM+xpqy6/J40y9+eyOdHYQ3u5xq8/oXttqe3oHbSKuNF
PEt1613mglPL9VJPGcJ6I13nwCvM+ROGoc7yrqZ832ItKrH6M/M/MlpSM0ifHoVbVK7M5ev9xd/6
2qSDlLLhFdLUX8XQGrMlzZ441ZOOTd2hHkvLPtk8D7+7bTnId/7SIwF5f8ytpcZ7SVeuBjzb11pW
bYvzcGY5edCJfPiCAbl4QiXeenFn3NplronHGDrg5RcGpVxPqZnGMzpKq7We7NlsZVQErjFUZwhc
4kGbE3jGudagOz3Jb2Mm5M6mWkkY/mwUUcrkFJmUQ6CMqljzKqsQuQxzKewiMNOk+oNibwJg3B2/
tks1Pmgm+uZeMp+B7i8HYYXRyUHZ6UhLp37SFxmfvbayHqoa8t79xdiMPDaiiuwYsDoINlz/LuSf
E2K2VgSlB4VgENI/Acsbk6MHJuAodHhfoQlLaEA69mQZHU3Qcj7AAA2PVTMjTqvF6c69urUTeZbw
kiaFQJBm9ZPmdK5HvMeLgDazi0v8ABWV1ekVCTHRWm4ZnP70nYXYOoGq7aBe0/xzXa/QZRWHjm8U
Afr8+sVuG+PJBzLzBIW/uUw2mAHfEw5+pLjGH+DuzXsbZOssYLfETiEZRHpnFQLyBPPLkq5z4FiI
TZzGnj7dYTBNaATg2ZcHf47tFzYXJqW18jGh8I19QnIgqLRHTAab57Rr5x/oE1PjmFqv+i+UUQ1p
yRjz/+5vGrVXr6MVp069cFS3Ec+P1W2MQFBrpSEQ0b7Wxv4IW0L/YuYtBgT3x7lNsGD6qn4mkZEi
57oDkaUTeiqqtyYbqnYz/9XmEqz76lnPXeiK90fbmBVMQUCCatsx2GrbNUvvQ1dwAPPmFqbdTVxh
82lFSTO+Oa1g3RCU0ogCJI9r3IZZl4WFOzRdeGTj4ZNVxQlxhT0pOnVNrT4Spg2geugaklTclIgM
s2O2lBdogFcJ8C+v9k7ASJIea2oz/orBYQGDDp8eGlp4/gx/31/O2wPFbYYzoHrakB6v8Rv4UNtA
w5IsAGnl/ubDXFrO+Flr0Z+1aPHtcaAe/9sJN+FqkbLr8GHHs/jNF4y6Un/iS3UFAVY/8lXUbWI6
EokYs8BNZryeUPEdacIjqM6J0WcQTwgVw7LOjW/3J38bwrjQAB8oEDVnZJ064fAbVaQqPOvayQiP
6KIt0XnqvGJ+sAuGP8WDVb8dEcqgIF0t3lx89jXyoUQWsjYmvnhr5ct/lAOXozvYuLnmZvOeh3ny
Z+MPe8qsGzMF/E6DjkaLEsNapQ1CRE7d9xQ9HWv0qfOSvqMJkpfQLs3JT6BC5Zq381U34oLKR8kU
da5UNEmuv2oa53GRLZRYFg069qkvBjd7xA2qMQ9eIfrf3/wtVVNDoSkJeNZPV6rXe4hqQBV6BY9L
ZzShCpfwmxZvEl+8To4B1XYpdgLExvzoQKJ1aNmEV8Bd1/PDfghbUT/MA92QmvO0SA1jIkn7pf6K
3kP75uvW5UEFVhyhDsqt6w7/YqW9PRtmGZj5Up00NBaCoWihp1HKerDoUnx583pSlNd4TwCVoz69
uuiQTMtKz8thwqYO5jbSRF7cN+bvpdN10xGB211VzturFW0oJQai0F24rawyPpHHeoovcxlArDDQ
6Z7CDyHCHbj3zPmjPfT+Oz/X9T143sZ9QnmAAExFApzQuhdDrSIGPLuUAQHI+CIgzP3TNPH8dH81
N0dBBkt5HPIR13wXvY2w5QGeH1RTVZ1jsxuOnhj30sSNU87aQd1h/RQcb7UjUW8tG6uZKqAZvIex
twBvhH2GnRqXxfBi49IZM84A96d2Oyj4VxiB6CrxMIGLcn0MzDhqk77zywADaPuTGy/WZ3xtyu+4
xdqf86p37NP9AW/XEoYSLz5AogrmvqYppaXSo9XMKugdR5z7Gno4DjFip4+yNS3kW6m606VDO3C1
G8vIstLY8RgFsyAsp3NY4EUVwr5tKRUvhnn5hVkpGAcQEJVwrL5dOoeu9FAJCBwxmi+xhIxpVvPO
bX97xPj70akHZkvfEYv0628lhaDL1mZNMOZl+lyGS34Oo2Hgni0M4LZdMv0ZRl6o72yR20iphqV0
giAuzJh1r7UOwWpOpl8HCKgMH7Ba159pjSMIgMNFJt6+PYAZoRNlgoYBGLJayAQN79CI4iZoneHf
vi76hzl6u84NSpLsPHXSfGQZ1rujgRo++8PYBmnf4L1N6bv5c+6o/J3v74qNXUhq7SM5Cu70Vo1t
DksryiloBYYBnWyo3egZH9cfRl6XwSTqPaj37XBEYGr4+DcCrEFJ73p/zBW2QzJbxiCuom9T47lH
oXUfHXvwsEXf1cG/zX1/xvufORh14bXeWyGbUkPbYgp03I3Aq4VajaV8KjM8Kkv/fTkUMb4TUVM0
57H0x702/O1hIFhCn6K3x8VKRed6sl4JtL/MmpkTjgB06bV/SH35GoGnwgR0/FDWWnN549fkUgPq
qHAuFBh4mF2P2NsmdIvGFy9x60J7n6yzMJC1iEuP+23R35ox/BwN225eMDrru4pgutbBQat18ZLk
uBLyQJNQ0BJ8yrjwnfoQEh92Rrw55xScSfh+PgQNmk2rFU2mXqvyhhcnUm6Lc5pw5ZWHKDTc/1ot
nvZ8DW7uAUbj3laPJiZHLn29mjRhTVAUij0zzNXBmnrx0ernPcDh1pyUVj7i5xwIaw1ZwY8mUn67
STBOC/IeHm7rXuGJZ5GX41uTBCakqG+cdyWMvw4qeWynJVrJadBUU/0Mkic/z/po7LTQ1Ue4enEy
CkKb6j1H4nNDUSXah4ONFlPQU175vQIwioZrklJMlEUUlv+MZZJp+aFDiSV615vhVB3crDX8PWW7
rYUlj6XZxfIh06eiw6uEPRZaiAkMmHpKjmF17g0ML0/IPNjDS+o7/U4g3doswDPJZ4mjlBXVr3k1
mt8Ndu/aA6/5UnkYaVqFoX1VSrlz+2zNihtBAejIxGhJXI+Dh10xg7MBUJO7Keq7feL9l3jGctRD
lGt+aTCwIxTgeNqt8dOhDHUYHQwGCHSgauCn0Rm1gPbTUhTznkbt7QoSRLB0Bq5todx3g7jUoqmI
Iwruw1xb5wQxDxwNFv+tXaufa8fVDRxQ3QmrDGVEz0c6o6AHWjQ+jC67lQkSFGb6L9T05IPhFOmb
Tx1fi+uOPhkVEH2deBU1kinUx4qAboXiAY1uKS6yqNAAe2v0B7FCiQwSCaEVssz11hjSMoztltpl
m8uhQatGL8QB2aZqPrlDnWAx3ag6x/1Bby451pMzxvfioco0V6cMex1LT5oiCqLKEkGiCe0i0NhC
+aUtMK/tvhldbO5kmTdZBE1AnvwqjFGpvmmTpbRI0gTkL66teE3Jtra+VX4zfuLmwIAqRPlxZ5K3
h44dqTxFaLiCgF5bD9Re5U/TSIMiw0jSO/mV2/0rtGj+vRUz6jD3V/R2dvRC6MB4QPeAv7urS66p
NCt2wM0FeOaK6mgYrVafxhpTXTR43BhJKhuHoZ1ayu1nRL4ARIyCefPOWgtopL6VO04h88Bf7PAZ
7WYkwvLZkp8M0seDTJUP+dAn+s5dcXvmLbRyOe80+siQ1uAnVMx6JMZoO/gYDR6EnwLPnNz2zWkR
7EwYZLy1VGd1rY7rlMDxFpcOZuYu36UZJz/ysuy/elbZAEalhf75/hdcbRd6xDzpUHVUKGAY5+sT
v4CG7IRRTS/E1PCoq/6dh7LSKZbYLN8farWAaih2pEH7Ctgrrtyr60ADPKXVnjO/lKizf26TyqGi
uiQ7edfWKDRi8NLhF1NuWx1y/KpiHE/n6UWzOuol3D/n1DLznY1vqdj7KnNQk1EHmiox2BTIoKs7
1A7Hqa1ie35RfJ7saOppY5xLv0XKMWk4Kyd/6Nzp6Dbu/COSRl0dgLo47yMeh2Ywosv4TY8q91Ol
SWVDXxamcXCkMu+znC4RZ+agiUMEImxQjo9p/zRqSIw9W1Uq5Es3cEKO1Vg0+YXuszU+GLNZxRct
DwvnQ9+OzXAyrNj/7ruFNdN+GXn6HWbLjaL3mFh28QtmmF159vGEGo+R1mqslMXj7VEDdjM/lX5T
fMmy2F0OYVub09v2+M+1A8pP1k+FiyO1+kQ4E9eINHnaS9OX3VOY1/4Zo1e01vy0QVWtMd5GCFLj
UTQH3kNLhrf+uiqjF5mwBK6aL+bYWEfdrO2zAjceejyD9/bF7bbwdIN0h1ubJvE65aEzMThzuOgv
WiblAc8+lCi7aO/2VAu02nweoHG6jWxBxGVXC2i5qNNl7WS+YGEiUFjEJvwyup1+jvRMHI25/yFT
3aku8wCF7s2HmIVUCZYLeOmm7W+KcSiSKZ9eGrssTqUoo4+akbs7O2QV4vlilDXBXFG4oxlCKZIF
eJWhmuhnOhPCJy8obf3uJIhoTZ52aMr4e4SszGEO9142t1HDMjh5tAgVgIIW7vWAouxHpy2F/pIi
G/jYpeWX2ar3KHGbg/wU9KBIotK660H8qutl6jTGSySB8PdYR1+IF8vp/he6jejUxg0quFSYfDpp
q6xR5rU0Bb3zF0AQYXUZ6qWzD4CrqY+jRrvLJtz4VBTRIMWjPgwwdz0p18VIcQ4H62WKff1bj3Lh
kwkt/hnEQvTSQM2/TNmc7tzFG3MED8uwUFcAWa3luoStdzNCfdYLj2Lxn+W14ZcFk9HyhH9K87Ys
nL0IqJvTZinXHjpVq3aRPc560qae9YJIGNrmws5OVh3DLkMC8BTSlNs5Yauc6n/jqQac0lKgLqJ2
0au9nxXOGIUUZF7SMBtPU2gXR3fq0JCshv6AtOT08f5+uf2AKiP+6feBeQONx+vxkiqBOIhWxgu5
sDscw9ms5ZMrvLJ90v3Obd518HQA6+dFZu/kqrdxzDZprsFpwA5DFWauh5YaKd646PZLgiTpMZy0
8B+A0IClwEk9TG00f7JgMx4nfdgTEdtYZIUqBZpLBQCWqHk9ckpHO5o9tILop46nOg0lgpJziJos
UnhlOTlv/qhUTYjUNo0IdTusNhGEbCzGXepPsRuVByjk2UO2JPHRTPJsODTDPPy4/1VvYw3joXnO
QxgALU+B6wnO/hJbeSLFC6tvHaQs0QXxmr32wxriyWZlGChUamL0PW50iqbFytzMES+2sIPSypZT
N9R/j7b2w5YYB3uJ/JzEXndytfnDqNuPXjpNO5toVcP530+AusIhZbbEveuZghsH8ElmE/SW08cn
Zwqd8TM27K6PdKTvSfRg0RUoHtD2jsPvva6jGulqiCnuxN3bc8TrjkYMby6etXTRr3/HYhlNnCVZ
FPhN6B/mtq91+vRd/bdTQ8CtU5iLVjw1e0WW2+krx0MeX1QqeRStFW0G159olBZJUDmz8wg5oJvP
Vl3U2qGLDWdG3VJz/jaN2bYP9WLKL6XeWN/futdoZVBYNVUjist6dYxdt9XcZASeFiMy9dJlenq2
y2bc2dG3R5Zakir9Y7PEhltjrNLJDbMcvHBQCkM7jOn4TO/IO/iDeAZHsFcruD0/jEZ9DDiEY/GW
WB1YgpVs0kgWAVY65bfMLK2z56fj4/2V+/kauc7k1DAsHiJ5qHyt6+4xWuLWYogqSFJvcYxDw+pl
h7alMPrQ93ryvSotbTn55VgjPyoQRR+fIxQxxpNXolbp1NrgHp0Cx6TPyLz5/0V0SfSD7gM/Pqad
1lSnWfcj84mI46Y73I2tJaLazO1L20C1Dq43fJH2blX2fhGkeu8caf6Lo1uh8Ht/iW6vegBOykkR
whF445ti5YRDzeyHZeDiV4avp+ecxhDv5xoY9OX+UDcToqgHegsYLyknT7tVftaHi1OXblgFUveT
4zjE4ughFLvTTL2JE4zCWWFP8Qai/7eKV1WY9qWejzUHtkguTWuSSrQzZuBhiNnOATD8cOkdI97Z
ahuTU3oW5EvQtZnmakOb5pg7KJk0gXTkcuxED+vW0qfzm5eQ9xXvYfxxqVquS5Z5MSUZftw0VUN9
OMpOYh5v1cnp/ig3ewKROhVl6QRyn+Kbcr3zUHe3kyYZmQsSwI/L7KQvOanNicrPXtPxdigEkn7m
mvB0ob2tlm1asIIZ/KUOlrFzHrreck9D5EBbFPGbLxASIKgn0DOo3ikE3PWsqMRkJuq+TdDrk/EH
3yZDBQXrwXPazFNyaMY+RPZmMd6a36phDUj8NJgVknA1Q02mpRHXbROkhqmcsOcUGfdw+RZmcXHx
i1y8ka0Eq5MBAS2QSvPWuimeJ7JRlYiyCTQvrx89UNoPcZbJc5+5b2z7/RyKxVTYTzrGVA2vl3Sy
9d7KW52hEr1+1FKkOrvE6s8ZtaF3KVKuH+9vzNtDhqYKyRCVO1542L9cj2e5deqL0GwC4MnOuSrs
8lLo4o0g0//NigohRwDIPyWU61HspreSfPCbAAlS7RR5enHIR2e52MZc7+StmxOiDEmbDBtbyGzX
Q7l65oxy8ZpgsfXwb5BW42+dnJedGH8bElm2V6OsPhMtL7wTkF4KoInYx8Rx5XQ0U6PFFwNc63/C
Hv/tnSH98gsfC1V6Fav4ZOuHXeOWtg6xuw2WyIueR6W4bmJo8fYVZLsDYuEdicbC2sbZtmQo4tZp
gx5pX45yip1KnMxvjohkJArarKTHoB2u7uIQMf6m9djoXZhmRwv52MBrounZxZ7gt/vLthERcRKn
gaZ4x1wRqz0OcDGCuLY0QTT40ee8XbSnWY/fRXMy7FxZmyNRUwAOq7C361JuQtnOLqXboN6p9Sev
85KDHqfecU7oL9yf1MY+V55YxF3QMgq+fb3PSWOkORRpG8gpEseiNsqLEZmffmEQKpGqmkD3dZ3B
FprTO11ctoGuXvayWMaDnPW9w3STJ//cCaS+ii1CEXIVz9sBnf26H9hwnNSnpkbnv5mxMCFZa56i
otxzn976SoYCyqgsFgdbdbhf1SvchKqW38/MKgmnlDxw7sWlFIn80A921e/sia0PBXIQNJoSEaFg
dz2aCdU0LOalhf5t1g9JpGE+bOP9c/9Lbc/p/42yxoaFPtQ0NFbboEuS9kSZvzw2Kd40VRx9vz/S
1nzoIJDEkJiZYACu5wMHUS4UJtugFcnwlI6LdYy6KTz/wii8EPlIbL8byHNklBVChH4b1EjbnVp9
/lcvcJX4hUGUWA7dEDL2daaetM0oojHrgtCIcRYe5fgQz/bbk3SSZ24+Pg4IwRvsL8qDnt97VRcA
mPD+0s3B9p8sjDqNh1+YDQRYxXHjLl8/arGiks4SFh1Kse2yHPxs0pxDW5bNnnTq5g4AVvuTU0Yz
RO3FV+dH+raE0JWwbMU8n3gauAcMyt78niVmK8gCIHvEsbjzrkfJe3tKBgtpObyuzHNYd5hHuUAx
3rxovNGUqA5SVPAYjNUoA9hou3UQsMsH/ZimiTiZdf/2CEcyAp5Eueupf65GiYbUwULUhjWAFcVv
RpJo/8KEMz9Gi8yeJoLQ3/dnpfKpq0c6ZSXmQ5+PchdV9dXl6pVD5U4eYOzFrbX+sYplIz6P8dwv
L+E4V81LOYWhc0lc3LofaUTL6M0pOpVDKsFom/EEATp9vaxjwZJP1lAHWdtRoo2jSP9e57hKHmGH
iT8RGOr3IuDtLcKrhxE9/sGeWScUlp/ilTVbHDMymP5YlsIqLuAYlgfTxgzl4BpFsVcOvh1T6V4p
0DaVGzKl1UnQeoiiKTC5IJq1MT75Wt44f+SLOURfhNUK8+86S6OdIob6O6+/7fWY6je9On1RNw4T
NV8ZyF4z3mcUx05OXMg/54wc9P42uj3oKpwQ6um4K2vm1Vf0vKWzBBqPAYwtcZpaUNR5E9U7F+TW
IrJV0XKnVkbNZzWhZNDloHVNH8xm9rWwuv6Ahdb7fjGe+rTaS263Vk+53dLjhn6MnOf16lWVvmSU
dPsAo7nuGUGxf0A2zw/egjH5/cW7GUlFL3Y0HATaWlwx1yMJk8pfLScZeFUtTilqoRCSzO6QLHO7
M9TNdyJucSODlrZIZ264F8XcVImDz3MQlqh+Zanfn1JZ7x2wjQmRBQIAB2al0NOrgNw106AnGJuh
fJI0xiGSyX9TFhYYntvYj7958aiOOwAWOMs0Old7wsIxuxk9YwCE5FSw1Gu4qlgg+Xp9bHCu3Jva
Tbz8iagHHcdrRMWP1a4gb7LbrrDGwPBGroEeqGF5xC3DaR9xI7NpG88dPlq06oavDU++ficRuV1a
ElGlxsk9RLHrBjs6497BJ9YCJ8+T80Cp5djpYf8wLvae3sLNy5UKMRsToh5nm77rKtkG3LTEzViY
oHwxGcWLruJ14qUXrJmtwMhb95/cDJO3dj9pmBGbuZOU9DNP5+uz4EVTQye3dYPegxvxQAcosh/Q
ZNex8R3EvKe8dHseqLoiv8zeoVtGD/R6uGnshyySlQe5edCOMtadg2bsRsfbj6ZMT2jCw5Hj7K2f
LcJE38w30yXIY6jlp9aT7E5Xdl6J8yPCYTuHXB2vq7iPMCx9K5pxUAoUWfd6UrWeKoOG2QywIrdO
cQXkyZm99mLYk4ardGMcuz6hn0wR+LFrjL274GbfwM/7qZ9NM5Aos5a3cWIwHEXvLgEib2108caW
ITqzk/k72lytjbEojpTYTuI3c7kfDG5OJ0MDGgGbQu2ZZ5R5PXNLj/HXDCsdlXKvri/pYMb6xa/j
2DhzUofpxLVre0c7nvLlXIvOeqPYjkJMgaRj9cFdK2eY1YOxcciiKn2wgnTBfc7OfO83PSaXisdO
/4wX616T5eZTAzsDk8NbgT90QleRVvaFnyyLY8OREu2jIcLMebIrO6dNyR15zsoE476xcYFGWNLA
+czipWye76/6zSFSP0KZiiu2lktqfL3qApREMeeZTYEB4R1CUv68lLax01u4OURQAJCP5r1CjdUA
lnk9StHVizd4iKONsV49j7ObnWrq/qfe3rWh3xxKtVuBzhNk/dUBolPCo0X3wsD2pTVfJB4yxTHC
enA5Wj16sIe3rh+SwlSp+UMaTAn5emau2bjFNEg3mPw6OjgRUstNktQ7j76b5EmJ2/HYA1lKFeVG
Grs2fJpNmecGA3W6D67XGv+6AFme6hFvcr8otb/uz+p2EdkUvJbBXbKQfLjrWeWDMBfZe34Qz14G
DQU5hCMN3fyjg+zaWyMetxNFd9WtV1z+tRdJa9g5Np9dGMClL1FZF3N7EnVbn7XOsrELxeIXqKTw
CuOsi9jJEb+3lp313ZgvzSc6nkr2XTVvrueb1rZHP4VNU6H5/ljpfX9Kiso7D24/f7y/tD+541cR
3iT7pWbN7UzbGUz09ViOmSu2xZh9aEO9kYcY/+P6IeXDmx8yrenbs5MQcE/YKeKZ0pIpyIvWtq31
UA/zLB6JiDlvATvqYGKMyh80NeN0/oLGS9leRJqM4cEopZO9axezHU5e4ts/2q6xq0NlD/qMkWxe
DMPBaWpEqOPMN/uv7ZxYjIIgentK+7yXpzlPKwSaZk6TdciiFlolLK8y/D2zrHB81LLKiw4tAUUc
Rt3pHmYK1P9H2Xk1x41s2fqvTPQ7zoU3E3POA8rRiESRLdOtF4SkVie897/+fuCcO6MCKgqXb91B
SclMpNl77bXW9nfYCunaKdabwVPSxuxffMf0/fuohS73QemlsnpSRFlV+9op8NMYslDX7jPVyCO6
jOpNCoEu0dMv6NvG6VjplT/sxmga0o+thTj3VAlZiEOkNvW0lw3yItdOzOEb/i5ZtJM1DsQhTFMM
AosI4e7BTsVgu709aeVLXKsdbZ4r05DucBX2ux3nrBdH1lXWD1OMXc9Lm1G6q11lHHvnKIdWXX0J
2hjbbjchG9OwECnLRvcqqS//bPle3aeoq+z066C2bXqWwgocWBQi9j8OJR3SaCrvD4H/YGth1p79
QZXHV0fL6xFOSqiI+6mvlMItsKcqThCcDOJfIk/zBeKsnd/d3nTr+wNsFywP3jaFSWKZyz0H97Sm
U2Aae4Sb2te+LKfPgUaTBa2w06MkF9lGJLh+y8leKXDRc5HaDB6gl+NlgzJhxNQVXt4nxqPCi93t
fezNvwA+Bw89ldonqFfdz3pQho3EeR3BUHwiJaN9OK8VsorLoX1Nr8dOmu9/M1H3dDrKP1Yy5ryH
rJVou6PXmWOAOUfdH7eXeP2QAp0zXRy32DraUleHRURY0Qcp8qQy6mmLPPa6G9ilmW0kEetPSeEB
N1cc7CnkUQG+nF+Zx7rc8qh5fdxwBrtcTf5O0At/5nBAM6oSxSgOt6e2vh0ZkhkxPZBNyOuXQ2qB
SoO3Uos9KZ5y9ajSbj05ZCiGuw/YRkz2xmZdryRZEI6Rs0/aTOddPD5hDoZjy3gnpLhbH5JuVI5+
+l5JPNEeNABINHPEyX84iyORDb2YEEP6z7GmN6cC6uRr3k7dnYwl3iGGItG+O1JgQD7YbCgyFwoW
4aWqR3pE0xj/GVWdenIi2lvQLOqdPRrnaaG2hMTBY/bmzHX5rVIQqsw0w8hzOGWeNgXmzpKEtfGJ
5vN7+YbZ5O2zUykqs7m71uUocSJSGgnrpZehYO3uiizBhBYTj4kmP6Nm5acRo4/moVcQn50mqksb
zPn1FmF8coSZA0G1ZWlM3VkhAVOuFV5Ak4tDTVtMt1BFvbHv16PgHIL6GGyTvUiqeTnL1KjTImmT
3gNYbF+KVO8OUaBuVc2vjDJPgvWE7gflav75L0hfItQJ1MDsPV3Nxge8rn03BZjZ+GLXRsHcfk6v
5kGWlFY/BsQ3jWTw3uidZSqFP4eimLasktZXBZgDdwUhI3scu/LLyWRQxlAEdYMXVdlj4EvWLm5E
ROscRDW3L6W37o+Xe3CmdpORk7rADl6iOVOol1qlRaNHF9cpg4kvgtfSHGmobSWTmu07tZ/sc1GL
Sj4QfxjleYjNRnF7pCr9N5FK4GdlP2XCjYxWsg+Gb/UfjF5Ixl9OQDOYjc10ZWVmjRExH7Jhft/F
rSZZiVCIekaPAGhGIhP5blCa1rMtopnbS7N+IvD/I77kYHBCKURcfgShyV07IavziGi7yq3RDd9l
Qd/9lVN+/SiZfVUfb494bXJEPKR3WAjxSCyyIM2Pqz42osnr4rZ7QK6Y7kbwxb09WcrGOl7ZyA5Z
5KzNx2YHBs3l5PwqloTexKknj7Jy14gp2CF4jTeWcB1FEEFwh+J8DxJK6nU5ihXK2iQhpvXasmvv
1EgvPqOYNA4SuKDr4Ga5T9p23CinXJsaFOzZMh27olXqOjvCi8FpGLRAiF+EWbpTwUi3Ds6VjwUT
A0QL4xQe82WkIqqujaQoy7ywAE5wKGSc4CJlu17W4rM+TsXXFiOA1EU01p/8qn8YZL3/qkcieUjo
0/hI9bw6iByam6mnW+4WqzUArJzNlWfOCGK8N5PFX25DrJVHdbRaxevSDJDAsGtXliz1/vZ+XY8y
Q+hQQ2H3gFkuTwhVOQRmgka8wQhndwpj5WDDu9/YqkunSo4eEDph6KxHmpmoi10UkfPmsdq0z4ma
jqbr6ESmP7F4aOsPYjJK+SlrSWnvKEmPSPImyy5OiWRP9kMpMqHu/DaKmgOd2KfBHcy+Az6ZxnTL
2G21HWZXJeJudjmgI+zPy61uKhQJ26pqn1VJLd0o1ODZYerjSmqsbmy99bLPMgMgNrj/YMVLsAQW
AQkYOu5nKinVrrOC/KRFsbN/78edjywjzIPMZjaXE0owG6Zvedk9D3oNx8RRgxPoafrecG5WGM+8
HJjGwIXL5sSyHtcKXHr5eZJM5SHv4nQvt6O0sYVWV/nbKKhBwAnpTrnkMpdo2uDJV4xCEuO2kfG9
1aa7vKTxjOmLrYat660AiMVGoD4xF+mWMJ3RRySfiaaAdTt+6GoxchCjLgVId6J9uf2Vro4118rn
vlS0NVmcjdyvkXBid/ksZRHu4lWg73KJd8MxAXxvD7XedkxrbqmDaxk01mVCQb+8pMWEQXnuG2Hu
FFn4+3Aqt6rEqyeDTwX3FwExDiRc4otXd4qTvlEnFo+ecvm+b7MRfKaVfm80pDuVlhdHxQy3RGBX
pwZyK8+Z4DrbHUw7qIEOledpHOujloEJBnG7BdFdHYWQAg0J/Gbe+csTpbSNqINcV54DzUx3bZ2V
j1orthpbXB8FCg3m5LNoY4GHm80wDiV8TvpaNcbOj6LyXpLqLYXV1VHQeXMLIaBYsStjI8Cic7TZ
d5WFf3/EvVw20hYV5OpmQL81S19ImZdkxHSMM7MjcXqmi9S0U9PQM2X/Y5JrH6O8eOoy/32tOnlp
2Hz/O94Sxg/kyKA/Dl8oKpqvmaDVSeuIYm9k7RYbfFW1mEci8aLmDZK0as1TY5/c6qOkPGs9zTg7
1b4LRXZnBRiBaOX0qZzyr37rv9Dv4Z0OEm9zZDVRwoIPUNWcv+wvoUGdVEYThewPjBD8k9p2Ixxj
J7tLwJjeG88yyZleBbmG9AIA/HKouGFbTBObJGgddUejbNvNHQ00sm+28phr+5ELFyI4zwgRyeIe
lAGca8q1Km09HboSOqn0YKKiPt2+Aq/dtiZQ3EyDA/5bUpPCQW+NsSrV58q37ANteH760CP2toi3
iuzLhmp8JhhBANvUdaGUULS4XDvEHHXht/n0nGlxgH/pAPdoLNRdklvZqaedhddOwfDUdkp3LJTG
P4J3FndZI3pgUGvLSWm9vJDEiSOx4yAaQ6R1+dukmTYa+qRPz4Mhxl2WOJhtT5n27sCGRBQO1szZ
oX67dJym9lMJbEbV54xl3Yum+2oM5ZY9wXoqXIvsR0x3KCCsXDAp+caguNr4LKRCOiqiow+a3egb
O2UVcWBdAheDcvcsOOdxvlww3w9aJXAC6zkszQ+jbTx1SDndAPsuys9bm2U1JYNqC7bUKCThBEHJ
uBzMGbAT7aLaeMZSS9/3qU7bm1Tbsty8NgqyypliSHWHb3Q5CsTfLnKGzng2KqN0TbVzjnrcbumj
r44CKotuFToCDI/LUWy7goyDTuAZmXuIaFjS6HAv/N9vH+Qro8zeFPMjiS0ABbPLUQpoF/qESPRZ
aPm0pxG8cugaadjfHmV1XVCSQwuDTe/M116F0MPoNPUgRTYOWXXze5lQNQq1uPmBL0q7cXSuDYW3
EwJNPs9M0byckB1i6FzxizynbZe5+aR2J0unyBg6UfXeKjSzgtA0d0AlJiL7vRwKXDTBSSql0ijF
wZ7+q3iPyPiT1+m0RQu78ploeDSrQqmvs+0WQ4V53qRSTVFTyDR8bX2lfVLsZnzvqz9PCPUQIDmJ
DpXaywlVAXhfqIVMyNH/DGkLfa+1DrYD9vBe9HA2boCZRAs5Yk0MDi4Hyhp8XEKRCk/DbehgF+qP
HFO6jYwKIR7/zAWkRyYAEk/uBp63VmDJGbGUarb2c19VY74vVFucS/rUDbuWWpkOzVnNLY/HtEz2
wRj34nM45oP9YtEjUn0QlBL6L0kox9lhzErM1UzCx2JHkVF9Lqq4878ofV9MbqA1FEBzReoMV406
U7svDMmuXBoFIFVxG7MeaJiM53B2ovFpXO9TZxwTN7dlIe1VeuQMu9gkIj76TVKbrqJGvX7I5aHX
jqnTN+XRUeo+PQm6Iw4PbWeb5cmx/PQYYidmjS71k0F9HdN86v+A7EaB1SwH+0HEgV7eYcLqBPe9
E+d/J5zBnwSwmnKc+sgWH5ws0MPjbDDfNu6gT3K47wv4LK/DQNz+4sd6EJzGXqnAaKRwrD6ovW3Q
7gBUljaxSpYMrlb7ztc8bdnwBKiOjOSfDhBumGfp72YAAXQ3FLoauzlmwdkHnvKhOpZ6NL3KSW39
GSt9kvPbJkWwHyZJ/2rrgAcHe8wm9Xez04zmLqQhrrpD+iWpLu4QJebGll+Y6sGEwVD8Vadt/AJT
RFGwASH0OmaNQavctKKDlhcp+Jw9jFXR96ehpt3SMY6Qhd/5ZIcYQGCM1r30odL9KYHywpXhLTSS
nRNIvv4T+FHIO3MakvFvGrVZ6i6iFUmzy4a0qHeJGfnW60SI5RzLTi+6XZZ2U3cylMyI7hrTGpDj
p/nYS088iegZ9UoX55wlCr87Vu/HBxnULDiWdqz9ERiZru0Q9yXFwenj1HqR4zFB7d35wavoJSfZ
FWZdSNguyWW576yol9kYbafu+yEI6CWKdlt/jOMuVh7S3h9DEsXRic4NKuXxTq+yeHL5GBJl+Noq
7V2KwH/cUeyPgr+nUTT2zhFV+sMXdfZqCrqOuQaxVr0rRB+9tqM2yB+TqdWeRnlI6HzMTlMc/MhM
OdqNmSHle9qp5tN908hpszdrAJIXY9KTaN8EuhR6ip5I0SkitxQnWCJmcJik3FYPY9C0sDLmz/Cl
LJRaPQIQqMZOjqK+OA55VMgnOCKtulNiKyhdCt7OcKI+FI1uECbTV0z8zG5u+cF5cvXS15N9iM/M
106hW9G+hhNRuIj2B3Vva6Vi7AtawhuHqqll86eilKm8C7RKjeFnOOq51OTQPCtyXuexiyKr/iPm
3Co704iFCnssUZpjXuvyj9sv4/pi53qBKUZpGfXcCp9sSxECripU0vvslW6vwScJ583Xdw7CKw6I
rgAwWZSdlpQY6stt2MVT5nUypeSqxmndUqV+d3uU1ctrgijNrvhIleGKLgELpZf7PpHyyhNAWMfG
KcI7I5TUz1WDpe/toVarNgcrtLCAxESYTP54+X7QecQI1LquPKNozLug69Od1ina/p2jUKyj+Imm
kdRt5lBejoLs36cc0DVe7HS2sU/7Xn40Bmd4Z9tvFEQooUGp+UjQKoBML8dRa20YC3RemEQiZSzi
oEtdCIrRJ+oI+mGAjXMUZpuJjenNidPl60i9C/Md6IJzK5+l2iIJg8FveiLz0ur8e8v6Hik9HcRE
jQA2zqjIB43pqlUrvVujAz8QKTbFa4yK8eJZzFfIWCZNhWk+Z4UynPS5ZRq+Q7/f/njr2RGVkZi+
hegGLMHLRa20SUtnx65nzfaloynp2mNELW5vFLZ+TGL1MQkxbnHqXnt3bEM8SGqI6yQBAnHO5cBa
W/KyaI3z3Jesn4Bx9VjTEG0j9lynVVDOyXTIdsirVp3+yEHKsjcl57lq/ejFia3oqOiF9KUJKFvj
ETB9ur2cq/HmEzfXe/E8IJpaVpWzhhIwzeArrwQTeEDdUaG+JeNHhnGkCcBft0dbn28IfOD53CLk
pmQ/l2tYSo4vJ33Uek7ej3jzmbkrC7k83B5lXU+ZkU78ZlHezuYnS4YugkqrFVxb3iilWe8qUkYD
rbIQCM39SFFbN7Y1OzjUcdqmfynOOPu4xpIPpS7u8/pDlsT5cExKhONPsZUYrUtHd3+rire+Vvkl
gdF5GWeq1VKjqRT8w4Hv9B63r0zUUkX7iFDYDdphq2/slaFI8KguEf2z9suyqxDs2GCQWy81xm6P
L138CddM7bHIpXajNnl1KBBmWItUDJH6X35hKShHpw/01qtCMVg7LjogHUOIllhRrkrzuPGp5zvl
4rIDRJmLc3OjGJIPff59fgH7xiJpZHW0eq/hK6Ye0k2J9lhTYuAIadPabVe3/LX7zKgs1c21Ti4/
2To9e2E3FpGF/bcSijs6olMx6ZUg3MJiVpkKvx6kbd4BtuHcbvby17N7qWng5XeeJSnhTusj4lbK
aB9C1aHkZJTIMwdpq8Jw5ZQBSKICQnIOsKbOv9QvaxJouHyMFF49Hog2cOl4Y5x91mRj7defej7L
7KhZxrjOyMcE3804nQZPbSkJ7zQpnzzasDrhvh0nXWyEBldG+2/VizXTjVdw4ZiGkwJ2NnkIJMe7
MGwhsfph+AEt0Pfbe2r9zWalJDDrnC1jSrV4YZycxrbp6A8et5X0glejMO7BzNV9ltpaesQOphx3
SdxXwe7dA1NsB0Xm6nrzs738bokloJzAVPWAH4o9kLrkBorU71vZyT2lLJO7fo7nbw+6fgCgmRF0
AZbPr7e1uJKtCVPuvBOjlyWj8xp2k3jMJMPBri/sPtRpjKP87QGvfEjASRJ0rgj6vC7dUxW9rckM
MwZk8Z+EFeFpgif4J99vwtPtodYHgQcbnJIPCdbvLOuUZuYr2mSlo1fLdvCoRjEuhGm41Snh2goS
EaAXxs10DbXluiYUsrPR0/1g/GwZYb0XipGc5Dby9y0O2RuktisLSPtIPMRUTgI7dRGINJNZYyOR
yZ6SOCY9WYuWl5pmdlE1bDXOubKADIXNzeynPlMGL3ckrXi6PKxL2dNE7x+wNNfvdC16NyIKkMNp
A6qkZshduZiQliZJkGF47Rl9o9/HvTM+geVs+TxcmQsef+CtXMQwg5bV3T6ra8rTleLVFmyJOGkG
lKVDur+95d46oV0+SMwAdBcDWC5+ioeXS9ZboZBsy5e9jpqhtvcLDfJcDvCCiWA+yN+lwYbS3sA6
fhmroHSOUP9rIUCNCsm5GytZjXeq7wyfR2sYp29qnyXWIZOt1tjRHrS3vUrN5GQnm1AMH2K/qn5Y
fmg2D3kZdvYnctFCxlsspFKpGUEQHcegk97ZHp70jOrF3KYZNh3LuWRONLizJV1WKp6ehtYz8Ry+
/nERzqxERflye0GvnK5Z7MgRJi8E1VtsjqFKuUQiWfGSXEa3rRiwYl20ddoZoLiqD1USqeZGEL7e
KryJFJZBw+YedMsqqd1gXzYMGX1jpFg9qXYIj2nS642tMv/mlzsFNBsZNcs4y3XVxcxiVemyGJMG
zzHz7nti1N2Rjau9ZhO41jhU5hedvt73yijrG9z39Q1CZgqRlEQbHwrukcs92voalKGAPYqJRvEh
qUblcxvD8O9HQMzbn+/KUjIUdWAwCuRPSzojD04j1TlD+VrSP2lslYdQba3726Osn2wiApAJFKVc
IPiAXU7IavCspg285gH8VvvM6I1jOmT206BW4vc4NJO/HHrHH28Pup4ajty4qsFhRfkJ9fdyUJyW
kyrPVM2jCuPszCoOP9tOYLw7oJ6ZUHwlLOEpoy87pI1FpI85raM8mjqGH+jMy1G3e/PJLK0t7u96
WwC7QDrlkiSo5r8vJ5QOllNIFEE9Rw6+V5PT3MttMR77oN6q5125JXGjgzBNfQq7Qi7My6ECE4BZ
LzXDg54eS/Q0RuAXHeII46d7Raff4z7U+wL1EU2VlAczmKZ6X5pl7slOaVcHNRyK8UsYDg5OpZ0+
V7gGXY7uhNWF53KMxbgfK6n8i57PInyx4ImIOxWLjfRgZnIYIFGyafistGnouHBWSh/5U1KPW6HO
vGCXJ5wDjg4Pjzj2AAn25SzxZ8/83s41r6rDv/Om1HaW3t4XPgIgNay/jV1wP8YVPc2kjRD2ytac
VTyACIQkMyHscmAzqace1Fv1NCc3P0y6JH1LjErZOABvPLzF/Ki08wjgycI4S7iuw5GlmuzK8JBE
2Tvwf+M5sc12L6KmeVGsuvZkXHxPo9Hmu2HsizNtB8J9bjZbfeLWO3duW8ybTlBJOVKZ74dfMh6S
uDbEhsD2LNpOuKCV0q4ayhz0fooP7z31s/JvPow8gLPb1uVQjZmL1KeW5umSHR40mltQFaE0cnuU
KxOCUkzOCHRIw44l93ac4qKQ7MQgJAIDT41QnDp1oiN2wN65PdT6GcIzkQb01DS4Olf1aMzdYqct
asNThCXtR9E2n0wl7naiskE+FDtAETgoY7QftKTY0H+t9yljA5JzcbNbgaIuF7NP5CKUVcaOwtDZ
T6GWkOyo4f72DK8uJv0MEN4CieNVfTmK1SV0rKk7wwunoj0JmvZ+CEjEjjSj38oF1ieeCVkzEXxu
1QBz7HKospIGWqrKhjdCycQ7lDfi1QnT+kvAtt3Hmpb+lVRR+4cPxilcIUxny8H02mTnBr3sGsoO
q/dCD/WgY+8YXoHS4fdBCronvBbFFzM1trDKK+efJxezPjYoTOxVr5K80rGq8FXTw9Cns+78qZMs
Ny5NB3WkFUXWLneC/nNeh1VK8Dok3Ul26rB8MiuFjlMlhKxsI+O7tv4EzLxiZPDEqYsNpcejhQNo
ZXq6qEewxSSl7Dp+LOryoOem4da+8r12xFHJk3cb/cKVRzcJbUQBhoKZf/npJ1qe9HOHGo/Q2d51
oezDSBfVKayadmOW177x7LvCG8ryowK4HKqmcAI8HFhelw2qC6fJ9KTGxKMk9vXX22dnTdNiWhjX
sKGIQEB7FmM1PT3ZS9Fb7Kemk/ZI3/qfUVLi0phK6fTSK/U4utbUJt7Yx+GwR2Xrx8cmb9rXOkrN
4aTFarCFlMyDXj48c0pP4AWKAIS45FF1mWjqMg9sr5cr/Tnv0u5pgE328fbcr4xCjoOBI36oc4uo
xRc1Q1GgIWkdz+rbAc5JVudfO8McNy7gK19z1jEghCLL5mMtaEdmHljtJKU2L0oaQzsax9feUPqj
Epj6xozmgGOxblyD85IRI2OkvHgnrUifrLaTbS+xm+5TZwT+I/Q6yrdWIruy7ref372CGNlAB0Y+
QrVTX9y8mZSXKpiW7ZmWn7hFk6DstZuthujXFvCtgDHbbPIuLxaw7WpNOHbseHGatQffbtudklsp
hrzyVnurK1viTbEGKWi2Flt6rhqGsIRVJo5XD+W475ui2OF4t2UzcG2UudsCPD5WDS+sy/MdVNUw
tKA/ntHQ+6TBXG8fAfPcvfvjUGnC7nrmyFKHWNyVgxJkVGticeZVNE5Z3reurPlb4pYrc4FMxS5g
v3F/LEMzEz9hbDawhCp6Ldm1oRXfx9yQW5jYKorhnL6Z/FI2JjhbNki1o16xUlrqnvXUbqf9yKU1
fVLiOgMXawbJvm95a7N9hGeTuitrVUa8azYwu5PB1usXXMzV4ZWmmZAvAAaqZEdwTvft2WZCilyD
a+7PUMZ0xS3pYevsaffk8N9xm0l3iQ9Y9WTbfQ6hQ7Yy6iqhYaSfKoxMzg13S0jDXbORXaftseHC
XWFMvud07KyecgtLBVcRInnN2rgdP/YZHvmxq5qRru+YglY/FpUPJ0gTUojDAv08HTdWjehHH9Nf
9DWMjCa/q9RcNQ46zkb944CnleXKCkjxn30lhxOeVcpoPkp6qFhe6CR5eR/SSMFHhtLjLJWpo0PR
dKqn0aUbRle4EhalcbUX8AX170pDL56f79x4FtTiN4CdS2/tr9URAuAWMtpeSwCwN7VU7JsUG/nb
o6zuunkUhD0o5OYAZRmK1ZKkqEiibM/O2+hs0q7ITTuhPybaMBz8Pqn/uD3eaqPPnvsGtW+AFfQ+
y2vc0Usn56eKF7VhfixVLGuDSjfePatZb0iQCe4AtG0urgYD0YaM8YTqVcKq9rkVFUcUadKjUQzS
vaGWW6rj9SqSQ87qZtjRCo/ufO5+zawiWWrNqtY8+i/pZ/rfOYEbwNX+LHxNEq7c0tD59jrOM7h4
o4DDIC3PtgUzEXcJTo210xSx1hHCVWlq7Q2rKH/q/RgUJzPj+j2VhjQYR5ouDOYG1PJm97cYGlkO
jFZ4zTO0vniuYBPOPekcx0vroR2fi8FJfsRWFv9RWX0sjlastl9pN0QlL4kHMeDw6OCu0jp++7No
0lq6dxJaR7mamUjOnj1pwxvUqD5/Cky7Vk8kjNW0D0PdQkRZDk3xp2alAiO5NhqNXRFXbXjIQXuq
fRsaefO745vm377aWV8Ql2qdG444FLoyTMRvXU3p9nh74VexM5VKE08ZBPtzNrY0QhZJQ/V2wg2g
KqL+tYpF+xw5vcGtY0rSd3OSP2V2tx+x1f9R5V395+3RV4/4DN0RzYH0QPEmprvcaFUAlQtPBceT
ojg89U2lVFSMVRHvxiaONwDQ1WthEwOB2M3G8LMGevGh/V5rsrqqHc8RkBh70iUX3epXc0h1N5PK
U5apL8Lm+r89x9UVQU6I0hpWDrwVJGDzYfvlMHVahQQFYMpT1bQ5NjUqs1QgF3nvKAAhMB9AQknr
zdVKVlYqG3EYnfswb//opTxx8TFWP98eZf29GAW1hALRgpksgV2jnGjoFWfRue6k+GSlivwhG6b4
CLi1lVmt7iBSdgYCJAAsAEhb3kFOX6cYrAG5JA59JMzhzyEW1s5HjN+0XbBx/6wnhr51hrV4oVTs
FhajiSAbclEU4lz1XbEDO6DGnBTas5K2725GCPABMxtonEmBJ6mX+yEdBvzx6F5xjoac8k5Zpccu
wQ/m9pda7zpmgX0isAQ4JPni5SgSMF2uZiVvYOUnOyKO4D6PhHO6PcqVZZtzJR4nKtgA1fPt8sve
LgMrt+I+iFm2WBP7IneKr/aEkNeN6iyQ97dHWz0SlEt4Y5mRhTswtYzL0Qw/7M20512XDTG5Roqn
mlNKP6qie5SiLj/BJd1yXLwyQd5A+OY4zsxv72LIlhvJnOImPkNwL+59o6HoNTZSwulq/G7jNrzy
zZy5bsJDP2sQ3xjwv6xmYA1Cl0WBXVReiycHW+qPkZ7mh9ureG0Uyq4q7/ts+LRcxU4dAaMSOz1j
EoupVt04h84Zt77VtVHmwiuOlRwr0OjLbxWISMmwLEjPamv7R5Qp5jcRGNHX984FGykdgtRsQQ4I
vBjFrGmHofV+ejb9IaaVCN3T4gZrytujrB8ORjH4KMjEMLJcntjJkic1r7PsnCfadErRcx2cMZ6O
eEk197qkDm6Jc/hjU6bmFgFmveW12YmAC4lcZJZyXC6j3ysFzOkgPeeK1fWvapWa0TOqGHU4VySR
2cdRLdrvZuEb0bst3t96MWj4p1AvBNuaf7VfdmNdJLUS9XV+TgKzt3d54dCCjva67z9i1M0pBxEU
8QXxJrocJwlH35pskZ/9DqcWdALpzkixPXMS03r3pTibLfB+8XLh2LqMMrUozeGeN/k5K6b2CC5i
nvOoyTciyjVCOns6II7C5IboBYbN5YzCOtJaSUrycxfF/Z0Z6/ExsCT/RBYWHtS+MPdpChcYZNze
DbScOnR2rz9n3Hkb1/P6DUWvz1Gnoj3XLpa7h7OdgFBa+bmgyc6pLzPTTfsgO2hS5e+VmAra7YOy
PvSMh1ofwBDQfcV/z8vRKA0RFWc/DyNEWuVIN+FsK2S9NivSWR7s2QxkVYLN1ETn+mqLM7oesZs0
J9pljo+aVPWLQzrJ9d3tWV05gwgEIXOToEBvXGZDJC1TNVZWceaoaDueJ+0QUtg+Ogn8RnsCVIAc
LL7dHvTKUhIfzGjnrHgCv7vcQ9zbPv6Ksy+Rrzo7Hx9MY6cSwdobn+zKYgJqAV6j36I505JpocDV
HoxRLs95k8l/h2aWv6axmX2u6e13UIvw3axURGIItXhL4TLhibeIS2y16rmx7eIMO1d7mN20j+qg
m7tI0/+4vYLzvXGR1zES9wpIJNcXEesi3K+qEsqnYGYAMNqhFknZ7TALQ2NVqjEWJmGSyp/MEc22
0wXNfRUV+cZvcGXjgCMjVYOFxg26RPTqVi27aYrqM3dcrh24ryv1oCl9mz44uVKU97gaSK9ZLhv5
Rjbwply+nDysGWqjPB5zCLg0Tw+CMIIO1BrnpKSFhsUDZRT4p+J7UIgHrD/L8N4p4ER9CPA2r/4u
rGGyTnKfRvXvmTUhnnPj3JzMvxWzzstHadCc8dQMalnPyiQ5u7/9qZabED0GW4FvNFMr5hTtcrO3
PUzrblKSc2dl9b6b4gch+edMF18oG783U5oHg3sDSjRngyuLVVXJW8Waouwc5LVCs9eko/2q/N70
hVFwbeaSmllM5EqLKdVJoTZp1lRnGheaO8OQnBNb7ZPhFPkOkkSz8eYsN/s8HGQ9UngyC8pz8wr/
8lgXOqRN2x7rc1hI1qnReWMSp1MO6MK6XW8Pyakee/tQVabYqWMZbNwiy9uK4VHlESQRHvGOL/1u
kqaoGwKv5qxJtJ3REkUcJROB3e1tsh6Fc/xm8sCtyJW8uDvMGudfbRLtGYMa+6lE8pbeDWnZb0XI
bxWRX0+PispdAQzBDgGo3FzGCWadSJnTtv0ZYIgGOqoWDfapdib5AavZKTsm9hT9qRtSqbwEFV4T
0x7lEs6xkAIabJJsua1LEAwVdW9SiPBj1GnydEKdFw07u+txlxk7jGYQijpR5LaxaU8n4afm99iS
04+hDzbhplUQ0WTZFs4fIzawqBpk6ZNm1mb0zqCIyQIbkPfC1ZpbDi4KKVqMYHEos+GcO9JXtdOD
U5BH5sYJX6kz5lFsbkHcAxiKY365QbVSqHYaFiOYbKcoh2owGt0t4buN+0nKMHxyhgE8TBoaB6Ne
MYjsnGic/lNkCLs+0uI6woulAkZ0B2xtpD01Jq1/Z2o0t11gJ3NsqemCoiyyvaK0e+C+qTh3jk2w
nSrWs5S21Ozf9vH/+TH8p/iZkwXAs8/qf/0X//8jL0ZED0Gz+N9/ecXP7Pem+vmzefpW/Nf8V//n
j17+xX89hSBrdf53s/xTF3+Jf//f4++/Nd8u/ueQNWEzvrQ/q/H1Z90mzdsA/Kbzn/z//eF//Hz7
Vz6Oxc9//vYjb7m6+NcE2t/f/v2j+7/++RvE5F+O9Pzv//uHz99S/t5rnn7LQiKh//7H/udv/PxW
N/xl5x8AMBCKiJ4xQXwzSep/vv1E/gfsCuQebCCYk9ysv/1HliM1/Odvus2P5qacVP+pjr+ls3Xe
vv1I+8dcXkW59cY0Jhj/7f/N/OIb/e83+48ML+Y8zJr6n79BTL4IKCB68zvwlr7dPSSdS+2OnUtx
Qy6o7gqUhOWjNYUtMvQCjsQdWKk5nTulikfDxbNRpK/SZDjicejrOC/dIkhrvTpMbR4rf6VDXimn
njJFcd8oneLsyv9L3ZlsuW1k6/pVat05fNE3UwAEyUwyla1S0gRLLfpAE+if/nxIu6qUlMtZvqNz
bQ+0nJIIAoiIvf/9N7VWVTsvyeI+nBJImmHZqQqycVda3ud5oX4IbCwicXdfCT44od1dlUOfV3PJ
9pF0SfpYlPGgnBFvm/TAkKvr+mQVZtIFIiOgdMybxJb4AdNGHttJ7x/cYXKuC1jNtwbCmPWYDYX5
zC1XmhBRtJVESzJV75xYtm44JA6DT78VWl19sfpVG4TfG2KKTzHy1kkNU0Ob1Sd1Mcr4pnVVeo20
8oS9W7JFEg+NbcgUYGVpmYDnqfhophXJU3qJLPIgcBaAjsdgLd4tdt/0AeLkvgjXue1WP1dWd/CF
JuwicBVXSaLKxoQzShKnbsKN3J2cy97zzpUxVw9Nka1j1LVyOiE4q3W/yMZ08PkK2ae+X/v7xZ5K
3V+yTQqsjMKIli633V01KZ0ZmUDQaWiUrgaHxEjGIfPpqsbybOr19KEhvsv2jaxzsl2ZdJnm4wtK
lE8yDOb3bOmX90XqhknsLVVIrJDJxyb2HTOT+rTasJn9rrfZ8VvMvb+JyizyvRIr91WpWktYmlJ+
jktwOg+eWbAVk6e0N9fnxVV9p20D7G6T5kqvYr3D+irtr3MF9USo6F35lBrFeGwatzzPLYENQUzZ
c6WJfviSGOsSetlcBmNllF9VS2iJ31aiwqEA7AfanKXNfgyDow81bbCu1XzOP5Wy461xchQ32K2s
DV9nmt0fSTZghgi3ZUa73SllurcUZ5ChseryoRrrVN113thsuS5TzozUENwb3tPzqpAZ5CO9VRF3
e7i9+xZ2VFo0UNCUvqUXU0Z4YLLs1hZYw1fNXmkZrxf9obMGYwhwR+zv557Jh69lbv089C0RlGTW
r0/mVHZUN5mWWUFvIpj3Z8cWNwxrtksl/GyN3HTsHgWhC99cPbP6oDDy8XlKs7QN+8ZYHgdpO2B5
XWzj/YqDu3LAFwB7S/znkm+el6ZPnbY6aahj0V7vsWwn32SeluZHS0PhhlXc5XdC8Ywec3ep3LU4
Bji7fDZjx3elDb8iXsby4zSOhfS9vOYBYIKrXVd9LlNfMN79Ftd6v5z6tJh038sM+07Li+QJOZ+J
CSLOBHtKefrMpI+NDzoLCoKRmyjjTsVK/F1ZKnbhWyiof1QpvCNfGfiZL0tnNv0GxOiUwNJ4zDDs
v+8GB2cI05H6saBfngJrNOWzAozRn5x2WA5jvYmPNBF756wq6UlK2WJYpFYDJrlmiyNBYFa2ityr
ib0oZ0Az+joEz+FKb03m1w6OEN+aSZm+10a3lkfRF15yazUtBJdVU5d45/XsYV/oOHiPpaWLTwnX
sPrCxrfwpKyVEsMYVToNKX9VfHWTypwjvD0aGwqB4jz184jBpa4L7LfBe7tq146oGjVbWWKGyUP1
PHsox4Nuzd2vnVjErTuVGg79Vks0AGw2o44q5JciULRW4cNjU/qLVzaPTj+mqa9OrloiMNPTH7oz
4wpfVPSEdgLv6Kp3x74KWmOOTyLBViRqyOFd8XKIJZrSJVbdiFiFVPpSGrgyQE3gSdn27D4ZOsN0
PymXSkaWNlb45BWYDKXWqB+I/dNNP9Hm/LZtHGNhgymxRyuVCkWuIdrbtm+TD7be12mAJMNLDnzo
iNUYtJ34iCGGvgQWj60PceVcsl2rG3Ua4p5Qfq7Uiel6N7G3hS0L2Qya1M3LyJmmuA1stbHmkMwi
eWevGlkPY1zbXTinzBTwvaOY89GqKleNWTfEGgu5ojhJ3KdaH/rva+WuW3Y5Qn1odcUnmY8mhIZ6
i+nihnPt9qSsSdhVSfEgAVSGsNNNRuOrB2MQ58hmeSAeycpx/FIKuBqLI8iWUKs8DZRuzBigemKj
P9RulYcFVivveWpjh6S0jr+5Y27NPNN1TILOYEMNHK7yqW5Fdz1k9EB+RQB65feTm6f7RhbqPTW7
OxP5YHQigFo/HJfJ0esQ1tV4bzjpPPlSmJKRgmy1h1IdkncOFrDQQapqTP0qq6UbqDNKRzxDPbzM
EUZxsGrT+q1MkukqcyDq+MMitTnQ5oXkwWWt+jtqAr0JOFedD5TXxkfN7hPwo96DpJiSuugBHnnm
81Au2r2iipm9QWa8rs7YOIdJE6g4m9wy2pAE68SOUsUu22Dy4HQEmOGon5lod5ovzQk2sisq+1Ys
4OT+OrSmPC0J4yvfEOZyqxRcTtDBkR3COtHl+8FM9buV/6FEnFwqEw0j0544nuriyhoHnbOtG9dd
lmaGsvO6Im58UclB9SWnbhPVCdOkENbPwG+Ex/SB+J6h2jW2qdx4lbdW/lS5vDVV20xL6JC58WNM
ynry07ZeFd9Yhz72LUUOX/k7CAvYwIGPiZlmt82gZsaunPD2iXB+wgBlLgh9c5vUicPYtbIHhiJp
zCsvO3dnUih0ob4KeR3Hi234CckhTpAuJett0NTiy2rN+U0761TwZt2aPacET5EEENHfacKsl6uq
0MZ9XkqXfm22WxNF1mJz6MZ6Xvsuad4zwZVx8UEz4hknFs1qT+WwcIiBWfdZUPUK2/YC9PNMavA6
ci5J4wn3I43ISZJKLV9gHzlEciI50e8WmZo7c82Qwc8NnxQUaV73PpaJAt9W0TgVipIqkYRtT9aj
na3ErLQp9z+Y89S7zT0jG3dOM2TmadbtZN5tOqZhZ3WKu/gTUM3gQ8fVvwzKLDTqiNj9LIsk+dTP
g9ZeFZYjHc70kiyVwpXKfanVXRGmbsrYIu+XbIi0IjddH9hquEsRngEVtZXiHCtzsMcTrP9tKS1a
EzYcCflJW0xzJvd1tNSgdjuUFExEtPtpWYx7SGjFp8mpnN5ndpLvLWJQ8qjBAEgGWVPztpaOhS1u
pwpJ3nzmppSyWLD21rl2B1wdDBtH9tOajYhGlx6J6s6ZamP5McFgEt9XTXGHh9XL9LX2sxkQ/pQk
ckzfUxPn5T5WYzGd9AVw+MrEoKa+l10jpygb1EmjAHZjGaW5psVfrawrsBiSvak+UE84+sky4sW8
N5bY0INeY/TzBmvtNYpBG8FQe3su4PLEqTGqf90Jx7mu2E3eJWHFj88mCqLQg7j49afG6o/25ed2
5aVt/zeG8fIxoKxwtOnJaPAvgVavawQq1BabbHNGqeBl5fygOT1bJ1Vlbvilpjcnu6lzfH8MqkG1
mwh5d7Lu8e83u/+xhX3V9v5lS/y/sdndQI7/+8+W8pdm9+Gz+Mf5c5eJ+lW/u/2h3/tdTf8NeRBD
IniyCA8B4f/PP37vd/mJuY39+Icnt5kg/7vfNX57SZFBFcn7Q8MLCPbvfndTjG06AO+PLvmfF/df
9LsvkuyfXyDm+R6i+43XDoTJAOT1e9rnltDtyaSfdZatRpuzvecuM3ZS0g1rGFt7PSWUGY/Gd3il
7TUgZZPI0Qgt6yPyzN0gpgcrE6NvzWl76mrrvVFxtBM5OewUV5Y7XGGpEeDHHO0yJlbWjMtQtmMd
pUXuEkwSfy91eBH6aOTUWcQhzarzw0FHm41edcDc9dnhkAvH2Z19e9AeRls9KDRKfktj5I8Vv8eS
H5tkQMj/aagTPEF6uwoVM36sxj9W9R+Yyqv79y+g5hLTeawr/ruEaV694//dSth/rzfARF7+Vf8L
F8GLvu0/L4LbrP/6OevEP46y/Cy+yZ+Xwssf/X0pwMo0f4MnQEIS0bXwwDZWwu9rQQGY/G2buiNF
AEyH78sC+gP8UXRWA7jQxv9mPLfZrf9rNSi69dsmDzOJ5wQ72vzK/8ZqeI39ML/ZRMEESrAYYGcQ
PPR6Mdhe3zbjINYba66VXTXAmu7Qb4s5K8JEUfI3kO4LAcb2efhuMUDFzwlsizX9+vM6s5ozzUt1
DNCz0t8EdcgfaQLkaN+sk/5J1co6IkVngxFuq+qDkrSG37X6sv9py/qTY+QCCudC0OhzVqFL23Qg
4KOvL6ReK7uHBFDfNBg6t6u++rHIWl+r5vS6lZ9lJeK9kaWTX5upc+g660ciJ2ZIrhGa82DdCEfe
DTVmiZUxPTqognzodtq9bsbgV2odJXXVhm1HOtvYq0bYJ2N2XD/qZKX7JK69JV4yLgZjfB9EiyTP
MTlG5cGQ/gLtbqw2rbDf1c8V0SAp1pHU7b7x1QJWz2Rk6leDejDLK7M4Jn3U9YdS3mWE2d16zTHH
Esg8WEpgf68pHP2u28vms3R3q77rUn8uAr5vWxS+PNfnpT7lWeSKoOx9qfjC8RMztHbJ0W5D+rLE
vK88vwOPyX1bRPo3a/Opi+zUX5HW+404pM/ap3IJFmefySttAYWCPnqEbb68ox+ylco36q8Cmax9
QFntUAuKMD7UA91QYJWhN4K17bVqP7h7o4uqNEQgsTqhM4UQaUsbFMyvzCD1giwLm/vhFtaM7frl
XfPkfDQ+QvhdwGtuvclXZZDkVEjPhQuEEdYwB3JfOY2Rvf+SAFr6yL+05/pOefZcX/UwKYjmKoqV
3SK/zv0Obn2dnlcj6L9mHVhgMJphdd2E8adWPVjw2kvqZ7+o9kvnW5qvn/OzcySE7YEu2qCe/S6d
yGXOPvv1dfKFp2Y9SL5VflicoK1859Hw7X28N/fpPm/99Jw903nGy2Ftj5Tw3rvpfRSfvdNwHd8s
jm891td9VJ7mD6RCmWchgj4JxyRMvgAqucFy1UXWMb4vmTLkPg7Vc3MmTntG0HQ7go1MvhfaVM/v
vI/lXjmtH6sv4uxa+6oJGe0kURzo++kHVJz4rjxNgXfyjulODeXoJ0HzaTm60fyerjWIA3vHdzwW
rKnUL9FAk53rk3Te/Mh/eLOf/8C7KlePI5G2V52fRPU1I1kW33qbn8065IZ+FHsryI5tTzsTULkH
xbfiWH9Y8r13754w9jyPu+nofR9vyhvvrsp8Bf+am/UzyxZjA/oKDubOz261nbgTd2YRkHgEaJQV
QW76xgRCEDR/8Nj/1iH5352A/9/VgptdxH8+Bh/Gz+WXz923n48/+Cv/rAQNg0oQJihTJ5hmGFux
y/5RCaq/QRzALpTRHOMP9qx/HX7udiyC3kHfxnCEPFtmwn9Ugo75m8Fsm4ksZjHwcfj7/sbZ93q2
/BKXAvEMdgKkKSiDLwT6n2bLijIPayFVbbc4EuMy+tbVdxRYuzicVJ57wqQocaNBJsri15la9idl
ZHT2/NMN+5OT6EUz9O969PfLYIbDpr1JBGA1vD6JoEdpEnSdy+iytMBDeza9Y+16a+yP5Jp+Ii55
i6hxmvLD0NqQ8obOy5ZdbhfWchiaFiYx9948xgl048DEWu/KLjqAGxUSSs4fNMVbEfYXU096XLjY
jMM1CJDQznD3e33NeQ7iJWy4H+DQkPgNseyz2OlvavC36zFBv9MX+MLKvs93ysDUtVLZ6/LW1K6T
kYFNl8et4ztpjAHxG7dzo7/8fDu3S+PaAFfoMzbu7utLG1RunUbxtUPmVF07iz37HgPq3ZwaY0RY
312OMvsopC4Z0GraIVutLiy1oX0rFW4rZX65EGgyW+FHx3oZJ1wAuy9a+wKMeErhm1UsvkOXL2+t
VpmimOFNCaoBrWBZl7eyS7b7/8tnI92h3oKPRAX5+iZ0Mf5ibuzwfCB5qf48wsD1syEnTX10OQHc
xuJ8qlsif//+7aegxMsYsQuk321u+jNhQw5dDNwMMUkkibGrlJmIDAX+80G6uUMm3lR1R1W4k99N
g3k/DYvmL8Nc3TlF7L3JFto+7PVtoKqFewPBlahlKHyvL8be7BxWZBoQvpRejTJHycFjNYb2qDFq
Rye0QNT5VZfrC0WEPZefG23VjMBu2rd4b78scxiEL4oQxlR0voxcX1/LZNpijQvp7dzWXFLfHGUb
YfoTn3ETTIAW6RU/ZnBhgmRqypvMjJcn/KzbR0AoyhqhMp4al+ZjZ87KaSYRJFw8UrQQLsRvbEi/
vrdbM7CRVqEFbnz+1xfao8JLMnXydsqSDsbWnFpBa8/NCQLyWWead2MOpvlAvEVy+LsvD60QPAWb
R2JuLpIXry3ibNDwVlJfrqoaAeQsaYC2EM3ipDTqR6wH9GdyjdYfhZfOh7nGB2025ywiJPwtX7IX
f9dX7w5XgACeR/XCxryM7RryJFfnJZkjhmwlAGg72yzVmm3t1Bvlei+YBC9XOjv0u3VBcH30xlYO
fp/Nrhf2rrbeybI1smvRKtr4rOHQUovEUiLJFKcJ1nroxshQF+2kWAZTwlqv5n4vRc3YznTK0gsK
goHecuK4QM/YuKEJc8awOmn2DJq/1w83LyH2ZRhiRCaU/8M4TMNBE6IMphQvk7GtDeytjaX2hZ5/
ncdRObjaTJriXz/n103n7xeBiAMJHtSq7RevL4ItOcnseh4i2qF59WXfouoZ1Vw7e73zJKryrXiP
P3mYHK5EIECLwxbkFwWCMXRzoy3eEM3mMn1UjZpcj740H3VCkt2wzQh4aGQznwjyaU5eY6lXi7Wm
V5beO3eirr5JfS7fj6vd+sui5++b2k52zmhdp9pC5wIJojpYapmMfkpmuBlkCpMA21Ccr399414S
lF6/lHwPuHBUVRy+cI9e3zlDMUyy6eMRuRVAW9iZar+z60F+MGmUr2tttA6xx3wlU5Lm0Kw4B0mo
4Q+TbO4Ws2siL00Gv8Tk4t7k2NtZmTVtM233XYxIkegB23njPLjos7dnjbKcPW/b+7B4uLQrGby+
UJa+myK37bIfhl7mqY84+521lMtdGqf6QWfBHPE1re4dZfrqido7bch6KJPWznZrvignN15BqFy7
fwc5agh7xagUf47X5Xmtqe3NVZC9OvdPTqIUx7GLz4qBYYePfR0YgzISiqetxe1fP4tfX+JtGeFJ
CjUHIOFyf9B7t3Ux6h+jeFCXkyyUAY7/WL+jkluOBHLn+7/7ebiAUMdt5kSo4S414XAGDLQQ1gyt
eBYfjF75RtGBlr7tpi9qkvVvyRd+/X4UoxtSyjkAJnspDumaseoR6DJbgN/yhHFO8V1ZZ+fastrM
d+H6vTE++LWmhBxlQ1LDtQdu0y96VYfYA5c47yVqwFSDwXAS1W/r6mHKilZFwQ5nLeXcaQdIAubk
QPEYBgG84NWqdjs4ffJoMOwI+n7+ez442zvMlW1OCVjsE8V1ueowRvAUmcUzzHij2MfYxCAYTpk9
lPZwM/eut6tsW/ve91iiG7p4K5H5sk/ZPh6aNZUc1Sxr/2K7rFsSgnRZL9GqFvMTFpnaJ+iOewVz
gH7Xy94IZ6X/BqWquUpz5a3U6wtk6fdvzy3YLoKcJ6qX13uO6/YCwZ81RRKdLCTQwbMeO7Npg7Jd
1iHMV/nokc1z2yfOMUs989hhbfiOlAqXlts1SukPTaz4dl72+wyD+Ke/Xhe/3B1kPChKbELLKHT5
5/Xl2eWQTZXaGpFNKXDozFx/Vyd1eir1tv0AJ/+rC9n1PmVVRaKU6sNff/qFJoa7g4iJfzlTSROA
qXxRLeEnWjOMk0aUZ52u3Cv1UD9NKEmmm1yyqiC81bYWJLPd9Fh0SzCNLKm7g6alBZBhLvu/Xfpz
QVCIt8R1G0L4ZVeb4B2oVnBf2ScmM/fxPcAnXK3786wU00cHUsygCPP417fhTx4CUYyoj7YZDS/D
BcEUFkYMRUUzoyKRBo0eFO0fvUUMy1LZzt4k+uCr4wmSi92c/1crevNGSXEBLL88B7wEoNij0dn0
VhevwZxO2FyONpEOsQHCB6NxzYMimzJxJO22vepqWNVHZsFwxAt+yylVxnq6NSAqylDkrdhe3vhN
UeKLu+arE9vacFkWD2UOV3VppJDZi95j0u5EcYHlPkbd7WgFnsMQKejVcU13aEpqiC/cGBGK2q6M
fTZKaeG5RNrLLFR4P/2ou8vB0+qV6JhioXswRkV1wmZNrYcsm4gSVTIkxXs56eC3Aneq6a37uz3B
198D0S3YB5oPRJzWpdFxV1el1mg9eEgh8/iwoSUlRIIWyCEd08UAPk+Qu6SG7PMg9tw5rGuBI4lT
mFaxWyAS9vspS+Q7TfAng4b4uiY0lgWc+O++imSRbaYSnFyMIS/7fzLX+zKruOEKTU5YlIt17Af1
udVL76xnS3lwW235YjX1frH1LPrrD//l0KTAoUCDP4nwn956Wyc/QUpml6ZxkWVO5E2Gcl+IZLy1
U089FahtmazE7RtZWC/l0+vHso2ANt/aLeOeIILXHwjAIG0tNRyEeGL40ijGTKy1tYZKbqonTC3M
eoc723TgTIW8lXjqrpiL+qjjF88ksq9u6tUpQitJ5bVRWc2+WrKWDJ8SNKRKVvdDCgfJnxZJfbUF
C/313XpxxLu4eo56E4SEOsPiS7y++pQET0UdMjUSvOE3Rud5j5rAJaZOtOR9NdPzlni+VeQJLP3J
W6w40JIFYHhuHNAjKI9RaxeJeKNmfRG+vb4sFFZM7DwMxBlgX4qM0GKodbMaawRZspThxLm3iavi
5imzzbh+ns1UrY8ThJE0MPXRrhmcdfapXw3nCmdWa/QVRUkyXw55dyaQIYmjqVKW6XpqvVH1jQ5m
CVbvU/r/cuHEt79oO5iUX6pleBN00puUJdLc2QGC96pJ7IrB9m6FY8cfRd/2C0Ra/Mp3SDldbQdV
ZPpEtG2WbEc1YwlLGbU0yKQgXYKZs3MYYgaDgABbxS0h096ljqm8Jar+k92b0wphF26XW+13qd2e
mt5JF01bo6xVTeEnhtZ/tgoXU3AjuRPa3EdV4iqfzA4uaqKn8tGty5zs9lnc5D0L+433citpLl6A
rTXF05WR7eab8Pq97A0U98xhtch2JmJtYmP0B33OrjDdk+dY2pCHZepcufXkXdVKP9+U2lqd+cXR
0ZfkDf/mXwuwzfSH1bH5U7NOLk/0paxzHQ8XKpys3peweIpArZrpXjHTeIMh9GsjKbqo71v1lNjd
8DQXhG4Mphwh5i8ykHm33mLsDg1bjuUbZfuf7EB0QMwbiV/glHsB/3/e8nQh8O5Rserp4lExzzXw
te/ZcdbcKnOXQrZliuo8YzzV7y3inNTIVRZj/pRBsCQBu6oUeBGzU2tn8DOw5NiCjx7C8FIJ/yrW
tLpadWGgR3DavglbK07rqFwzysyMruWtW/0nD57BwlZNAo5sM/vXD95tsHvIi1GLhPAYnKZ6Rxtq
M90ilSf2O0uuZ0OnjpjG5FHhntwaEO0PhhfLPZlyb9kjveixLt5DtnQMwHBowy/kEma3eXrpQGcQ
pXa1HnNViBvR8zRCzVJX3+wNbdcvhkQmrJs7kiR6ECWp3rrYRUdpO6qHvp+YJWJG4tCZJB7KC8LE
yL/riJBbs4rZW4mk+9GxRt3HliT/1OotPMi8/5LVc/6xrBz7/Rtra8PwXn8nWtgX95NtCI8ryetb
3OXFohSd7UU6C+wd6S3G2YaZH3kE1XweHZn7SdE2O13NyCBQY+97lkxfeBBNuMolve/VQn+jYviT
YwhMjKnBxgnYcOsLRW2O7Abl7BpHCUDRqbNlc8p4X31g5TXUR23Z22U5fPA4lW7YF5Zwpojz4XPb
u5Wv8m5VxVs2J9sOc3mXXFSPPEi0hzyg13dphGw9q5oTR/Vi2c9LXmUhg6L6TE0/7lKlVp5M6VRv
4K9/8r5tSnALiRilKuaNF88G5jKEV5feIW0Tcw/wqR96HPv3uazmvZZW1TVS8fpD1uX5dUNA3Y/J
KD5D+F63Yb9V7wu3785K6RUCbaG4tnRp3yikBfrFqpnoAjxP7utqk28SDXJcBSaX9ajnjxw0J6ms
3Vu+CJA5Lu4jWlWY3ZwrgBnQzS5R96LsoNXbo7rDpq3zAmNe7TXs4TE+5p6+zKEyNshxeiYSScgm
3BShMejeca56afjmQsvplwXKDH+F59G8x5E9SUJd5Mu6m+WoEmCtGgpcAnWcu0+zVs67kXHEfhVL
J4MREnwSEor+aBXp8iE2NNgYrijeE51Qo7Ah37FtLCFCBJd9sxu8kuo9N1rRkOxULIXfUx8P1G7m
dFsMGgGJS+ogK7FTc/5kCVc2/lpkGqhmEZdXhpTJtBvrUYMGXxVVQASnsoamNuPfJTqrpiCwzbI8
xqY63Th6qXTBAin0jluXGUGed8V3TLuMPFKKeaBzHZNkvB6pcuKDPsqpCyu9l5IvqAzFkQqhuAPI
6X5kuj5hXM6XI3xuWcuQ8QC+Gi1OkjsY5u0NHr656peNrI2gnknXDIbJy9CAOlarBfmslPQKBrZv
Q9y3H+IYkW+gerpNt6RMde5juO+JYBhqDvtqgV4eI6zoDtJqR9hZa99FhpsjxYjRhOzUsTPewURX
1CutZsa2K1Z8PsI0cVv0XMQpxthx9Y2Gk6ss77l5bIddsd2ouCBLk9W4qYZq2/lWtaJCxfrG9red
ID8vbF5ItvONJMucEo/Hi72maW1SP9nSd9h8a1c5GXaR4nSsF3iGZ2NF4OYvc9lEGof4lVkbxZH+
UXujXf8Fa+MDsOzaJi24KFHsXvTrKk7nEhkR0rS86Y9lESdXAvXSrnSzmwQe8tFI7Aeo1BloatJd
V3NnwUvxlD1DEW+X9IsNDpTJ7399cy67p9+vihrnhSPmqBfdU9Oy+7drEu+6pZq+40oHP3xwuttx
SMoPFlT7N7q1X2oXdjg6NQ5Y3cNr3b2kLDfFmAq7G52d683eKSfy9KpT0/KjO+KrmVktayMxxc06
VMlRrlUmYKyNW5ulZVAzC3Jx/DFP1/f20lX3kFfzB8yb5BQ0jn1GXsQe0Rar43vjxFBHlZr61tsE
ZfXyfaIw1OABUjVzVHBmvj4oPFwuGn1AZNhow2rjuOd07rEtW7sMyOYeiNld0vQqLtnQ9io2Pw8t
7x8MqGFVvWiytOk8o0Oe9sVEUFSojTS1SDKz+iNuLxMEKKc69qkojEATUv2cFAV194hxJ2xUtxN1
mKlN/74T5rUSW0m1j53JSq9aUi9FkBV1Ot+lJJdlPvoa4vHWxhEfUnud2Ph62Yg94J2LiK5Rs/yA
5rGXuxqBXrkbh5Gs1sQtRX/rIYLogrxyrautv/ZCXe00aye6pB6PxTpWX5omz5ooL/Vi3cV0El+c
oRXlYcavpgjxP6VwLM1uIBo501bzKl/RG/oaxP7TWgCNhfiv2WdAu+4bG0TZPwLCdF/STtg8ySFJ
aafSSquuxLol780jYz2i1sg8L10D7aSrZpAy8nGdPpvqUumROed5xZZma9N+sLcBE0wXkRyZzSVz
gIcsnIASabMMihavFb+B6Z753H+r8ccyc6eDhj+JuHJKz1zOeVcNRiimFaMbdYrPus7WvqjNut1r
/T6uPQqiRRpdgdapNL+yAbm3mPYNTdDnWRUaMzo+5o25HlVqZRzAxdoHE8tA5RDXK72EkVuF5VsA
te8mpdpUUVaBiG/AGi0P00LVP7qZ4t3KnHSrINXqQt1xFHkd27BcH4UyddOOiLoSd68eLZNSjPhX
i6nvgszgO9aTLeShnHMr9+PaUbodgl573kmkQXrETxG1WCnAsD9gXFQ+OF2V3VDnO+nV7Cbj3tG6
RDwgfWyrHUHHsn3Ehm6Qt45Ti3GPJGjqdkudKt+KnN71mFicmbtllaa9s2PRPilJ742R1wqhBHWl
dzICLScUOh1NULI+y7prxD9LvSsX03bo54sUggRR0JnqZ7Y3tbfGmJVaYGSLePJy0KXT7HITQifG
kTmw1HzYVzT6vZ91ptvvG4KBxxPCSI0fFsVAggt4dBzlSubmUb02uONyzI6hIbIltCpsB2+lhsbO
z91BIQtpxv4q5G0sQn0anOQssB7Id/E6Z9jqVvjm5jiPzSddGmvzoKyNDcWctTkd0fAaEA3XaVH2
s7Dc0TfdAeEUGsYqP62LE/c7FnjFtzYanDNWvUDuqtnjGE4A+tX3wmrKDLUgtNyrqoF2jk5kdNuD
h28gCjB8V4xAz1ptQMdGbQzbvSmGYAKQXd/x6jWkSU8m/EszLbsoUdrFiWy3g0glNbc5oIJs2dTp
WmjyJu/TpJsSy0gtnsM0c7oTDxI+IXdsPg6Fgokl5oveQycYI9+yoYz/Q9l5LMmNbEn0i2AGHcAW
IlUpVlFzE0Y22YiA1gHg6+fkW02zxx5tFr2hNVlZSCBwhfvxPWtnZ0PVeNxXMYYt6IfauCNvrwhu
KaGMELxAMGzVU+/gwEn8glL2hN1UHtmxY05M98JHdy8HEGDYb2sHnaG/x++xgPnOrW324P08afMz
GJeO4w0Qe5zeg0Kmk2vqRl0a6bNlw1jqTRAbjvGr7xJ7mfZrjaVynXqnTSzky8goZUEKzAxyyVxt
t1yW3JhRf6rMEv0yyNo++dXYDmlgYXBNsC8XwQMZctA6l4bs8rzY25aSeVmnNvU1ydwJZNXyh+xs
M+eH102fcKTB4ke8YQ7meaBJkHpafgSISzQqd+oCsJ/ijpnTxW/7+VUoftETYhcqxs3Fy5WXYtse
hriq/yKm02ryOe6CEqkDkdivNm71m/ElFV/tH45h2zZO4ZPyS/UNqDsqHnfRnBNdoKhWWKyPcz4Q
AXYZp0Lgjq4XHnUm2Sa+Y5ftGdluNL/awzJ/PKZRzoi9q7l8iody6vOZeYH7MfYm/2+ubtA+kKG+
uzmURf+Ttft4phF8HY/GTNMvzxsnxs3HGtW5J0jyvloWyZfJodUYvhUBdO4sCALjnreNR5849alY
87Leio/L2DdBErG1864YArerVZb1cq2WocPJCT0Tzu3c7E+bxr/HTRmE1am2HIPAFeNflQ2CnDCO
+skFlA0jLw+Ypc3puKpwTJghzQKwSbThsw+6ICNncCguerZdlchiiezMhza7Z2oq/Btp3k17s6hO
0yBuMPvO7dHPZxI/fZOEve1+gGw26ffS0rzKl9rE462DGDpfWmpTKrZ5+dBj7n1g/Vy87hXPKISB
0nkHyzb8ss6i286Vbe8LWu1pe08gm8LJ27je8TJXhwlTjN8uIuDJ54hVsOKslN9lK9nnaSOyuRoV
tV/ZjUiiBhtlRunM8qZC0Rje0dr9rJZFjtgdcXU/cB9MMgclPr+ZVcgjRaNuogQVXj1y6G+OyJ3N
66NXdgdbd9qcPv6lyojrErnkiCduZPdTYhnMg2mpHP4VEOD9dVuD7eFYV7Nk0f30SkbwOHcVfQTn
wN5HNPuGuKNbFy/MvneDpC6rzLAXp7KKZHea+SPvUq/+GifxWDo3cuaGLm+Nqj/tvVeXD4a5934d
I4EWvXIb02SGzfRNQ/X30qj2W+TS4YH6wyJmDw1x689QAm37uUJciIun8TDaakqsB0I6aNXWUiwq
O+oDzyAwQ+ehC62D1WcxbdsjGAN2s0c9LqceJy8Dso0B801WGy/Clk0IVYFm4OWRFf+G7Ghe0zCo
7fhDUytjPzeszdTDUizhD7Rrcc/K250hV49ji2t/KAgkad1h/g5bAeF1sHj8NLr846uwGtHn6xqD
E4i6Ywoy/zDTnHrE+O3Jug37W7mHx5zX0Ax+Lpuwvwunfi14Wvhcw+LsKacLA6bFI+4EU12FP6Sz
vVe5H+6S3qfcSPrYQDlPVmkHgCWKyiLu0GJeLuINZfm6xXZzwWLfrKfN76wh0VEtsmZYsZHLPYpu
M/Z661K2NdfGdprio2b6mjDfrJaL8SdVIFQHdMCd0mxN6oBi1Zg6UbVcmcls1w7n7/x2bC1oIXEM
/i/Rqs3B4dBb9uthjaJLed5DeWo8Nb/6MYuoHGgBdyolBdVReyjK4WmSZUynfhQd5No5vvFexXyO
TLVpiQpynPXS2q1YT5wa4T2mbw33FLyqdlOxMpK7SLNHRSqBP7wOg2fGhM8PySQwAwG+HOTJFhrD
eL3ufSwCQR/5V0GgZ8GnGC0WghGEhmWMjvk7g0/7qYMJZSU7S8s6AZMNrLJowkWe7T5UrDUdr8K0
HDjNmni9bmmrlRWfdGdtxzmq9cwAYppUcJa9Hza5xVq0vPILhvINerx7RYAmDzhTu1EvfrQGI7I+
x7LP1e46fzN08sxt62vbSn27t/K19hs3F/PGgrKZ8Gj42p7FpdVO2PCMau97RdexpJOFhiCbt/oY
n421U1l2vV8MF3+qxiiTgyO6jIe9E3kXF6Cil9TbG08nKlT198JpxMc6jlqTueGCU9n168F9F+P1
lHwvgDSS0NrEV3y8RfSu79tyPPWSxEikrKVaL3pYwuILYEW7uASmVS/z0rgA3hxeXalQ7vZsoiau
bp7xe9RtrAiPFPiLKU/VUThBEhfHYh5Lnwf10TsYc7yY3tf1VTfAa2Bb2ts7NQxUGKofIzdZ4J+w
18bdax5VjO/8YcArVCKHRt907qYlpMCYNDSnDkt+polKeuOWR9GikcSiufLJx02EHvyO9J69fnBc
Gs1sDfZQ5L7o8fg6kiaCdzBeWtK/V8n0xYu+z6rrglzudvezlHXRUTTe+b2tg+Xwnh3pX2y7Ct4G
D4zURfkIxnIaFulcVKuaNmG9AmG4qzevSP3Z8Ek2EVYGIEB5/LB1ZdGHaFXc0JvGMyaRkktoDbyy
TbNEc2qjcBoSguAsK9esgHPj7Jp6Zy6GX4W/svjaast4z6UVehdJxNcPbzN0pZvpI4RScwcIobWa
4dcGV1leO10v3TlQLdaebdjWIjFdp/vcsmTRnGJINswM/X3pThHOp8SfhslP10pi8QZBdyy36rjr
YoPGHz/cnwZCqJtgmdPSFP0n9pXDe4c7WmfB0ZcEtpSb8Tibo42cDJJPNoAjupySyvHhrJSTN5/n
btM6nxXKQOM4xd+mGnX1MCwDlBNoeN5trkUT5rbf9/pmwZM3p0HU4H/8CAVIyMnlZrWgtXrkeV7e
FaaNwGc0dvvdKSdA8L0m1++Bs3d+NbQSYQ7qKPg5tMaxisw+PPt9vPrNg56L9sKcu02pT5yOBSQR
y9/j4LCfCQmEw9/U44bDrDTRh3hG65dFR8++YgL/5uZM9KFuhds+tfk0OZLQJqsv6hzz+fFhLZZ+
vbJRko9NH47wKV1n9DOFDHY6Oc5APzsWuo7ysFwEkP74EOVJF9wPcApa9X0R/RCkkTOOcQZ/YEIu
6vJLNyLC5yNhHv3Ui6UhMTQrTNai394zt1Nv49DZf3FXVFWuqJDaxASyP66U8rN6Lvqh1dkYrPVP
soCni7+L2kv20KI+ELvqdtIHzLS9SmoLO3PdbkYk3agG4KAzOO4Zy8PSJRUFnAD72LrRo2iHu+1o
n1ZsYG7MzGAU7ETS0DXFXZ1CmfriNWHcA7Pby5XKY3eCbGNs9+aj6dqyYz0izgk9yMFK4smFxEwV
VD22fmQtj0Bvw0tMHec+eTv0GarnJtbvQCbMmMJWa91IRHTN22BrBgbePb3r3PFqER/Z8rRAllEj
YsworHjOPcBD3ktf7cF5KxfQFrYlY33hiYm/euhAc+z6MS8BipbjGrtVwAQd8EqYDlKNxUdVDJQD
bl30lJiNuKl4H/fMHrrCT8Ey2DKnvHa6m69GLbIRBQnHE4u8SwQZM2IszBTIq+3Vf566o+vSUqNM
SrvSO8zJn2L1YO/K/m5mEVnpQqVzQ3lkm9u+dbWfMnTQj/exVIGDTDt7PkRuHb7FwBLy2gkNapXe
5dQPBBjFh8CWsMyPZpRspI4CtxcZL+ZBivAYyTNbnPqk2vo+9kVGGQrMLyucQf5HYFHo/fTI+7CK
lhSqResAQyH9prr2exXX5IXENnPymMAk3WkpX8cJnv7pTpu4jkaMc1ZKuX5TBwOG08DGf88WVgHD
i+qIkPkQD4sVP3u1iDVillIwbEeAzWsyMl/HuOVtRZFF2UBGjchatRQ0NkW9ArjohQTGY1ExX8ey
le5V7D4gCGtveacMzqSGy3bcz0yrHjrcaDEN8zWqlgBfZdhM9qeNXnbPZ0Ppk68QgY5TX1bY8aa+
kt/LElQQpkP6KXYOKO8zK5Lle14ymCPZPbvLhdvKXrCvMDZ7sALt2S9cZfFDWW2IF0/Kck/Hod/K
F2fD8ZE1x+H81ThM5dPa3o/1VfZSq7wN2q29lLUOzqLqvPJ6bObeJMJZvpV+C4DKYXEyASByti/a
xFBitm4DgbbUBdIBcvH6OO0dTJemZXqQLRH6l0wLf/x8hErv9y0jprxtGjgbuqCneV1Q1qrTiEiO
d1OwLfPzvByo3hHWwIpzO0s/bXCeHOpFFQ1XMdIOk+puV5+2riq/e2sFzcodSkUWKqyzNa0xOQ9X
4niAoqjJqC/spgCjeOHKj8fg/+FoayIqbLru7Uans7DB6xaZE5DgeRmTKnXTcU8onF7AvqXtMPQy
EYUDP6mwy/IJq458KAW85Ee7GWnc5bD2/i3gxfF1ZmOqgeEZ/0fMxK/Im1K2/ZPvMRU5ARsu9lTZ
tPiJfVQH0zrGk9sDmS/+8dpXMbJ0cO+Hm05M5L+YRpTjAzem4UC2whXX6jQ2X5xdsZFseUb9F22V
R5DKeV/M1Sm67qlSVhN9Gme3ROkRqvFWt1XvUBUOsJ3idWIWGIbFuvANMOI5T4B43GybuvrXKkKB
N8qPyr9p7Lv23PfVIXGD7+xgSdHyfpDKZ4/o2p3oGWARc18+mhudHT3yeSBEVjJx68B6RQLoj2dG
RzpnQy2p2rba2E/OYUd7xpdCIe4Jy3ttGfY4lMdF/Asx3OLm8PhK+1L2JcvBdRX1O9UHwI42JsY1
nSG5CGl1LDH9U7s+jM3hMu8SSvFC22M5n2JnH0xi8RvtKRhCTcc9IA9LWH1PXVJr0fxCaXNco3px
fjAcRMdSywgPmn04mUXDhSEVCP4XUkorl7Zp1/LdoXr3azluocpCBI2gA5fJwgYtmxm4FH6Rg2LL
mqabsicfm3E4/c2s24hXQDYbTtvIWOObx9spzEf0Ie1pPARGX8eA184YSsT+zV4Ot77XutGWxlbU
qCevBaaTgX4rrMzStDgJ37W5BnCyFWnrUY/AfD4o3za69ffTzkDjFs3D1tx6NdhPs9fp98br6cim
aMfY7HXxns6H5Z5Hd4yqTOiIEnMPaovhYb9uMvOLijaStka9K2D0uEk/RceYMMcQT0A09HBjPx1C
lPHs1jz38SjGZ1vsQZDAClrpaZyhmr8vVqXYTEZmPHcKqXjd29a3JvQrwn1QGJwpEduZkUjfPyFO
3eOrRJdaUjJYO8lHa1l32VTX48CjP6/+fWghopTp3hGcB/TW4sVuK2w489FBZ2rIkQ8/M8TsgaR5
XcOsRTfDcOE3LnuYZ5E75RKj1Xobaiuw3pcSQu1tdp1FX3RdhfFVlGu5ZgVxZswg9BRZj3paR0IW
jAFfJDnRjoe1pUb1+mCl1MaqOlBKgEs9W3vnSqYVcVO7L/2g7CuF5cw49XDHF0PZ5FxM4woU7E5M
ER4z+5y+DRPSmWdTe6a+bUHXf4GRKH4gB3ZVqtpZ2WfwV84H6Y3F6yoxZKT2aE/0DGNV7g+4POf2
PBVekJLnhIlvsHvUWzt5kXbqkBC4PwaUe58PO+TdZAqvdLMp6CLWy+HBb8ix5leZz+Dsa3wM0WfR
bneNvGQElTV0hDsjy2nPK8rhH13VqB92txTf5FpO+yWyjESEEzb6JzO+5eqbxRGn0ZZAyLp4OKpE
wT18j1+ocGA9NaFODd8MM1/lRognima8j0Lx2ftDMF7d0hGfh8o+flakiI7XqQ9gZxVVY5cnnuc+
PBeaEXnmrLO3XeANAPLs4vv4k8mwUU/ORsRtDtdbRed2He1fTFl9+UUMZRd+Y3m7y0faR7/BzO8s
zqlqqzZ66xElEVS9iW39Fbo79ABXF7GXOcZHuVpyJ3rvjoGiJK1gUK0Z1dzkn0rgiU9TtbIAZD9c
fSf5Fb1RsKs2qzdfnGttICAoeOOY9JGxnLkY/JjBkfT4bjAySxj7GIdCKfdpTFq+nPpZidB0p4Ol
9Ld1w1rxDquQBgwn1ko8UEsuWcg7Jx/9VlungUGbASoDYzS8BGptfvbuFCggL307/9wJJEXhY5q9
TI6xWO0UvRSN/Q7OrALWbFXxE2E8y6tsq7BnSYbgI43Zg3z2h0Hvj9LgqruA2tIZryjeCIAceXc1
3LCfCJVd+tz2yvoSl0BIbnqZ2e97unAhkdX+4mZVOdr131twkJtq0Gf2pyBow+Oh1IAlj5QBuS9R
K43moju2ZZlB9/6TdrokyNxxrb95G9NQ9dYy1ZlGrmi/b8FxaAAgFjuEPY77yz1XLHxsR8D2LFGZ
2KeirjoQfnVluZlq9+GN4BIe2KbVDFK16qMo7+bSjbNSAzlLF7URo7MBeUPxGHnNcrY0FyBx5Gqw
xSKXFrndDN7NaoqYf8AOWzgIbOezYC8971w2pJOkNrJJkZUd++9UYmgtv5jxgOYZkHQlP7KA616Q
i8xBopZxrh6WtffslGximEI1lMgXfGOhTI4idK0UCNi45PzBlJTYhv+K8DLFiTo2/1KBbfxsBg6u
BKJhZTLOaCnpu1wONYbLNgY9JB1vhWLpnDAM8K5WbSBZ4hz1gEgSGfqs52YsTyvZGObMVeJ1s0un
jXkZYLbjAYMyx4y76KerXLcV/qi/M+mcwgqhi1n0gvbX38MwY3holeyJ0MRnHYvgJTvCkeHc6mwD
tL1Aa1qNselesTs6sAytYxXfNyecPgwcfV9GpyL4DQvh4LIxmr0n5UK1S+toOz7taoicG4JgVbFT
AH+EFNazrdzrhZqu0QJNOCMuL3IuAYi4v5gzcK1I6r0/TnO1Nlnt6t6cm6aGWq5YzaV2PdbxeUbI
TD/V6QIaySS3T1Mjur/kFBgWqmwtRepJIS8GgTF4Q7o88CSRGMuMwAb/YR36g1WsxcAsKbBmU8iJ
SYVnnvbFf6BaxWg3rUH4i1Zo2NI52ruAjqM20Q0HFhoSSSjsmWJ17BhKk0WFgMNZypy1UnSfi7rO
S91zy6fINzkodahQGTBlHp9sxNt23hungJUR9/tJ1RIu48b/8to0IHpTQbKzupLFqR5tAfT3MdDx
+Gur/GZI1rW2ALrAvmRugR//VHESL6e2AYd5aVYGOIzW2KNm6jCmfVHCRqjU8XuGZ/DHoX+KapaA
LBH0+Mj+kEFhu0v377Ig8YrGu96C9/XoSX2SkHJq2tjmuBBNzzo9sTwG2OkIntTOQppWjzS/iEmM
E9YePRXYgnxYNq54swXyNm09WSLTENrfwGb1AXpys61/0q79S+kFcQ7RPfaPCLUj+Ih/CiGKyqZn
c5Y47yRDpYmhSjavwXKzLb1iIOyKn4UtN1bVjphOTD6c09bBVqQO8257GEnQlQeUnOMIL1VHZGq7
zupjzzNLAV8UXx27JpR06oiWamQ9ffzvypf7h/uHKggORYDbDiCRhybld0B73ex1uLIuOXX4P5Pa
dfVVCRGz11m9az3VbFFaUDhdzPbuDxqS/4Tl/PNn+3epJZksrIcFcWD/vHBsqY7IJzPntAbu9LLc
iUFyhvWXtHUMNjbkjbUhD2f9XZ4nGRmZjWG4h+dGGM874W6A4aDdJpwuoPnsAKl7xGyfLhuNHJRw
CKoeRbZ+4EVXvE6mMR9K4Zrj2SGJBSJQUZqKIp7ASLZDcpEsNEIyVBvBjC73634dT2qVEfRGtj9s
WNjSBPkot6Z/hj2rPuvAv5u0h0NfN2tFH74Ps/mocWd7aXvMPz30TCkT3fYzKtjlHZuOMbejcivQ
tayAeYppFmGboC2de7o0LjVfUqhfKVGO4bsqZRhl9swaLsHGUH4/NjKzdhhF2mq/MHXGGj75IKNT
FXTVz+ZoEag7u2e/WyDPsgpHT7e+qQLu6Nnx0V1xQsvuW7BFWI6nzljfkK4gL7cLBVo76n3TMWWt
LSbaXiWdU7MOw9cyBGrxJ6/Av4RDfNWov1C7hjjXmB3/82v3GfYyfhf4O2uL+MYSyFGFH+nqcvlz
b66dzIhj/THG1dc1HPQvXzbi1BbHU+gL9s2Nv74YzWf+7w/Cv7S4+NNJzGQJjsXoP/7wf34sxczE
ZXa4nVCh9M+8zOxPsSrnsw+d5X3H7v48cDckTBiATK2L9D4FoZGph2oXgrJaiRs2jfcHvdzvalw+
FI8G18gVaHFgi/zzQ81uPyyg0/eTRezFbYw72FpyGcqr4lBMSIpX1wDJzZ9sCPcn759PZoCXDwoc
6EPeir9bjEMxUzj5bLOmnqm2Hicqz8ofnxHToyfB8MwKje75vTXU+jb462f+mZY0dKCrBXFWp9Fy
4ndBZU/5MVbUSv/9q/q/Ph18D87aEGc9SaD/vCgOauiKNahz4oR9uQc4T0CWmuGpd+tl/ZNT6F+n
u7iHIcCMBGbN7fE7MkCxZVYeqcd38Y7/Y5kGn4zEep/yebX1T3enVht05+ba7/cnkocYide9YD0t
j/z/+2sT5sZLhnm/b4MjvYsY/5fFawYFaXxbbSdSG+e3itadcZOO4zQajvLnf/9Z/34tkHbEdtFG
p4n7+PejmeHkgrxCHSdP9DTmAn1o0q4eS8EObCAHT6W+LBEd/0Ix8Ief/S8xJoaD+H7FUUZi3f89
aHPaIsnaiXseKq96Mw0bgMhdGy8BcTnlkAQt9YcbynV/v98x0zPSdvFcYXuwf3/MehoXK9KuzHHo
oV2JIBwpDiW7y2evoab39LLeo8/tFfVfNXTpTHLDmQEWLT4tkX1tI5+KxByts/ywraqaUsc6GFBW
FALcLywBAHtSJWayJqQh0/48TjeA2wMUhaNjsfLfvz7n92tIKACR4CIK7gwabprfBK1ztXEXDYoG
Hq3zD/qdo01abIsfOP7bh6EIzNchGpBZNjtnWiNUi2QsZpox3h2yvH6DZPFWpsFDYT8ti+V920RR
/iE++P/6kPfCA8Mi/yH2/u2GRiDeNOy5z0vXCedEKMeyf7Q7i6R3e96c6Yb7bZm//+HS/P5Ac2m4
ReG8IuQmjuh3myb6JXv0Qf6c+24Zrkx+eiozP3ijRpP5wcb8yQvlehl3tieJae8NoxFecWEb/Se/
33/cyf/7nA3vJDFCPWlMMQrgt/jnFSgsEJQ2+6ezdGz0dR3ywIdumtynoCoO8diHbqMfDnq+6pkn
QjpnLHiluI70TpiJBVuMJMYW75F0bcfrI4pXlhiIyEbnYe0dRjd7PfEn9jhxjFvVFDyzYKmPU+hF
03A1LsdZ0hXKVhd36uVjrFFwJOFBeETab64enxpUDuJW+Zxzt9IhD/AxOBiwZZNhvpMcvgGQoJnM
uewZ7kHmNKDgo5Whx3pEfT99CWDJ7F+Lo7TLl25sGehu03489KuOwwfPH33v2Z1RMumgtMPHglut
Tv1FYcgjn4LGGD1u+FFg8paZiZvAvEPbpraU8SXWiBEn7PkPt8fvR0HI69a+Ozbw9FMS/37K7vXc
Mm/c7DPOA1sCGYjh4zL3xGdW2AKklTdg/kuHwI5WnE/Ks1AE1hFoQqmX+oGQDIPoZ7DH9Q+lwO9v
Pc5h1xNwmO4sCPTzvznE8Hna0NeK/XzUs8rmuehxplY8rcXdqvoHPxov0t+OROgbmFEgjNDaUH+I
33xA3V5azQRf/4x0TQx3BZjTvchuqP5uPKvfcw9XBFquEnnY6xJP5lO8RDq6LQwIi5d9xZFyrpYi
sL8V0UK/vQWojV6ZvymI9ujq0iIuVv+hQpTkfO2stt4+DEoPdT5QJm95309EZAQRO44sMDbl/rQD
Q3qSHfN2nCz/ueAdFLDnw5bFmhIer8tcbKYAVV4Zyy34a0HlfCKwcNsv0+TXx0fhoP9OzAA9mpxy
GTiXuIKj6lt42rL7fvQL9Pzo19xJpiiFIyDZFUzlKOzaebdyQG3NN7cpnLPthDK81c6ODBeXlrTT
Aao+sMoKpAm1vze9oOEeA/bn1FZnNmLQQie1LyH7qGKZ8sWzVvlxYmt/JkCHni/Ym+6vzbPX9oQI
aYwQJvfDh3h0caQMg7X8DeBdJP0Rm/ov3h1MfJrYW6DUhqs7pLPSzod90yVpEVXrjZ/7KiiuBe1T
c/WXYH3zuj6kMJGyk1dPyO2nx8nKEd/hkU+9alk+RF4bm6the+hlrKmnL/dXVpwMSEwBhJbmHiPv
q6hOwqj2/nZq12YUq+f9V4uM8r1XV6P4WVURenRLDWE7JIuUVYm12wD11eTesoTgZnncGUhWaTuZ
LUxEhLk0R29TDyiw5HLyRUPITTNuzBVZ/tDFoP1ZrNSNtA0+rWoqg92nGzo+RQDbloSfKsbAEpXF
OaRhPVKbJKWvEXlmbiJAUjPPIsn3Gy/Io7uXbcoqz90mgtwt0d5ciq3c3U+4Z7Ecu8e83nxn1Fex
kpGUI+yLMFKzruM8W8o+utTgjposUNH0aytX9o6NU9BHDuAcLMKrffYOKNdm8zDwAlKnjUgzUK70
v92FuYRoH9TSFw8GeOJwY8YucGRpojKSzlP6x1y2ZY/X2ACBcxzdNGk1Oh3bi/UQR8qZzdeg2gCq
6L7urZuxvizeuRr1O3OdoK4yyzPllFtNsPepF07Nexutc0D4zKYforXy8Q8MYfDrKF0G/VhToj41
ndxfGv46DFqO1eiFGTlKmOKw3m2dGL/T/YfkrAxwToOymX741RG4J8ooeh1is0g+IK0AfK7f9IIF
sVphHt3Dt9y2oXwySrpFXo6evoVO5VR5O6/o7aym/RCH5X5t0RH8RFRCaGcVadbCblX5J6DIdnxt
Pb5BCCY1okuMMlGfkWJCOExJwkSUsCn0HrUbxLyl1xYl8BxMPVIdDLIU38AVbqs1EFyg5TI+FXO/
vQF3FkAtm955RNNJfss+i6F9ZHAJMFIcQsg34x4qfijXqQwypC3cpNF4uF9bx2aiNmkchAkDNS53
i24RU5lT2Fs2UsZueVhtG8srUHUjO29ZvSPNXO2XfWO0hZKtdGdUXkw68PBgVCBoRc5cjeDQKI3i
glMovut5hCRkpO31bnKwl9pjEm21r8j2hy8+QzKRdEcQvOl1C8fUI9354bjb5xObEsHLRIV4hPS/
ynw2yAG6WxRBBW7xAnxplu5o03232iNr+7LYrmsZ1V+YadnEVnWHT+IvS5kmxbdVAnWKVc5TwUiA
0BDgMk6rv9YVjpdL3Az6Ky5GPDQyLsxwduuj/1SUCAOhtomNk49tInkwSMzKhH8++mi01gULIVmS
hAZnCOBZsNX5gfTndJQkTeaiqQYsdm5sy1OrSn0gt3TL/XX2mzHOZR36REsXrDhaX5E5IcPAzUi4
uOtDDsTS6X2XMycNVBpCVxjP/dXf41TztTlEf3X8+fhiQkUZ4k3cqRqcV/i5RpGP3gTNUpkxwseW
6M4WD/lqWOB3e78XaVd57mmXjEJTZ4uD3OIPulT0AkWusoPhr1AF1EhbpyF9oJoXr6baOH5aMuy/
NQ27+nSBUcTxE8UoHWcTYDLZy+PjAdqrSTZ/dMmLi9syDVdwAFdQYXdBe4xhKT2CsSM2iC0i4yvX
cpPN9q02Ua4t6gd2TduncmNbyjm+beotKKbq52gO57W2u0FdwhYEJweWtTRJQRR28Nlhr9In0Qgm
6AaAwcJYGRa8jtiufXaqFpv+iqCvy1l1hpm9s+opamfrP4+9ctdsjFpk6RxTbJt9oIQAPvbYP94N
rV2crBjlUnocttaXfaZUSlByO/bJ6r2G5pQtgHuuV3x+xtsi8nb8WYUnMrvIhlGT2/3C8jYhiKl7
rjNRNotEblOHEZpEkeNhuu0jAAbslQvWsMMllISzrhv+iljC2ox83TtUed8CcVlDT/of+inyNgTX
y+q829wjCj/KkFsvxfzLSw2WE7OteJVDIgIEGFlZyuLNLXHzYAFft/NI9TBxkOPVSmJUbVyRmdEn
6TBH8a5m7/ccTwiAMi7t8s3bK0vWSUU4mDhpTgn+jnFiIHiFVeej2DCH2ptrT7xNh1FeV23V+kFB
av/omD1uroztMYAxrp//qhBqtZgvBmm/Rnbj52KB7JMhRlIjGjCnbImOGj7Pga78XLWo2U6OUNg9
9v+h7jy240a6Lf0uPce/4M2gJ0AaMOlESaSommBRlATvEQHz9PeDuvuKhVIy161ZT6uWiAQQCHPO
3t92IWEhcM1Xi4dX0jwjPeljzqz8ivg7S3mIhmkfxx4TB/rdKj3M6SSenEQlpkVbvCmMeKX7hFSu
l5yD4nJo07L+4cQuKr+OLxN8dowAC88COYi7FnNxxeSUUwsbx9RRUXuwdmHEIMIwkDg7hT+O7XTt
cOShG6wtcgwVpYPLM3AE5kwM0etOL+D1PMLrjejdKlPrHAZR25+GPCsBppsZ81hhGz3/XvWKR2eZ
x57lx1tuZJ0D6IQGVF0VOkcCPjzBWxsqcija2rJvmgiYZKC6OB4O0WJimpxSF6+fO+lon5VsyGDz
NsO8PODma6AO9p1Z7GQ6maTm5OVMn32Nj6W7XZvfpy5uXZjujW4esyl3OsZ5T1F/UR3EnYPLOPDi
5pNWZkSm9ygfH2UzFws7RssMSn2tEJEClBDFNze0w8uMZOq9Sems8hevndoDI4UvKDY48pX5Mssb
2jntC4QrrAeEP0rrXqGpTMxjOmt3C4o6pp5Fa6ZdVWlpclMNFah9u1iivywZWz9aphPLl2Nm1dfV
LPUPuOFo8OB+HnL7WqmMatplTTtlJ5eAFWeXl0zWN4AxmmZlnGbNnvUgNff6qJnRHR/94iKckxMR
c0xatwo9+NvJkIMJwTi17E9mHSs4fhJonie34iXt1qM0MpLElWVgqCjLDnrWWWQaqQupiblqosPJ
apdkhSlRmZyQQPgVZBg3TOKctMNiTheF7QY0oP2sIO+tfId2jXeXRJwjdpquLW4wjXm73OeWPZEm
ZUTC3bOrHpaQDXrUi11SC4z/sB+0XaajbtgjmGyUnZwKNoqxilvluUFCAq9f1q3GsqUoxq7XzeEW
prRSnkoKmi+LKnTKwKJNXyObdx1grxHDTa2hk71uSX6072Ee2fJnb0VS7nN0/PKqyhbzQclS0zqy
o+qZ9VG4TcKf0X6Ue7Y23lctMatwSlLV9fkrJianHurNh7RPXFoQUq/UvUPRotxnioK9zbSyIb5J
zdjLPhb2mKgHm9lLXo1uQTypgxtz9UM2RrxP80wt79MFPclt2U52ccAeEo/PmowbjuP97CYVImjY
P05B7NuRJl4dfyzgY+MPaKWhCZo+dj8fbLuMMiSGU+HSmk00fJdoMTV2/S0qFZT8yvgBQGtHYYsA
xId46NGxOwDvxsAY6V3dxCP10i9mYtYPqB8xuy8J0gC2l2n5rM5x6vUXKl3/rCGx00fHQk6tTc7t
FlRSxamFPCAWR6Rq9R0UiL8aHHyjT89Y3TXpdInOuxbO3lZsQIfQJwAk4kLsALm1VpfeFGE9Dt8F
cVzimM25fOqNNA1YCbKPYzKIA92KSAReNT4DmhG37HcvGcf/dHkKANDFKB1RqdycyoVrU2Hu6Eqo
6Yh8SdQKjIveNLvH0Uz6J0/r45/FUKOcqtP+RjGUn++XR7bXXzs21EdQc/MgqM+u1ZM3t0/5dO46
3FJHyjW162PhogrDfuwK+dOwB+PR7he3lqsaD1E9e8v2QvdoW5ZYqyD0Z9jsaFSldXPzABp2EyqU
9xleGHJyNNfxSUkb9YvHrd+4tpBfLdbiC5X3f8CL16tSCoIXZtOuZJv/99uO8ebpXZTAmlfyJzo2
6UmO1RDoaFXTnZrhcogz173ONOgaBbrvj7Alygv1n388ejB41i96gmPSEfLW///m0bvuiFuYN3NM
2IbWJ8uG6natjkKOAQTEdrluQUdVH5PW7L6XXqzew1QZ+sP77/9X4fjt+GdTBdUEdgF9WJsi2eZJ
AGapanJt2O+NYI+pnMrum9o1BDd2VjvKj6hWdEIyqaZYq0du+KmzEU8PBbCm4ZaMVq24LcxRVz6Q
mFr3P8ehKTABp7ZDsrMhPQNvKZ+TL70BAoxslmIfRY0zMXcnyJHMxGa+VToCr3ISSI1AGbRCvV5I
pkVv3ib1eGhM1Y5CUh7V8hH7hVk/oxN39Ts3ExgvrCQScUgJuAF8YYOnCgtHjCa58RRBDqL2TFJ/
KxyH/qSYlTpiGLbqL/TdZ20vhF5+xzqqDv7YoR4MGsBhn6m+k95iQk0prvNyiqwLRfJ/9CUdjb4y
ABnLgI1jOcbmiatoaGcnH3GWgXXeTQhjDlHtLjur1dOnDB3IjVXU00nUZe3XbK7voclbx7xZW+di
ToNaberw/VGg/WMY0Aej/+ZC+XQoskF++/tgHJaGqF04dAevd+E8jTjNlNNQZZryNMwlXAA3kjgj
kVG2QWx4S7UXDhuju45yGZ9IBSv0aSKhortC1TarR8Q7WuubkprHd7zV/ZOLbT4OZ1Iok/1YKe1X
h5gHxJ7TZD03wnJttq5O+0XpuyI7TRkC4AJQbnuIS3WJQlPHWuCLVocEO+kV2gw4GQheymhmaxhT
9dsXadQgGxS5dK6xa4zVieKHZT6MRjY1h8KELvvJJWG6vWLXOaj0cOrEPGB0HxV/UDL3Jod/aO5A
2Vtf9HbpCnS+7dRRKxdR9bXRHOIx5sEUHHQBeHSHOqN64ntY4TghSypPgTYMFpILTR+yDzP7VOfE
6Yd+N+DpJdvPU9aJe1vvKgqIVdt9NDOk+rgYNDlf2YCA7Cehwc2KlcxAO4U8w36MeVFPo6yNl16x
RHPdT1Rf9uROmgkKWD1KDtVCdwWBdI8sN9HrZTkUqMvSu3HoSGclttz9bEpztoK8iZePPR9WFdRA
ROxdxtaAWMdIoajmWOWYcpwTHh7iDJsCWgZ6YbQJPXlnycyrCabtKJjDh+z2vIUl2uExnPNDb7ni
pSlik5wOkCunSYvRxIok6w9imjM7YBPHLSQisREwjfA60QeQKexFpabse7Dy6b3MQNycapVE5aOF
nkgGRNTV4yu8U8T7PgMANjO01QE0D30wxbiJO289vmq9wrViuzgiX3XnD03eq41PDnL/zImMfTDK
F4Rwfa4n0z3Rp639URN1cULLpCEcd+0iwbaTiiOap1o7RFoeJ8dKmTTrGicgN50CiUvvABpEz1jd
YaB7uWt2IBmgUZWdFv0wkwE/VDGP6MVGqI2nvpic/kRCM0omxa7GpzLvBYG+qlTFhUVsu1MCcMi2
11rDb9bwFGMjJYB43qhJusTQtYDjxZPXPSwdKS/sZparioH2P2zjrtdjm7BCvXgfmrNZr9iLCiF1
rmeUivEJfvErHB9kpwhOviVWN357f076Rw+X64HKdj2CI5AtwGD9+5TkKF5TAInBDedY+GacbrpP
Yu/Q4YP8mpWQZYBayeJaeJIQq3Q0NX/w9OlIq939qtvxS+6oFedj26SN64CYhR1NaGIVjWm08xDK
BWyH6pu8kRVR8qiFB05LX96/h23Xfb0F7kDXXTovmqtuZlWOZ1EiyJA/xBPYF8wG2sHBF7WznYWS
a6wDRFOpAt4IXAnH9y+tmzyetwv7GsKHph78Gus6LLZNM7auBbJIEdmHKsVxg3oxB5DbjxUOski1
hHdX6RI7EWpjlK69HSP1UMZseZ6G1hI7fYACHrBnhOzUc8TGqGcIPeSMibUB/Nbyahc2Y81eqEvg
9OQME2Dv8ZKDawm0zHGrKbdN6nhgcyg/Sf/9u/vH2KcHwLNFNMIURPzhZg1VKhnFVS0b3MlztrMp
9/yMM3iumobRFCG6kl3Yphpb2taa/rJC7BGhsWFky/z30RjDGgQ/FLfHcVYpekcxcTOuKKHU4bxk
ITC7Mb12qEaURz3ubN3P2FcZOwxAhtirQ5rPgVmr+Eugc3i0dUgxfqr6whwQIKR4BjiO4UN2EhLO
sT3PICtKMT3GepvGVyiJqNWv4YYFh2I1xM1XcmQlS/QqR8Lx2nA43I9r85jZt3/69aj/R4lk/79l
ja1z0/moscNLka9Rm39K3Fz/5f8N3LSc/7Ar4sNhD24SibCmao4/+uF//y/F1v4DYkn1PEM12T3r
a7rG/wvctLT/EAS56hBWiDJqJk6UPdzHhH9n6f9ZD3vssviTq0bif5Q6thGFKJxWaR8TC7UZ/R19
6UiWeRHmk3U/JUvrUxNKwYylxoE6pfGXSojEo0Ml6hm8Fu75FA8mvRI7oNqMD6OYvaO6NOleUrN7
yjt56VC3SRf5/cvWSenNmYZ2nCp7OiNhYSTltW7OzU0+YcjJXM+F5pBHgdpRfm9jh3qvnItPg7E8
SiXRDroaQ4qeQR4HWCvxMKuFfohgBO3A1GhHXEvTvkDz+vHNm//wf+bDd0Kgf//SzeqJOcVOBi/P
wRID4TA6am+F0tADdfLkVS3w4dskoe/RMRJvZUVsN4a2ry+dBf4+q/y++mZhQK0ReTLp8lBtdYsF
rhkxasUWiU6WHnTJUIZ9DVoI3QVJ4toor22Q7xeUcH9fnH5fe1PxqCsjXVhx83CpYirRjS3Thziu
+yvFWqf80VM/piCqPH9wIAu8/7jXkfl7Ufp9zc3syV5K1Um4zUJcqyW6XhrnNU3/W4CM39+/wga5
/d+XcDfbBSrUCjvFMQ8la/s1XbZkP+VV/Rk7yBgCaqMLZuYy8OIZlHxTVmG5yOHgxstdXow7z1Km
nWdW062X998q8JaHOgVMAqIluvDSN6zA379wsyIrSlFXvT1moZ4ThUnVNdvbLqUd4G9eaIB+PY00
fk+x55WBE9nJZ1s3s32stSjRhRrz8dLOmDs2DUY+JSd11PS7ZhHTtdE285XaewIMHNikEnzvBTr8
mffmbqozJZSeoXCtKlyQSQeZZ7U71nt5rBrn0/vv7RfQ/g9Dw12X+jdThkhyrEDZWMPYUYtT4hhE
lFauEgI4ma4l1U9f76BVK/16CAGGeiW6tjwRn4jUeRLag9sRYZh0iXVf099ArSDzL7QQzDBuEhE6
7AoCqWtVEC0s3gaexf00UdCyEtzpWi+0PWD/oDVp+5ZRpB8wRlbXpkRJNmF23jUWt9z12nRtxrj3
+rxuOHGwTFC8vNVj4R7GGEzo+8/i3NPezOsZSVEZ4tU65DitBjXbpx296c5XKRgc3r/EpgL2exBu
Zui2cxBqYrqnTsIZLS2oqkrmagSQ4q6Jyy9jBI0MTuNuNBwiWkpjvvCif5US/vSiNzNuo0QCG7dZ
h3m69rZRKZDywLbdfOIEIX+U0nXgYmVoFHauM+dmIDA/HnsPJIhPK95Sw2XQhvrCjHT252ym4GYC
y7DUaDmqpjRuxiVH7eD1aRnOs0VvvjJPkHyRL1mc5HRRj3tFy/MAauAUQtYYLv2Mv6sYf7+PzWws
EXF6parVIfqpNKQWT+KIhFLZxdEj+B+87zhI97M6IEkZW5KUO889uqvm//0B8fcd9e/rb2ZmavGm
ImEohy7UrUBTFXcX10V7XalugUyXdLL3r3NmbG9PjwCa+LKkW4QSmcCxxx/GYu+1O1VrP79/hXVO
+sP42sqMsW8B3m68PMwHke0ijs4ojBSPN0g7pDUyMgr0Wbtwwjv3HW2jlERVJUsJYjacKoAtM/XG
hyJ3FBYeZp0cE9uOLM3kCpflTyFoDdlTVl34kn5FnP/hTq3NlOk4swuaclCOaZpUp56sjoDi/fJ1
diwDZKFW7S2j8ZZA4VgOuUmPJx6zpP1m6Lb1DSlu18IUXEE/xphyEJyjyICaMosQ03B5oFAah0aZ
arB04Ex8y1W3fDYxRh49oSboTnW6an5bUR1D+DxPsW+MzXzfDmTAXzjFop498za3Kw8Ik2plnIQ0
TubvlBrRXrXcOcWbBUJVb/HcIc/ZheMLZEXXRYwVZzcQMgEG1fQKmnwDSDRMq519pfT5bYYwD93W
EAFUkm5+OxWobn0tm9VXSx+il7bErrpTEyP7ms+9+Jog0N2VyVAfLEFpPmCJWZFoFmsVpR64MP5c
JV5+JKDA+aC6osuC2osgZpMZSDTHPOm3vZDzHbZYXYA1Fd4VPWSX7V2KlHxflJFDGDgYhGlnswM+
2pUORiA1DPEByXbbIVKunPvYcks8QmOSXaeeAB462SVtYUJnlS/k8OU4YJVyAhvj1OXNjL3qq8W2
7ZqA1sm9k16l7emsmviT0Rx7fgNpxoOOOlKY81CB2vuEuu/BmOp4OOpJbX82BOZH7qxefip0B19J
BPL2OggUK2znynhoXegzPilm5k2X2d7nuQdMvafDnDZcdK5o4kvkoD7auu7Z8iKKq17C7SE894Cz
lK5BB3le4sBQAAagGUlCiHCnQl0UlFhTSpVksFtHBpouspdMNabPRlrm9zmkiStQvDSqYh1cxEDu
gOMXEiAgpNsmman+m2Ma9vPKyqp0rxt50NI6LnmlPaPzl3hTMYRiM9bs/N7OQFCfEnRmP0jiKH6O
WeNddy3SEH9poB2xB6v3mmtJCCxYzNugrYYImZQlyjzQusn9XLoLb1nLRyCsZVWVPvBkvPJ2CjkR
p0Cd+x2mCoQMhgfpwpFa+QxnsIrI6E1NbW82OWz2RI+VMvQQHT9Dz5Oh4ebdI8LB7EXLbfu1NBWo
UiKu5+qxHVT71bPkopD1ak9waKQ+xQ+QouB/ao1CcSDHBUcXJNfrj2ZZlk+xjmAxWNDhqWEOegod
oUZ2bVSQ6XVFgV+/ypVYEYcUJ/K+RBxcsXWs05vemj3DR9GaI+NuUoBhNtoxkB+JKh7Mge/erwSl
DJQMvf5JmKs4Nx3IFPK1uSp2Y2PBb/cSzbeJ4blG/YQ0x6COpGFqJwqhK7Wdi2p9wnKULV8J42mR
D3mLXQV6NA2f2hVk71vmrGQHVTQQw7D5HkHsipZMam/AFce4BqHhMtiLIf4J9qsZ0KeNKNZiLcPT
V+ex5QOmbkPFw1kMLabJ7sdBQ5WSTOK5UxUy1BQb5E3A0EFaPBlshujQZg8gLol67EE6fav51tAW
FZ3zKRJN9VMxevsVkLA27JJZotCYDUAFWis6PZCtkI+APMBhYuPwvg2yH9DZ9kb1A9ZC9pjWfUEe
hToTOlmYSGx9lDyUkEDgVi+g1MSdQOTwZZ7oWulKJz7bXdr0fk8U99Xg1lEDPkKJtICYyzu3d/fx
hP7Hb4RIf04x+ooVau27idWcsDJOnwfwhyjzs7J9cRhO8BVKtWtDvS7B1I0J7JCido2v8FwmmD1x
fSL4Lrlqh6gjIyzT2iZ0JwRsZChmUzig/9MhEmrLt9zrmiGc+zW1QI8z5SbqwUD6TArlx6gtJmbN
ofmqas5cntQmUm8xICxXrUigmuLNrp/MHogqROgZli+oA1rMXXsAhQXnUMRReqe1fL68yDak+4ik
GGt6Sgc+JxcCyeeym8u0YKIY5jSUswnZpJs874eFHiHal1BiXsu4gGPFed3KrypvEt9aTgTVwW2Y
PLFja3EZwLwtbmevHhaESR3Q43wAFgAeOGGxjF26gUpjfsX1XL7IYmS2LcjfAwaBXLKB1Z4znnsp
o4g5nDkzSFsPBpOaJNYNHB6+w/e3M2c2TFsjbzsCOhKEbYXcbH+wKiO+KiIoG4QERrv3L7Hu+f+w
j7A3Z4FJkDbb4ggJ7XzuCDOYDdre8xy+/9c3WSD/vbW0Nxv+FHsr0DcdiUxZF9iOc/XIdgI28Sq1
xCfcf0LtPB4W3ax9yg5mMEWGfcIXYYMlTZMDVPxoRzlZ85EJA0ZgFTyYS5Y+NdIhtFIfSrqnfUpv
GHkqr5BVdswX7Ituf6d22aUglU1A4+/72JwUpmyEpjIsRZiJMbuhG9X7FgxuBEmmPKQLneQ+rtev
zeuvWrahxyJqpxutkfqFvfNawvjTe9qcERy2cWXutmkIUEK9z6QZkd7SZM8KYRP+PJb9Lo0xNOGv
SY4ZUb0Xzor6mR21vTkbzHRNJKlBaRhlWfs9M8bBQhoJ8D5xxuZGwL2D9h4LBJiyLcdHup/9y8Bx
hXokVB9wNOi6Jeq43vHQl0/lfgLuhhfMxCzkOzSUnzj5dw3KT0vOpKAURCEVZczBHhy0t7cTaX9F
zC+vi9EBzYHPI2ICMatL3YQzz3XbYargjNdMrkmYCMxRRKKshaKmGPZiGnsLfT0hub6Nad/0KzWq
vid9VscXvr0zn7e1KQYtXV0NtsH5wavs8quNqQWNXLdK+rLmgvv3zNHO2RwTugkWeuv2GTs3PZiw
/9AmBSWfKOn3yZgvJeScuZF/WN6cBWxk2+RhKg3zJu4nNMZEH9DhYJP5/kxy7gt0NhNVVaFLKoyp
CA2ytA/dmJhBkRrUvedac3YOy08wWdn8gawteLmoPtDULdkRYVH048JPWCetP3yDv9gHb8pUTqPA
fKFCxVc21FdNNM9H3auSD1o+pA9tPIDwo6D7WGmVoLRhWLcZuseHpc3bYO6ZUxuCMy4cjs58ls5m
PiKuImVgDnmosG32XUh2QakikauLWgnQuuKbApz472pSzmbuoRpGnPIQ16FwV3W2HbtBbdSQVrqo
/vj+sz03gjbTzDBrtYOwYS0yEi3RxnnFZieXYLgvxpycW+k2xeFm9mi4UuSmqjjpEIh6SGH5oJ3e
v4EzH5q9+ZaxN1MLAP0QttCpAofsyborveseYSGEkni88Bmcma7szZG4kqNbtZzuQ4BECz1FspeK
WLmNm3m5KRWLYtrM520Liy2OjC5lm20MhL+Xv800Uk3lBEu1qkktUNsnrD3ckA30HnwZUP/n1LDV
xNfUDCQxOgjSmLoiqg0Q5+XSBVBP85uh6MB4R1Ga/6zcun6qTQ7CPkKPTjlmtcxbNnTrgRoqWkJX
omDGN6yWWNWmHD805SSfHeiWOSqtSr3SdXoVu8ghstA3IrabRxUIN5oRpSXbiXjb7gERbRP7sHwH
K5iGXj6g4syfqrmk62RCb18uvJAzH6K1Dug3c4IHUqLzijwj/oQiSJEvzQE86XJjFG4P5iTPntuk
iC8MsnUw/WECsjZzIPYJowHdl4a5vpBfMDwA4Ow5vmR3MD60Y++OxV9m7FyCupybc611InxzcyqW
LsTdtKgqkdxorhAPal2qXBDAjaOTkiMAJx1IaHuJFkd59qBDIP8fpg/vf1NnJgVrM8nlGjSxZcry
EL0yPjGQt/uUfuJBL4v0QkPm3CU2U1tHy8WdIEOTSpKIqyjVwdmVaX1dEJF4YZU/N0I2U9tCRFvZ
CCUOwQ4gikBWt2eOyG+aTiOaoJWCA6CpvP6rR7ZlBOBoczm5u3HI2bEP3FG1r4DeQVKdVGf//iXO
zHRbhz/RwBNYI7qmJQWnD9oCKt+tiOkeyIM4Iki/NPp+/cE/jPatLNhDhDIpRDWEWmRX11kzr4Cx
OiJPzTQPFTroW+H2+alXxb3Gh//Bscty72h18yQqXXupxxLvYqL9qFZDJUoMzAWD+jnGSxdK+O9R
ExZJizkozr8sKVSzZSiAvcLXBkOnADwTcX7A6HLElUNFqimtvUQYSt1D5vezZr1mlGA54aYDpw/F
C2UdA4ByEmyyNRsgcJ/lQ8Xr3Ud5x3IMmOg6F30XgAKwoaBFfzlD2h4czqAXBtq5z3Vrcx+KpkbJ
oHMKIErHT1CfwL8bwHLbRY1ND27tMel0NexAMR4kZrSvcd8Czi8L9cJ578xY3ybB1dIuvcXQ4hBm
WvyX7izVp0Vvi0AXqhZIJedY3tWm/PH+SNTXeehPI2QzHzotYvxhzuOwGBz1FrdDvTfA3oWYgLqr
cdKT42DDFSZGXIf6LUsfnuqIkUeS25OCNKa7/+gRdhD0Zd4FQIXVgzlO5r4vzeUvm1bL2iLMdpZe
6DuO4aUv57q+8Bmde1SbudWTXo9sE+Eylr9+b2AU8ZmI5rultL4gFUofALunF17L2ZGxmUnnOcaJ
1ZAio5ecxU1j7olvG+ZvjpzldQob+yTBT1wnRZJ8GnNY6AvqTYyd6aW7Xd/In97UZp7Ncg/nqzpw
t4Ni72Zwv0GZkpD4/kA414kxN3Ns23ee1GNaFmCEKN+C6YdlTZSXs7AKe9PkXDfKpO/1csmu0LQ7
PvQs+8IR68wSsk1pV7UlxcHANka1CiQNYqp2ap6lu7HSuwv3d2bK3cKRKDoRZjYrSejMs/5sRPp0
q/bRK47RSmKiNC/Vm34BkP7wmrbOG3eukBPZThLmDuKP1pvmB2NcyuuxG4adXkf60SVJ5jAWsbbD
65s+VLogvMFO2fLZTUYbg9q+308KfPPYAYVnkT7Wg738l896sw81sAcMM8kBYUFYzUOkUw7WVvJx
Ch756f2xdO51rv/9zZ4H9GBNqAGA3yHJVxgk9KkEPeC9KcxLRJ8z2zhjM231Y6GC8km5RJ/1J2fU
0OEAWT3oVukdzYYYmDzWxJ6eUeP/u5vaTDZKiZekcYc05PUNgY2w/MSQBaVL+PiFndQ58c02itmY
BuAfhUeFCpjTZ0qw5ZGoIP1D0XUkI2D33oERkZ+4bntFkx08DYbowCKQBgV+JXaTCU/AciYzwMRK
7iuxrAFFBHJzMPH+yw9pMw0JD5ofzaGU45NFNReaSDBnIJZrmy6Pky7t8f3nfe6D3cxHkd0quhMz
f3fabNFML+frpQaqmVBOCxL4jBeW/DODVd+caT3QGnXTWinVW7FcFRIdLoEPyh7hf3nhkZ2ZuX81
oN98DzXdwEFbECcA9YWlNHjm7dACjX7/QZ27gXV1fPPXiQskWxC6YtjZqe2bLoF1kc4K4c507f/d
JTZzBmSvwRAF+iUCzugp6a5z1zfLvUve3YXl9dxNrP/9zU3E3iyI/yy4icRzSd+okZjV3fJBSpAf
79/EmQH1S+n95hIKIn8PjXwZxuTnPEWR2uybKdeubJUQPqSgw9X71zmzK/m103pzHX56N4ncyEJ0
lp+ILr9DTGz7Wk2qsiTBQLVN98IdnXtomy3JYrOwjDPHCDIFTWg8UCIypyUbQiX44f2bOScg+KXC
e3M3Qwzkx21kFmYZOr4RDPIJP7QSZBKIwTiSXdauLRud8gJ+W23wO83UT13pOvvCcS/uy8+9vM1s
4CYWZQEYc2FSk57hj+Rz4Zu3NO2vqMX/5+tz1l1JPRIeCgPxUva19hcc9qYOpDCNV2zQ4wkEfOUD
eweVQq4Jxwg31iigvP+gfm0k/rDu/9LyvnlQWGwsjvdodjFIw39a1E+zKejdZ9NB7/KOXEXKrUgP
EfXatYs1fiZbY1DFwYvF6JuFZe2Qbs13KUlY/rhC1TKkY19ALLrHAXCOL8to2qO9XHZlNEKQibPa
F3ly3Y39TSvLnojUhZ4gHEaVbuEN4Vb2FxvX+RE0dn4QpEbzBtujHEgfNyFZ301QGDRoIu8/gDMr
8q817c39F02b6Y3GQKH/r19loDL8zsvQ3aodh8VF/0mCG2f3Nafo/QsCZf3zjnjLoESpmYDVTrJw
XDwVwbOo3euURPHVSZeD5JhUER8tt7DJQomU8laDfi4o3FPf2xtws3ccH5Gk4Mlgm5my0mq+M5Hd
EGDgqPwOyfiJ5puEAKMciN2OqUZVPNtAiYvxr7KYDTJxaiU6DgSeXukp5wKfGLzpO3jcbvTJXO0+
WGCQ7pE1GZ8KQ5s+CFhDZBpXiQbGQRJMQ76pfTvShk59b+hFEmDiiu5LT7HqnVS88WNMa5V0hMau
BVSEV7qkVR1AJ9TvCF8lW4NjFz0Ikr1OjqE32c5bhhbeHClGOwyEKNRT2ofTXksxZQHGcIpQEFyb
HBSHpM6dN2u5s496QwUjCTnzh00hZwcJCktlOhn91w6a54s7uAgpFRg49CNUS535aUv0AlRqesJv
9nGwk/FEkkd/6DXvvoklIXDLDDWGeGiSTgCrKHQWeke/qcdKBRK02qD9yOvpx3N/6XfSfbSbKIsj
K7ANEYHUmKsO23idvOhOR2qIFWVI9ayU+MW9UZnaszW0+qlIyHlNAE+1RxVST+EDSIGpluMB0QK3
idrQULidlVXlBC5LV/KhZDYgSyYSGcljsB9+YAMdJBx32X7MSKKgVe56RbSKXLzXNuoLCCuWV4Sx
ahr1rgJwJoh+IrMEtVbcjXeDpxTfq6aznouZUyhmtdyJAmcxsyc3S9cUaT3JvxDhBu9/Gl1wfWIZ
3cehXvM95RI33zCj8qksebEA8I5neaVNmUGqI930AE1CC1kKLy5DetFt2pR04QufAYmXXtPq+JRq
0n1s9Cj9iU9OT49VX5KO6pR9FMLUyCABddCNfHNGhgFGxsiQO7gWiBY7HoQJvnYeP3PiqNAwibTN
DpxILOJ5sdcQWjqurGhDGvoeQJJpBlbipLejnS6w3qxRfRjjZHGC2h5cgNNe8hgD7U1vXeBac6A2
k2oQKLaomp/PcVHt69JDvdX2SvUtHUy7DQgZ8v4aHe+whiWgIZmq+YPrEVTo54XnHCV2LCOIU2Af
md3LxU+1or8ZCyKmoM527ddZpvFLrwKMghOUrVUsshh1G0DKiSAzpQ6AyvPTyRhFmZHC5wrA08QP
ZDiDLWN7R+cLsKdDcE3X8EKZvYkLyhLxiD2onHy+CueU6doED6qq1N6HPJDd27UlnmENy2tajh1Z
O25nZQHdJO9TnP4KpSH9nBGbEXP6kUpzfYRMY72ST9nsGAtKCQKOSAF/yNv0UVSR870WEPmQ0JUT
jwSWDuCKoapRSQO+aQ+D12AWlEPUEDs44XEylKJ/iK2KeFKXuocVLLkXMV25nRD+gNUBWlOyQBpT
xZh/VtoJMRjVm/IRSbRi+lOeuN/cNZ9ql9tmu2BVWPU5PQ7J+8VdRfx1Lu1ilzlDdEQs1yV7xYtW
Bg7FxLuinHJCBZlBUj/3Fo2phogm3CVFj5xMFPAAZziI2o6gmKre14s7HEw1aj5jmUHuLVXnJjfG
3D0kXjl8l1KzPB8A/ILD0FNp82gjTRDT7AsgCTq0DZhXOTOjpE5uDOOtNHvoc/w9N9CnKA67qM9g
xAsM7XtuHdlgk3TFd89bg2rLUROQmkvrq2d2pB6POQFN/tBK6RL9jj7KL3uLO2D4yutpyWMo1tpi
3auq665w2mG8Kg1wQT7JO9YDX32LhDAhJTkoGclEZ8TgLYGIie4IvDD5Zlny1i3bp1i1024Hq8K7
nnQl/gGFK2UkIObxbbBh92bpGK9REmOVkFnTdH5m69ZVjLze+S/mzqy5bSRL23+lo68bFUBiSSBi
Zi5AkCCpfbEW3yAkWca+J9ZfPw9dHTO2qm1Pf1dfR0VFuW2LEggmMs95z/PszIR1auutWAVoltvy
Bp1vnu5q/VT1nAtpgRzhgeonzTBGbHUUfYO+yhmp9bKY3nuJMtCnOqM/Rcskir0qo6s2NeVVaY7G
fVrTbVxzeGt+C0KRWzErUHCgPegisleVdQ7aniCS2UzR9QxgH1e5aoxnCbKg3tr9STHTR+1VDxoM
M/PyicDiKTbhZdW9lq9aRq4y6b8Us1Mvm55gV03mOy8/Fx5aMriI+WJsMqxURyqMJV4SbtlgaYB1
nIhEusa4ZD7ckkibbpPMmz/HtcWYpatMTQCTszv1zYi8sPcsvMXnka7TnqpjfV9xCWAjFNXrnHbj
/VpX5SV+PmURFYvXBpzO1KbBrEUaHl9unL1e94uJe6GeYpQiczJs0nRIzbBhIO0t4bP7zMagE35J
3rghZtdHJA7HuFtPed282uhehM0B1HB0sIaKYh8d3eGcvrbtE+QyQ6rnIHus7DwdYfD7MyD/2394
IzcGuwY3xOVRPpLX4VtDDNc8/npD9LMd2Ic9chaxSg6644WZy2JlpMYbg/P9lcfadSjjyKK5xZNm
zAfvN/WKn5w/9A9HZ5bOuUpOL8jzqLnJCQJ/5ZzrHGSRvv36R/pZVfLj+O2kW/iSILmHcqQqVpmm
HtRlku+AkfWvysFl2KuxCJqy7/YpccNAAX14/c2L/2R/+ZEqo5MSdTSqeOFoTPcxABUgkwnDLDna
UhHrqItGO91qgAJ8wap8KNpJP5vayd02Vl4FZl9ou1wfX3797fzk7dU/HMLRHDRlM05OqAOo9EU8
OljMqv6S4fEaOw6Tw5GeDruYTcpvXvEnh66P48E8NmFkiZxBCS3LHwRzQoFZzuw5WLAOpPbn/8f7
6HT9vzs6GDUkWyEmGdrKqrZJIYoL9paAyESa3/z64v3sVjV/fIm1iPBZNBIP87pQffGcq2JeTtqK
9Xfpmp+9wofDeJ+VhqnRPAodV/ukMBZdZyDZCLEs+m8KCz97Oz5U3tqyAreCXGOPplhsJ7cvz+oZ
4AJToXVoDAiGfn2tflLA0D+sI1FnWn2TzFoIfuyJQ+wBaTNZ4zL5AtF/OeRoXX+TivnWh/zroVl8
hPfgMep0QvnJPhqY2GzrIr6WuNGv6DQ5Po4QhyHtgXRqn1UXzKDh1e5iYyuSBOsfD48Hr/C+llPH
niVFBjtGs/GA4s5kxsfEW83JaOvGpBesWluCeFDllky0sxVF6lybCp5JiuvLd6hLk1ir5GHSsm6j
ALduNbqQO6j3xNeRuV7Fq5GGMP/zC+yo9FCHZTofNZzsSHzKQwlFbTNBoOHpYK3basogmxFVD+RA
VIKTqCJP2C+/K8mc3u9/ddFOC8R3H5c2RmlN/lcLAQr3B4N95raeiyRgiLEPkD5mQeUuDNrmuXY8
MVpuExAHIDcRZ/76BjH+9cIovA8lx1zELdynMgrHqYeyjn6xuKJLaEJ7ZZoiBN3TisBV6H9IG/b9
yyhwRTmzM4Ru3YycIJYcm0lm25deRn36N9/Wz76rDwukmcS9srQp2XcQ7kKkbc0NWU4R/PqH/snn
+9sU+XdXfcgNsJ4Rnz6bKYENAiiPU/aidhyCfxdz+MDs+J+M0Eee1sCAb2Ima76He+IFvKmYC2MK
7OCG4reoI59bZ+vEbG27busqip8Hh8RxNuuZL8S6HAvBwS5yuzhcJ8UkZu9FF1E8nOiQCzOZsXdd
Q5W+yVX91tleuvv1lflZy+vbbfLdpUlqKBJDQb9njVa1nYjtbcoxn3Z/jmGvSl53pvM2u615XiyW
vfdSWjMiRePVsDe+Ng1vviQiy0cvsrw7K7FtX4DX+x27/V9+XABF/PhxcYGzWqvHRY3cRt54zkDY
glrpRngr822dtPa/vgw/WTa/VVC/uwp5rJc5XjkZony+9ixRh7kH+VOCyfF5E8MVedxv7vSfPAm+
9ai/e6nSHQejQ30Z6jDBzxdyYRvOitNOuDpzhwx7/Hnp/i14xUX61tV4ytV/nP7aW90sHTJZ9V//
8cOvrsb3Tg3d+98uXpr+b7uh+vKi0rr6+Hd++BL9f3377fi9Dl7Uyw+/AH4NLP1meO+W2/d+KP58
uX/+yf/rb/7t/dtXuV+a9//8+1s9VOr01WK+LSAV337r8OU//y5Ohfqf0y7uGNFe37sT8OIvf+tP
0oWh/2F5huV4JkAhvBWn7MifoAv7DwBlAIY84Ti6Lb4pav7JubDkHy4oIIiBJ5QZtg/upn9iLiz7
D+h6jkfDRlBqRDnz928Xm5/++s/HABeOi/+/v/6e0OB6p/v8fx8XEvg+EUKd70JaSD70jzF00ppx
a6RC+GgGkifAm/kGf1ZMa8LKOBDqLV5QJkQ65rwVJifm2pByavKaKcXoAB0DThhuMd8yYvacvWru
EnP+3PRDfVAMtVwx8+Sd5VoRn3tLNV4wAFKj0yXqfXFaif0UP8YFJdatbVMebmKPYlY19uNxTlcX
A3fcbx2tOS1kbLbPbFMbQqg7+TGjbb4zcKE/zzIzgnm0qbXWXr2cxaNpnwHQv4OYh5uav80TugPO
T8KTQnMfd0+KgO8W2W2/E01zQ4m98r256gKJbMbdaGUSh3KZsm3RY5yGUMbIUrd4ht8liLdbYQ5g
s9JivgExZvFBpo4ce7XwldVaoQl47CgVcscirswdmtnxbSrmAR6d9d5hvd4C6mf83GNsUORednSQ
yjETQy5eM7vxAiTlCHi6ZaytMgz2HqOQJfgZdyTJb8Zqw1BG8qRXi/YqtBUmDzO59AAKyqBGuhxn
AjbKl8asPa+dIV7LIZN7pUzKFbXTes+xobAapktz1w9mHCzWyNhmn2MJjUk35dW4Y0xEbfpkWIhd
VdWBVRw1YVWZoQJcuYcl3Xyaun7dDJ0dX8TmKs/6xG5B9DBEuK+TvodJDmj/rJY1Y2RNR/M097RL
k6qnh0u9DqFVZMFSZ9rgp2bJ4Omq0aBsizo54cT7YLDtr6CAnLOxowOyRvV6s46WfSOoYxKFKN1D
PZhe6LZaF3rUxc4o6p38O7lzdBgzh1WLI11itwOaW3WfRKFNQdQb+Q5AqQjbCkfpjIkgsN3IDlpT
M+6JrBBDshi7hQ5P4cdeI7+ZZbjA7qQjs1aXU9mEvcrl6yQlf6qubS5doQdylo8eA7u7STlYPvE1
IlNuQdPFk3VR9RSudd1AGilTdn0RDrq8tOWB6cbykJSt2jeezUjb5IUl6fcHHlIA5Rxk2ZNnGNoG
ynuyLZzC3aoBkmNSZ9ZTXQzsZBRDAQyHiOosIiaf+TqCik3JlHK9YQbMeCJutIZLNo5vJAcQq8am
oKg5CTDRzWwcoE+plvHYNAnjoov4l80DupLpVqxmjSNB2tHGWxpskiI3twO5DegxvJejvzjCoGk1
OYNP2vuz6GgBMIw3v1Yise/Hdfqca+SkC6MwL42O4ZIYvjEyKSM0kTtcUXIDeUU9MKS8OG7rBk5v
VXKJ1OgYF23LkCHjns3emT32pdxozIjg002weSzF8NBOPLH9CCUNIfYBn4daPwlqKUE0WtOur0so
4tAXKq03Agb99A0uhafa7fXtZMnokY/qcJ7B878pk/lBRp7cD7Zmbh1xuhvhDppXswU+OC1y4n0z
BeQ0z6+jAduhlSuXBt40D5ct4Pxh69UZhwQKsvkDtaOZ6dJpuFLmKN/bOTHOFsrGKC+cnulgodKN
2ZJj30CqVuelpQO3ntAZXQgOH6OPx6IH/QFo6zKBI3aWJCWbAz1H1G1FHQa79ZURvuUiganwpcU1
iq+wdBYc8H3CEDkSPvTY4KnWwnsn2asFHl8v1PJFHauinM5ETskL/8oO5NunXLPshuZH1knfBs4+
Hd2BJtcVZziQ/Fo75I8tH/XLGp5utsnwINwgnLlw487icBWLA48ywuGC+R1st33NHSqt6h5Jp9Uc
dD2uwiRCh8f81rzleZP4aakdiWxMwbykjBbbLHdFC6sUpbAotm6qPRSDcs5WVBP3uOR3pTe5kJE7
zZdsZgIluHWxtmchit4AJUvcn1pgMbXaZDiPKZ7ReYHzKhplBV4+vpktPWBvyMqDOSzeDjAuw7UL
dxDJFBATsvc2dlFkePqy9SJ1snE7pmVYl9DSQdS8OXn3XPTlQXoE44viEofcnaOlHpqAOANaXDko
oqDDDRuwlM1e5c0Lnt/lgnh9fE6vl2/WNLu9nmJfozhtNsADY2PfrKyUHPcuF28wnxg2jbeQWcoj
hV1GJmZK4Xkql8/0KV2EEs6MI2coNsy99gzfrvWzKNonj4F3yPVXrmKB6sbui+rabqfEQB/IAWcf
JdMuy+V8uWp0Zdjgj4fC7s+URGG+WO6NiYZjJ7TptZq06FFxmg8ox6cBdLqVxzYBf4g0WB5cyrqb
PBksENY8GzXT9W4BYsYoC00rIKTr3hRFyozBkJ8PAGbIGvEAJgSsTeXeomJ/xwxh/lKudZb5hRvT
40pToP5T1YbQ0GdWu6F4XKIc/QCHxNB1FhTBAEkxQMv6aWjggwSZMSC6l7VzMERjvmJlaHaGUzEk
uipTntlLb3+pKQpdeUWp36Bf4BgEnty9sqDJFRunPwo3W46TjKOHemSA6exkr7jG1/xmTDje6RGs
G6eeb2JpmHdw+mQ4YePacVq0YSE08uDl6cRx1U6e2yWlIdE2pvbMUHdzqOxorrZ6ZR8kIuKAddnl
X7YdcmPqaKjt+cxGIH2V02qdNhD6mhuOG/KlEsX1iOdz3LGtWg0i0fjTeIuZ8VNyqa6ndRkezFx/
7Gs+UbPbx/SfmSX2VyYgIPIWu7pr4q1RDuYnsAFgTdrRTjb4X+g555beIiRhE3EiCBQBiB/nqUkx
ssaQCc5oGkUXjiiay6TLxtsu7ueD0edtkGh0exZksA2zRxlPb2/W3vgeC6ao8XPxXCGAcEk6xjiL
E1cjmLAoINrwnO1ObM24jM7XxDHDpNBMg8Zmkc/0gMpkM7TRuqMZD12oqfb1WF5MbkbXTxZefBwt
WW+0MaENyLiz4+dkJLaSZKBPUCaPtlM0WJ+Va7v4pFwy48ByccxQWv9C+HPeu5W3XDK4nXB+ctfj
3BndfTa6A48QA73aaLgzLAK9vYary0w12Bs7wNec2fskc6DspkVkfHYB3io/do1pI+APhoipY8Qy
rnaXJzMLVx050Gsnp3lYu6x95rTq6ue4tKJ3QL2DcZdE1czkbEOfihKVGW3WVH6Gi7DScgZ3KdCw
EonpceeEyGLcTxYIZ7DEX2tmE+8mL3KpnmHOTnjsQzhQTfnimY3SA73I2jC3lXfZWRL9rFm6D5hk
wC7yu9oRNmVouEnBjiSp7+iKUVrhyLBrx3y9tTHmYs0mLKIwz2TDSayxdBmdWDaPfl2KMrAYb9sp
3vArW3MeLfaSO/g/ETolmWxPxMl3Fx9M4LrCPAwLT1J5mkmgi9pseSfa/Uz39hOjCgpvzGfYTsAA
8NdvwPV9YQuRn1ceOzHywGxV7dAon2WVp75M03PLXu+gNyqAetr4kin7MstVd90jzKHPZd10VrvD
QHUJM/2deMKW0Oxtq3uMGay36Wy9mTnOiVqX+6lexbnNZmlyp0NRyGvGWYztvBiHeSXxIitC+n1L
5xEC9qGLHZ49M+YOFsJ806HsyicdTkASChQUr3MGqTfLp4UtmqeybBclTn+7zO3JT5LWU3PIoEVr
N7VUNN60PH2T7GBvhGaqe2lYNOUThYu5Ekt8o8V9y4UoaABKwrPrbJZ3UUn4gODlGgytco85g7hb
AlrrlUc2QvcdCptsc9PIOXMZxMTzRaQksGNtupkIqiw7r6AFlji0jeOBPxIhMST7eKFPjbbvvYzk
abNyWkgKnq6lbkHFiQvtWq61wzDhoNZLqxjTd93qYo5cNRP1MCNOkgja3jK1ry3RkeZuUoyls7Hq
LMamEw7scuZ0DouiB3kmCw09x9CWpI1OjV8T3TO7pYYw8xTBho6yMfUr3mA7Zf3h2Wu2Z5kSiLOo
slyUytosU/rk1BYXoq9m7VAtZClQUYddNMwbzGwMVnVLZlw3Cw/XTLi3xaqqoBqeqpIAwCiHuzJd
8T0Ma7lHXtPtXLf249iWx6pU0zFhYiucumK8SVpxXljttdMO6xbuavuoQwu+bfOF4RFB8r5aRHLh
tGuC2R6VkswYHO0yGR9we0QhYq91u7AFv5KpKy4SY2ZksnSs0C6IbxFobW+yktt7Ffgdhr6kQ7nM
F7R7bqQ9GueWmrTDBIb9IlqgpemYl6DQJSC+dyody9tVzV9AwBj7adCnYDE0UWNoixN23INWndt8
7GCo9zTv02ROP0kB0aOOY+/WWKb8cUDLIbaQUmJrO016f9/RQeb4UIJh5wuU8pxQBP/K05iZPFHN
tF0r5CCdtwaJwYqgrUAq46RkStmqnmLT8i4NzeJuG2NtPLer1O2JFGlPXe1mIEtAavRRoR9JBazH
dVw5sBbmPoe9fd2OneQYmcXX6xR5W1a48ta2V7VLOn3dtE4jN2XlzK/daKxBhi+q3ix6035pmrJ+
tBVgAlx1rEN+TInBqk/w1cnGET23rhHWmZPfje2CIVba9k6daOGzXPMLsvr33Axsfga16MdV69ty
2zVWualnrT2AJ0q3Ul9qns8Z7y8jSIPP+cM6/SwJ8d15vipx0dx1ccOeUKS9+0RMqj3rJ2hGSIOa
i8GU+sbsluXeXe1mI4dZe43Wha41QMGvhnLcJ0dbsgOu5vn+H7VNt0uBCMbHaSSnT1e/SZrI3NvI
jTYYf15w7U1n/xhktmYUOmxfB/kNldKr/CWmutlkzmWWDiSDHC9mt5DS15fZpTEby/W3qtS/Vaq7
r0v++Vhz+6FO93+r5oXv9eVL+d5//FL/P5bvTsqRn5fvPuXdS1q9/1C6O/2NP0t3lv7HiUsMiZay
mG67J4TBn6U7If4wTAl8Gjy4hdxBF/+DqIVCy+/ggtZ50/QfS3fWHyZYZYjaJy3ECXr775Tufuxn
SI5ZnDLojZF2AlAOivrHAnbJgkxykyZXlgvvGMvMOlIu635TS/6Xr2KhD9GBk3uG/aHrJ9PGLdMG
N5sWpYtGdSNXJMjK5fW7y/7PuuQPdcgPVUiuCKRpSTRcAALyPvJFORU2pgmSAnh3zdhmotebqIy1
PSKs9CiHqv+kVf16VudG9luV/Y+tm9OF5AUhXnuUDQjxfETblcjqC72ox6Cmme++Fi11FPDnrYtP
TBurct0CxGnmMBNUPOAhePGDMjrjuaLwEwXs4VXqa3C25k2sSSSOZafX1aVhm6ST/+13g5grHhFe
BKXMX8jcljuOqAuJGBiJqW4JPWVI4CzVzttfvx0/NitOl8SGy0zpmXccSPNHdge6THc60cfJTeSK
HaopYCGDhGmnC7eGrg0FbhjX7CkBq8jS+esX/8st57J1Ew7tQP7Ba/6hYTcoBSPJzNxA9swroESS
MFjZx/76Vf7yrru2YwiXt/2EOsck8ePHpzUXhHZGi/lKZv3z6HBwHwH7Pdjp+vTrVzp9pe8r7Cwc
UjoWeH80AtQYT9/Jd20ZpoabEuQ5+LnW4FiB35YD5khVlZyedlbkdr38+1cQkjrpCF2SbZX2h0Zs
ChNxwNeCDJhj/x4LzMRWoNZ+k8v4y03CgngSO9mOg+UJ6c+Hnwu/amdlvIoJjOo2cxjqpdDJ+XdO
zYOAZmDWS/Hnc+yn/YrfvebHRS+trAVKkQn/sT1tIaM1MPL2rSkd51G5OXHlWMrfMAH++posSfys
ni4lsSX9Q6dQxnPHONkoeE0tOo7Zqq4Nc52PuUbblEQnAUIoeSkzPP/ufePoEMh1liZuUIosP17f
mCqNm7VKBPjvitvR7pIX/HWOz/IrB5+B4Pw3eYu/fCRYAfmfwTnW9IT4SAWoc5dkc8vEgcFsx5Xh
NS04Xr3MmHB2M+3w65+OyObpBvnugyGsk5qKF/IsXTdtUK8//oAGMxuLbGGR9A618XDo16w6Npmm
1sdMdQXFaX7ICEnNKqpQKCrhvogWTtcFWou9bXSt8TIXM9FzP8Zj2gHrpNqEB1Mu2o5qdUsI2QRz
QTC1qRLIGZCutkZnR862orkxhixrYP0X2c/mfhhODYuxwz1MxWFIu03ZLWVz1fXlap0tozQgSK+c
NB7ddaYJhppk06/mAU2yZ2zN0iAC3lbxKvZZ4s3q1UrbmaK5u0z1+UTvxdmP+uAZx8yJtDejKzmC
MrjbPNXIYO0DZcgV7y1JaqqyWNwhKqu6rjaxXttGsEDxQMjLKG6YFt2y+lEJk943i2YAval7A9lM
14xFGGt2dj213gQYSgp3vNZOPLpdK2TzRD5a03bsRO0Gjj0cr3NLarRUyNpgNzawi14B6zfMvRPr
/UOko3aj4BLn4Nc4UC/xG6ujxQg3xFOxJJsogvtX+s0kcqKh3SqtT0qfLZDn9bJyCUmZr36tIkHH
i1ICqEQ6sA/LTMcnBOshDH+uGavH0wED8GzFwsLY4sDMq0UbhYqXaUU3XgMEJNQXw/tMZVAxtFkv
I50hnSi/7JiOmV3jbuJxYdxYrZ31aM6WUoRrSzx14rhT1zEp5VxN+5lWv9gl8zhq51Myc17XNIzX
94A95wrqW2zC2XPceNrWSjkAeIysGGg0KCe/FkZfrYexVRw0DL3gv6MO82Yw4KWhxp1VxmOWaSiC
ImzVZ33P+54go9WanuGF1LunXlYbfpxFg+kXDVwuN4IVwLCRSr3NjIo1v7ThUi07Ci7RIbJ4AIL1
TIoiqFXj3HWo1KA54hGtz1jX2WyUDTW4oOpIb2+crrJfuqpnw9S6+EN8FIeN+9QqZb1HVZIuTIWs
o7HTYX8Rbij1VoOlNrcPI/nZe2rrM9Fx5iFOgKOT+XYhoaThM8kwIZZxPmUnYZ/2lTsf2a5DTAfP
LrHXh3wYQQ6Q3ekUcNA5bYK1EXws0ihOj1hXaHbMo2puqsHA1qoxSNcGyF/xdWMqHsxQVnX8WBcV
gLI512hhxb0w4YEOS/tqQoH0LlPgNZlfCmehfuzmS0IFdCwtf10TOW2mKTK+eNrQ4Yxu3GXm9jJN
c3Ma2HuzS0FXiqEWHka9NfFhGLRuqUl+m5yXee/yZZ8mhmftIEhqzY7sLX5y2vDrcNWwsULZlBRE
x/WFz819qSFlv+UhmKU72nCEgnm+tZfwlUdC6akqn0GW60/a2GZXrkESLxzSGS4G8315eugoBs2+
52nC/STIqR756OrP1OaWmKOrJu6qPl69z7lY3HjXJpatgRp1mb/6TF2gTK7NHjM5hjejWvk6JTQe
GkZNZLdJ2I4nUjbate7RwP/cX5ty6PqztDCGu9GM7eSg153gqD0oZHy09XMeyjt3KQTNE8GkNPML
jEacw2Qr8l0nll5ct3Eq+1uAcMKCtas6bYTk35qpT3Ug775keW7MDA+kkD74bFYFfbXect9jhwLW
DnfnwKTFECEsHRZtTjbaNK0MBSJ+Hq9rxhnOEYtZxY66hJo3nYzLkJKp/jl1oSJvFtixfM92n9/Q
SRBk5Uln3rKJ1h+S1SKl17oNtnFZdlmgT0V7dB1Df65LY353GDH4CmqcMrTdtckV/PG0uS71sn2l
g9V8tmtzuhF54zGYHbfuJ31Q9oMOwYjRLhmfRKKsi+gIpHtL9F370nj1+tRPZt0GC0fEbNsAs5XH
OprbEMlyOwZSZwPpd7pdSh88YLYvlwy8udlQYNcqPNcV7vh1AyBuGnfd0tczwcPEo4+ZetQOYCa4
BSM3EQoPL+nuZR6zYo0tKyNZhNXaYvCbHF+z7fJh0ieW1ULS9QkVgYI+cGvb7ui/jsP75KW9QWip
0x7iNhfXlTZoINXFgOWj70zxPuf0cHairU11xFQ+7t04GeIT95ZPe6TcYl/nadQdeppwL4xgQBNG
6DU84R4UOZgnRMBBky3z5WA16w1ESA2eR4LnmPSSk2h+E5s6gFs9ShlWqQpBCK7K6nd0Y9mLyVRl
6vMDn5AX1Mn7gNkBiqPM/XV6WOhEEHY1drgbk8RDdz/pyos3xmCOL6e39g25tckGiwq8DjCXn5Ro
fTql4WLnw8UkaU5sVDFbtJMqU23rrI+vdYsaGnaghYiqzc9PFRtrK5XkSUdJBZpbBEnewVqLKVlf
r9radoHqIR/sx1JjUY48q+UJLhvER4phodcOpVXDgCsz5sGYTImzzRez+qwE3ePLhYocU2kWz5B7
fRktzS+9sbiopsEwUE+7zbbSMzPaS9Tz7wmlbSaC8KfBZ67s5s2BKdTv8iHTAPFzRb9CGO60APgd
ZGM+IhbvKN0cGNMqjkKIsXy9RixXDELQQ2slUF+fsajEpqzvFI+CmZR+V0VgjAM7mmAkuzT3oDsp
tsx+thp2sjPsqSk3BHejzIePk17PXWMmGzOtjZc+1gvok3qqI37Mc8itYtXclwL94FOtK6pc+VSL
ZhNZs/lpnQxt4Z01LPrmGKlfNK1iOsjWhZX7cyfGxVfpzKyf0/UzjRa8ebvOS7vbOJNrEnB2aYaN
m3v1FFZEliFfNXgrA9sWBVhx18KK3gs1bPiEtEea6OWy7QyS577Fluc1ZVG8dXk4V0FJh3z1R3dy
+l1X5UnvK3ZfaqtWl2XTSGrYoamLiHDXW6uuDqOmZLkZ3Nx6LtwR0znj/REZA1J4w7aPFs/zo3Xs
eYA3A/w/mYt+P9OluMcKnOmHqCoGl6FFVs/AS9dGv5zittKCtMl5V3OlklvJvhTKbnRyA82iWwis
D2mzNTt8Yru1sMfXzB3BecW0m8C9A3IkF6MIgmwg52gVFOYVRclS0hdEFpvHl5mJzXSvkJ8XAfNY
GBNWqzEOadUI9pBNjjX71Il6LhJGuegplsm4nxypbqPYqtQROy+FVg/jLWjXU4PPnS0GzjWRmFdt
M1QWkwNO7OyliXV7a2YtG2DGKNLHaY3Gl05MmbvFoe3KALKo/BqVWeMwBBclCdyhSXwd7cq7cyCw
40xpnCyY+6Z7GE09f1AiNpnBJg/A2CsqxlB5vX3KPsmo5Md3nIbh3KV7oBA/8IyXQ/M617S0qnQc
P/Vdg8CabEezl3AGTL9rUih8uQ01DdM1mmciOJ4brKWF/XnOneqmmseMyKPZJApltNE+9vnYCN+e
kb/UmrM6QTIY+qmo08gHLcmb0TeZ1uq2BXb3CYbNyHfEaY+9qU15g/RIL9pma9H4S/ikeUYdyMqZ
GPW0XHkmSg5IfoI0/mLNT4O51LfIVKwIDpfNKDkK+x3buMhXSu/Bedtj4x1RdOLABrvl3FUAOfKw
MezqgijS+tSxw8u25kxzlzyPx4ZOUPCmHL2204HOaPUYLRGy1xJo1iVvZ0ubM6M9vREyETeO6pfP
yVp1tE3GorxTY6bfCQHbnCdQqRBOq+gdeXtLwzNdhmsvolVGozCHF7SUi3vpRqqfN143xw/e2qaI
SIlkeRu22PPbmJTVpQWHhDMHb+zo28iz++04awkb4Hi2B/aKicuqpZAbN24KkFrYNcHWxtFMGidy
Fo+aNdg0Yeg+MSS7Zlz8Maurg021P4ZkqGDusUJ23BJjne08L41Oo/I8RIoZetiyWKLdkhBuvhr8
34ha47l9tRwxwsdJzO5qyiKOBLP0CH61cLOBFjMjeWeIstnJOrKYLx4Y3Nmmc292QRIrHafX7EzP
tJGa1feq1r7A0WpWwdhP9R3ddo3FuUktzhk04zq/JeVdHiNTTDGw9qL+NDZZ8up6VTPv8Q1YVxWN
3+SMJbJ8ZoyMpJuaZveuiHiM+dpcD58Bhtn8ZzyZ4dSDSQmsuo4eXG6E/EAwuHz09FNGUUUZwARv
sOU5ZQVKkR18mU8Gnx2NW8KE54yBDx0Rswks7LNmgU6TTQvEOxq5J9mAWdbXsh8rQABGFx9V4hqk
V8BsqQ0zyZyJzL5hTg0BMQuqLji5bkcPXePWGMfV2oMkadjUaG3BCHujThPnnGX9kRAbwN7ZAoBi
yBla4UrLN7QKFt1NzRDZyQ9rg/nu6CZF9EMNk2QdtA7w0679zMbFEoFhZ81VHRn0QrqRXKJP3boi
T8NW4IxQEM0jhurg7KeT0Uc3xM70EtbtMD2PxFPuc05LIPD5A5dDxzTBJXVBjxWm09l8dA30QnJ7
NVGYgTMq0810Y+mDKyxO1IXq9nMq5rTnJ/MmrkepBlhK2aS6jT245b1BjOheH3QN1LtyzTvUSbnL
/O3IGap12TVyPO89pqWXIX1JZO5g4PWKlZiLx/nMLV3W9MHmVvdTpgDpUUUi++rMdnLLyWtIdvTt
8s8QZcZ3uk9ztUNtz7OpKzrNDmd0VQv1R4vcF/tkUhATRoKvTkY366pagNlTMVwBR9XWUEhSUOUs
SVgtotydftJ31HBjsmFipggNu64TJinZ1faUkEykOvGab1CJZO+pNlFrLCv2wH5pMBqAC9bKnY3s
2dz7YlqKc1PhgB6GAg1s/9/sncmS3Mi2XX/l2RtJA9AAOBzNQJMAosuI7BsmOYFlJpPoO0ePr9cC
q7kkq26VSgOZnkx2rSaXSUZkhMP9+Dl7r607sMQwwvNhubb5YhqFdoZi0n0aIj1Z5VnsJxs0I90d
g21MoS6RqekOw2qqB5mUuB7dOarKnd3V4Sv1QV+uQ7GZyyzpAPMG3DMuXl3xQOCAddwrx8mce02W
2mPv5M1LGOYLR7tIooe+WK8zaVj1o6+p0L6fqKJi3ysSRC0YoEjCBvvGv0N1QNti5lbyxWyt+LmW
ev0YQtSkoU+GcXeIMtTwm65djHq9QJEuY7r20h25pVJfKpgc/B4ZZce+HrviIeOLJpqrkPKQ4Ttt
0K14UOnhrXUnAIp9EOtTeWIqQUqAORMzf2BLXUYfq62u+RHKpbvRzhoD73YOG28uZXOXZSNpMbkl
FjYVWaDNiJYlWgKnt1asYBNRgWpZpm4JqgIwya1trqjU2Yi3mlsl9abQBhnte9nW15ammZ+8bh22
m7VG9cjGbK+e9Z7+Uk0T5dwXc6XtQ4fZedBbsZFRPZSSJoIiL+oQemHivpQMukwQBAV6hGmsrI+D
qipo/CjxgLsYoB43o5Dp9dS7stnSxSJovPFAlwQNnudjMuOcC1Q5Dz0a6ml46pyUXo3VDcZLT4Gq
cQ2al5iMWNbmRUl4dXQYPKalqLo1GCQTC48kkNmzkUQXXX0qxlnxE5Irqst44nmc8LvAeSgHcZTK
4T2UQotf8B3zMmXGrndSrVdpB1VNMSmDHk6iDTFjvMI41y5PRhnb8iDChY8WUSCBIgJqRbLjSthe
Jkh0i+PoofRF0lZwyHVpV5PQR3oF8p2mGeFoJR2CFCuSrkn6BsrpiK9v2KVWg9LKblkrW1AQbv2s
061Kd0UJzNOftAkEwlTI2vZxMiLlcRqj3RuAf+yN3aQMb1Qdmm5gFuP0yBO8yJ1AQn8bV72EmMId
ioDZIlQe1JFaJ3OFuJn3zKjEM7eNmbQC2S1vVmfLC9OwJ/Iu2sh+JtvD+ahSU71FhKFm/kCsB7jO
aZTvtI8RXnRWhBGdVgx4Lmc0+y+jM8lvlXrzCXiBgb6wjiaOmsh95NiqHLTdrNP9MAzVLUMO3bl0
lVU/dqIIUYIxzr7J0fg809gIYUxocUcl3bQtQQ5GGxMv5qwHvza5qtqIxkDYKeuEEBKX68UboVL0
ZNKYOWZbpwmR1lMF2Mvs9KjeDW5kvYpUD+9bF+GJXziE615CHqzyXRoa82dHzHoOLyen3aSpQYyH
TGV5coO/ra8DtcSqCoQDYuSQdAjBCJBJ56AbRV3KYAlLYAf0LMsbczF5InrijL6WFblC2AvRXG2m
SOSJP1QxOcypvgzFo5al1ePcMMzBudBND2TDgghENUDZ0JEi0R0Gp3MaHiL8DIiO0vpcTS3buTUO
HrsCoAN0qOUKULZheFAC0f4891aurSRPtAMB9v/IXQXjyS05t+QJWX2E7LozwuwlzuHy7QYewhll
sgRBQ06J+1EvPNLriTXiTO+raOCFqxT6y2p8vp4X17UOuUXrg0UURx89je6O388V2hOaevTc2sSx
vjBsULgB2Q3yTYqmQgVllaefkgbPg49fw40DZAnoOStzydwDW/Pw7KLxiJCXyZICXKf3tIkQLhub
fCr7EDhLU3+smqp6t0LduE9Ltwu3dh+PfJn0r/zebJtHdszhyhwc2XGVz5HCpmzQX8FGZK8mnAAK
gXzSov1ccO/ZWvNgPIdyTYPvCUhv/WFM+kvZuMQ3JplH4NKIq9LaapVM+PeYWs68LysMj5IeMO2u
ogIWnMxZjR5WE9GzIN7nxss1FDH0BMLbOStJCEb1k954U0rQkueV5gFO0uDtLDK+rtBUF+0uJbbS
28xW6D4Cn515ilvRwG6ifYX+v8tNd1fZYRtv6d0vVDROP7s7rlXhOdbLvoDMF3XtBdjQ6hmATdVs
iUaMv+peZOY7CAEI3ycvrx9ITZR8aSBwP4edDEuQM9BmdjW9v2jrjLmRbkTlIcZZUvdt9CA5+LFL
yKCORCUM6sHIHpMBVvrWMEsGRmQHFI7fEeD+OExZw6nP/jDtABBlb0yb6SKluB80X6lcLucqy+TC
ijHLz+U8C2qkRBfN61BbZA11jUOnmZ3Si26qQer5sRq18V3IvvtiNNZEoLwVq/4C9y2XhVYbyRRD
q2tcWwJnrZ8ZI4p82VfZFDSNJ7np0La4VOwTGvsi1hPHQjp9tjifP+oGimXfolw5irEfOjYPZb3l
InLJrGiIpOMK7ZYfUz1xkYfrs3ud2rW8m2n1vOn0wmgokWr/GrfV6viV6Lr2tic7ehyGU39tY+ai
AbOA6GriwBAbQoXMA1PtvL4wG9s9RXMPyRjXC1VqR+/2nRw8jf2p14qzptVQfbpeoH1ONCN9RddQ
TTxPFcjZuK+Y6FRNIgnn8ZKMCPtUsM3OlIiDP3Ykf264uLmUgAisukMlbOdCs3OiQCTJ8+yjDA/Y
NccE/ZLLt7SzZkhlfknPvKHkDY3kNNNAM4NhcZJPCM9ZLFzZRjhQdstTjBmlu7akOX+ebPh2a1YW
jy+lKEow2virQ4BprUbHZ1YPcW1a72a5JAMZGS2+y0asEaChGBUHQYV9qsHXcSfinuoitJY2CzSg
Q/Q8IpaFL9g40NEzz5w3Mzft9MiYTV6PohtwhY2CMK9opLW4tZVLiwAF32JuqR1quRlMzk3eSrwy
N/rFexgLqBSEVdG539jUjPapBgYlg95bIuPYta68GqtavzHWtU2JxYEbNOBI6MmSi8wLMRVeyWm1
PI9T3jEzKgm1uxYaeUJbRCZAccZs5onOVWXqW0NzeWqF0kIYzjFzSiTLYcj2VE7ZuK3bnN64V9GU
2VRupdI9PCpRn20eWcpIk+PxMqMxqmHLTRMYbJCyPhWurWk+xiwjwXkkFO7SWau2lJtUX8485I85
Rhcic2cJd5+3hPGG+Muh2re4BPKbkVzycesi5pTkHUwL6P+wpgNCyEUR7wiya4nvdOvIhtyu0hDe
j73i3XhQ4DJpqI/w0Cw9U4+RnpfP3/K+et5su/vOwdwGJ1o5R1xeXNUHLqeXBlm8ZhAiMmL3qmdc
o3CcRb4vmYGoYPDC4dRntd0fu9jUrmmeFLTUYhc0k9JFWPlek8Tv1qJW5AszwXxHaOxk79q4RYGq
x2izfbhCwI86peYHnttC2xoWYlyYY+wKu9rRw+skF9aVTvjF68A0YPEnmjaOb6VZzc0unIiJzqFP
hb6Rp3YVyDbnppQ3DKV2XlhrM3vcHN7JPPQwhTVxtu7i6ZqTEAmurjrXWxwYYnJ23JNp4wzEh2sX
lMFEHZVDoscPOh3t7i3RKcd2tZhj1neBEnyNyy3C7LqqoTrtKfbp0le0PQH3xjrjT2laKNTR9VcW
DiWuZTvBPeI0N7X1kTOzM5kI4NjxywSe5I5xfp4ecFj116TyILI1jHZSd3FGwYuH26axFkXO8Iwm
gDbywhwMqyG8IwPCUJolcZBzSlu7hKEDWaXY4HaU+5Ph2zphWZu61Lo7ZEvJ57aCW7NZcvq1m6Zp
R3bzhGq1l15xX3Sed4nmZY4uCd2t67WcjbVdy1gg3hVGaWeYgEqvJ2Ox4e5OJkyf4U3qiIprUxho
bEbfwujwSmJ6iovQ3k1iKT5pjtNCYelJoqa/T7aQgvULggXc2ZoRXNGY0NOiU0deOf/kDZp+Gsj8
jrZ1pqdfvbnKnonUsYkRW/KeLL6+Vl+4xaDG2sV6Iq1PFbsVRKrRpIPc+FWHqBNznMcRseSWFgV2
PpGp6aWVmi9ojlX9Vtk9E8TQgerIXQZJwTeOH7OEnHHiRonEHb4iasay37SKzitmmCh8YBYRd9yp
RvWCaYz9Q8PzGoGcCtEBjzGDmQ13TVfzGy9cpI+ViDRkDSAjrWQvcbe6Qr20TTkp70s3pf6l7dQf
J88hUlPqaf60xH1bBojSqvbkMvEXgJ1IZvMbDojlfk4MMe2tGLbeJm30bAk0QmjIlTfsOr6oFMPI
AANrFNO8teM8UBo/tMvyXmjHepTejUuxB60fCxwkJztOQ4ncWA5NBJyGEuvF87p+eaojI1HHyo4R
j6MsoHNKnQ4pcDeEbnGdNCl8Dd3h2Vj71CumyVMhLddhgatBvVMKk+e2rzq0YTbHiiwrbdkZMPVi
n5aGPV6MYz8hsyigL4c1hxmDIgsDcZPhb6RPGGNdyzWvqkyGhAswkXEpGSi7+eTAsZI0RfjgZgN1
PaSfat2mcR1c8HFBrcPG1HGjqZia+4xxXB692m6/dBxT9xqCZO6EmphJuYynmiwj2AJHi3BEZ6t1
xAn6VkncdmDQ7FV0cnX8C6I1unmTZXTycVFODFFlqdzxpMmB/W30unqBpJKk3gWhDOblMnfmxkmd
3NiVTWrHvp0VDbijtNBN32r6CEFwnM+Y3dKU/nuvAPChubP5xwlmWx5rJNopyFJbxEFvEHBH1xkj
5HRsstx+wzjrvRlNN8L7RLQwenTetMq+5O6AzwurJY0nr9ad4hGeeBffRNmU11/dEsJG1sIYuRpz
ZgBHAvxMZOHgRe1tZznxNS2mttvSR4FpZ2j06whVoW1fPs1cXyHTTUvrHHMtSvTbkFJWHnNj6Kw9
p7lu7xKFfoCEMWghFDyS0e7q8zLPRkSWDL6XPtb3gpFifD2pxPK2seU09bPJoVjeCM1rNCxiaD98
Whd0AUViN/8bAuf/NfXydf1e3nfq/b0DRvBfQcK8hsP8ewnzEySFt5fyP/ykm3/QMa9/7VcEgfnB
kq7loWBzLcsBN/CbjtngT6h5EWFJFgsUit9lzJbxAb2b5XpIF1Ezi5VO/RuBYP0j9Dj8PDUBUk33
H8mYVwXx9yowhGE0DaQrIBE4NqrpH1VgHSIICIZYx1azqOpvE+s27Gj+NRunC9ryMOt7Z7rX7U3q
Ha53RX3nJdemiLaEdQaSdBSNBr+AV8Aq27jqoUR3iIpzfozHR325ipubvmuClKqg3KTTnmyK2b21
q7fV0zadHYoG4/7b5/9/TGv/f6GMHkCnzvfy71fhPTL6DrqH6pLyP/7bTr2Ub+///fvl+Ou/8MuC
1Gzzg+cg9/ZMFOUorj00978o6zVbfEAaDchmlVxiNloX3q9UDMP9YFBbOJ6OaBdh5BoI8eua5I90
tJIu9ESHrRSB9D9Zkz8KIaV0bemgScOWDmlD8mj8uCSzKWu7Sdfh6i+GeaiawvJjgf9IlDS8v/uY
/kT4bv64/H95LW81wDOrQkYrV5zTd+pg6iuPfgO4pJShFUoB5ONcrtCKWL7gMhmNzgy6Ikp9hT8c
A+AmRnXwrcTeoEGx9t3XRI8kPuTFC1xUMhudOtFS5dnJdLn76zdrrYrMfz2r394skk0bXAlDJdNw
f5Iym27ntANfXtBWzlOUUTpMpM6fXTe+rDzGfzUXvaZ2H+1caoHTHOiGlvt0CmOYmrTd8doPPi16
OpXCfc2S5sFRieNjB6S119B7lv2q7E15XrlRZVUmdlMydHtRMM2Jkpu8J4dIjqUbpFdm13IZjkAF
uwo0MzoiXxZcBwwzvYAbe1LrPTNJvhSkztIRRsSBYvhChpX8Rab7jx73vzxTfnDY/Bcm4Tgs3X+/
A1wSqflevkeq+v6xpxv82ylk6h+ENDEt6KiZbc9ZD5tfnnkeXlQLOFiky5+5lvPdMSQ+sOrI0UKZ
bAnPWg+1fx1D7mpJcZBH4xMw4Ez+BL75KxAOP//D2l5XM3sN8dFsMWxArPEfH0RNaibLLwcRQLsi
2bSV4uJCw8nC/xBPE03drp4+W5CJzG0/zOuKhDiKHJvcdHKSWHf2tp5JHBoKhBnkPrv2uW2ZNG1T
BiRJQOqQTk9vYfUXtnK+ZBAj1nykwsvP0kR0OOayKIIGp79vdZZ6d6zJ5Cagec4O25oMXCdkpaOu
y+GNRuNwbZXAZnAghoyTLCOdH3N8vOQvNatDrsHjuAdCQS9yWLC6W2MtHgvqL/IAkx7Ohr4sFO7z
pD7PKFMuLTpqEFhap32EguslgEQqtAFOaNHRtaCxpj5oZMpuif18oxmyrinpNf2QCk3cVsKy3m3a
T2RkWqriAqYlqa9xPy+CxU3cT93U0c31RMeVIUwdpw7oOFsFEdSyPlO4ZDy0dd1fUTab7t6B8X0Q
CqzwxlskwVoW3PCHnBvxRUKTCL0Orl8sx5korjKEHTga+bg/QdGRH1s6eB0ZY3N1IhYXIRKRpWyk
HdT5Zouwb2uMZs1IN5250tZ6AbjFGs3hBhU0GBtmfMNjQx+OcKuIdCdUbuHkbDyIwojmHJdfoqYR
9zXrpXU5ySm7xmAoXmmBi35fkBNOBnvVMw6r+sJTl3NUGBcmpIuUr7c3Dl5h5KuFaLolrMvtt+Uy
FUczMxBZD4jLNPqICDnLato1ULHZJ6M4O6OOTD42kH4gjXS63PahLjBF9TZUj8TT+F3yDjVWIb07
B9TSEwscBXI/2CQDuBpMnK0Wll6Em1PWXtCpTKmrDDbOzdKp5WSis1nFTBXTO64MjXvUnNp4Kswc
fs8ACXmb4wUCVyEb9ClR2EZcV7ToRQd6ngZaOxqPlo2fO9E9awnaqRvTXd5EU7XJBmZT/iwjR9Ic
8dCuoAFUn3SdC/uqGpsuo0zjHggoiU4D2313l0VdeDmms85reFbCDu/GBbNN7qBHpg05QH5nFUzF
/YJ8RXP77Kb1SofNHegsEm69rizfRSGM/MNUFhCAqNIUON121SFobCWroti+ctHhpVt61bRI04HE
1XoaB4XTQkeoZzIXOS56PVx6WhtdUCsYB8fUUujoFQnMkLCRsV5gZ66PnIPQf2RhpKXvlZEoUYgP
KbjfXlzOITPYyGumWweJm0SCtVrS58QqAOHFrX5bJDiEj1AlpjMecTqtMWxnRNoNsroHTB5rwwJ+
1K/+qn90YP2/eVUyPAqSf39E3bzkL/33p9O3n//1jiSsD5iwUBZ+83Oy4/1+OgmDslM3ObKcX4Fr
vxWkFJ14VwxYbB7XF6Yvvx9O1LdYyvi/DVQtUCow7/yDw+knowxVMg5ME0YFVhlXip+dVoPZhATJ
O/PZSwqQXymN2thy581EdMVmqOk00LLcWuC0fqlt/q3dio/vu3rPWctzXprzkHBLfs2fX1ivo5ku
9qjOLvhJLEeETkPdLg/wxSL/u6/iTwrhn1x/v7yUx9kP2w6LIx/YD3XwQDN37sdSnavQy/0MHhRU
Cjv5m1/oW17dvyrYb7+RiaHRpqw3sTh+Cw35rtxOojbq9bzpz/ToaXcrN961xMs9OrM9XJD7Me5k
xlm+7dQEdstMG7q7WmitNHQXzfU0d8wka6MUwWI2aq8tZkjsF4qpCrmsY143ogebNMJi+QTY/JIF
1/cE8M7zozHM7cdsaMYvQxJrnxxt1TYvjL9o0qTD1aA0hHHeFM93aWGaj1Y/Np+6yHCgrkyvsk31
WwWwHLj0hHx7BudSYgopps80D7Xqb24lf/JlrAUZxmJL2JaxFmTfX0pwvBSmgRz7nI0OUTRjVQSQ
Gv5Z5NK370Lw+LC++I9G2/ouvvsuUDeh0GJrPJM7/jSQFtBzXR/h9TE8Df56dTl/9htZgq3dWp10
PJI/vlbbRyRY1CGWnDnZwRagGUqtFYpdOvv0m6N0V9MI9DJCf7OEM0vtKP32LYIYt+sDV92Y/QuN
6mPSVO+RZm3j0d0X3rVoSR0yrxCG+Vk++wCGAxT7Lto+cBmbcWHSJ86GuhmSC6rJur0LYRnG+mcO
9HS4aCs/L32NgHWAwVsm39uUSasLZkqjH5vSdIyp7+yPbXidVvNtlnW+F55TVFFTejvb7wRWzUt6
GpM7QB+73LhAAOjXxlXhzKjmduC6tibez9F+cUR+7dbmoezvVKr+5sP9s4dKUJqjnOIopEj/6Q7b
o+YYKsQeZ6QSBvYXJF9uqQNVKd+TDOb/zCTsbEdo5Rq0SM7iIcDshviBodcVMmZ9J8NYC4oYBgoz
vXFDFvbG6PpnwwRPa70PxkqUI6gxQOmvbtNWT26ypAKAq1n3nQNiglm/8JmlJATzGl8Y/XXHzJFk
cVSDc2lbLTWvhtVXNXl5DyiwPmYTbCdZlPPeLOv4+NeL7SdQ768Lmz6FRbvN5DNZr9HfLewsNfU6
7e3uLFtXAP5Lkh0b0nyx1AwMrFIMX71xYg8HOLlJh0I8R21pHksxrWNSVFBDSI83MQBbSgUdQnMt
wZh28HzAFr0fstkcJgaLKMayYmtZ2d99oT/fhdbNmLva6gY1aYZwXfvxF9D6WMZ8sLDqkNLhIIga
v4XNue/qmQxXdyz3uTtnJ5Jrpk1t9B8dtIj7v/4Q/+ToESwpoXPqYIF1flpTY2kNGJay/qy5OPSI
3ktPZElIYjLDf8Zm/+Xr4jgA26ebeKZ/PhNKSCEohvv+7DWEO0zWbGwLM9M/xf0Q/82j8o3V/NP5
IxyTJqzp0Ppyvu1T3y0NHWtty2yrPee13l0VyEYDkRbidhy68cSHITZZjO7dGVV2jg3C6BpTtTup
VYgi4kZez31l78wuba+4HZl/4+g21u/1x3fnUOhIucIraHt9a1Z99+4ih2zX1jWac6RCc4s4YtxI
AuiRBLVkq2ijQOAXua7vdeI5JEAkEMiuD7Icx11JxMPezsfloGl4ztAH6VeRnM2/KRP+WArR1eLk
hqdugdv6OSPbCqPYRhm06qq66q4oVbWNGYBc2IsqobbG2ZE+mn02RFf+zSv/4QQB1QsomZgZ6oZV
EPnjM9FEutE7cVme5qx1tw4qIpjKxLX/9bL/46tQ5VFV8j/64X8gL9SDVw/NlFqnQlfTToczu0md
UvubRt4fvmfLAUXsAimhvFsRCD/+Lnak27QjhuVUzIA5a6UYxaNpo5rFpTn+2jb8/xeO/+Qh/u7r
XTnVv6KjVz7O//jP+3f1mrx8f+P49hd+uXGY4gOtMPgyHt80Da41GvD3fhjLDLGQvnIpkJT+3gG3
7A8GYzVa3PyBDt+dXfO3dpj5AaqMxbLhNeiuMeT5BzcOCAM/rUTT4G4p4NVYjkfRpP9ME0+SNvGc
iI4T6LHhIiGjaotfQF5oTlS9iIpd3yQMFSgW5phunj4zz9b82OzUtYtB+IxRz3pFArgwkk/cYx7P
8ceY0mUn+8U6MxmFOMaU0HlGp9Hu6xyz8kk6yNk8nP445uEtjUxnb7U8kUdv6bQrxDLqjn5Dc4UO
cdxAZ+xvWN9EDtl9/dQuXElKUiO2o+wRaCH62mZd0m6VZ2qPadeAlUdUeuwMXP2bMUGtuOhTc4uY
0rq3FBNegbrztXJc4OxxMh4F4N/DVBfd7TiPy2lCZntgbm1COzTg7LdLscMAmZ2rdrw0pX4TAcaN
JucuN8KE6Gjjni6N63O2ipUl2/MxiPDFc0nI0itgdSESSSvBSM9E+Us4Frz3KNkmgJzrHLYW/fA9
qsVditZ6g//owqSCs6PHca7uNJmrQxzJ8aan97cDmBp5Gz0ax4+lGuZzWboYfEXfvbtjbUEMyIsD
Wc6Yz2lMbiBSzq9GGuv3Vl80R222HgirGj9loYc3O7Ig8xpRADXgCgGk3C+GKm+5fTL1xn/4SFDf
vHXsHrtYpQ0PRJsRw2HXETgtjM4XlO+232Vt/9SJiVYGGWvTNqKdeA0H8o2SeEueGcZyNppNDhiP
0gYmXOl04VsfD/G+aER3KwTi6zKPtH0drnEvtQWoMLQCs+punLbDaQ3sNm6EP84mbczJOkKJCyar
CUYZA64jfjCq6RHNk+5HWf/qiOROZiLZThkXstCsL9w51f2uWOIduG7iyORy6obp1OC91mjO5LV6
jU1kCFEfZduyGB4Hc4UBcXWMzxpJdTV0oJo30RokVZklgiQng1aO0PkJ1ld2MvBCnUKXT4d6DlE5
SWp+MhdipyOeCiIK8DQpt2PzxWwgPyJsGwEtRxM00YuQ48ePWtFum4laGSUFCNKFjzcOw4uqj7dT
OWSXyhvJpvKgWCP127upQAIRoaaGzG7tqsYKTWQTjhtQOfc3lHAby4721OSePzvzPtEhOck5hw8p
KSyVhnZ92IGM3giEDTjNLdrH1XRozKS5MAfvXSnjiH4b/XranbDwTJtJzCANOme6jIep3sICx/dB
k3AY09NAuFew0B8NahEPOMSzk6gT42K94mNXotpXBhGXohTHBFnbFUHLV+3gWrcT/VvwoM1bq6lH
Zxira8OVBKHj1ELHB5J5KIhAN8hScRztZaopkVoU3XdKBwpFDAw8bgstqcU1YELaAErRnlGg4UHa
8CCol4V4wZOKXWufzXimBvxUWRdG1wCHKGPTGMhuoe+H3BifesqPXV81/X1vysvOJSEs5YpS1uWF
g5kvL8VX1LJHZcXJpR1N1lNWLmZQ59dd6zVkLK+cAdeCrzuOb+UcoqJpdPEkp6IJUC4nJxQRO5Fg
hSGa5BkBHRRshdRHV/FDuKjAJj1hX87FgRo8W/3eiXNOkqR+sjCo4adXb3mc3spS9jdJa21ioqOB
r65GjKfKMYtNQgpsgHbpPoyTL+XsvDh9cyUHvOlOgrzYzvMcH2F4ABqZXsgaPHTU2+qo5dnw1GhF
cWm6QuN+opV0NRpnF2J0fhNw+s9JVOgbdJXLV5VWWVCKHGRGbkcn8MXtHgk9213L2A8PNsrE2kBm
hzYz37UpVwX8STxPTY2eF63pXs3MBGMCX/BCeeyGXhgHsx07K8Zj9LMlsrd6IV6X0bI3+Riafm2V
0z6i4XZCkbycEJHFd7PjmJ+TypJYD+LOuAIZo0iiS2CwZ+TYNzWASrLTd5G1XBJr6YeeW4oNaVjx
F1vL7IMxeOlzJJP5ylGtevcgtL9PfG0XDFRvCa6lneyONGBSvNBznTUb+DEnfhEIqTni26iJiClA
rjk00jgqN8rvCyf50nUGftmqEYHWGeVT1S3D3epPe2rnAsSuvRwhJWao/czyVqsGg5ZD6pktd377
WZvksCm9YrvOm2anfAwLqyIXZ9EgMMbh1dBkb6gPoTMmXeE3JFUGlOjYoYDpmC91nEC47zWzfUrc
GLVuaaw8BvCvDFOz1ZVqlk1zVy42eqR2zDWXLodmHUG7ap/EUJdnyo/MDbK6dB4sXXPpT5V1T79K
Qxi9yPKm0/rh6HlZdQaErwWtlaIo+iXnFsWiOguM+LA/Q2U+4rMY6X2YbAMJhubXXndHdxOWQ3gA
21Q/0ZCVDxby59pHlL8woshL0D5dFWovTZ/0d4NpKuDMbnln1nF7TylC+ONY2n5u9y0pt1G4CQ0c
ptgzLKa8crpmtL9coizsL+Isr/cyXLLHyjKeUGKzxPqiOnn1JC6SRU0vfB7omRYSZd/nhQ5eM8f9
14gfmoM8aQVNwSnihh6Z7JCM4OEPKHGTlfuKXikm8HK4M3sJlkIqX3g6IO3Qu09TFO+pftWo8E7L
AIuKKvT7dSjSe/mjDfn0a6JozpCHeWjbeZ/LL65bBiRL7TtrCBBqvup0PUInC+I4scit9cIZeWwV
nt2sR0qZjke8CC/uoE0FGvxk9Qlr9etaLp4Eo6ebImqh+09L2PpujPA/xJ4Pb0wL5gi7FMsXy0S/
99AVpPgnApMcTfqYkXy0jH4MKCPEpZ6zHevZFO1KJyYXRyxbQ3fa2yE17EfF44R/u5ua+9QhBNZN
Le8mjsr2JVE96NKeYybMcev2S8a4Bd7+MZY40xNB9Rd1Nchyb7Tfbad9nXNnQQzdj3w4hdrXem99
kTPSaGqvlhMUgXevKNLaxjjJasnvARM4uySE2qAmew8HuN87sfHqpPoTs8U+UK0srypPIclMG3Z1
iB2f0KYf9LnZmzyXEsxq5FZ7M3TYJb1y2ix0BZ4gmZokazJkPHEIle9DiuWuWJA6Eq8X7YFbjGKT
5mn0pWmzF0dz1bVZGNu0nuRZIBu9kzUIW5pB8Y0hdPNTo4bhVGpD9RjZubge+6492PlcQrpCrluP
QCuY2aVvQ+mF26FlXrlAjX8cI/T7G0wp7ldR5FBXTNnYexPqCU8aUGAARLGRbzJ7uJ6jCz3ryR4u
9nKEh0O6zAEtbrJNtTi/iSoVXyyVqQ5TiwUNAEd0rRMPVGwTuL1bB/tCYET4fiUn7JFgjdt+wTUG
stC7GhdMsw1QOgjYg1E9Am2kTwkfv0fAEQOzYxtPBJwmzIopUZsSHZaWfiZxnlzlbusY4T0T7cQF
G0MCh81T0S3Nvgd6AKtWuOExzQfja0YA2KEu4pOTACZRUSJOeY0ttSGc5JCBzD0qVffHpXfMj41r
FD4kWXIPIOYyHZCJjdm2aIhpB9WYbHtH0XzlbtQCYpPhOerbDOYy6cEegVKhccEksGu31mKJcOPA
pucptWj/A7KKGAKs65z4g/qzIsJ+S/NwHyVl9Tx2ucX6mJOxCFj4UaDrWGGpogzsYBpZ3WZbhqeC
B63EO6YsQiZkLLaKQSQwgXFcPReOpz3AZpkXhqpOxPR8Ll2EbFIc6rbpaJO0E0ZJIto+jgocceOK
BKCRrWag2kmvP5Q0hQHPtcnKiE5xgSAB10M+ON19Mro2I+d69Q/VwnmYudWvY+4ouyMquthrbugQ
+7hUgT5bDSZ8rPh884XpD7Ur/HpO0Nu2zDIf8tFpfZs21DX7f7Qj/Cfatp3StwvO5esQ3A8CO6le
zBTMwobQx+qrqbXLS1bhZ+kie9xNVfMwoBeIkKyq0f+f3J3ZsqRMml1fSLQxO9xGQMxx5vkGO1My
OuDM8PRapKq7uiRrmfWdTHeVv1VmnowA92/Ye+2lpNCwO6o5MzNMvBzKutGSg7PM7kU63ElW3sgb
u+mbU1bWxZNJG8DBRFPHBUJshsUPMBax/cGn0x+R80NuQGqBy1wbd3UtnEvU9u8145Og8DqNQXCf
OgDhhuXYy4gjr9TdklFZah4Ice02FsFC267JKFUsjXgdLueT6txlj/VLZ7hfaedR8/DQwbzc9SiV
zvACtBDnpXUskXAfMsfWwiRb9cGonuVbO9fOMas9LLUeo//FNeagFnI+8J+4UPWGpmXfjrnx6o7D
krOyyx7wSX7BmGFPNCOEGFD8d52ET9Yp0gpYwtN8KdqiZCKoHmb2fIuZy9omOKs2Lgiu8+AGdfsI
ge5hbOwTYCEn7Fzjjobho/d/rCk+mhDQhn7EkCtTalxM/+yzHio6vg3WSP/kJ8QEEFaXHnk+8i0h
Rd0bP+h7NJQOQ97qVRtTfwOFovt0c/t3zJLzgHFhi5FgY0hY/p51ndSkbbII60Mrkj+Ws7JPdfyt
ACdpGPzBCQUhtpNXi8tk9y9+S0gvLl02WzK6Lkk+bPOxlzekIZWcQIV3WOYJ4xZ9sXMVHWfVTCpP
JjT9mZhPWi6aCpIYzTLQJxFRHVrobUo0+VS94AKtCzm7+7Q0yjO6ma3VEAG+lM5js0htpxEdtFeG
8z5EiffGQZgfxjT/KPUSyTa8FRR2WWpoLwDwl7A2K2fPV18Fkdkip4vyp3GgQ+RoSykvfCRqOQ09
juW6fCATSZvIWwH4hgNEFPvY17MsVPogVmJfBLnKzfb8RhUu/vSYZss3eK+OqAXsokQZ9AH2gOhO
YXvk4xYvVkpY1UYQZ3+0/az/ygZCZR0DTvaGVye06mkH74SQXnPScMkP/oPpo1HaNpF3VTRGXt9d
01wWtw5TG2CpqcuKiygVt7NDx2m8zYgaO5hAR2ytdgZOToiR71Bgqu7GV/531nskMJHPtZGklkya
ebbIEg1AHPjB7KlnfHmPrCexginU3onRvgPJGw80lTyvDl+H8rEYq8EdDsrGvlpmXEhjfBOhejwN
zrzcGlPxsdj6sBXWIA7dQANK86Jve4leSqU3hPXExxXOIGr+DNNL9w4V+saY0cYzXGExBissdY2g
dmYKHhYGFCD87UNrfKYdPFpYbR8ZVlBiNlPIGCA+sJ8QYsRcKeTbgwynITrxBtmFnsdStyqWe6Mv
H5WhjhgpYlBbs88oHoedsg2iRmL7wn0LqiB6zM0vzRyHva1jvMWwk37h0e03jLlOxSA+kESeO8p1
ZRjFfmy4jMEUP3JXtLfEH9YnKSrGFHhb4360zxjHliOBCQfTjWKgc9FuaLo7HDfhjN5Djv586HNk
lNHobpo1BaqO1xgu5n1b1TnDHgKhgzXYTvdFFJEOMNZz4Gbt64hl5rbNcR7CcX8DY1Vsyyrb56QH
bbM8uubU44c6QkEzEzm4sWT7PMpsZzXZpZLNT+15gmgybNAx/679TP7aqWzVm2WwcZOteMJzgt2p
AM3CCdPtS1jENwXzAlyp2qG3VXukRV/RPNUckOUdbws7dneYmjqg0d0c9tK891F7cpZqxhft25cr
sE6ZoyT3rQC/aLZLAOaSVERGMHBlh1DmcOTjOMGZMwClSpXjbJPJV7ACYJsMsX4kEKYi1l5PofEA
UMcrZoFGjDcNFrM8TeMgs139WoNnQSqePZNtdqPDuTp4TW/z5jHi8YeGlt6dpwB/d4IBDCYentvO
+Ywt8Ix5Uj7W5vTZWWzkkOo1m7yUfEYgNZABIAo0MqYYDbYm5U4NFiyMwa2hPZiuOsXKp92ENgiF
ND7EBRM9NlopBkuqV9xVB7eCghE7+rvBxUP+u3fVKaxJ+QGZT2Z9rrNhK8vXvjGyg+bqLBGdJr0Y
Hg5iAqhGTpQbM0InvT4n5QE8D9eFjPw9jPt7Cg8dtzWB6INFhAvAloA3/TSxOtkMFQ1mv3JsKAH/
kN3i/Xpz8g0FzCUHfGZvjaaWxSRYHJKL51ulLLAWvJzUU+le9fCuEr97cIZm6y59u+XI7h4kllo/
Ld4sNBPHxZR4PRIEhY1x0bX6ntikfWNp7h8Px6OdRvu8Xt6bkXIihaLoAXGywMlgtqLnQVXh2m+d
Y8Yfvo/FFOD/Fl7hpR6Sb8GluOkBC1PGZcabIfngB4BqCI63izEM9zhOzkiDd3YNzKzJnX7bTRYz
g3RLdnERxKIsn+xcJvvJns5t3HpcHPO4W2brE2vSCaLBxYg+xArPsab0t0BSjIyRJ9AeGFZ2dWg0
NTU6mYHd2eldETSelZ8JwLmfBr4uf2xCnN+UTlLuo25ZwoR4YEaiGcrFpQzNaJe68il1/aORozGs
Cvo+LGSIKaduXnMO/dl6Bmj0B3q1cUlmw4aG7lg7jQSQC0FP2sVrP3Q1vGl2F/jxynhu1A8BDMOu
brti29MLkuKWySAZaz8BPFB+cc/i7iL8arSshpC/6Z0wopoV/FSyEv9tbDMEH3HDEBreWfHdt9Ob
mTnupiOVYOPKxDpkTZxd0zFZLoYynacl5nAnY4qnxX7VYDRV5mAd/OHay6U/qDr+ziuw6bPSp8s4
t1PQZ2jWmX9TtrQbXwwXIyUSvecymQhAnnMczUvt3kjpXhOoPH6SL3x62PT90Vx2puPq7ym7Bm8y
UT+i4jhYswSv8dtWIUSxjZrusJiEo9HszfzPvLz0+vtAdhhwNBqrAkqclf+CKdh5dUEBCZr2zl3a
IujJcYC9tgbRFcnrGp58jPE78TxeBKf5k67ZxFGS4f6TwNMOZAm/UxB5d884E8G+1oFb05uCEb4G
uNjSo8vIm5Vq5aPIoptOc8c92q30Wgg0k3U7PY8RFbqTnJM45uzvNQ0GOPJEVgZvpi1ZwmVtWC1a
crbzrLjy8U87rXeIwbb5QaukfGr8iZMKM+5br705/rAz5ylsiDciWkIOW3DJKxbNaB5tyTBt9MxT
bCzHnDdxT0nyTZBZGOXxWW9MEArDTxlVN7bBQ0l79IMfcW9WatgUhX5GjLQnp4lPbCELBOyf5buh
tiIhM/yzhKItrFwdD2ZdgQtV6Pt+IiCKiLU+BCxpv0KapCzwYK/aIwJOzMANmF19ucZR5a3qhXpH
O1VQaNftvTmAl07ZGIBUKsjgxW7K1e3Zv61TrFocLPzTtyX4cURtT+85LzsNSLZdxscZ74Ob8hBi
jSuQnuRHI0vDjhsXi+QmFe81dG6uo53o3f4Uj8l8XdgU7cAjINQG9YJvQJ+ZqDAWBzRAfyf7ux5c
4Oxnj02fLXBtYvkB4/+cRRqzr/EBdihapWjkVm7aZ6Qvm3Smbm4aNWyJdxSnaWBtUXokLwHM+54K
2926lBKz3mr7TCgHbwI3FUOw5mzPZRiP/YyylAGCErwIvrLPisGsxa1HXs9GF4sLT0mVKFsbVu3O
xl3MuUffKwBWM/6rr9PSNOdcHxbmJiOHysB0bkNQ3pUB6R+sy81WixQHr0HlFy4IdW47cvPCItE0
MBZck4jB4sMM7xVi/PIkwCYcOk0qVvlGGqPwoO6xDW8MpoREGrep/Gurhh6NMY7gXVY6+FDhG5NX
hzbxGZqMsx170EVkouExR7Art4tykySQRDlcI6PiYOIOikMdcNQ+m2mdDSJ64DAY/h3CGetL0xXc
mcFrta1erQQ3zLE4miv9066QhEgXv3qZHmH2JK+m0wFB8Dnmh0nBR7FVdjQnnzS5ib9iNobHjnv5
ly9XhUPpQYYT3hBvZJ7pr1rR6j8JtQ0s1KhIfit4J3STTMRAKNVb+Ev5t9Pa+iUpiHNpiKvdw64d
3yoxTS8EyYttgWd9ByetOCUuw318vA7j0NR6N23buDIScvZZQ6HZcxDeRn76LJcuuky5X94ndDdf
g96qBpW7D/3S1+oApkPy0pEhB8oZKPhNqWR+LbqO/NKJcKnMcNLrPPb1W4+O6jTiUt8xnWqpaosu
AM1sXsupaQK5lJ+xau7slP0BWAMMDY7SjiTEixseiH5n+OwT+ML06nF10p77VDrvZjWDF06ceHyZ
oEWcemkbzJmA282o6GNmkaN+go1rn4H5Lo9TRj3iFsZE3YHGkauWkEBRUA8XVYxaqPDA3YnGex3t
qfkZHJBAmOqrHcFqczgSFbQjRIKYOavnWhyRd6GWf7BzrzqaZt2+laaD5NXRq3OVLtFPYzI6YQZU
xobLHLGxeaplCb2IQbadgtytl/a50wxASa0WLz99WiERTw3y6LXJOlfTC0Rm7VNMXURn5HYHaNj9
fRvbcQDSnZ1cmRZ7cLkZ3Ee/ObdRO3GFUVxgq11fHgVDGUfCth2oi6jxlBndpdEwHnT0u2cjhmE5
T05JhSCK75oP4LQQv3lgxADsWAxVx34yzx8aOvzwf9i8yI30mN4u2SA2cvDJcl1ah7nmAqAvjr0A
L27CEWM3d381CP8tOcb/1bC0/kn/keT9/0YMt+G7q/j4v9Z231RNl2BA/P79qcp/1Vz84/f+U3WB
6BQzrCdQfmFE+nfVBf4kNIwu+goERqsA+Z/GQ3vN9EE2Khx4DugvLLQS/y670P/N4z+SEoRaAnyN
899RXQh/VQb+JwGWaZs+qsF/6GHd/yMHR59dZVKXgUMT1eAxtk6MC9Tm35TYxnh+y2LUoxklE1fv
h9HWb0miHV0XgeeiafO+TJofJ0begLXkzgZzw5TGdaqDBaSaaxRXkP9uxZq5k7mx9yLj3pjbAAP3
nWMLUHks2quxS/44JQ0y1xl1A6QP4gL0qb2pij+WBYG8LtooLHQ/few6Ud0uCefDsZ1zSWiiQw6d
xP2QLUCGVzUzTpmHSjUhJ12Qe6SsutltPFG4AtEmI7EydzOwj2vC/XlNZckQwaapgJIExrd8Lqrm
RcnlCkXoakBe2DM/ZBlFiIFbbmXKAqOvSiucBYbJqarcW4dZ9FXE814v8yMo5q3somPfFM9dbMFY
ts1tmhIj2PEBRk3DAlvG2W1bKaA+zBIkLinuZEgLXX2BFHChcf9B0PqjPO1QO7iuMl2+ikEPeW+N
JwxW1q6PPcQkpf1oGexKiS/YzLLRdsU0vjYoFOZ4eVJ5/QthY7iwWHjKK/G+SHFyJDNnKzN/SlTV
mQEIYJq1+zKNzlXpD5upiXF91qTURrLwb5iO20AfSnrvOg3G+jdqINvXfyq92cFabX+loemomRPG
1a26Lvxmo5DJE9pud2PZwJZE7xBQ3qjAmczyB4R6vnHHTDwkZvGUNA8F3EPwMhFFFKjPx3QColj4
7ZMwrU/AhcAKM2a8KB6yhh9VGh3DQAQ8OFSXeuMQHco529y0jdndCqbswTBzg6aSGisCW8GPCqvG
7OND0hQuc9Q8tKqOdAkFX4Wxqb9N9cLYTyMmpsmwzQ1WDBWa7B43WonhSlc9Y78x+SCGFXKfNoD5
HMUd92zIfs47a56GVh89fMw/GBLMYm7QlRLK4kk7kBWgmqqWXymmntFY2kNewz1MwU0yl+rxVm0M
c9jPCqBM3EeHMQN24U6C2aDbbhtJQF1PG6GbFdognKdQDVmiLSVsYgmJcmsi1n03vfZdJFpFziU9
GV1c3PT7aALkJ5ArM5wpLEZJ9HJW25/nyNrzmAeNrsBFiOzJta2Z96MAVj+mqBYqSMWxo9nvGlxP
fmmHk9IemTRAvyLyYDLRqXcIY9i5bkFX3TnVbZFE7xWYk8hH3VKS8vHa52YAfjj0I0lJ3JP8DWPp
xkmW+7aw5wO4H0TlzcFmUk7BsxznMg11v0HOI6tfKDPQO/k+QsEyGbP2R0wwns6bazgai7P03RlS
DqmYRpwvhTmAntsha40g70yKFHuaD66Y64PjiPHOoireVzAcA9kClQVU9siaN+x9HL9JcignV4ea
Iv7Yi3X1zSq+ybPl05kjcZPUDrvE6sbLY5vZJH+0GzeBPcY7LNOo3ZEjmNZBz3SGfJLaoV/+xlsg
0KFaRh1CPiV7BV4xf/KDPLaOuO7oWsf+W6GA6G3ok3XjAARTIHq4xTekCXj8r/qbmEjg8T3py4X+
SyrMqU+SO5Cw9iGfSTNkJOSDZGarXYCgGvRbzKWBbWhnMphhrDHFgaDjYKAcN3HJAkIz9po/fZA3
RRdrLhN8ca+jU1Y8KyZZ6qx28q3djq9etlyyEe8AgkxSAhe6iYgp3JTs9VXgtmTzAyMavtZcO7iE
4m74r+m5rMy9507jZi4IjyxypgQsX6j4yG3zxfKh58gwLPExS3me9Di9aWSZhcKRI2DS+d1IRQAS
7RIX6Fxme/r2Y32T24QhY0H0EE7ApJMBgcJi21TOAXrdXdrTK1mI4PBzD096NGxGYoRr9yPGHLNJ
amjKwkXqr71NEG4Y2y0Hxcw80dtPT0GiUsPTBA3Lm6dX2PoDncD0PvfDlaE58pkCyFKsyP7S/Gss
RmyhdqmdmL/AN13VR0MJb1GNaeiUZfmNfkJjXsqoqJHjZ7oghfD85V6wXg+EAW5bGX+MwerOkSrN
AIHMdztN1saNX8Z4zq4QraePVOVyh7/ptcSrv6mm6M4dnjQntk89nkjG8HN6imoXvnehujtvTOiw
E3enp34czH5cHieyHbIClBiMQT8sba5C11W3LLn4074Kh+U0M+x3eF5qI8Q7SwwGyilDeo98uW4V
95utQAaQ3qRGfQeghbxq909cq3mruwPtom+f0oznmTFeGtAa2Ftm5d91yqowBf241fTkORadsVeu
+z2zv9v5q7RRX0WOgOBbYNCr8hEBenzMVzmkBTjruVglkn1paGFVs2fOAOSFzfqk+XZSvzC/765t
lPd3jq6RKZRKdeOuMswpybSbWCLNrAacjPHoJX9IyykunTtDJPyr5gQ00+6hDYk3iIpgWd1V+Gm0
7bKTqxi0Nh0ytleBqFoW68tfRaMF1wglRY4yBUUpijlWAKvIVIiyf41hOH82SrNPoOwixu009O1a
TE9rWe2tBXZcrrW2vpbdrZkVD/kSmbeepqUM6oEGmOVM9nvjHPq0q3d+yp5uYyWkMvseqHO9x8Rp
M6D8JN0HMiF7oJMtJc2ybMzzYs2fmh91P7mfAwDPpHoid6knH4TvPJrYZLrzGChWH/d6TLzsqEtE
jdMYof/zbOOo5g5kc6fWjTmLY/J7k/rMHpS1tKP0WzyxySnmreZcb1gIOKCNrzpyAYB/BZrZT4dE
6yiGTLgh8hb8bpXcArTrb6fMc/KwUa5KGQU2zf04+dqprTtMQmjX9saSMITJXHu8WR3QGy1HF+Iv
aXzS6Hz8DQlFTGYysKs4x50q7IvUfeuIS75NcvUJLGwI8GSPX6NjaqCzTbDm8bxOuUq0/0HBYPfB
zerlRCCGekh7SrqOGKT3XJkIPTkVWyBE2rIn6DU9i0R32UrcIG5B3NHurChwucP89nMwJkZInfzG
JL/VZjdgNHwWc4Op1iyOZTd0z5BAcYePgeONH5ksztpMU4vh4IgMObvte+mgeItR7cVEXNTO3w8W
rzmKvsgsTGzPOvYkxuBLYp5qsms2q8WCNWpAQ1jdi6rqz3WxhHbRPvRWx/DFMUKv5bktuCVgdo37
MSt+0G8wOptE8TxHw0sbLT3YMIs1+JJIdhy41suSUJPKP1exUe4Ue8VbMFfXSnoHtNbPKocSRm2l
HqdxDPPBvfeT82jyEi4RCDIHjHZblvqNjfmCNJF6J73pTqluqzeA+nLq0DEKVMqLnGpFtW0trXp2
NCSjzIJscz4imtrUutiRQ5PuIy19GGNWpfi3WSHSu8s0elkWmO6i7tjjzq48ialn7N9X/v0UIxBx
zWhv53oIauvFcht1EcB5NjW6k2zTl/MbTcUbl/QZWh1z3c45mN4fRZDkLeHarPAqsKcj/99PrWSn
OLGNg+Xe0tXOQeN236y4l1PvP015fGGzvWPV34b+1JJvoQFmSx1ypv8uwBFPLEiD8/Z18stkm1IL
Fq0f0Nfdmax4A52WRlZqDUM5iY7YZEdF6a8/2uR3+NlVdevl0r0YidIulpdfYf0tYb+ywbL46rTP
Fqte9hXDVe/yC5GCJ4t8su1SMV8gwf7RX3OY/O40K7oMURGqYPinwpi5H/WOkdJv0bMTH6fpg9l1
ymZwORuFtoaKERbj8Rj1nV+GBJmDZpNsOJgLnOyB2pu7S4tZtvISh0DLgPQ2ExcDf4Q2FdT9rgG8
0b1pC/56e7ltFwTCYNiuut/tYgfbIOgw69LMinXw//9jAawTuIBo4f/rwcC5aqvhX5gk//Gb/jER
MP5t9WCQAevplgAjQnP/v3wYTATwD+BqJK3XNLBC/AuXZHVHWPpfXomLVeqfEwGDiQD2JN/CicGM
zzb+OyMBWv//zQmHEQNLpe7oLrBWl6adf+5/dhMWWZTJxc1L1t6qeSBAYTlpfRsfFexPwmpofqsi
SEr0kPFc6eiw2+JFOPVPXBUfw2ydzL77pEL2QwftKYgSGEIMFywmsPAm2ARZrK4oShjYctSb7Wec
TuNuFtwKxjyzoGAJpKnxNs7o+qwyehnFEMQu1WnZynvNsNJD4gFKH+lm5lVoo8fGLQkHd1KfoWcP
q6JNM65ek5qPzXiqPOPE3DA+NVryPKXdr/n3VsLMcVOaRBtqzMUxG7di4xrMQCkIeiiG0ZfhjySZ
qpsSyd0k8jdcMLxRMj5jL7CCTvZHo0ZOM/j5JQLksu3d+sHUTbkvswLXGuHph3EpbuiPzWOkFWch
qgs67bNgWHRNU+e+p1gql8hDSgASZAZNuFN5dptpcxGyQ43CpmrvpGZpJ5uruG/mQzYQ3UBiYrn3
Mxl6ebsXlSCMS7VEtMW0rKb70rX6Zml8+NKEkWeAKjKfMn2yrMc4nm5UPfCaVw+6P4eqrw8031Rf
zTGduPdr6wjZ+jLoVuil/WXkWpsU6lnJSFJmLIGz+qnI2SiVSjz7rSRdgQj1WfjVlnEAWZmusUdV
+WwSYk83pR06cjSvs20XYYa6CSQGyyCLH2ZkX9cwwxXLHpaACPIyMY8JHKeVSXUsk+hRMiwpJUBo
OycGHiZJULagGR27CTMcN0IKEougfQLWPILCPCAxPijHvaaFt0vzbF8CdAmImkAMmLfnWsXnkZz0
rZYBFtbosSnwqjfDoL/Iy64joEdtyffYURH/gnVuUchF4TLklNKKRrpPBRje/nuwGY6t1ZjRksWW
m5CkZL63FdqMCimGboLyJ23qkKkh2+rUb3A0PzDL7NG0tLu5Ly8I3F60Nr+Tbn9LPRnk7fCE2hrC
cRFASGGWQBllEifVZsY+rbNlk6L5DEbb+1KF3BNLaO9ckN1b3SjR5Y/ETGR9dRqFfoiM7mEazKNu
uRdAXkfE5siwZjqVvEdHVNsWrE3NeYlKcUPxR9fTuw+GV/IPGasLiStxCOj5QOQJkVv0t/NCTE76
t4Lt/UACsyZgToa1HT/WZb6L6wpPYvQ6ou7go+i+VAr5Zkm+bVN7mctSnazYJkjU/l6E+Gza7hyb
rNN18CvozZ/MdWbdu+kjU8LjJIyLxejdQumQz+pg/h1tz6u/Jt1nBAQ0Zb0X+XTvawiYvNm/VMX0
nKjsPlZmCC36UZnxfc2InCIRjkuzMdfZue+WT2YG6C/KjZ1XzHtXJ3TPLvxXi5y9HseR3Uafyzpx
Xyx136DFqqPu2pEAtWTwdfWMkEaAQ0SyrPp41qJ19SO64ph5P2bBpaq31eNoUPxGqEMpBeOgafph
55UcEqt02lmH/sXYlOxJbQCAzXAUtpC7enqx9PgcxVUAjokWgdQtVPLmE7+AVt6LcG7JwVjMdx7R
iPbaxGFvyzBTAIMMDhylaSe6kR3hQMWtyozy6DbOzq36J8VKAonL7UC6zLaZ2n1eoezo9A6ggqE7
e7DtMavv5JnEQ2phILC5/8oNH3hmdR2wbgbekB6gDeeB77745XPiPVMRLlvg+LvaSNiZjdb9kHYc
/gtVAn24nMyXvGkI24qC1pu/K6poIh/Yu88KdnDrZ4eWRU1oIKjsYoxAU3qjZ1PDQw/HHzTnGTLE
VTJ3q1BVbi1eXYTiS2B65rMjyjvh8LKxqeYtQZOPXq9z0e5YR6fv31PhPNjFwgQFy5nl3pl2/9qv
a5/IYkgUxSRZSDSVzOVuktnKtvUy/LSVBfIhltbGqrL7fho+5Lo8Gls666bxnpuxJAgWKfYMu23r
OvJzRH+8IfHyvlL6ThK0ik6aIxey9uvY86vWjlmbllVKUenTuJSMepD8j3p5x1FAVo82vrrr/mqY
kpfWLr/c2L0QAPUNMvUulsUbx/mxifRjMfgLsVHrzrt/0Zv+YPZE1UV9c6Qk5G1m+0MNbe6Kmn0s
dwdVqIsAS1kDETHzdKIn+9JcEhXdhA5+ESMOoe46m953MaC9YA7FIKexXkpXiiBxiy6MiEeaRpub
CaGWEft/RsPDK2DKnlPe6Cmo0zjMhDtcKhV/TKP+5mXFabHlvgFLveFyw1Tii2/AV+eqr29TSwe1
tIac1vi0mBsiNRdx+Voamdq5IPVSa36RuvY7GAljxbE74n5/6GaXLBxXEA8j7keRX22sd5JIHsa9
D/DHxcZD/QU2BhcXDoKunc6YZFKCc8ShGmEsaetGUk44OQTz3h7Q1shUY5NZ5g+ogDu+zmcOruaS
5/UhJ8qFuTsZxPC/HsRIMJinEb2nZxwZs4uarp9+p9h4JBer2nbaKrarb7g68k1R/xWM6mHD0k52
LXW1We1Sbb4vGsZEWNnVzq7yO8OzT7L27mFGODy6PazRgfnfYrOtTcf4q53g5Q8+kHg7/25N74Qd
CcYKEZ5XKhoIML7Bd+gL9pjE9HVLi7J7nMMqadJNnVYPaS3fDLKouNyLwzCUkM/8vA7hkoWeMSBr
oezq+otZQH5n2qD51qFaVAFb3PoDbzjUGu88gNg5ylrybpF5bNvDEFixwfDZ7I1rWr+7bJX7hU6I
LTMhvcfO0W/yzt8n3agCv1umDSAMjod2N8p5V6yraURaR4f0iq2RLx+p633NBklwAtf6pnf021lA
RUWGBXDngJI444+u8MGNGV9J/tmadnK25unMvonoTH94sBApgzSWe6smDDKbWx7n0rpgAbW3tlZb
RJaxMp8qOezLv2t06Xxioi2CLh2vxCbr4eAyOMitdg8hnyTWAQUa4RXPjiePsyq/EZAa28ZPr9DD
YMbLsds2XXpwrXLcGV1iM53Kn7RUv5goZfccZH0YDTZK0InNflyh1EKNw/wEudOuIZsLmjQb886x
L0QNADRvOTUy4zQPTURiYvw6rnKBZVbWHh0zMevIUFBe6/EucejlWIIjpUjQ4dngN7qMgA9GF6Uw
P40aySuau3rXzt0N59x5sIYLJ/nMkZhehVd+Cpa3dOg2XrlVw5DO1FsdkdE6hiWt62h887RkwT9h
H2ox9hLxFRaO99yZ84Pbp+/jMl9NmQIQzD5FL7pNI7BmIgoYQjNhO+d04D9mn5g+V9WUAhH+B71c
kWax+K2t3g05F5Ea5jMhDPD7VLZqNBELR/qmHcZbzbQg0inrvptWeQ0Dh7FZzYgMSb0JUjbSpEdC
idCBdmdpWicG/cyHeuunhuZzFtP4uID5bG0vbDSPdGjb37qr7KOod5i3dolbYwGFx4nMAMzRoIkQ
JR3rD6/CtlvmE6k62NZIrebQmcf3uYu3vS2iTeKPZATr0YbDtCGBaQhSd14tI9HDSHACRTIKKb/J
PvOpvxgG43loWSMspvHGFfwQLcaOrZWsM8a4POQ64stc9fc8ffTgkfnTqeo5ikog9IxjpRWSiNlt
bTQvkGUj5rfqiTzmes14Pbfm/KYJ5IYaMbYbBhhPZtRcsFY84bO5JeXroS37M88wrB99fDK8dfFh
OF8tOrhORwEda9PJyorD7IxnO7GOMTr2zdBlVFzCCeeMggoxy91QYLFCsPqL9oosM4rhpS6QbWb+
bex0ElnTgAwU2o25antmZGsQEJ1AY6S8zXPoGxojkdo/dm38J7KSfu9AlC+4VTKNSXzUYtlXcnzN
vTjbF0iZei0PncY/ErnsXXSvk3uCXPpTnrg3iM+LkE9vw1m0i/Psyhif7YqPAj1ZJS+cOjqGDNIG
ugMRmMPO1fRV7+ejn9YTZ7V5jVtiZfvD3LPfI4W5OM1Jp4ddhDncQmm7ONNzpGz8m0ylVOp/Dj2F
a1t0FLh+GwjhnOqeDRPIfm2XotmmTMFM6qQsIclIbbZth4iVif3OszHc6eP81hY1FhPduUvIou3n
NmONZdKFMjqyOolHMX3xVHlOI88Ko8oSjF3yT6vmbbQx+0NaYZnUEP/J8osycCCY0CqbXaaxt9Qy
VFuqKe4Gcha2KSmrW2NU6X2TZP+Tu/NYktto1/StnDh7/AEgkTCL2VShqrrasSkakdogKFGC9x77
ubK5sXmSOvGfLjSmaqjlWYiKUIudSCDNZ17zu2FGy4PVy/tcinA/1ByJk9BOVhk2J/jIoI9s0lHM
pZ9FlL9EkfzWyUaASEsABlqg5ZvyqETu8c/ZNaN87zj1Ll3cZ5B+xFsdvwSqAOL+B90tv6DXE5P4
hbTXI6piifQKouf5N3uAs5/Hn9iuf6Au/I5uNflFgxmEOzffvQqEj7ZEH+zij1lkv9qiyY+NyI8W
sTUZLDyvWZmcdGi7H9N0MX6LjLKANFhh1GKYMwsRyilCJ9mj6RnfEKMihjP4WzluFtRdog+d6rUA
zFhoi7i+nWa6j9UJCYRHeT4x0LuP/cp+pMn/JYmAkRMrZDD5CgMed1x8XOCvkoZQxsU4VdCCN8wQ
+5zhu1selpnmN1yBQJwDq3upBmU4RPsCU9u7aEh/scU7r0jwAFJ+fqYD4mluz1U138O6vbd1ytlQ
V6EKgiqnlPrg6bTiDLP5UoRYslIh4FDsQSHZmhlzo1vvO/3LNNbB2aysY0GSu+TibBeQhyy3/nUa
EDMI6uVz7dhEMVAoOL2DcX4uW9EcA0dAB5TK2PbkFTlF0PF9kQaAFLv4eSnLh7jVn3QpnjpCsMgu
PsGU+oj3zQc4tJ+N0bhrowhfI6MFAIqyWDR/pIwAo99rXxyQpkQmJlGQOeJ3YX4Nys7Y9e3SkOz2
X5LkmZ7qpyaXSE1GbQqrYP7eLLRIWlJTiwgsGFUaTxk7rVCi02Vk7IPFNveymvZZA1lCF8U9HGj4
ZShp7rC3wA8B+jSWgjst+EOYv44ciMNSv4+HOToNYfblIbe9J1rqT8MAOmwCpaAPwbuoGbIzTrb3
BeM0+Sz2yGP82Tr1Y6W7NIhhpKmmhC4pKWOCZTlgJez4y5LD9H2R1TeEv/c4zBa+ow3HriImoa+7
71sAiGC4znkHvqB3sBUrf5n6HlxujFouTgQfZuFoDzocS7+Tc3qsh4FY39GfZ8f6WKYupV7Krjn/
w24G9HGn7BkxB8lE+V0uOFQ7xfIMLwHJDkr8fVPd6bbxXMHqMoLhzm7ajwAHmmMxf5OJ/ObUjoN4
2F9JNp0TKgl5oePD0S/PEttx0NnfDZ7oVwsgt667X4p6Ke/6Lv1eBszCHebheUYOdWeBCDXtaEQi
G0PYLk7MQ6bU7ysvMI4YTvohHV7SLPAPCNrtx7LXTgZ1PkE9fQ8TFD3aIjb/apRn0tQp1IzZBScT
RubTIF3tXrZO8mB3ApkRgzLAaKapbwW46rS9/PDzVeP/mWKijkXogPK0S+UXhpGwrteZ/8//zr4V
3//j3Kp/ta81fzZ/0b9rz4ahFM5cmxNU6krR/r80gLx/CUPoXFW2UiUF/vZvESBbV5rYLjqZNsqJ
hnhlzSC9f7mOaRgIJgtpY+0gfqb2vFKJ0nWJDJEaH+yb40Hwviw8Ww3GpfGAq5VZTthh9v1I5cC+
r5NmoFhgTz8nSvVjOOrcvGkoxYZ0lCDRK/Gxzq4RP/WixU9Itw5VyY06KA5pQyeVApzp3JDaUnXz
V1i7H+Mhv+MJZMeFQvZdjpe2Qnq15MpyNP4YR6N7QhSlf9EzmlVz22ZAdsq5O3uIKxw90t67V32I
l79H+g/8/F5KvBHa//Wf6vevx/ekZLo8gQOCcDV+3seGW0FAxYTHPtc6JilFIrOf09FTszR1MPyW
7ehA/t6M0gDIMCFP+2Y1FrTA2/KIp1q1z/V4Plyf0MYLJc5yWTKEmCzplapYU7WJK6oZGpcFuKXz
tOWQy9ojFimzOyPm5pGeJw/dqC0KP1/emKkSzFq/UJM+DQq+kBEkKnaXL9RyETKqJaWqGgo7gi0g
k+lNuzinpT2bDVwzGgM1oH5O57pKnnJc3YgFSiz+duhDRh8mG4U7gmor/bSMZZTswwGapZ/3WviC
TsD8PQ565w98v+Jba3GtC/jjMwFKM016PNKR3mqvJR4d5hxENFlJ5R3sCEvKuu/Cg5e42ks+6e5u
0rWnoAgMZCGSZmejMn1mcRd3balB/PSimE4sJXgNbur5+nddae79eDaB0L5hU6wmTlE/f7Uxp9jt
iioIcKIyyA3G2qlOIcgoijbDPm4JveoYbm5Tm9P99YE3DiBTeNJAEQ/BM0PBbl8PXCIADmNBLD4O
Uv3R6aDR1xCncbifvutD+/dV9v8rdowYG0027GxQhfY4Ou3V8sHVEF3vbLL8CZEojDgb74VML99V
dVXtr0/szdZXQ1l4mCCy6Jq2UBN/9UahB7e10QKURNdXAPROwrvK08NP10dRa+bigGEUE0gyE3M4
5lzVWHw1Cta6KAlEKGdNHX7ks9HVh8QiLYBFCHaoWfbL4vQ3zoA3n0yNadFE5STQHcdYrWPN6Ntk
aBLpD2UwvoxFVj8NFlQkL22A2RdG+/H6HH/I0L2ZpOR88zxENTl8LieZp/1k1TYDxjmmbhm9EFBg
Yewblhv73Zx+bYdweujtuvuQs6vucjpXB0zG0xun+faDsHocoOI2QYO4fBBS3xwqu8Y3XbTljjpF
/QTnUyBkgPxTTnOSrq1GE7/NMN6VU31u0rE49BD2bzzJ289OUxzZQCoOrgShtXojdlVVEaQR6Vc1
MBEbT8NTaUF7tiBAg3mqdmA0w9ONz/DmjLAZFNVBhY5H01CuVrRdCFo8NLJ9U6PTkroBElyAQ6E9
z5AzExRdRqs4hYqE7SFLrOeASlJpeUcRLYhPBElxN4y17gMWfBZ13TxQU0Dg1pPdjQWz8XbYCrZr
2ZCaXFesFmhfW4UNdVH3Mbn/xbahgYciyH/JKvtr2cUUdOvMjW6M+eZiglVgcYz+eDkmhqaXS8Oy
4zBA5BZ7xLSuHwDMaaRBKKOUHKsfccj8o9SUCyAGNchUlbdktn+otF9uESXKzFHDmhA2IrKXw9tm
Gc0FqhbwgFqH1wyjX+aVhTO5ZfltJvpjnGlY1Luph/oBWt9dYpWnWUdOhfRDHuTUmiDPIV01Izd5
Wlb9wUamERs6pFGuL6TNV+VA9uBwRCtMBcSvz6x5LitqPYvu0yugWTRqDRk0xVm4vRWOQPG5Dt19
3mZ/EiumD9fH3ljDHvLgguAT2WNu4cuxndiLjbHlM3Vd2z9DmMeicJqb+wo60S40Qrqs3IQfJ1mJ
G7NWv/nNF3o18mr3tPSPzK6G5tcDSju4gvisL4bkoJF2Xp/j1vLnlgNHghOcENbq/dYlXhX10utc
cmV3qJuKeGLCTTQ0jOiEJDQoV3Oxblx3Wx/11aDrwAy1J6/Dglr3YxdhGsOqnLsiKP5YdOvFpqBM
34haKFB+ByJ19bMxBHuPkEUnv+KT0um5/Kh977TIH7DfS7QGsZuum0fkj4tzisD0scBZ9MYi2vqU
EtSPTdjCwOtrgK6IndXYIvlWjoGtkwbpKUjt35W1xI38ZePGYWoqPUTH1wQZuIq3NdjJWPlS+Sly
bCHiNIR1WqCjP7f0A70ZaGINrRSUwlD4k6YMhz162YUOAPL6ojLUS1yvXwmdysbMzeDWX60qaen0
iyNThw0PzxcVIbmH+gqSvkizg1NW7jutH6o9KB3rsBSU9+lFA1eZ2+idSMEsUb+Y7ktS5fONB1N3
3frBbBspW0vZSJMcXH59LCUsbDuRTRokHfAIXEvjVu/BGZm4CqOjjyrniLgG9tKor2AN2EBW8hqO
wMIQ443QaGvr2Y4EsGaoaHq99bol0WurGdGNysDth0WFQKZdxXfJrDnvuanowXj0566/gbfxGPS3
/x50vfVE1jQ4HPWGH5oZOnROEh+DJSR/kJBJjMpOPl0fb2urc/bblkuBCw15tT1exZw2kukI1BiG
nyc2KQwmR3d2Pj9pHQI3GMXHh0KC5+6bHg/ouktP10c3tqbrkAHCxFOp6Hq6bryQA7nsvrAs7LNJ
Ovpo6Jp9tEZwlBoM34Ok9Y6rEEkhxIIGVkQwPfO/LVA7PRqaoqqOQ5XZZ7u1KnruWMxef8StJ8Tx
EJohx4NKVC9fkOnYdpulaJUWRir/HLxM32dO1u1rgHLHGXv0G6vu7aUGyk0SnalgnDrD6pAYSQvm
1HYMuNsR2BUaOECJi+kcwPMBl2M8AcvZZ60Rfr4+z7dHAuOq8EAChdTf1B2QoLWpfpKuogEf/4JA
UrkfXOHe+OBvlxujgN20BMxJDiC1514tN7PWKiR0pIEOl3ReXAgae0/06T7KrO4cpPAFAcrnoKaD
7+7kujfO+rffUo1OwE90J6jgre+WIcnHUufdelrkEbpK04/os33KwO6hDJpoN078rW+JkSZFEso5
iHKvAjlcvhq0S+BSerThuctwrpZorRFq5wkJDywujKHBQY0wGX/+a1KEVGkFdR1brLa1CMwmTyJG
1gtrfAqJ3/wWz+kbo6jfcnlas2kNnfSRDaJSl8uv2dNJc2mqMj+ShYMhS5BXCFnR/kVp7fqEtody
lIOtigzWIbkAq4c4LBPCUHr2jRw2zrTonY+9wk/XNbmiKdhK6hcEluYav9uGKCVYGQy/Acu945il
v0dDENLY7qiFzbCW/sHMUBXHGhH88Ztof7GDpRskRKc6QSKjrUlGTQ8OpIkGzY2hNiIQU2ckm0SK
qpW3jkBMraq5slBaaUe99wcXkwgMIvOjhns1ULYJzDE+2X6C5TbiciYU/XwCndo08h89iVo4tuMi
Orouc6JSnDZCDqY/FX16HINyOETAiPzJwCdrHnN4H/C7EW8tsW3wwmFnV3hTdJGm5zc26dtrnoK5
QT3RpPbCTl2VkUocbgdqEYY/5u5wVyKGCtxvlyX6U5I76V2eBd2NI37rqKV74BJaUHch1rncNkuN
og6ZpOG3TdPdOWKAqtnX6fH6utqaF41zZQVG1Vy3V0cAfi80kwJG6ec4Pgt9Cg7MBW2pvngvFW8J
77zoxrvcOvAIom2KZQzIS72cWWwbYJEDS10iM1KJpVbdm4gJn0phNe9pTww7WgX6ya4Rmrg+262j
ncBJ3Sw6yeja+ayORG/hL2/6SQWYoATufchHowCmWkaHISxubaWt80gxEAwYB5bLIX8507GbEmvU
eLsCp8mDyHt617KIjobD7ro+tR8ljtUxq5w/iAp5rZRrVutFBLoJKDJm17ba9FR1NbAODTZnEwMs
rqMGd88KBFlx9jLDAwGne49ob3zS3Uo7IrdUAkIZ8dAOR5THuf52kYECx4JOgFim5G4k0DzpWWn7
g4g/6UEIQZeu8ycTJMJDXCFkIrvQ3BW6O54CyNloPnt0C1qqRRq63+c4iZxzbi7NgxxdgK4OGL9Q
GP2N5fzjjb55C8K0VefFomkmLt94GufY20UmqQEkqsfcm3sUxNBgj3O7Pk8AYn1vabsj9ozWMQC/
ekRnDLGbJAVw3KKnmtQ4fqJL3+yHZkB/Eu3oQwSE7cZzbiwMA0GKfz/m6mOBJjTTZWILRGOe+nZl
tu8px+B6U4fLjXNkY80zFLpigndC9UX9/FUwhWZzk1YVydLIOr2HxfQRq9D0c0f7jMN0WeKf32M0
P/HHwmWOG9hbnZSOE4KJV8Gb1w/Bezr03V0bePLY9FglWPWY3pjf5qvEtp6snCCGrubl/LSwcL3O
1tQ5aYRPyZyBjqGqjAAz8n/X95irftd6dXFucYQozg7U8dVYVjJqiaqz5E3efV6iAPpctAjtF8Td
6dqXaRS/pJPjvHid/suYToMPiTW+E4HmPcdZXX2pDNjStfln0rfGUzN58Cjz1gINECFnyIrsolbc
V9XkoYJTRpTGqg5SuN742uR1eL45xoRgUj7RpwmCapSIagUDGhBasSBxWVfOZ6iyJrd0FMh7NH5R
PDC03IXusLTjy+TFzb2XFYjVgzHqP9QO5ZIdJVPnOSQeVxCZLHqXZWam75DBt7/JTEy4CUthDP4o
y6w+GUjtyWPkoPsAG94AdCrnEMUt6aTdVy/IUjjZZU9zAsLmqbZi71fLpL7mO4U9f8nNHJA/p1dz
rGRfmntX68xfcxKdDMlLie0G7OVWwAtMut9GgPgf9FkaRzhI/LXWyCxEjpzqqzfHoJl7Iju8+IID
dSBQqIUxzcW+swVU4RzQzPdQ9nG2o04f6IhIWxwELfnGCQoP+M3r62LjEiX55/DF24c+wQ/9l1db
bCFicPq6pcRIJwYpPvtLnfXxQfS407lwvFDUA6V6fcytZU9YwC7DyYdwbXW1yKTQYCAzpl6QIYjG
A2vVRjP2AlF9Y9lvDiWocAC2ZPWvuwA4BAeuOXQU23pOEJz92hPEtPLLsvBxrs9q8/wmJAAJRYtD
J1243GEmKjHgjQeEULzU8YXXyQc9j9A4Db1HbHl7aNtQosAe1UdvDo1DI2ZvD2hQ3gNHK/ahLWZ4
CqRQQMnlcVyQ/Q7M3jtdf8ytD44EsKUwBpQk1qCGxW0nEyqA7gdhXgLcRi2Q0jdS1l2HxGaQjo9D
4twKhjcOHwUawTzBIaagKnf5asbewv4IaVzsOZCzggde9McmVfoQeZagxF+JJAV1jZ0NNIop/DQk
7vR5nvPgw1gDK1V8quyzTYf1VlS1dkZUhlemMvMjogNWQ9Zw+WQ5XKq6MgL07Ja4B+s3gPjaZbMx
Zr4NLPjXlOQdAXBTAIaAEJs8R0IAlKe0F38pwB8ii1nkj2FswzyB2Kw/I9yFiKzjtF8jS3rvYTzF
SLkRm/xea63zaapi63sv5uaWZ+DGXUkjB1ssU1J5ED8KUa82Mji3qi3yiToXwu5HJ55/a6ve2k8u
Mq1eK82fX0amSfsIvTiTPGVdVebmQbsvX/iirQ5S3JlqcPw6uqdBZL/giaBcPdjS19fuxm7GUswh
neK8solALj9Ws7hDjTcTost1HFKjLVuUzj2QxkDJbwxlmPyu1X2pIlEQBirqttYVZNCv2NTHTBAc
DGKCM5jDwOW2cEbgjngOB75TIjzljQuZXO4+QH0pjlo9J8gv4+5+feIbVaUfuRvpGzBmUFiXE09a
VOwDmRFzFV7N+QKDB3Hg5b6KC0wz9LGArQH0FAQf8FaZ3KrZvgWDsEss3dF5E8AfrDfJgJNIs4so
ogpION9zo48/LNYikaQbUyidUrxPsZHcRSnsThdXkA/VUtGm6pT+sfJsROF0AjNtk7i0+nzj4N1a
+S7ppsLYgGFYL8VlQlMbeUJMH/LawLIjebKa6YSEf3Sfhcl84/Iy1LteLQw+AHZ4tDngYa9BaBBY
KXHMVE+mNqh8emQmSFYMJWI9R54pFjgiFyVgH6v73GiAIFtruNHdUKHamydQ/RWAGjqOk2qbvNrq
poRXDEUArx+1udGhNZE0GMy7n15zgjifywyJUJAMq+vMxgvWaLPRRGbHNt6Xs4mjQAitLBu66QjG
q/AR+GzOBXKd577mvPz54Q1Bw50IBCbfGrtFYyjKMKjG1nqg9BYs0+IXeknpJsjTo4Wrhk+RAVEs
GBJV5Ggv10ffWvGCyZOHYfoK2HB1L+AL5ehxTzkuBpy8y+rMfuj1QanPG/mxG9z5ThXlqTniyu1m
iAlTV0LsOCCRTEY7QrwmAx4by1/caqxuvJqNK5yEwaQDQx0bJM3q+8fesIDqF6Y/O/BRosU0Xhqi
kjPqR6xFATNhXrBwvv5GtgaliQHgkZVPWL8aFOkWoE821ioh0ulNkz6LvliOMV52d1m/OA9zd2OV
/8h318uc6NbBRFKw1dbLPLE8ZeXGiN4oINoCrj+awOgpYyECEjmRUN1EjOigM5wWhDAUQ2X6mHrN
t0yhxzWJrPn1d7Bx0ghk/okSiBScN+XgLC/svkRBBdxzjAuUY/cnbag+tVWDKU6Ovvf14dQrXb8A
msXcdGTBRMvqVni1z9OQ8pbA2c2PDbwRkkqSEfWEkLbXu//g69oAXXUiQiqWa4hOhb581tXoFsD1
TPf6vIw7zFDKXVpq71I9Qzk5Qxng+vQ2T1IwwRR+PIYllricn2SPZ6GXCZ8OdfeAriMdmajDrH4y
EI0eIHGUI+phSaNRBkel9lzBVbhxeWwta64NF3VNm/bgGkqYFHWLkC/PsFRjfewWufhTnjo73cih
aShlysX7en3em0MChlLQFzgw7qppkhhxOSH2zsG6RN1zQahJ1NQAXsEHygc3M2NfOsI9uj7q5onG
aabAqIZyC15t4LKx4iY1AhZvKoJzncEHhbNmP9TBvJzcGlpHOpTuAcXCLNoF0AuPC1g9XC0K7P9m
1Dp0vAsOI/Rr6GJ8oOuPt7W1CC74AgQaBLCrp+uyhYwQLpEP3Tc92I34I3ZxmPJkrD0gfuXdOlzU
2lrvLWBxCK1QCqE7vDrfhXRa4JVYGfERXKTvKTzYiZEeUQOuToGo/sTRabpPEeR8V6Vle8Yb1NtX
g1ugZizHnaLjEouO5+tvYWvHs/0cgyYel846wJXV2Bek35a/AItEKgyAWpvNfueI4sb73lqEP5oB
ComJR6/6+auzJfRa7BtBA/q1FjqPjoUP4hAuyvJtopEHl/cBu4lbqKKtQcEKWXxj0F/WOqRIQEHH
odVZPlS/8YCX3WnpcMjxDMMEqFF+BAT18edfKMg6NFMoIeqUAC6nORlDlhRNArAhdLL9WFsGBJ4a
QYo2Xm6c1huoNrDBtAslFFKSIrEK0mMRhRJxOAwQUl38ZofoJEjde+iTEK/dqudcy734EJHbnhC3
MPcT1Wm8cWf96Mq+Y5Uj6ArmvjpXhNGHYjEycMUUv+cyunHybqQTPCltE8eDO0Qv8PKtJGEbpmnb
IeqgzQ499/Bb0RvNfdQ0NRS3NL3v5TLsjDJCLtWk1nX9m2z0UOhi0Jx2OPwt6LmXoyOEWfRhifhH
6M64vHYl8ItWHyBRtdWJ8iXUtBwNUnea/8Hu8oBZsgQh0iCsdDlwNFJWk0HGwBFSao3uhhCHkbkg
Ten+yVCo6CGojOkX1enLoSwMVqKgZqW3AWL3rj6g2haZ88Gtkdm6/jp/XJPro4x6JSuPmhqdXXE5
VuRmEComCpclRpfPBqw68O/tcvCwtYncon7CzDS5r6f6Dzp2JkGTRFEEefdTtpggF3tcdjT95LUt
jN5CkLkEWElljY7orKuDQMrGh5Db4hTauQ7/PBjReK2tG7PYOhpQmia7hXBAzr3aPHOjZUuIhqTq
50/HCAmegyis+r526mbfh+1AVIDmz/VXtxWBAIN1KSpQi+SEWB0PQpv7tGhHXh3mng8pJ9cuDwCk
TE4Z+02nz77IrM99jllxWWIOMZSo2l1/ho0jn8NJAQFBAdOnXS9K2mlB6rBSKg2JCgOE9LvKdb7G
E2T76yNtNcdfD7VuBOPRM/QIslg+XA0ksg3c3BzML3aDHCFStd7ygjeQ9rgYsgMSlo53Re4FKPRh
1HrjSTZyaAu4EUcyPT/QMqv3TjXbm5LAtHBcG8AZY0tDVX36Ky1G92inZXdCHqvf6/lMxcHWtP2E
Xf2NHbpV4KEgyXKjTQ0cad1cKvM50uLUsPyoHJEU7hy4I0apQU7spF8QAuzkMCAwRqx2GCnsnjMh
4Lii3LafoYfc+DhbywCgieo7QQTgtrrcxHU8oRQBGB3BM/zKXFNLz0mEs+TYiFt9843Q5wdNT7XW
TFq7qxVXjNlMh4YVlyjbCx3owsFs0ey4/o03J0Tn7r9GsVYbug2duRjNxvIRT+DYkBGHrRxwFaq1
m59SnXCrE5C6D5p4CtgCCmk1loOxZIvcC3JSxYxVICWgPaiedNcCgD+3Q8qJhSHVWQ9RRnOREEG0
mvpy3IOtxKIowloDQYXr09/cbJROILnR2nYV8fEiwIqmpq0nddnY9IiARoHbi0RFxcBs6qOJJ/Qf
cTBbyHQWy9NYVqXybolOydiZN05WtZfevBwbIgqdQ6pFa4wW5u6e0dS65Relje5lPHZ+6oXWGTvp
AhkAwPbXZ749HgNSKaCtucagyRlgTlOqfZVUcLjzOnkSPYaMEVc710cqb4Xy5tYEqRJIgnlVBVx9
/UrIQNYT3KVKf7Gw/97JYvot1EbsE2Es09jIF9QNZOoeYjx4n8Ym8o7x1Kafo2aM3v2DycP7Afej
+h3rr472DrL8ZcveWnp8WwIsPdusrv26dcqjjJw+u7HOtrYZpUDbNBRri7Dzcplp81BW6E0KX8ei
4z7PihFbNWQpnLi+dVv+CGDXK8kEV4X4IzA1a524IqQfjhqO0wjnLfKgwy+i94snSZTJZjcUYevb
JZVptOA9H3kWc5/1uaG8/rRjg38OrP8xPJgpXqeyq6ozGnD5o2vBdXQRgD9iKKT5dN9RZ8Fe826M
5Ixs/Yjeg5WVp1rm0b6YhHuMNKd+l8GaPEZxYQJKcW7V1zYCVEQ2FdFa9UXJPi7f6WIhetej/Y5U
fx77iKN7vhlF9gkpNFwcs47iMobA56ZfuhuH5tbeISaGderSegA9dTkyBCXPbSyEhXpXmddXCDyG
tqY0l5KALEHXbyzXrZlagFR1QT9QOOuIWFT6IiOAxRB/etR2hga3YC16BAXTnVtrTJ/7BsVrZDeb
55/fJ68G/hGYvUo/kRl2YtNC8ztqnXlvxhOSbSXizxLUGFLrwr67Pp56ceulq8po/OPQcF6nu5FM
aI7pIC0AAad/ubJw75G7ITJfZpS/kLl+yllN+7h2wuOYeLfajFu5IV+TlFciEItozOo20JpGy1Mi
eH9Jem+nB2X8NSAcvi8zbzpHeEDtu9bs7vIJ+83R6sw7/PPqbwFK3Ls2x2ZMl0OvdIsdND3QXnRs
EwNHbrK7IU6LG+9qA7OOf4xh00txKP3zxJerMMEcuLdm/FYXy0zu7KH4Lqaa3MWR7alWKPTKccdd
MCP5iRSaeXQ7OhBQqvXH1rSb3YiO19NYV+JZDxFTHoh9P1z/mpuXK6Eyb5JznwdVp+Kr5WO0Wm0g
tGj6RY31JpqxmXUoc/N7jCj6cWyqBQXa2v01C1P7KDSKwbZjZ+/0IGpuXK5bxy+9EajADpEHOJ7L
B8kj2cx4UNIMmlrrU0DmDp2EkhIiLfqn65PeWsKvh1Jh3as5y7QzuknCPLMMknb00dJ9rqXW2V2C
8N7ubfvUD9bXpdP1YzxTw7xx0WyB9FTGTkwDWQRLoNX48ZDonoxKwFhpaPqjOSMvjvW331iyPPdQ
Vn4JXbN9RJOtINxJ5lOoF9G5cpd0PxWB/IWw/ntuJh9Yv9Y9+EwJJWKyHqwxah7pASFmn9mg4xM7
QKVHYL86pt1j1C/GV4RwXX/RB+TsSiWsLdPyNHkDIB0zLB4DOqNH1BHcIxrW4lHShr6XvVkf+8zs
D6aBAtT1D7GFGeDzuRRw2bEINaxWH6/BKoweaCRXVv8+iiD3QtRzwByHwR45AvE4VL1zb+Zz/YRj
WnVEwGh8WOLO3uObs7wrHbxk6S/h6Fk7jt8j1/K5Hm3zXdhXxUnYSWEg6zr/uaS2eZCDc6uzsrVo
4XsYKkrhPl+DWKkMjYaZI+XZBTz6nEe4VOp2eqLn0dy4YDbSelJ6jl1VBLHAkq4WrRUPbj/QRpvz
FMM40C6gW7DbrqoEf2lwIP4MP/fp+gfanB+Hg0E9zkEVWwWMr3YK2gQ53APaNNLJ+qMYZP55HJ1v
Buiwf5C1AblQ39SyQJuvRjJyh+RGY6SmQalSt637wBvMl9QRtyKDrTmp6JZWKE0aMDSXc4J8UcPL
5Uweu6w6m3mBINVgBAfTGbUb63tzKBvvMHAxVEfWNdOlpngGbo5vZpWg7ew6OzotgVAcufWN2H1j
eRC70mSF8yAJfFbxTj5Lao4YUPtNG3ZnTLFCbLax9Qb8Ctcay9H9rN3sdW3MT8KlpejC5ldohstX
6Vlt6BaVZ/r26HqHKrQyUFhywunTu1Vo/dFUWcUd5JicmSxDhaNeTbBFVcQLZtoag9cUp9kGQxmD
GznoGE88abFoDhP872O2zPlz1mvmPomKehe5SqDARdUaVkp7wleBuqwXAmFEIMTn1pZHfIXcR1CC
7vsGVDNwaFH+WZld+LBgdXKikxOe4rb67frG2ooMAMTQLKMJStNgjZYycHj6G2oBy6i8iyE17Cqt
DR+bDP30IagIlPEs2Tktgpf4Z6KoPOnpo4XU4j6oYAjpY9L5eOKIp3YoUGX17PLz9Ufc+LhACiku
CwBdyPasLmTEiZNRL1m8fRlp91GEFpgF3f8ujRDxuz6UuvBW3/ZiqNWFSC3NUEReUOu4qh0sR1mu
RFjuXh9l49qnB0zbWclXqGV7uVqzEU+bjjIWwAeEukInHU5t3WNhBvvsEGOOgZ9XkfziFaI6g8HN
b+zQrfdJPZZ2JRV77rzV+9T7mf70jPLB1DQxLzVOEPft/tDGpj1dn+jmSEToKEXRAiOVvZyo0QmQ
JArGE5Vh+QFdxPHU9BG1bCHGv7/c/2jDSYXM/X+bSpyaP/8slNDXa50v9Vf+lvWivPUvJblkUhvz
JOmeuqn+1vXSHPNfClHGZqaCYiL2Q1JaKPPK//WfrvgXwkmqSOsi/2BDefm3qQTCXgB4DY4CmLXg
Qn7KZvJyjXMM04NUQCZuUfCLhr3aSaXdzTTWkvGpnvoatl3vTikach26+pVvtqHgrJvzGFEKPFdG
NziP2LTUnwN3yKsbiemPMPa/d7V6FgfAEx1HghUQAWtQAmdr0qrY4ong0jYTZPn0qLtH9nfUPnW5
U9lPEMRb4qaxSyjnnMIZMf9f8QJyUWp1Y9r4XZ6WZ8318L/0hli471utiJfzq8/78vcDvdbqevPK
XAimtuqiUcFV6muXu2WYdCeYpMieNFPPMBzwepgzONOI8Vf6a/Hs5xglJ6exwflvNxh21ECuocf6
688/Btk0X05Xa2j95cRcl2jMZNlTHqIf/HsjhiE6miJP0p2A5u0ce4hENtaCRVh5D4k+ZN192E2l
+/v151h1cpTCD1IvrqmEFShPvSEZBkmXUOsevfscqZfIuLfLDp9tu+tzT3+o4nAxP3ZxOiIgUs8a
ZJ8iSqtzYpJsTEGhzzcO7a3HIXiiE0xJmg6gtzrMJk+GwZgI577KTad434cimlFWVT5juK95bWEd
w4VESpWikS7DanmwtJaea4ok+PsSEab5VlavLopXCxtwPyVSGivUm6nfvSHlaTIBuhiPuDNT8oIu
5OTg68qzkG0KpCtvjULDOD6sB/WzbMgE9qF1V2fOEeCIV2h7s2mUbNP1D6fW6aunUkRwFg/VYmVP
Qxlqfb2JOR6nQDjnHhZ6OftlWDfhKelCmUPECjEomXZ6ls2tiSmkzJO/ZNdoSK/+1FMIBxAlACSg
CSQN4PdXn6uSIp4hdQzHvEvgg2lon1T3mrGEGYzM0H6eItb0zgojzT3h5lGEt9bL5eUneYAf1XnY
uCQt7OvVCYiH1oiCP7KeBpWN7mlyF0oqOdqc3y1z1LMnRHbb7gXHGv4zRhfd5yhMK5SziwzVtQ5A
7vgYEqNXJwBe2YwNmj4tX5c2w5jh+pu6rFCyvbgfFL/BYlmTIawrhg4K5sCeZ2SjKs12j4iAmhEI
gqhtn5QN3AdILsP0s0sX9oaqOHMaw1CB660e6lVC10Hl0Zwx6o99uejuM7Tl2P4UJNQQ3llRO6Kt
bWAG/oFU06rvnKYIsqe6kRaevWZOgHZjsaxk/dQ74JBRqBmwgKhCrrvGgZmM6Siy9rjYuvfOLXts
ZXsjxqMBehM+L+EUDe/tamkQ94pqA7xe0r/Pk6alCeI6y1d4c4H9p6cl9pPZ6pl2IEKlmmPaqYDA
OFYCNXKC/GIvwrjTbpzYporYLnYcnQmUYJgEKYnw1hdcJ7SlAV8PNX/2oiL4zWlEGysNmtaTNTL0
WlxhNoIySBo/O32CZMI+srwqslDHdSoOgLQf6+Qv3Zqkvi/mMknm/ahpJfV+nMQwhT6YE7zJh7Bz
NPtbNE1ue2ggo1POHzqnTr/l+Maq7expZfqNdjR/dn0Vdq5/famurkj1mShxuFTn4JXCfFPJ56tV
Y+AuMnpl2xzToHeH9+k4JU6AF+okTnKZOvPzMtvL9O7/Mndmy3UjSZp+lbK+Rxr2xayrL3BWrqIo
ipJ4A5MyKSCwBvYAnr6/IDk94pFK7Jzpiy4rqyylyAOcWDw83P9lkqtovs9T1yCtXITe4+/f4il2
/DDe+jWItlqzUN/bvdPSM3An02iJq/ScEDNShWO9H2fu+Zs8ndoU79oUahwG1pYnL0sx5OkFLkYp
ZE+VKHWoWiNxv5dYPc3NG+Nzggh8WscgH02yPmqXHA8nUS+L3DHHkFzuM5vyMqpSVEk2adnmI3fM
TFZb3HQW51C2UKY2RZKNLYLGHsyLMnfL4M51m0Th/JQu8kPZlIX3jsqLV7xjD1f9G9eQp3c5GUVC
M5LLpJtcDk4PVOjOOEgM4biXfVB9HLAgyHZYkkwdZN9eFueVZWHqQraKJwlS/djE+IuF75OEyPYp
WBz0iKrEqTYIT8/ImvRetg9ma1S7NLHQfnbbtUaQPzf6syFZg68IdQh1rlBhuJ0Ds0U9XNAkjlNv
8s8F6qpuE09SGTn2wEHad3Gn0vZD4Mwj0uHS5QlB3fBbWCSvw9ffLyi9bE9GIqR+wX/4H8LPSeaX
kr90MvT6vbLWRbw3wejncYmVtnfjMHntmVg9cRmYRvXx/+HBIISgq2qNyFOq4AAeEw4k/eKhrgra
jF7fHuCbptnerOp2PHcR9itJ0K1heKOK+IudjB6tZuaiUENPXZ+eP+zkoEZN2kaPFJ9WhAo/4Oge
fIpUVz2uVT1EX4IloCKNljkaBxWpDxztpAN+/7e/PsGSEpzuH/2sH9M4Zeoa4TzsS2Hi1tWOyho3
hmfhASM9K53f4zoQbnEqSf8e9P5pn0YgBekekUoy9ifJgdUqOYehHPZgIPDnbaekSr737GnETjHS
xCM9tPpmBzSle+vk1bWwk8XGBQ8aBqBh8+daYIM5aK0wQtgH3ogwMP0cpe8/eE92ckTTyzRyelq2
jctNagVJeegnA/ke0oKkv2hMk8H5+7MQoDStuRk0806hHnmPzHudzT1xoKm9yyKM5GMZVtFlaxuG
fJw65Z+voaJu8PvnnuSpRHFuqPDdbE2UBZt7koKssjZl53Hme26JgP2i6vCug/t+N0tM4zcF/a5y
06U2FdN09I189/vHn15Ln54PB8IheaeJyEnyegtARBOdvcp+XyxDGY2odbXTboJnF2zdnBYLcBcT
3fXclqD72tAz3jVAHC6aeVgxuiAOvZuQsKdrV7RdH1tL/6YuwM9xSQ8PdECAARSLTt9w7MJRGknG
Gwr6T9ui8MPl86os4yxCRb7/bMyFI7b4NL3FyvjV2HBVhz8faETzT+xSfK+DEXU5mNnO3N6N6YAL
Wc5mSja+VfmgaN0aImc00FSCpAORB4WpS99K7fdm5a+wwRcLfNKlBwf+qw3zP3zj8Dq9DerJ08kr
b0Zmz/305KCV2bSu7pzALxBr8efkZOgle0uN08ViVzgQC8/Ovwgm/tZZrPyspD49bRyrWt8CZf0c
SAkkkE8RTLJ4ndNTFP/BCTHWqtunkZ8ZrOUqFF1cNrZxVtuNRTNo9rRTBUo9szxP7QSJPhfY1O0b
q/kkB9UD4nHN0hc+vVpOWwwREkdeGxn06PxmBW9ejM66yyd4fDGSczhjB30yfWvauQpiAy+HL3VB
HrRfyrK+QqRgzQ+s+frjXFnB+FbI05PxOuRFgaZ9ciOk4cWd8PVOy5pqbHGWBKSF/hQ6E1NYXhom
CIjW1J58s1d9HIe8/mg04SK3njF0dpzmXn2wmrl67ATG7G/EvBP0AAcAwC1azDReaTJRjjt5JWUC
8sGmt92Hc+/QYMeu42MS9XhC0p9EX2tVoXsYS198C+dSXcFYq+CUwJfGKaxqwJtjEc/wTQTndtOo
QHCXrXMI9wWOYRiLVOZ+HO0oeeu9fzo9OCjR+tMzDceGi+ProUTVEO1lA4UEd/aheG+Dimr2xxES
UwarsF+C20Epqf4anLQuvuKaHWY31LFV98UrLOyg7QqE7kvx91+qap+AB/RokoeDA0GGmk1JN+P1
W7mYZRmOX4k9bk8Nph+qL0euNYbdhuKdnZShfz6OvWFwui/khfdlswbT7TqPie/hLNqs+bBXrls3
H36/K57wt69WHgXVJ3AVhz24o9NaSO1n60RHLtl5Rt1hX+Zwd6Xy6aQgGIsYAr3nHht7ySBnTQEd
/q81ujlUa1Cx8Hv0cD3+VW5K7lN5YULQSyflHcG2e8OlFPPsni8uVwsvTgzUZI5u1OfmXyhpgdSI
2z5URvXGofXTiUCHnGoKByYVfag2JwO9rAAj+tSMdogOhGqPDZPZXBhDnXS7Ipw7gYFXgtohIpBr
U7+hhAck4fU+RnoLJTXiLY4ULD1O79fTjECccggm+WGRrcK7ShX9ymBFs6H4B2oXaQOw2IjmST0I
Z3KD6azgOMBcclnz+p1PR374Mj/dWHOn58abudPMOrHGTFej6L01KtwYpkrN/GjKIVXjgR4Ofo9H
MG7Veq9q1eTfnUAa5V1qNqv3JW85j5OYKqn/AU9IrAB4AbNdwo1VcRXD1nadkgRrdZnW672z8AQY
YUXpMjX9mkdJtKvypjPZ3MXAx+IE1+XGsBHAJ/iRuWrMVu7NcmzL6GCOecGvL0sHNxs8YqEfnXjA
EEJ0z9ukD7dVgLsFLkTcq0aaSVGpl05W1dzhZRbqGzkiUDitoW2S9r04pLmBHE9MBb/21W01Bf6s
thLuxvIwVljPfbKadLEwFvcpoxHEp5o/75Tpt4lzSCbDyNUmhZFVwagtaxcjmQzBxHJTtTWCI1vE
z4o+j70iYeS24xTpv5OF3/vXnScy/e+43lneMayqCCPgwh1W8FoBg63Kd0bl+1iP4mWY2uYhbwek
m8+k7yZJ3sYG2lmenh/Bze5iNmx22I1pTWTP1y9vC2CSlsB+XVVAzTNXo+fhsci9GzfdFSfa9T5Z
KCoFYMYyy/DivPZ6dmcC1pWvzDIq5+bCVD0VDg+KLiZ7iWdzNd2nY26l47nVjA4LL6Mmw9ArJzcZ
c9NwcwY2w0J+5Mbf4Xz1xIEEELKmPTu88GX+PUrznHmSL3u/mTMmvegrtOu2SQ22GOny5z81C6gA
74j8Q8W39+02au5tlFa927B3yvV+knU3XEd+kn73aQ30HxEynOVXMdWmupSWwlki5io5IojRWmvm
atBZlDGXY2Hoh0Il4ZiCr1gHX93Wa4331iJ0xRiAmJ6tDj5FAdKiNr2Pvk3ZZy/FMs3bETGI8d5H
aJZXLp/fNXOpHn0NmqTGv7XLC1KO99KejSI6DIZp9djfjWsjEUNED5pdMTSmjtPukFIii8Mwbf3r
KFpF5JzZ86Ir1MUMKzo6N906Gsoru4kSJ06E1/VLXFVl2UBStvxGxFMSzP3N5OWTX++EMAccu1JY
1eqynYwB3z1qnGubb9vIM6ZD2nkOUSGDphx5GywDAu9uXqoOq6zOwr1VDA0RCP+woVCYXtpr4zys
jaFfOWcvkfSqxl+LdZPLaa5GBOMavuM+aEXD1oK05k23UGxTYnzttcV6LxH1ZqxxB8/Xe7xU9I+5
LYuHSg1gK0vehJZYWYIlsB3+pUXjVDo0g4fCN65L/LbF7SoTfYSIGm7cMU/SgcUWeJBdxMFLJv2P
YlI1w9njDJp/f95lDghQfsnl8sy+tdconxB6cLAwjmLKqrL4OiK6yXt6mVjYK4QYPenChb5KWGs6
1mre5U7+2TISvKKj1XWnh4nQ53TIhQF2POauEsltPdna+aDgxJuxSADu8mgqDERYR2mq94XyJLEz
pYyJHIsoBn+yN7Ka9Gk3p6ERbsacaun7COsfcS/t0SwOVkt5PIwxx7HwXXCdZsk/EAGn6NZanJW/
CQpnRXwmI91tLpOWO1C7eZkntOJox8T8tElor9TEgf/8hUWGicCEdoU1R1fjMrT0/0pXjn8Gg0rH
TxgzC+RWPWemMQhVs1ZmHLYNGLidNctR7tyUNfRX01mtcWV1XV3Ue9qGYfd+6CNgCb5UfmbGmTGi
GdKPq3FRDGM6ZduwzJ3qOKW0za47Csz0spKkGPJdVxrGjBmoFEl6j2WtzQsneUVJ+mVLOInHRL1U
VBk/3MBjq7ZT9VGsQYN9yArmpim29tLpfTQP47pctFE78IekSXVzZUwDfVSGU2gtF0MAb/grsHu9
DBGzbL0zPNM9qHsYu1TR7dC6Pb9K4Vcxp/QjdB9pnhNszeLKGwDEb5Ka4vhIYFkHn6I50iqXzjgJ
ccmCrfGdgNllxZZVUrnpWSZheB7A0GBDu3NO1xfqgNAxTvaDzTHncBYZxrYGyFNSRX0+2EguPDUd
Mun04NBxNrSymxICxvxtXXt9Xr/kSq6V6HD9cpYXZZ6QYNbGrPdRtiwOn8/e1/Xpl+M313AE3uT5
SLMBYbA1O8vV6dJz4oWLtz6vJhwn+LVg8HUQr0Za7ElsrpY+i/NW6EO1nnt9ftbA7piuEv9gPVRu
oLf+y6kHdAVPnw393UTY/6cphmOzjpuBjy8kJnXwaoKNyajjses9N+XA/T998oAJJOzkRun1kHqL
bvTVIfJSBkoZJknMUM0pH4UFNfO06fycLYstXtant4uZrGX3MTeS1vA3s1k07R7/xUISnd1+Zle2
oZESbd3nvJT+OMJ/FD3mqF62PXswdM7zhD83F8PQdgQIZbgNvxDQHOEMMQePJuPGTHqdU1jPR18R
VHrdkNforSdq1zfUbgJgryPQ8xOCAsgogugLRQdzV4lSH6Ae0m0FtEVHyZSboQ/cZyCR8Px2+FjY
nSHL+w78CMMQJcIw84fMTvSot2vQES43oyqTpuIeDgK8s67Hyg47YuM06GXuNJY+lvsaB0a5b5y6
4keWqbCYdLOI9Lcgoy4ZSMmSdo/SnJzVurHbssIKFtMnp7PepbVXMBSNmDyQ5/E0G3x6HYPQJfcT
eAhOTyNVZ4F+fgZuK3kQht+35f1LWmCJQgzfZL+E48fFcBw2I9Y1gy5Ul1xJN2416DAsskDol5au
zgkdjZAY0AJyHTo4iFdy7IsRFkx3xEa7YDpecg9hdzg1bVrL1V+yyiIy4g9z1/rTbRfiauGcT1FV
J9BpSv2B6HOPfB1vHBs2EWgCQ5FaxfBGbTwrYwJG47pQNqD2MZGeWetmsWgd/WovHxFUJLvNWSeH
hlfznB7Q+2bJ+ootgt1Vw8dYjcCNTVNZ2266wmhDr+e6b/TUodmtd9ELIERmlc9rOZVDHuCI6elx
oCH4yILSB+0Sr23q/Du0KpygtmT48Nv1CtFfMy+7ASNOpB8K+6Is015AtDZFYVY7wzGC9Jq8H5/W
YDK6+nOUJWH7GEQ8bzNiTewOhyjoZf3ZlaVJX7/N0djWBotVJ6ejpXDL3XpV6eHK3blkntucVk/x
CXBYC4UVYucKxiVrKXM2sej7aLxpinVdPrV141QounbZiqFd3RU2adjUMjPOVTZAOenjIvIaUcRr
g94JZtNiDrPyo0oXm39Ua1e1/gYH1XJUoCcTFURxO06V2rWKJlMUg+osMbYoShbUDZ/rUbrIgNHX
f4khmwbk8TN7TdqYsSkC6xKZmyaXtyGgHBOVQ7OcvOGdGyF5Mx4kdkoWwU6k3nvLomA1HIuo188H
9B+qfNcajf6TW1rSPSJ8XlTGrrLtsXon+0mY4VG1SEat52GwDLVDN3DNsIdc+64QyaZ1sUK39nRB
k4Uzss6b/Kj6xuTdsrYGAiDiSK0W3Z/KyWqjQ4+y1gtlZnnriAdOfLpNnrPml5AthR0BiyG3MUoi
se/rGE87J7Lwmw3zJf/a99LLMOZMEAiwdgPXoepDXqE2mxGcy9TDrg1C4afcLkJmdkZ60h/iMVot
7AQGq5z92DMCrIiRrZSeNDdhANcu/BSuFuvGF0nX20AILOFd2d6o09Wq6fS1zXk+5HLFOVNu7HxZ
+ArO84/UZuqGEBmr1RjKLU1nfSnjAtITMp7vpl5X689CTpGea1d77N4cntSqbpJEuf2eRRtxpLNQ
SCbXp+tJHuVP50LJ71yM0tFnvbNQFnGwktU3XdtN9ekNkXIawbYvdtKoPYXfJBfXL+GCFnDNiTBK
qaM+iV/SWWrT0MUEzt8jCT+IW+6JyWTFfuGiwbApLKHvK10w6dC+9IbOMfOw0gcwrtbsVOJVQGSH
p28nwwNqQ8jCQCkrnnLSBDR9G7/gU0y/4ZqFOLsOeOE8BpwZ/WTyDRFamBhTu5a6VZ1XhqynfTG6
eVccfUT6lvAQgSpTOwQh6/a9MzitzVyPDBtRg1XjmUlhc65aUmmGxfMxXvu5IkYunv80Ls/XGKPv
U6sFIO339bbrwynb0CEaiGzmGrHKNmsWrfyW0wDiOkKx1VFUkLdyQXpOnIc0omTTGY5GvtRoNfAD
1XPIGzKYQdPh5XBNpCGYkCI0jFLEdVpRUYmbJFxZw/I58xFDomOes5g6VbDDVAfV4TldT5NKXwcb
ujX6QrHg3gwywdGlBkspfdKFoxg5IMLe0omW2aJ23OxKYUTZxSyXZLEfFiNS83rwGGCFxJnLPf6D
6bYDIi01MhPpIyT9IfkQTUtbHFeRGcm6mXJjcpDEZv1UbuxmrbtsUkoUVoc1YFiEj5QJzLu2SVr1
kM1oXqltljKNB7eaBCj3KU2We5kU1YzO3+qsh1QOznrHnKytceibyFPifKH82MLWL5q1uFd4HJhf
7KSy6p09QUoxKC5Hc9pjlzT2HTpGczE2t6JqVz+PRemI8Ejd2xAcZOuyFLsBTspXKymVfWbUQ5t/
ywcUmXOMbYJD7aiorc/Rqpn8s3WYjOlDRUcueTelQu/Lvk5zBl21JHjfk3XK02jr92GN1y3gHJ87
CzIK3nFpiFjDtq+kibYTx6SbiCt9NUOl2lJDXVMjY+RIHpH+6vcO/UarvPSytl+/vdy4XrJs0gCd
9TwXCZ7vKwZWySwmd8y4VaaRJIEPkLA0cDFuRgB0MDbrgEXZP1/UU75vs31e/+o5h4J/rneVWlbK
jTPVI5aHAHxZfH2+chfJqlPNlzz3ZUtA7dZpdWtWOgs3nKE1v1A2kN/aaREBHRZXz/t+dZBDQ30i
GCtpw/BJ5omgbYessG02TC/piE6tRd7qaNEXa5dfDpTI8neNHWYjhuOG2VTnwbT6hb9dUqVDBjVd
fQ8yuCDw+MiVis1fNBViJjG1DK6Ssi2slhR0tKICcGTCDDdImUlcP7eFGK30O3GpJHStcrGiXdEq
ocSGW9lc3rGl/EwbdyydOce9B1IEC3CMeq6ZQDlfp0UTIhInTGfFSA3bWDR9QV+q/hE337F/JJcY
c6Q4YEXdY/5jsgz7bhnyb0NuoP4UDwEopoLzwu/ccTOupr5PiWXWCC/o4fXygK2ZLn8pzAL8xxwI
icgPSV9N/Jy7mHq6zFTp+N3IybRY5U/Fo4BeftMBEgPhmMeFIfVw1K0yCaQdGQO5USs8/jD1Yedf
4zyjTwJl2bjM7F9iGDsupDyR9RM276awWqtANNZLojy2PEQ7qpuWViQT5j+fQ6PpVLxO+ZzOd6aj
bxt4ZurwFVkruahn2GwKBHn6ysVI8+WQ1kUnhr1BcIyypuVRBvFne/S7w+KZYAQpmobSvqy9Ri8+
0ZoN840o/cRE272jCxqtL/ueh9HZgy+hAmca863vqYSFqV6gSxSBy4iaR4UFzbZBYieKYnuMCpgL
y3MNoDJrKiY4GnOJRoSa/ZPU0OH8TWQNeO+GwzSZn1YpqLiDaJT+dSCkzbAhApjOd6lrjdPdy5lq
1vKpeDoD9Fx2SZDI5Vvipq017hxga3rQEFRkrGf6InxtUm49TEmmDCKzYbLLUWBLl15uOAL1qdlZ
9jJwajouxeBNYNgVg2GKzuqHGCnCcqx3KkKyGyFKiTzffPFSBqAZqzMNChAFwaF7qeVRhyVzGIZA
B5GXy2I6JT1Ximr0qxVYCYIcCifLdlIs4GFa/OUQtM4UkiYvC9LKm673Zl0dSnsqYkeBpy/zApbf
R7WX0miIHmKB4hH/qFHWgu9lqRb6HGsoq5i6DgAHXyE1fJ3gV6Jm3kXj6D8YWe1xBRCBmKqh3SzP
FTVRTIFzybg38rocqPc9rqJMTXIvS63XbmbPU75xonBW9qen9szfIg3cNRX//Xf9O39SeeSimA3/
8e+v/nR4bK6/Vo/9b3/oXxqUv/rk/j+ePiR9bLZfh6+v/rCrBzEs78fHbrl97Mfy+S1efvK/+5f/
eHz6lLtFPv7z3/5sxnrQn5aKpv6RRUAN8Yc+ln6Tl9/TX/Of//bhK3Cnf9yIx657/Ic2HL8S7fhY
/uIzXqgInv8H0giuxjJAz6PTSpP6hYrAX4HUC2m+AgcEp/xfRAQ3+ENXV1HwQrkOTr7mT/fNqDkK
rv8HnbwAFGYIzZBft/+OwzgUyNdtI7r0YIwwqAXnYQFsP22Ru8bowASfskO2Ov0xmMUnnrlv++oy
EENLXRHp9nzF/KO0hmwTZLdUfS/WOgn34ZQfspK/AayWHb28QsfPch68WfjxaLY7tw5RqxTVhVut
55RJ9mZjfhib8mHuyu+udDeLF1yAHTknlHPvA4IUC5X/RWPobI7c+zCDbWUlatjZY8OdlFzXktFG
/5889Yptn2dy46r0WwUN4SgCDKfB0ql4coJvq9U/VkVk7BJdXWmn0NgVZlpuSZ3e84WvHbd+EKZ9
bJAug2iEGVDvCfR8EbzJ3D7alPXabE18H65WpEWP5DHcuFykHuiwbSKRfw+p3oKe7NjKXvu5lNVD
1FQI2yfnwwjsYs6T82UK9lbG46uh+GZ6XXQAkJfuJqtGWVm/lujtMgbGdigxj9lgxPExMt4p6dys
a4g6Xdg8zIt/naWUWPtB/MWlnHDLm6xaFLTGeZpKvHlfZZO8cZF9p+dDTFUzmbIdjFuc5v4Crpjj
dPANP96KSoBL7iHHa7exPlW9wY15fpj85b5Hh5Cas69iqLHf5jU4W8NcbmgoSiCHQm76xL/uVxQ5
s27YVXV5Y0Trp3VmnGyPOQIEGlMleT8O8qYAKrbJF75PEa3RZg4954CdJU0k67JT43BOBXNpUZ6s
gvAzSNFNU45ook0+zW8x0qldzY1yvwTmhPA02hp0VrLYacS3pFfLRWiUcpeOtrGLFrc4zxrOIRix
abwu7nsfrm3uTyOqRgY3tF6VZ4Li0a2bO8OeGyKlSs9R52XC7bUvqC72iPUUma92y0pdrFa8glFp
LVkielFHy8aIxmHnmWN/x91MkUk4IHuHLt+wmcWGUkgT125ynncm7RTlHhTOMbFwHQiMkxP71XC9
BMNA84ClWVINw3+Cxe57YxxIazc71sbJozMgHVDc64eVbsmW++weCPW55Ra3Zd7dBCazn7XDTUU9
LkUQti3e4DhqLMWPTXiEP3xTK1AC0wG1cKqj7iMy7KZjkB6QVYMI0XiHJfeP9A0dFlT5Fu7/lJTx
9DTgMGB7eCqi5q+b1NNoWYaRJekhCIEf+2mENCCisk39GerRmhTXs4c0BJkxC7L//EOcvnn+Tj9S
iH4CQjw9nKDqY8PrIcl4AkuqK8tpINyhbVYU3+BTNlvfQIwDfSS6jcSap4lA1BpvjMsQlXtjDfa/
f4VThIB+AwtotKZqAhM4VSTTwEMKclZKM2q6cm2E9DP/rG0rrfmya5LijeF+MlQ5mVwobpwXAMNh
cp1i32vH7Duaf+kh4UpOPwJA/nLfFe8GyZaHwq3LmdGdW7TRJvPmewRPrwb5zW7pa3jpphhUHCZi
7w01GG33PmqMbTVetPl0HzbhfrSLoyPb6ypqD+tf1GuwNaGAESxyZ63Eo3p03tcLxlDrHJzJRnzN
5/7MSPuLpM12RKOdGWaPfqu4SI7lgyqNMMb75hKKVbfhxaEGTMMux5cjCSlWZtn8tXWiu4rubozg
ZHdhd6uxmWb3r6DtPufcO2M0bPqDHK33mQsZoowocJcp5Xy6xPegXe4QbLgvlvAuW837hXZkLLrw
GsG0ZdMgnl6Lcd9I4ygh9z8jg/6nc6l/mSb9tzKu/425FCCVf03ijB9LsT6+yr34+Ze0KQz+AEmj
kXOQpSgF6ezoJW0Koz9w8dMcSsIWtI7/mzdZIb9EvRytB9ryOqn6r7zJ8v4A3qbl/MEa4eAY/p20
iSf8GDTRXOMDYLmBpuKzzOAE6TPaIgVyiLnKYGRnYRZuRd2dp+3698LF82PQe4kQXIDzeOqQtawt
OoDrgjKSYVw0g4kn2LfEQZ2GXp/7lvn2Kc3n+Wk4CiDwATsNmcLXsRn5bR+55LU/hB0mQ/BnkQea
PwsjQF0LAMqmc+VOccBzBbe2HdA1sG4PVlLBgRJX+H6cqe7W9TM0hdP+mxlFd0Nv3P+wPn4Rwk+S
1adXRD6RIdesafNUJN/Q7F28N/pDauOwLKulB86ANLEDqLVoouDo+hZNg66eCDrm9vcPPwFYPT8c
8R0gfijs0lJ5PT7miLtpgevIoSSu1H7CxBtffv+IU+Tj8xyELueTdi/Eo/j1M6wZo09FQ4mArQQ4
XXgd0iEuQkXd0gP7kFntXWvZR7qyt7KwKRDjAInEiLrhhnxp2uqMu24fSw+toKxFLd5Q1RuL8hS2
9zwOyKloQCG3F08fcj+wEzQkA6WWtj/A8iNlaxcgYt1+yrM8Jnc/pwX62VVDHMo23ay5ukozd9DK
LwdFh7/LRm9jGuMXmlQPc11/WNP62DR0dpEWeUsK8HSbIhBmmSDIPXQRfOsnr3VU7YWrmYSHygwv
xqU/Cg/cROO/ccye4p25P/EcEPpa+hZCbngya/5ASySvs/7QRd0jJmfyqgcUvoNCUdMYC8pDEeb4
jS5lukUQmp5s3r2BMH5S7/zhpH96BfRL0DtkfWoptdeT4uF1XpaF0R0KGlaXBaoQuw42DwDZZdkP
dF7IPId5+SSkMOIJn8MvaeG5WP+N4aXpFTLbgKEVj5g8oJMeBU248SpHna2LPx8pfFVy73tG/6C6
5Cppo2vZBtWVRyH8YBXT2Zqvcpu5li7NUHibpHWAuPEOfPx4QKbP3M5p8G4qmr3K1+QjyrJWDO/r
Eny9c+Q1gBt3026B3rhPLJXeuYOpjXzyDKwAAoJu0ryjFhbscBI3aU3lKEt3AU0iM7ucC6PcQSU9
G2gMU1lFxNcP0g3dQwO/U6PYm1Fa71JXfXMraH6WDyIfBZudPx0de7Z3zjREl16U7X6/j58khU6n
AxZeBD5OY4FPhV7AVIflVPUdSGQw5XaeFVTD52zD1rkN2NX1LG6HLKKIp0JVb6XMxkNQd+5Z1jrm
I7LN9+PozO/mEdP6hpW9cdcqOPQVHo0meKANrrVX/eTFaUedGbWv1PikOv5Sdim1ztZKH9IcqxyR
j0cOEaSnnBaihhl+//33/NUGQ6NDS72wB+xTCfAlNZUH67YjHvfGxxL65lW69nftWD7+7QdBLNea
Q1rhCG+g18vbb8Mp6CLZHSBvgrLxrvxs2CM4Gv/+Mfrc/mnayBAc7WkNEu3kMTOixR1lmO4gzbI4
1u0KKDokM10oaHDWlLD7d1NffslZbm88+ldDqb8iFB9tTHdK9DEdMFNy4Bv2tB4ewSdfcTW1viRr
/Zbr48klRIcK/NrQnA45DWkynQKF194bSjORh7UObryxzWJZuh9Sshm60DcikX/97UH1bUpc8BnN
EIUA/c1/OC8sY0rqGWPEgzkId9cjEkDpMhaeP2wTaV25hbUZyrfEan4xnDwUHgFC008O5a8faiAp
UCoxd4cqdYpt5OeXCK+B1nBV/cbE/Sr6o97CxAXIo9lsxtePoh4cRi00o4MdyMd0oU8b0DiMPFBN
QEy23qzO5nH43pp9vemr4s/fj+4vZhNVY1eTbRGZZ4u8fnoEDWJIEF0/NCt8fnut70VXIkcqyxiW
9Z208D/+/RNPkeZ6AflcKkmBuEnTkzudUJCHuL4Z7cEeIu+Tj2iALfuzTERE36W8XRaVbWEcyDN/
Tu1daHf5l7CXu3nw0YT15/UsW+gjvPFSJ5WF55fCHpnbvY0R9mn26oNDD+tUS7sl5h6+LFCQcPkq
oz+BSpRxsCpo5+Z440U25TmQGG9kRb+cBvgxmqzG5Z6q7KtFHiRO7nUzN2Fvzm+HCGfdarm0/fp6
sdNvOVXS7e+/r57Wk0gFLzOEzcylhkvSSbK++EYK9sBrEbWPzu22+cSt/I15/tVXgi/P4cVVi9rQ
Sb4LXH8sk3VuAQRn7t4dpnpjGx16k9byOYUaNL4lxPbTDUQvrB+eGJxEphR+vurqhSc2MtnliTG9
k0AttlU9fe09aatdF9R0y5sQdNzcHz1SudEvvgBtuS59eYxyTx3Qxv46VfZVqrt0XeCoYx6Ix9+P
/q+iiwv71EfOQ18CTyTVFsRDzHoa20Nh5PcBFKTZaa+9PHv///eYk0VVjGPm++PUHgDJmVugFrDV
VbFNzDl7I4jp9PB0Of34hU6WU1N2kVjBPR3Euv4JO2RXTca7cvTvh+otb79fxsunA4iKlFYbPpll
+OV25paQqXMHK4zavSwgKMZdYV33oXdlhuWZUZRHU7jNIfDS298P6a/2DYxin3IYHF/++3qfzkqI
2ZQsscqucaL1w+lbXyn5Rqnxrafov//hyGsQXbAzMrPDEqKyD7pqSf9uKfUp4CFKx5cg8iOXdrI9
seaCRCED3HsgnR6MWqW7dbmlYbyeqYA4lIh8Y/q9dczr0jlLLPfu9yN5Wk59fgHk3gl40HR/cuDM
1ZIoW1UMpbQemrb8ZGQFhpioz1tp9VG1xRdXiu+DXdYQ76wqRl16+/tXeHJJOlm2VAEQv4MazW30
1Ge1Ecx0AZDr0Hhdcli78hHi8O1UqyDuAKfFExBn0Bfl+3bunPMKGv9hmOxdBuZy95/sncd249iW
bX+lfgA54E0XIAkaeSmkUHQwpDDwHjgwX/8mom7WlShe8WW8zmtUIzuZQ3kId8zea801cmRcUddI
b9spiJDTF/uwNemXtCLbjI6NvtQcV/WYpjtw3V5D+qnXlPOVY4iQRDzpvm2i9oAR/hFAAfLF0TiM
o5P6HUnqqxpUnm+hTfEUjYTcbpB2WV3MX/s45ngVIvkjExjtHU/MlOaJQrRCOwfFLq2BlEaMlt4P
UUYma6nfVI1FNkIZ7SPHGGB8kulDFPklhKnuQpcBh6lzvO678GEUmcA/pO3HZrwI7Vjz06iuoarY
iZfPpkBKQrtLp2qiu8Xc0s+Jsw0WyXszntTNJIXmLpi162jUcHeUcbGO0qF4VmZHdeUyONR5M/jt
DFewte0LgdB9M8kop82qR5OAKNLV207Zp40tLSWYX7lhvcYtvrxi2hETTaho62C+KhvjsLQBdkTi
nFmET2zfbVhv2An5JKgPHc2XoxNg86q1CpDeeCnK4RnR5J3SJjdWFNzLdY5/lHt/Zuo8sUyCxyHe
zAKhxoJ89K0HSQH/Q54qvxuKxJuHOXSjMIJTEd+ETnLHX/3BgL/ZmuDQMIQcH/Ux6wPiiOrKR5A4
eVVmh14fyetASff2LGJv6M6Fxn0o+bAwk78IjgFyE42i39WHN/OZ3tDnTVuzZJOJtLg2EI5RGEru
S9JpIeHHLz3RhL4pUmddOcZtnuc/q7K74KcVl6Fa6W5QRdlOcRIYtfE4XdNRKF51SdU2vWK2bmJn
KF4+nxuW2/5uatDkJWAGVi21OqzyR++CCTfWcEq5YJMq387tXUj79PMRPmwCGAFe7MLPW16543NU
qTSlCSCl8Mspv6B9+H1p4ORWfKZBd2oY0vocysyYSz8Sw6wst0NEbpTbaDljmwEY5pl0qj+/mt9c
nuMbBudU4RTDJpr3+f2aVRc4rouCcdq2octub7MOh5l0X2bDFcEON1ol7YIl8RjHn5uaPxH27qfG
uu0U6zC3L3CdQJKc+VHqsoh9+FFYwBe+Kb7qY6bR3HazHWDd8NGxXZcTSdPg9hTLrap6ZVXGRkqS
FaSxVdcYO6M110AO/KF9Tk1UoyZU6brw0u+4TD3HmF29xgykOn5aViusEPti0O+Lcl5LVrpttN5V
tCthGLvP7+uH6YG3hJbE/1zBUaugjVrDbh2CWLJO89T6tdNVP5HLS1Vv1rra+H8wmkEOB+XIJeJx
eZnefKih08uofc3Cj6GXyvM1qiWERYjcyl+x0595OqfeTOQp/zPYsql8Mxjwfg7fMYPJqAVHO3ej
3nIt8+lPLgkOGg2VZQ46ei8BF3atPXIDR4hafMXeKEd+yK6xKrzStM5MG6ev6d+jHU0bQiCZqDDA
+AhgN5Y2+Yb0GKn3n1/S6UGwttObRS69CI7e3rhAWBhnKp1wHmlaS8Wt7CDKbOozl/JhT7+8eWwH
/h5leTPfPJ5MIKwELQWGOUFb6xzm3+3cca3o/4+Xc/SKV6ypYtIYSGjlys6/Z+qzUZ9L0Tv5HZnU
xoBeUuU+Po1anIVFjhvFrzII0cMvgKg+gNSVhAxfqp0zJf2T9+7fox2fRKMwjPt2YLRQb9cjumZU
qe5kYx/pz2VlnFqonCUDEzkEm4jjl8Gs5UqTCRz1KfF4bFo2uW39yYf6ZoijN6HtCc4W0sibAFc5
HvYg/FaR9kfvG+VuqoqsuGzL379vbaHFQdHzGgzTpRHJnHtgNMlb7E5/8mKz6tqshwuK/uhyQn2y
sPmytHdGDCbCXE8KbmmV/n9+Zon/+BrQP1IQKdGD5r07nk4LtXLkJLYLf9HlaFq9a1t4WHV/nVTn
TuAfVzqGotjCRkv7XYB+f/eEWkVKT8HIDyRrY9fTo8gqP1KiKymNfHIe1PZQJN2ZO/lxImJQiupo
caiaUct7PyiRWJmZo7hGETOvZSBjZXaVt+cCJD5+uksXjvWIbHhzKVa+H8WBIDFjhePFSOY1p8B1
mOTo8Z5iofrabJ55ZievyTDB+wHw4l08msFrSjJGWPM9dVK6QmznZ9Kwzodx/U/ncC7KZBBa5XTm
j7F0g15KYQga1Q8DshpVKHwkVUu0sD4f5sORBg4ZUDnqmTotRgLz3t+7FE+cE4iMmAwVS2KsuhJG
CU41Ah29jG+6rP9xI4JwSFofzEQLAAy01fsRExW0YZRMOdta3BOldMEjdeu+ODPDLv+b9zs74C8L
z8+ghEEg9vIY36xO8gz/N07t3A9bGW26Xcndg52YSfvPX3Hon0gGoGVRGz5O5AgLAWTSQS2Ql/o9
VIyVMhg3HLTP1J9PXQ46Xo5Ilk41/njyU+Y004gXzv0kSYlZMloklZJxZqE98SEZgLX4RycWgx3e
+3uGbQ8IYzfnvupMawNXfy47FxiQ1irSDKhfr5+/e+eGO5rQ5UkeIBXLuV8P0yZRm2vYo+5yBHAW
/1HZPv/BcOg6kPVo9NOPizlFVMqqMAXDVQjAbMcH3uJHheZmsY1Crz2zKJ6YcBcRIKUjhM/U0Y72
lUD+oqGR89wf5hwTSPgCA2stxWicjat4mrb9ZG2l8Nwx68SK8m7Uo9mpN6t0xhCV+4o2YGWbXUUg
QMXNAYvnzAx1qkCH6JzqHMVB8j6PZ8LJzlPSDMLKbyuC56xq349St5/z6NrWKiwTNjCoIJk5QdXq
LyHZ93oznOMIfpiNqRyAYKNjy7lyUZi/f2WxWmtW11sl9dbcMzIU5UNneKwH/3gbxUAI8yhDOlwy
oqn3A2mQBrBrjyVZdfk3MzE2dInPfOMf3phliEWoD7lfMSGdvx+Cfj2+pkaUfjqoj+3QtF5UFOCy
oi3KhNhd6v9mqN1arXFuEvuwCiwjL5VesqsxEnyo9ZIMg/FfLn28i/uF2ZtVwQN+65spKm6MEgRi
kYgzqUIf3tTfY1LGWRpqqCaOnlxqN/YsdwpXm5KvOAXzPZmEaysG5aIHw5nBTt1apHRMnove78OW
rp+AE4ywLf3MMG9ITEo9vc+9VDMPlQVDS7futdq8x1F+prhy6sZSWFn4rgQhsPt6/0iNwWSF05XK
F/h2lXZdqVj8M+Aaq6pW1sa0KPTT9Onzie73ov1u7WNlJWKHA/qSbkTUw/tRU4Fh2KCe7IvZSXcs
hBfQfB3Kp8arlo4hiOTJdO0xfwVxs0VgsSrS9KBMpsDxN3NbLKdeIyvKN+EwzV7YaIaNqU4z1lJJ
lbVJvut6hRpGatfEgrZeYWoGiNLm3kqNV9Iqn62KsMdqVr5oaW+4lFauZivFYIr91bXL6KXS1NxF
NxWitrEPSAiE2+tptEqcNFo3bQ1bxmrUzeKwWIm4PrPKqct39OH2ICahjQr31NKPvjMj080KGjSh
Z21OD8OSdFddWpBVK7vNXBp7feqtTRXI+2kpykeQ7L6BotngdZvvZdIkuz5q11aZ74y5TNaKVerc
jFr3klh/Nm1yeZIwdjblQqL5/Ml+WDF5sPR+ITzSiCfa+OjBQvGHn9NU1ElNSNGA9mYXWxoRcu0Y
XtgVT7WvbfvMt3OibbqsluwJqJGY6NuPVrIsGw200EbpN4PebfpxtDw1owdfUZlGBFARkDfnOSUw
mIhVFisewHumkqSQYYVoXwiMfh2H7hESKAYReb5NoIjtxzqrSUp3pDMb2hOr0lIm1zRAiZCxiUB7
//IDtQlrq6f4ITsLeSF50Iqgc2FDgWPA1bn8a34m0A8lqwTKzjrfDuqgrD5/Uh8nHBZ9qvUUVkEe
oCd9/yvGBFd2YA+FL03pIZvkK1mOQIzBiIyUVTE5F0NM58hmG/f5uB+7n+SGAHbWl3PDkpZxtIcz
mjEGSEWZNesrwuEUx6+iOXWnzsbT+toE0T1vqTsa/SVa+s/H/rAWHw19dM11GytRLhMuq3bTFlzG
bipR0FXizBM+M8yxKMwWahbBvecjcMRlkUGh61pfLc8pLj7uuLmRJDMQ1sMjJMri/RMMYdn2Grgk
fxj1ZheYdXnIFP0c0/H084Kzs4jG4e2oyzL55pyiznYPizchkXdMN2qn30emfmXG0atwnJs+xEeB
rPNQQ/9Se3v9+QM7PfjiHKQ8xCFJO5pPqkx09OBCBq+k/eKn6IPkxwQyy52ql7qrdyG4G89uHiDL
7c6Mvcwa72bh5W15M/bRhScSe2HqYKVPKWxjONm6MRctL73WyVwVQjzUevJ1tKWHsa0uiPI786F8
mEqX4fUlvRaF/1L6fX/fw8IaCYxxKCrar9Gk4pwND0N9DYpiS7jImcGWa/lwrW8G094PNksYctPB
KvwccIegzIePbAWWA6nhuQDrc0MdvbYBTBeIjZSUWrlwIeh6IbOfIu5U9GKfP8HTIxmQVdn7Aw8/
mmk0va9qU+ED6THcryvTJOBGhlRtWPN0BfVe/MlNRGyNtMJWHdKy3t/EHE0uZjmubHIIq47VNHQb
iliboMmJuBq17MwbevL63ox39IZYQyp6Neehgbe6sZThsm3qXW2DE1W77R/cSuaZpQvF134s8Usm
9FGg02AeY5V1K1u/ctrSa7Icn356Tk7+YU+6vPm/PWoUuiklHD23VlILIouW65pwMZkmcAhoBb3T
rdt63iUZBgdJ+/L5BeKR+fgJcAjGU7wwqinNLHf7zTxHo415JmXTZarSNxiRAcbJ3NywhHlZW6zb
QY5up2oE4a1N36cqQQhL83WVqrGGSEK+T6X6F4732o1tVWDvS5pd16PDyOrqPqWStrHmZjtRxaxL
7TIZ1VtMoqWbxOa4E0okNkNsSDi+6sHtgcHBnXIAiqrVF3QM7cVEVrYPTHzchE2hHwJc9Ivpo0e1
DtO58AinJRY5lJ0GC1kKyEzk9q9SyOG2ySLjohTxVhTSjei1/JAy0gpAJUbeQd4rvUbWrtAAXafd
RixwqrmQ1oNw0q0AP+AXFlef5vOPqkv1qzrQv4boIFYj+tkatJZr5Z3wbV36oiVZdtEqyjcjM8f7
juMc2dXh7KpaNW/HEA7xPAUWdKeycFUjq3eDkPqVJHUlbcHk0M/jtqyyzHVyjHAWTNvbKNFtvy+s
4FrXcwUUjYLzzUQWrxts802lW4URFfA4kJ+rtn8YpEBytUK9tgJllyrVVCHHVI1N01YmEnHVeib3
BHqlQWpxTmIrwhBpupxSeVhF6RzcRoEhPMiFzR7hsU2bWSZQspFBDSwikyFK05/SrNV7U52qK7lh
r7TgSac+bNZO0hnAHdTkwjbC0pNzfdfIkbGGIijvBuKjsOQi18uzYRfrilgXmnKvTeFLkJPlkQz3
MdWQfaxYOSkjTel1dvq90LPqSszNK+fCmct2VhryDtfR587XtCxZE3u5HdBpr3U8LkzaQDDRA9hb
wOK0iRNlKyrbc/Dkk0c0adScE2OFBFfbEthwjTCEZzcE+N7jsbPcuS+Nr1NF3wkiZ9If8FOMjWtr
Adkv3Vx4VEUpIjfRHoxz+0XBl4BPuAb1Y+Wqr+ShubJmvdzrfTtCGiIVyEvqZp2E5dfSbrNNqCUp
ZuhhuIWnEXCc0fqd1AaXlTnJT4MUGrDnw/SmCSpNgtSUWG7rjC447uDCtCV9Fej68M0omsQvuPHE
qaKo1jZEisr1VoyKdGnqddogM2qMAs/8BIKIlCqLqBI4fe1tT1vGxyCfMpuYqQfXjMQlqS6AAVbV
IafGt4PrvDbaFtB8WZr8efloyd1WyYfyxQBavwsS446DX/qIHFVWXYFpbVcLs3uJtApnOEFWgVtM
7fDTiCJVdzN9EPXeUWuyI6RJSrw06R/iSdlanLDhnEdeF4zrShq8XHNoqUSduR9V49mKRuVQywpW
oiqz3MGy5mt8To03hNKmB5zpzlrPka5u+2al9BwxMHcGmVfMjvAzoKNMKdIwXKhh+NLJg7kOOhaE
XDMSbaU24YzzFUeQH9oTjin26VdWDne30uD4uhWE1BC+3qwCgylRqthhM3uV2uIqCcNa9SWrHxKv
akZLXltJWV1LUiEurdwR+1bhm9koCUCS3JTa+3iSlJ2elTokslyPv49lcG1FduuB2jTXpdBjTxCl
fCsJFLHuUDKTTdBJLoJk2ImhvYJ+MnhBXfwwyDk0vCqKw3VVO3PjScSj1m6QBeZOaY2wpXXTDFdG
YdylS9xPx5HPoWxwSNMIHmkV6KtaGj051a/TPrnBfXU7KPomCqqnqkl+NFMlucBHD0aWXdmhDEl5
2OswgVwrNvHIW1Hk9Y3yJEEVBSmKnL23E8Q/WbafsCz4c1sebDO7nWWC/shWKNZzK2UrNsxfkZC3
K8DZ3SaVlSfLYMWoFxAl4ao3AOWAOuIG98eou6HI9CO3eS/GdhpWYgh3SqQPHkvOI/lvAQmT1i8G
6r0M91FXi0NQxV+KXl8N2pPoZsxlTf/UmvlTJHOIBPbAqU6u7ganuwfWdinlBYKVrrywY2s9SDo+
lfpOdPqrbuGtGMxhHcwTOuJ4G3JnlMm5lbqAT+zR6ZvWlUx5Df1jY9v9ZWGGe8suDFdxBgCuFE9W
U03lz2yii6AwvKDLfyaCG+g8RqXj1ZXzBUXNhuLsrtSjX0FC0l/eXoZZdIiMfg1X8KecFV/wMAOB
U4b9nKpLdY9tp4nPJ9HuLUU6EMzkKZyiptigCSSDuX+GmpXxmUdPAgqvllrQ2Yek9oa0uFG1eeuY
zAVjmBV3ksKXns75oyYmd4AFpxjlNfJezxSdsSAPvkciEMyu4ZWu5Cs9Vp4lvb3VAanvmGfc3ra/
8U19S8XkWRa0sFEpXh0qVGGUH+Smsf3QuTMDc0MX3n7Jy/Syy83LBjqglwhex6GRtlOm77vAULYa
/2LUgvImCaNsVesG0EYZTp4h1jEbEoBwXbLSJ7PzdHv29bq9S4vx50B0y75Gbg07gsB5c/QjU8Tt
1ykaRXxr5HrRlLdBaY3RGlubuQnjdN5Tcvv1+QbpxGZzEbxik0flp9GfeL89ipJYXqicpS/afg/j
2M8jCStQs5Hrs3l7SwXk6DTCWNSPZBo9imkdndP10iQ2GsSpb+UlM3awMacXtXhcALge5CfKzpq+
miheVfY5beGJszt6fx2pGaUJ1O1HB05djmrcjJx2B8Pc2YrwwrS/BL19phKxXMEnV/hBOpc3IJI7
hiHl7BDGFEKdbFkSqt0A/RH+SYuk0doL3f7nZ4a3t/b4jALDVSKOO0JMFzgPSkO8UVFt+rq4Usfu
TArOqVvJWchGUse2Grvy+zdmnI10rArOz1IBf1NTbtm6whnoz2SFnTgno4xT6K/T57GpKr8fhgQm
xZyRB/v90Lum86RmA7VzDdlFuk4l60zX9mP1Do8rynmTKGT0tUgs3w+nsymUu2A55PWxR4dYWrVB
9NrVwLbCaifp+UUd1bEbLszRzrrPRHOmCXPytr75AUfn5x5w0CAT/OvXMQb1zNzqeHkye7j7/Htf
/jcf3lA6dVRAsPN8IHVktTkz8XIIY0cf7anh1y6fwrkj7KkCD0VuTC8OIVvc2KNpJRgDq5cmCsa0
Vy8g8mEMxfBpP6vD9aTK16qeP4b6sO3teP359Z0ceYn8Qev5O5Lo6JQpm72lVlnHlz61e6Jz9nkp
pG1jp69zg7gFTXvuBpP2JayjvWmdM82deIrkINH4R76DRs0+OrunUZaKMi/5DuecGnU3pWDigeo0
vaKfmWtOHGzhQSwVJKID6IQezaZTBX53bOrSJ5XKOFRGTnxqri6K0CHepgbGmrmdx7U9d+aZRsaJ
d+jNyHBf3n8rlVSwllhcpNXau6WfFdi6//ljPLEsLVUJHiMiU7TvR08xnM06m2MmUmPqDoW5tWFb
cV5AHnNmoBPTzIIio5KEy1BH8/z+WnLTaaJgYE2y0+arWt81U/oDQt26bsOD1ZpnpulTrwdqIeq6
OPfpkh19FrNkj03K9tmnieM1QPSbktCp8dzdO/GAlgMgYcyINmgCLj/jTc2jibMZkjRzJ03yb81i
FzP0288f0MkhKFJTPoaYwdz5fogRkphcQYryx3i6NPO8dtXunBD93BhHpZtQHYlSclhpktzwaIS5
XXquDH7igRAGyUpGshACrt8tuzd3CifCUFGvQFTlyMB/4h8CynWEQuRMDfH0OAujhZMoPs6j2yVQ
EY+yyTiFNT+KPHkVGgAwLLbrzx/LuXGObpmlh6I2KlYR7BOSO6diNdj2Q02N+fNxTj+af1/P8lm9
uW/SMGmYsbgesCu3skVcD3TzM/fs5BiEjf1mXBAIeHTP+slsTCdYNhpWsO4DdVuDOf+Dy8Brgp6Y
YFK8Ne8vo7InIiZLLoN85n3SFRdC6NvPhzgxk1FLXESqgHu4lqPJUhYONjWHjUU5QwcM+ssFRleD
IZydcw3mkzfMomOEak9TPnSOlCbITB4/ivIFK71A2RJwXP/8ctBrIBzl4ZPAtvyGNw9eccoUDDly
TpQxVyQ/A521xUavY09O7P/eEv0vXeoMqXNZyv8zXcrvX7qf+Uv28hYwtfzJ34Ap+y/0wywuFn2m
ZbHhEf0LMOWoC2CKlvqi+UVvt/wnwugX/KZi/cWOHknmsuVm47T0b/9F5lS0v7Bi83XAm2GjYdL9
/81KhVJ6899bSwCn/zG2Dzs9r8ibLShCJtT5MNj5bcy47Jbev0IpselU74qUo/AYr4tKqd3S6NIV
xe8bOQZJ2ykGYpAk/GUnSvEgW420+BJv2VNuCSlvVmpEfirAgxAUmzrtAiMNd2pqDZZrt9Y6QFc8
wDQEVh3ShoIy8qrOsEgmvarcfhq+lQnJC4SLwmQ2eoonOhInyTI81Hu3qS2+FnkOPy4YXpRqoEKW
CpjSoy3W9TRFnjrUvwz4x9RdTbigmunNOBt9+DLgolDJgvrQIrftJzzddlu6fYRy3G010qhp/EfV
tkC1vukG+SFUEsXVYktbZZFtP3VOLXcrsokL4G4NxRfSi9PvU4cZciL4aMN/Ni9VMU63VULIkasB
gtgGsdau7DTXyXkJiKzFhnllVcrVyL28JGSy2OhxtRe1FfuajcMNur9nktBBk2Go2kNvSLHlFgCV
fBChxrc66LVVI3fyZaI0V1WifJEDSpYEtJhANaTwF1KLhj6R41yVSy24p7IcrnC/Pdtp1q4U4BRu
mqcVsMhC2g5pXYE9HmgsxJd628wbPdeNLySafaG5x3Q+yOFlEfX5ri1s9aVsCjhC9dTpq3g0om/Z
QAehUGYVaR3Kor0xZs9UPqcfhlW3F7GemTuqk9PXspbaV7WsX+R5KnQ3pRDauZZWGzLqGiji6BL7
kbvpDDM1S5LRk7GJd4MhOdcczolMNMp6T3qZBNmyqB+IJoq9ymwlN3bgWlRq9nXWg3xnpwSTC1L7
DjZhzT9CYnKJ9jDTH3HTQ52nfNert5FZaNJlR6hCt+1GtUMUmI75RTB0JAmTQ5fuZ9LKDE+MgWi8
scEJy+aUNJIxrIst3HTKl4GdpQkqTbW4i8IsS1yO8IMrD4QqlYbVXcyhoV1Q+b6DBUltWyyHq8IS
KIgipBaN/WQO2ZUDMJakmcnLq+xJ7YCjE4Dx2BI2utKa6R7RkH6Psjc9WGVUVK5Sp6RC9xiGe0+O
rGl6qmin1V+FlJWXRq3Z264BWmgUffs0SkO8iZXY+k48SFKtEEvN9yZB0XsSfcJVGJrTkxyQ7DwO
eXef4Nq8yHMjeID27viJZBUoNEfDBnMIFbtPWD0sXDV3adlk12Mb51/JztVes76UCT+fE/LQ+ikp
r9VpkHgfci3eALOWnsrcHG96QrEqd1JrWh2IiMEHmLmU+AK0/LYy2tumGX/JgZC9aSiXlBPHck27
z1azohB3HWv9PrbBq0ZRfp0FwddUHleSsOStNFzXJdjM0dDTHduQmL1H/pPAhJGmi1ZsaiFv8oR2
PdTYfqUVEjx2TXE8vdDHByWbiIZKvBYt2brIw02fQDUL4vBKTdofgax1P7uooTwTO0oEBkpPAUIc
dCWKpC+YUe0ovmhCKcvaq0pPY2NahwOhkdO6RXOOvMs0AhVfVTtU/SNCh8McmNp3DTXfj471/6tR
FuZN0Eb6vq7BUTUd2F3J8EhTJlOtA/cq2XO2rWs931Zzgw5wUTTdJrHxvesIpklGx/RUmoBFJJx1
piuzG4SReGyjQLsqpDv4aJPpBWDYV8gLh8u+JmY4K5LkwrHT6DlxuuAaJpO4DOI8vOz7ArWVihJq
EzWSeZX3bVevW0nbYOe/GAeSwwLrYPdN6Y5j8apO2g5JU+SKtqCpX/WeCr1/FwTNPWVfZdU68q0x
j9TJC2s1VB1lQ4L2vDYZx42U1um+rJ/rMfJiDRFASBXgAHTDvmmyACN5VIlrJ8kBkuda8phbcg8f
iOKni3IBVJCSLMx//JYbOVVSt5RHa3QDy0LRrJRlvKalt5qb+XvGUWqsWjN1ZW0Qu4oAhFURR9ov
YaFTBC3hSr2Ybpc5E8W1eQkkWKB1VA48L4ySplzu4iImmKSugcyx+3ww03pDV0K5tjOp2JI8N/5Q
CarZDG1r3jjhpOzHLr5vdUzRVjOVD5pJY6gE2eRVSJNXeFUH9J1NuIVtEa55fytPiTmhu0Un32eN
VN6JdiTWYKy/ypKdHUjDsNZWGP5gntqMNaFoNKY0+pEwzqzeyaEER/V83ynOI01Pa1MU0YbdQUo7
OXsKyctyS90IVxrVDTyLU3PDQY33cRw7L1Nnt2mCCwOl5zcE/VDJMJMQgJvJG3MefMSdxaocOz8g
L2Ed5c5wDWPOa9T0i56J0K8LEYP5qseNraf2pmWtfLC68Eug1w2PmbiBMrXuxTB/ncWQ3os2qekh
DuKC1l++1UUbEYvcR5ueRuKKPQhSN53WF/1F+ujlFdGuVy2xpfTZVPvgJBXaVGzbOzxW0yHClrWF
hNV4gc46JqOiQ8cyEfPmWMk6nmK3xVri8RNl/LfSrS33ACS7qYB2HFyngXKVWmw/yr4lqEbHmmhb
ApirSTBuPjIxNTMzVZcGD/04b5Je/zojeSXvSqrru2jsW/h1Zqsaib7XRKQL8NCRAWRWnZQqWkdW
IFuPUhamhHKgRFsRrGZ3S9RRcT055XWhqBuVLUaaFY9M3Yarm2rsdaJT1mMsAapoogR5s7rtCqE/
KZ1qYCeOtqPjXKpWfUu+FnQLMV1qpY5HIYxYAc1LtvobEAqrgvZYImODleIdxd7GhU9RQL4mAnFA
nRA/say+CBHSLh1pHTup6ZJWe2OPg9dMdcNeCyub3MHaDipmxuhA43pXRPGaPE23Fc33vgqjy1A4
4700RDdsRe9itBObyFLMrZSW8kptU5h+Gquducror7m888xcdpB+r8tIuUfDsLGyZZ8WJbDZh8D4
YgxVtDKgOK5CAlPuBzXnXg7OT8Ppi8teQQApRv37iO54Q5J2cys1vWARCbqKxmxyQQVHRo7W62JQ
I6KTpjhZ9xkb73XVU/Ds3LKM4vmyaUK1X3X2WKZXegtn4DLt2xyttWaMibWTnG4Y3CgOJmmnT1Ei
ngixiZ3v09QSxvTfh9n/PS6dOS7pFB/+83HJe5nyl+K/dm1GqEH79sy0/N2/zkyW8xedIcR8GNIQ
CYMB+58zk638hT1hKbGC6uXksgiI/j4z8VeGCURKwcKKMGwBb/99ZgLlS/0ZHfCSPI+jSfknZ6bf
p+o3RyYaIRYVBPB25vIrPnAqQBiAFMVIuRFx2lFTD9kPLZ3mWYHFjwZ70xEl86zL+g97UMMb6OqT
36Cvlwn/hZwighVlNGcrd1MJWnFKyOBEzrQW+RzctLqgESsSQirFc8bi992JJmVnjvo5f6u6lDeP
L4Ojpw5JbJGRH/d0ojpL40ZrZPKDiOUI0y/WIuZBTJEyP45RfzVNkx9xBFA9zngFmodqRG0UlmKL
/DwmOWjGSaGM5gW9f20vyyFroA2hhqOV6O8p8ld3sIOeSFzx3rwz/zrFvmWsax/KONRT6SDiIKSw
wrd/VJBW7TQmStHUNqgmzAivefNgt+H4XOq1qDynUWTPHKvypZz04q6qhy90i2RYNkp/FefsWjld
FsmNkPPqMalndohq6yCQBIO1RBbnw89IFQ6TYvc8lY22y+VIvEhaA9TNnvLilmTvkiSZqWhXo2zt
GqdULSJyoyBzyy4oXT2j3zdF8ZNsZqQ+mCQ7CnQ2BkU5jYbk6++78Y9mmv87pve1+Nl0PYkily9V
+1+bvvjx0pFLchyq8v8h4hu84ptX5ENcylX8/aV5Cft3VZjff/N3GUalaqIh1EFh/ZvnTYXmb863
9RfaXxwyiz3ZxhTNy/T3lGL8BW4UmiT1exgs9tIj/3tKkf+ykKDyGv5RGeb4U6QARIuMBh3jU4w5
KuBaGTOantXtpinm2m1rw7i3kKBttKA4S+v/OBS6BKZVSrl8/ccSg9LUKiOJnWaz8GzrvMOHkfrs
th70Jjh0lnSm4Lr88neTzHLLFZW5EgsSGKHj8lIl2xNSyGZj9tqDHthrjXINKa0JTLYpu5yTLNy8
efInJocPRfdlRIjtCz2SAv9xQUs0RIlNPSOCkCYHuK3Xo6jXQVacq4h/5BUxkopsnLAFVh4op1z7
m+orYdpNUthTs6nDoN0uhz4kJh2lLlGF075UovRgWG33YExJxb5dQKQc7vk/fRN69TWfTL8o2WMS
QeLMLuX1a1kPqrWpBrslsPzO6PP6TJ/gYzt26XfI5AMt7xh3iPf57S9OWFoJ5wqzTSJ1l6Q9Xkx5
e2OFzoRUk0ybSBYrgUHQzcmPWc9DO6w/fza/cz7evQ7LD8DhwMe20DWO9fZjSAGuzGz6sArZ9B4J
z+mhZCe8ccZuFVtS4dJi2jmK5NmAH6ERX+BM34+h8SLLw6EMR5K15Pk7coRzJKfl0o9+meXYKv5R
LHpLt/j9rYlJ8owMCPSbQE1RTXGOLxEgaUaLwPj/MHce23EjUbb9IvSCN1OYdCSTRnTSBIuUARBw
AR/A17+d6tdvlahqqXv2aqBJLSZ8mHvP2adhOiF9PKkt2afwnx2kVJBVrLs/3x0ymT6cBAOR9TMq
CcI3pO+PDTBBlLhdFEGxq5cp+6GJ1flCfqKTRwE75KNmblUb5v1W3jVFVX8mDf4xXTbi3rQma8KG
lK5klsRVbKbvPPBn8qQ7m77D0mXvLG9+nNKJ6ha5ipHPFxIHsn1st/a4Oln5qtKdOVv+o43SQksy
d7HZEdDBXiAbCM9MyHIFKodTa5uuqe+x9E7tWX935Ui8Z2ZVxrvfVOLcpDD6QoNcy8/E4I0vA/+9
aG2qv69bu0h2Hf3mxY3lbRQZ1k7diaaoTYqY6bobpAj289TXFFnc4VLB1IkEqevm7C3koIU50DzQ
e9aUo6eb0i4iXKd8G9DRkTYC/o1hqLSSTqlt34zVuiuJ0NtDKmrVCyVgQ+zXVF/dk+POxEnaojwS
DWgRkwrJ6IxWsE1m0vy+1xzs0UJe7V4yvqtrgnJA3Zf6+IMMF9GFpeGn52oY25c1G/prdKM6KZzA
Hp2QGGC+52LecO9SMquurd4bf5Ceth5crQ1emiC9sPdIYnxtPDc9oyddbgwPq/JsVOaxGosSzL60
55jUQQqTY+lD4+xhG5zyfIRwMtvtemiqlP3lUMwzgfWE9amowsymhx3xzPucTd+0HxbfhombyTmC
Y+VeB9uAuFpU5vAuCRG9zSZHrkcWdZLYu8zjYVKr1+2kV+62RVBm4V5zLy+FSlsX46nu9P4IgEdy
kY5fsu+j4NGtx653jPIomU7ilLBjJ2Ib5u1yxymjuZMUcqB41f6tWRRrdjDRmqTxbJVUyRD7bhEF
W6MPbWt8sjNH6HFqDerNtDs2jYaQKHvLnmyfZN7GNbvZhkwTsS4EtrWyFPdpaZPTNa219pi1viop
VIwqbrrGsJKpnLXi3dn8sYiUW7loMVAEt3hEPOdeaYAYj342Led2KKofvbfa3/0xXTLO1oDklXrF
YdPL5qZz/BHG/iXRcZ4lPl3/jlhdFZEX/EQX84awPe/bFjSfJMF8T15Tl1daFUyHwkJeluq9JLDe
7+3bVKo6bKoLKX3rqCTNFkSNKXXv12DOjwbqgMQpgyy2EQ0fNqmrCDWjuMo9cw6ryXb2vjX3kO8n
luCmoFKzBe0TccrtG1jAF01lWWRaa3WoJNqWGvl/zOb5HYJ7tjMJ3Iwrd02jzWj9cOhH7R661UAY
kb/IUOXEYRnEWrWzOmHX964WuzMOWp5PcVX0/VG0rk2hm1ZvaxlnYCRWopnT7WpM14bZylMdBLtM
1Ooo9J6c6XzcDpvhf4J1xv6e3EhCANjRN5V2q7cWIVVGlicKfiOsaq8+ji0hBgC0m51FdwQ9fTC9
mi4m6aYz78xF/BDQUY6EfoJUTDXnUSOF8yi2oLhSonzvsm25ISt0+6GEUTzVjJuvvVfnR8TzdUwo
/D0KUJdeQ81IXvcBEdKXSsnAPYmlN/YnqxYutJgJGno2k5Je2HxiAHc3mltrL2OJVKGIl7p6gUtv
7dysuDVVLuNBtgRcOm7uF6Fe1qzazJEIZmk8LAXZD0SVLcEjhRw7bpbm1JRE2oVOllW8VXV/pgaY
P5RYjj2bTWJp2iyN2ubKdUqvoW27OS+EqpbnFHv6VeHWcwLgpDvN+TjFbYFjWlta72ity7VcMrVr
2qo4N3VxvxSGEqG7sYJMpN33fNGEqM7VOv3INcKkqVoOe91c8HALJV+mHqNDaGab2LvSqOI+q471
uGSRgw56l8nhm7AlgWpm390amI2b2G51bU99Z/ox0kIKwioQFNq3ta8O3sKyIpR0cqLWfiY0PCN1
SW3XtnKD+6YO1pPhjh3SW1ucPOFZzzmDxR7XH2r3nvxRY8RM7HXN1xKQxu1iwGshrIPgyWF7CADg
HHyNItPUulSTLLVZ0RbYxXXXsFLJPMv+UiMlf62ssTlVjQre3X5UX6rK34iYIDAQREprXY9jg841
JxkeCky1EutiOXdE2QehEMX4CPVv25E6vFD3rcao8yyRzNTsSXXI1uMCFDUqTB0uIqnL8yFDU7Ib
yU5PDLFZYWrln/s8g4Q6TBtVzH4dzkzJFLSKoMXd3nfXel0NiV+YyLgVMaRdnm/7oqghEFjd+9xs
p7nd3krpoZdORRVJLqGl/vU+MDwlft08BANJzXpl3VmTGVV53r/VyLH3OAb0CJbccCSUITHmor/b
cvdW5sunZlDmVSfNr5nl9/FsAh7Jm4s9JS1xOBlGNOCZiNgwe0AlKlK5te59rZb+tk9VAISRxgye
A5vWUmGs6b4ppyVxC+btyl2aiNv5pV7z/I4+H4wROWrfTU88ZOjWs2C7VALyKpEGcxtwgOK7ixP6
SMJ8viuCPLif+kpR7fUVcvsJCm7WjrYVImfoQ10yUGHOn3ZiRWuaBsY7LaXpLTfzoSLNcVDnjWTZ
XY65hnqn2duvrDbc88bXlUezySdzUIRCPxXa2NHR8+dHSVQsIJLBepwrf+oiH/9VOrqThD1r93HV
usFtn4FJmTjpT4AZ5i9BrxXUcfsSvj4Nh+IKr4Zxvax58HkrN9dGGG9Xejhqpv7Ml1AcaV72fUjP
oPteOj6vUJA74+u2Gvm9oS1qX8g08wBCou8O5VQasHktO22iYrawpBnbSNT1qvyOtURhsaYrpF5Q
jcl9z8DoEID7wepIhhv5qeatkzvtnQZKm7ZC3bfPl6RHPZaOMrvDhmy1CwkeKx7bQmwkzg2LaOmd
uuLZqhvMfrnfDz+GaVISYIFqndAqfWLKemeQj1W3sdbL+wrWcjPFzlYxCknNuK6tzj4X3dbap9LK
vPTU1oIEIbfunRsScMQ3t/KrLIGubh0Hd7Su8TH5B5nZ40Ow1mAbC+bnF8EYEA322HxSU5tYta2u
JDFqfejqY8OQpaef1xIFXl2nyxU99eWwyEzeFPSh36mxs8IMnaEJvqxy8X9Udaf2vOXb/eJl6aHB
/2TEEjTv3lSuEVLDb6nRpfMa4J+svInO2FbQfKu2LPHXcr2jdOfOD0Xgr3k8FXrNFOiSYuKNFj87
gLpXkxdImow11GtWOTKaTAaZdhSE32A+BCMgG/VqLHVwo3cT9Z04HUfdCnuRs6jNUZXVTxXk9q8e
W6vv1KrXTyTZDEE8VrJH+X4JTXFUVkpsQ7r+XtC2ETRQ9fYT+c9Vfjf3l8GgDabVoaCVMguvbcCz
TNf2oat4Ifbk2GnnsVM0Poj2rij6L2S0G/nwquVm8Drw29THdLeO3bGa7w32CKeizceHpti0fbVW
47W3dMPL4Pcslrxh62i26LN6luuKI67vpkvpKtuwB3UAJNujbUFUZt1JcHxUp2p2n6vCYSEGGuLG
hC2G9W8UbuIHAxxVHq3YkVpkpOe5zdc09HKnl98Z4fuRcA7LqP29JRHAPOpDlVfPo6OJ4zoTFcuG
MNCqEOjE+FyKOrsjyhMhiOeq8qEze6Qg9kpbH/DPHNV6i1K864GQZvMcb2JMy1AVZr6fTY05sJdI
AqwqcK6yhoxTGvRz92kzloGEFcjzsbEU3g8zKJdDuU6HTl/ZhSh9eFJ4/7Etie1lJNDoYC5VPUVu
NW5702/yeM6ClvCJIU2kUuYh17Y+ZPGQ35T9OjMn0N7Omr7bpW26RUHqdd/MtKaLkc7wijH66I9b
7k3/qQT9XxUD/wd5yv+zeuH+v0ld/v+xQHiJFP7v+w53b81b/Wt18PIH/9VwIAiZjbePVo8aAGor
SuX/VR20/oNKBVWBC4EWeuY/RFrBf7i2R/lcv2hWfZoBlAz+b3WQ3yNBCCGjTXkaPTN4uw+irD+J
tH6r1NPTuNQk+AddLEMQZ/7Psk3jeAENZ2Un3ZjnOyrjxifTW5fDhjA7Nn1lnomUHY8zOwkrShsz
eAguHUOHyvu1pellbE4DXJpRn8Evsp8YgaMQcKRGLQ4Y9/Zuzu9kmMWxX6nm+I8b/S/1uJ/q8H9W
Vi4dGQPADvpkRG6c/69nb1Qa5Lw0sJJKc/27Ok+Lq4C+NrT4bC3isXE+twLmzroKjc1x2eSnVVAF
tSQ6YZrbGNKEnze7WS92BL3ZibKxUXZjXZ6GRsKScacvQ94+OKbbvbKJZVIumCHSytNjQ1hiiU0l
sMmpVe07K5+v8kBf45QJN64DbJIjSLizPtcFAXHagEFAo2M8+eYOLYW46uta/aUkemlO/Ho/wAuj
OtdtAiJRhX+4Hw44uHaqqFT4fa0eK1kMYB2nLrtKAxJI18IqXzt9M1U49fP7n5/Fb8YaXCDoCv+z
a4Xm72PjhE1oDU5yMJJp4Z9NBMHTiDw9bv1C7aTEiOyR6+NNl2rLPD9rbLVPtLy//vk0PhaF0Rx6
aBgRPRJxiaPoQ+G0zekQI8IeE7bCRqhdpEf6Uv3QPP+ZuNrtyH34Gz//Y1WYQ/p0jC5NOySX1Ph+
fQlnmafT2Hlj4i86khrXf627/oE4178d6Peny4EoPcNWcAykxB9KrI1kdHc2d0xs8niqcAMOtU9R
VO7Y09oxvW0i5XrfRAwsnP9tefdykVQu+cYuyce/AdxSnmwGoG5MyhTLTS07mfhuU8b0xryk0vtH
2aT4XxEHDsb2fNlohH9+sP928ZcbbdFFwdb38S4PhDuUaOnGpHXSVz1t31TnvgqLhXKHQGYZDcrg
fyOxftRZc9FQ6xmziUUCrvbxlS4wYuvNVIyJXAbnWBTZQDqIL5/+fGW/vz8sshnMDUqnePs/WhYn
ZQ8DQYR94pVFHq+B3TBgjUPYlJis/3yo36r0dDSpa9nMLDTA0Y5/EKl77oJYky4Gj9G+mjrvqTOc
7xp7t6jQdRluok9YpFBOYN9ujsPLXw7/+9cJYfNC6WB6Yy50Lg/5H22Nwd5ol1kcfrTMb33ZXuuq
/4JP/4uVTQeSWIkvzlIETGSF5t4nXQu+LAI1lLOZSE2Vs++yoIgmWrQg5D7/+dz+5Sn8cmofPi5K
oDiJM07Nc8ijaoK7wB7feTSHPx/mX4ZJbgHNHbp/DE8/BQj/vAWuVqOmNDfYCrb65AGW8lvrubps
8PxpQjEndrmeI+lFXMwiHNOzQhv053P4/bXmFBigmTtZlmDt+fUpFCxNRTspXgK/axOPYicaO6v7
y5X+1nCg5YFYgk4MTTpQvB/mIr0V0GX0maMI7ylbvcexGp8bZtteDcmfL+jfXqtLs57kX+YfurG/
XpCwK+yNztQn1ib7w5Z5r0WLxNGccns/O6NzQbqsf7mJ/3Z5xBwyOFA4Qi1v/npMhAAQE8RABoKc
HjO0UKGb9++jjek3t779+fr+7bM1LZQhhkdOEu61D59tp7mbSd2wT6qVGBqqKQq0G86ybKVslEux
7OVYzIiQ/dcW7oJOaeYvT/Nf39uLoZseHSZdBC+/Xu+0pJoOsKuHomXfBEzxV0U3ix1y91it0/eV
xwIEUhSxwmPHuhVlV6/95Z7/60mgJ2H8hz7HJPThQVPJbjszb/rEUe0rJveH1TBvgKc/SkM+s7S7
Y+7aEHr/sC96CNWybP9/C/t/WW/+lm7MO4Z5DMfFpQmMp/bDc8DPVU/ZAC9mHmbaG7N2HZRATctU
5MnoNLsB2P5cFuXO7QItVGhkQQJZDmmCppaMI0XFZjWi0iYIJe208uDhywVE3Pwt6fn3lxPlCuo/
ViScJOlWvz4s3W+8fKNBz8RlPxUQgk4i8Pce/fJwm2GW/Pm2/D50MpXQ9WXbSa70b0DEYTHdaRSV
kQTOMH8ry+KTY7XoZLW/LW9/sgV/Xd/ykXMwEqyxiRkfWXZCkBGkSlu/6DqPWiVfN6u0I8Qydwqo
ESAhxILIntBt1w2tXTMgL0lfDpLgpIlyeth4Fo2OXPkASb0vI+Fph3Gxs1A2NYpJh8UE4uz7fr4E
1ZBaEyK872M5rrSWJjtCbfU1o0jz57v38VmhJUVyxLVcItBc4j5/fVbL1OSuRIebTGyg8A7U/r3K
qJz5uBHIOmj+Ni5/HP3/83gwwNh5spH8GPeU16OYddlvSc/q/KoVunM/ZKkb//mqPg7Jl6NA4boA
KnkLWbP+elUVJI6asteWIFal2ivz900VX0ZbXg+1ngRIhv9ywMsP/vPV4IBwvxAfsKgBif1R56Lk
kvt0DNfEzLzsVXYlKWlT92b2xlejovZbz0URitZu/nLc33QHlwOzJobbzPGh3H+4Ukf4oxh9XyXk
o0HvYhYyW+sxHQl4LpfBOpn094QjnvztR+76nxq9uHV9QDmsgLa2fjUNU4RzkLd/GSs/fpScFhsF
xihInQ7wvA+vFaapcWj4FpKgQ02dqsw+UiaGGYYS7/jnZ/1bnirHgpH9cwMED9X6GFVVrto0Vlqh
GAPJUu23JosyC9+Ah0o8Y5eQbORtxO5mvDlLukMSO0Ts/LTIbu0drwc1+aV4//M5/cvrgEwTlQ7T
xU+wxK/v39TZOccqVSKoGO8o9yLB7shwhR34RkfzVUxIFbKiynd/Pu5vUzUKISZJdoK4JonWcj5M
EdRsGM8V6eXrUP6gPwxEEMZWWceBaorE9MV2vTRTe+VW2EtmWPte2NXd+O3Pp/ETHvrr58BC4UJf
sRwQsb89kqmieplN2pzY1WJ9c2T6uZyL20U3J/JFx+/lMrmPM2sbOtNGkD30Qq6Hqtri2gzye83v
j1S1/euJzPOD6j2S8fARoAPRsEV1tup3tra1957W57eoQpxjaW/GMWi2JWkBAn126s45tNamfxnl
Zu5Tuw32GOSQWfdNtyN6fYgGpYdYleq4gnV3bhd4GHTdInOlEUETyDwio3hvNI+wZUphbzR21QMx
8Jwk3CScaO2uMc3nbrHUw1ptTejjHTuY7uCcu9YRKCWq9rYGCrjPEbgkKC3o8M8YROJsWdRNVdJy
II6AqoiLlepKLUb5VHqtcPb0b63tLx/j72M8EyOqJDQ4DFFwc399G6l8Y3OoyIhfEFV888lUfzKN
tDnUm/7s9MHfoj1+WycBsPzpc78InSH0ftxnBWvL+n5hcS81Z42Xft3jtgnOTmmWe1pS7Cs718sf
J18rknXG2kZlB3eDs5R/uXD746jMZ8AugOq8i2QeDsmvFz7zf2Qx6W0yrpZ776aZH+OrWu7+/Lb/
y0fHi87qlEulovrbGKyt3SqcKViSrLEencx+4p19bz35ZRrKMiwuvedtONB5TbJV+/rng/+0p//6
qfFw4U5iJftP7NCv11gXW+PnbjUnklbR82RI8FeF58ToqtKvRMS4BVaGTgNprakHd0mXl0qzxGNe
9d5V5rXuj1nMfHhCaVdjjc8j1CoMaxHED9qG6WX0LqGePtA7MCP6b7g9PH5IdwZ9L63WoJU9Ffs/
X9Pvo6fNQHVBu18KIK77YRCrnBUE6oLmy+6zJvJkX9yRr+vf+lLxrbh5evTJGUtG06v+5tRn4XP5
Gj7cUIo8zNacAcjgj9NJbqRjhpppTNIcCdeuFOg3QBTVR7P10TtI6crPbYGDLpwzhUZaFk4d4ges
b1Owh9+UXxQvGdw29s5FcWwGR91tqYOCeisn+4qO9vrqu/QSTTn/qCZlnAVguyuzNCDILQY7xQ4W
mo1m0Q8O41SreacVa3unOudzYxhn3auMg2m29pX0W8QzS/20BfWb1TQZ48zYHq1hMF+Qi3hfaKnJ
SLZtddMoSx0rVELYFc3ubqxML2KFFjzMqy3Pi20OPri8qa4TWdsWfpKqP+S+MB/bC4AlnjUr2Vhf
HHAyy8/5qBt7kbpNVNFGBJkpITkWTKuved0uT9SpgqRE/9EndPMwuXYiExFZkhrplpbOjajp7F4X
QzXcXiRLVYjwoL0C3UdL1xvm7U0rJ+2NfYXxOCyW8+aojta2Bjy/peWLrUqMhvysaE7HW7eoe9iI
1Q7W5HbUR3rbVeqv98acttEsCfvRBtOjLyDooOam59Ftn5BYatasB1noO5uTyGZsrXjomu4M4nAE
uNc1aZSvQt04UmtjwriybkdkVVVEqaaZLnK7kXtBh+yxHkfsbEumy8/Y1uRu6Oq2CA1LC85GYcib
YVIpaa5F88W3uvwKuiO0xpZ+eZARC+TPqOZm1xtF0rdov3AKNvVn1m4w7KgUY+lB5nGo6KYlDbou
2LF4iNdSiINZdOU3PZunO7qZbrSWAdmMxpKfq1qJ02qbxd4TBQzEZhORDwsvGvSaV21F/ZFL4yZP
dZQnWksqwTgHbhtag6+dcI4739UI84eFk55hXWeHT0t5pKy3xyLq25GLbmYPhLOzjmtPEYAYgJne
DMMv0DyJgEzQhfe7g06bMxFlrkWZmIlncVPr6Nddsbf9YjqjVixOuchIyeyRwuiamfcIBgJsedlS
rafNW7N7z2WRtoEZuS4tepGbKD4RC2xcQx4BpCJ7/bnHJIuUSDoJDrp0N/S6USd60UxE+JZd3DVu
QI81mHeq970vxeQiIsA620X2VuaRKtf6pSBggOVEs97gjkUEY2oYWPU6ME8Lrq6o2LzEWP0p3pSr
8ZEZxQPuM3myWy94Xme8q33qqIdeYz0Vbq3f3fRkcezaGaXLvHrckdE4j03WIV017ZvUXRPVDcup
LQ3vDLOfOMbMN5iVRqi7RT2NIfEHvot20NFO47oQi+6K/hOfyefJ663YReJDkrmY92NvesdgLIOT
7hfaYXPGIt4ADDxi3SGdOUuDV2UI9aByc/sqKx7mnC3+TjJoPpTU028mXY5xU5X+ea0r98bz0vmm
nzbv3WQW+Bo0Go8urcWrZN5GR88zXYbSTSo12Oe0UEjP2Jq2V4YMcnXwxrKMh7pnq7sW83iDW5Lu
XEEq1yO6ABZJjQ8OFQV1BBu5u/LRkd9qYHYClJF3U22qh1ZZxVWqRLubaWTsTC8l29H0taRasAor
HA5XHbv/EwKzt8VVwRSOqdAiXRutQ+U69249MBnJPkjMwhV3BVvyuyYr0yGktqrPpDxr4EvbzbpZ
Rk/AdDBaFseiJOU2dI2yqENnsm7cwpmBRlfLU6N1CVrO7VOxCOPsCd5fDtFTJ54BA4tSB2HQ95YV
/ZwFEWHR3pvJgGADVlxotylz7efK42+bwZefzakXV4OVu98W1SAy6pb2yvJksa/R1CVYdwxIxH1J
OtTCjXhtdZtzNNTcnJ12OvRjCsWxQguV+9ntHPj9rpFOd7Ipn56LsvLvNYGopVmn7mHy/e3L1g/F
i7va630T5J+apdW+u5tnM/agE6FmaJytVa+jSszAeddtuvPwchtHDSPReiOhGGOLHgBHqEZI71YK
0RuHbW78B4pH8rTVpQlV0eeP6Ut6T7M3g9hQerBgUp6yWR0azJz3RWWrYIcdfoq5w4vDlthojJiq
tFAxokwtXDpSWfaTm6GtJbmF7iftbJCb3bwdCVgBfi6b5l6W8GYin4zkqBf9U6X0Jcr73r1toVF8
F4amXqqcLBWwAfOymw2VvkDxIrY119ocf/PcvgpWqR7YTs1tk5wk1N0Q9LjBlnwM8Ibo3wAYe8k0
j7uxJOnWQiBXopd1bvB8i5dAb6p9kXrCDStAIxGzzHJHM2D+QuxL+VbqNYokiT2ubiwEwoFazBGB
qjlg+e+1DSbo3HSxXY6+BNe51Qcn2xhv9Oq4BFZ1Tz+4/bE1VhkhiGww0wfT8uQqa72T2kwVKEOZ
29hOW4NlltbJyEW3y9pmuppdelCl3OMmWBKY0/bbEpgjIbyWekrTQG472Mb5OW1t67uuF+/Sm73b
bHT6b5qsWCdO2Jmf1MKYQjcaoq80FKuaUvre07aZdEtbRz9LiZ48EJNJoXWEOqDjCBtkib9biOrz
tOlBNM89jJJmgE+a4bJus096OV+xvxsiS2lGFAA5gzVyDzO/CYOZtFFN8bHOmW4dLynUVuKmbOj2
BviKa0ti9tUc1TysemXudWMZ45yO6xclMHo/I+T5vBZ2ru+YpEGzTP1lcWHPPKCh5evM8+C0KvOU
sQ4/1IDr2GKxx8Om6NxVi9ag1HEgUoe52THLWYPFEGxbPVO719A34Z746m5Z0lyGP1dBwZShtsml
c2znodxQ39TdwVDFyeccb1iuDHcMpFXojd5z7VzWMX0VXMGaIl9QzPeLkRU7pm5xRfDclT7VWTy6
nf8oWE07tT7svYkltVbN6Lny6oD4vGYABcPMthZ+rOm9NGmdLDl7pknzDCZk80fKO3VwnGYLpV47
iS+9pNYmdyfzukBZ2QBgaJdXV0zaoUJDFqpFckCnzJ+5Q+V73eVNWDa6tyt9Lzt3Qcfq2g+OgGTB
+NXmcDtC1T9OlyJZ3+XqBYR+cRqqjBGoT9dnXQd40Hp8KhAIk6VCzGcAEwfroVAtqhbBq/LLIxTY
PXlfc2QNCzvB9lBItcZ2Jh75mKuozLYzEcQgxnVZJsNq3Y3uovPlG/a9nxqK2imBXUe1kp4xFnlz
Wy5yvcOYOdS7HsLieTUYQR0apPdo0iAp42U6b6u4ZW6Dw8KdYQWLVnBf9yxHFzcYksJzSfFhoLt3
1ETvuKqdawLBuofFyoJr36i/pjMG/aqiYBe7k+tfq8v/0AnZySJbL3B/tJmR5JptX+S2fjKosj+w
B0JLNXfqlC/Kof6XTU/8ztXM13UC8jFeuhTG+JbVb6tXgH0YyyVueWtPU7myIrPSfN/Zlc06ORXX
5kRS6jJInmGWdkmR1mflNMZZs3k3BWsMDc7PIR1StcuHoAlhdNj8+fLVgvqWwLNZzxA0NuSNxnLU
l9J60vCtXFdNtj7M0FSO1ljqdxkek/1s6mxy2qnU3NjQF1XHNIgVw6exXnubWe+73l6fXPgXoQha
QZ6Bi4ylq+0h8mazRU3XNs6NlTWlFeIXsLGIarz1Gxs3tGVed0VPqOhDPO2WF/aFzcczbYZYI6PR
y12Qz3mSWcj4ogXzYCw0a/vuClcuMbBEPB0bwaCs07vRvcPWYPHq+H37RWC//zRrpTwi9lbtLksX
HzSQbc33g2SfGwl9W84dpgd0eabadYBboDDhjwmitt/qx6kS2nVl2dg9ps1lAdAaGjUyarboieIJ
dneY4mlE1myrB3w7zpuaawxLnWPvqNxZPHQdNFShe4j4fOhGqHBWWe0XonavKb1pp2yzxM4oG/EA
XhUTQmcEn3Pg5C9wMyAGuUuxby9zvpE3LF+qgpu6oat2iSBrfdTMrASJWmETNsjsVnebkSX2VhyG
1myoXDsyUZXWgV4KomZ2AlgPuoLo4PhAb/wLFt19WMdtTeq1kztSIPwUqnmZJktheYc5z8bEXSv5
deX1ivXMc3apT2Kuw6oRLcO4YlHpwAjcOTVsdPYI8vqneGi0cUFAwkb/Z6St/kZSoBu7vW+cUjFK
OoFAgSR1fRg3I0CNrZFkU6DM6iovHhaHRZ1FopYuwF3pZdbvKpOH0y7uqQvW8wX+/rxJ7ZvXiOx5
XqzifR517NvkA32dtBo5i162KMrH5mGppuw0OCQvrdrM2I6BIc4l+AzHxpIeLk1gfArsDOi33BzY
RJdTGlwqL3N17Y+9IUPHAiQ8BXMa9drcXc8+kfcWa7pxlNqhk2WXNKY3nXSq9XvlBOnJ2Kxqn2kj
2adNqseZL/lYezpsZtYsV2RnqFDJnv2LNqCWDZALENDYo4uhyHxwxgBYBSsGwhmaFm12WHbZ+Giu
G1wvF7ffEpZ13iXlUu17SiI3gU5FurccnAXLuN+snuVtZk3cRaAZx0VNgC4sktDawppfbLNcjlJq
xIWnQ8X72/ROQkWxudLqgPmuN+M5f9wcOz9hMWn1UOUsGNPKp10lmU+h6vWs7hqLjYB4zJYiPaaG
nsUNJQkqEOunbCjc0zpnfVz4MGIuNfPpmFrGvGusGk8OBH/49AxJQdXWMG70TUbcNHidhFZGAWv3
RIilxMTleylYfDkxR4nB8K77cjxPhEWETDvRHFjz1wxlAia+9HNgIoVfK5diFALFu+yiJqcyYoet
W7nRnKbXgYfAzh2HZbelIkgsrT1ucHdDzdZe4cug086/N8b/Ye68ltxWknX9KvsFoIA3Nzvi0KHJ
tpJabt0g5Ba8R8E9/f6ql5kmyEWO5tzMXMzEhEIqokxWVuZvcliypnzEDdgRdMlsb8fZbvHAgCbX
dBWasvgGDEE9P/cFf9mIknndjZq6D7V4m6DPv+Ktsm575C3LIawpg2AXqFJ32FaRo+xKdd7Rzwjp
scobARahj8nVcOcmVPx0s0TQ3g2STRZMz1NjFBvVgUerKrZzj8WGtbbi6s4o0nibxmwFK9KgQ0wq
raJ4vMeqOiQCZu8CiHIrK0bkd6w68t3R1231A4vwtQuTj0zUx8lKbwaz8afRvh1g1t7X3Mjmtm/C
qt7EMKICEIKGR4oyTx5uhQ6AavxWxidMQNqDBvMfUD74YyLlsEJVHveU2MimJ3duxrdmXIOlrzB/
eWdaUPjqMNHxOUhgK3q2tVa14tNMTxZhgBTb6zakeOIhEr6dzC7EbjkQPkJP5nfOE2wUGfaxS9Fh
BOHGvKooFqGPjkUMyvXgFJGTymws7bQeWwLNeHZn3VwPeV49WIAYV6DaPkGojDeON6Xg27T5Fgwy
TAxW8yaGw7COPYOXmde3ZEK4w2ZayHs+Nrzf9Hb+kMGyw4jA4XcYCYWWKflBcSJd1178QR8VAfg0
6tdO1v3AI2xHtGPLmTyuKW/qT5be69s48dT7yDHdt4Yr3Ic40sqNVonkBixg/hBiWAGO3wWUnQXR
qhgEXjRuFn8Mpqnk+k6thy7q9PusCrMHtW7Ah9bhTh2Mz26ooR2EusQW9qN1b49NzuEa7BsbkZ7P
jjaON5po1z3AgIee1AA0Yzd+8walelcmI10Sm6dLMGvzgZo+/RIbz7+1NToV9Ku6vYGLmz8odYL1
Q5R535yy0XSApKWnrpgAqmkZAIpmHdaFwk0RqXb8oaPIY1PGAZf/3ZodLqhMsyvcLIVhPPSqSUIc
huGmUkX01aEmcltzJt46rMFtONTFbaEak7txZ6f96dlTxHBRQhtm6rqbIpnCR8eBwGVxJ/9A2U15
XzVG+ntQ5dPdmIXVlzY30neQDWDLOSoVLQf3gs00WJqPiJcA4NDqGylltkU/iM1ThhZac7XLUdSb
z6HeTs9aETf+6KX9h3Y2S3iRolPXnYijmyAg8QkTNblz4IVtgSZUt0WZBNmW9864IvWxb2FJhrzP
O3MNAxWZJiMq543O0PddMcZ0DBuxT+oxo+6INOLcmu5uauwEGGTfPSBKZKzCfoqeRKDk7/Omb26a
2CKrcdOQ9nANM4OeAO+j8V2sFXCTa0+j0J5qjfU1nGMKFSBIPSRTRpZJkDIkt3pHeNFdJ/vmNdxT
szNUyWq0LO+5tmGm1kZerecsNz8WkxF+UkhtnHLytm5alzjN6Iayceu6RBVq5JrIZ8VbV7idfoxb
gzKaM4bvifHvqOitVUxKseUYSU3ep1QfSdSsXW3X/oi0FQBrdx/GXGCu26wcLVLXmsY2EV72W5dT
fGjRN6IJofxupKDo1Kiiwp0buBEIc0tZ+yai2bCGEllsFDek6Oty5uq0+xi79Z6jK743gmJNkw3t
poxsKRBYvqtKKYYfQMero9g6IL5ZrZzJsu4aTUFM0vHK7Txi9Jj1abePqGJvLC7Zn2rAFd1Zub4z
Z8v6OY1o5llYqG0EiZ6N7NU6Gbz+Fq2u6k4CXvfU65W1EurWpoHi3K7MHsPPCEndNUYj4wGVR6Nk
6qj0UYJt3wtUAFaUr/r7KiRQwP7VnlMhvK0qDDSoesxpyXJDHkatmwVkZ2i+AdK12Uyj+7amrHX3
8uDGfnj4EEaFdmcYYb9BD6xbqbhK3rhJZnHtDu5t3NoHZPYzdLr03QRrOlzVYPl9vdTFe83Ucr83
p35HsTpTkNgsE9/oM+/GHMSIIF5XfUma0vlaoEX6udG69iN1NTTlcOcMk02iR+Vt3o+oBdIluC3o
cu2hcGsPExnPXT3bFbpwKaZJU/g0uUWCAuEUfbzc6znRmpA4ECkJ4KJwBJZhCaoaaEalkarXW81M
TAx6a0mmxfglpSadVY9FoFXvLX7VB3ouP7meSFr0XHWAJhqZ9dWW6fSAYo7v1Dz1MzX7oEEKO7Tl
HK7SuIior1neld98BnFgEecBzhhY/9LoXgDBTCpMwWCkoFXLxPwwxaO3jkYDPVizwh7KBJjWyoij
i/JHZHCQ8KSzb7GuMe+REWpXsw7IleSouYKEOO2bWQ7Icw1zd56D2ovR7St8q6EWMIedECVESt4t
yBr6UW8DHpjQjrH1NYM0WNX4C10DYOknHTMLQA+cENmFRPth0WZ1rJkd3cX1di617OCV+IxN9tgn
myBynqvE+Aoc/8MEfnrtNknPE4FE3aJhsOpqt3jK5ioDpWl9pfSQ3tOIdB+G2Cz3Tj0Zm1mh24al
VAlcWJVNqkajmTBqktsU/d4ANl5R0XbI1JBh5D2jfw+a+iEoRL7SKm1bRIPn5zMwRQs4AmoBRf5d
mWBJOBleQdDfUu6FueTZbdvPlGOivdrP/Zcm1eZNE+TCV5LW2ICfyshm8i8uVAtEUBLN/j5zdlAt
oABuzuH08+VQ/BLX6f+PyIROMtJWUxOHUfe/52lT/41cp1ex40QK6f814huIyZ9FF3fT/gda0n/T
nGzvDayEF/wtbByNffg3zclR3yA/hMKRaSOTJLWI/iWCpL+xOcIWwAiUwjg6/IN/iSDpb0yNpjrY
FU9i78Gb/grNScaD1y1l8E+AnfGhRSwIoOISY6+4STc5Soo8yKDlby3qMjb3YngzoOUe7XNoltDt
YooTrhIetKkWs2/hzLmulDl9jtuqP6gxnZWwUbeUiqCKIrKpPUL+q8RGg7F9aMogfrCRM3mnD27x
vndbt9zpNpouv74x/02traMd+I+b+b9wExLd/kblnm5Cdh9qXP+DyN//rL4238SPoy3J3/2TeWdr
bwADyrWWXlAWwPC/tyR/hFAVyAIDFC9EGulv/5cul4NAoPS1Z5+Ytqx9/2tL2m+QmTJQD+TfAtiO
QOCvbEmJoXi9JV1bcgL5L7Y51MAl807o1F6rpJlInXLnfTyKlnajO5Vrp5zVb0bl6YKXeRrsBlUT
98Xs5tOqGyZY3GkfOXt99GrKqE2wn+LZ/IRheeut6Q90xSpGx+hbqgeZH8yKKFCFKf5U7GfL/Evs
/aJMHlRGDWCZxI9azMgLAunVTaeoM4I3pYXzprCmr3TM9PepbU3UNzxo/JHnNR+1nodHiSQv5uAY
6NrUkSd1AO0IJhd7Tepn2IcTE0reeRo5s1AoloYRVS6yiwdHc6cn0RnDZ6PRJmtVz4byRJNr3iHh
PW9tJ2vEKqH88XmmWqI+4hZHD0RFNOutnSTY2ekFXRMkJGKesOYYr7Doqenwqv01xMoSaSmnAnwU
PESJDgdryUK/mgpNkKtmdjluTM0KyOwjZyVGVQFpCR3s1VZ/+mN3vJ72JapWDgU/BjMWIixqW8TL
10PFZW5qsBPHje1MkAGKSj20mKauSTewXG0Dxw9F8fbXI84/Ro+jGPNvxqX/woijsaaXQk4o4uzY
h0H+jb8Cjf7GQ6sTpimaH1Lmj2jyJ8XXNlAHxdmMUIKltGpohKe/Ag3uDR7IqhffLPhYklDx193n
vtH41wDC6cQbGZ9+JdCcgAERqySgwQgFUAUke3lU57ynLWuH5qaEQr+xVMBRND23mHZ9L73umxu7
b0WNs2mkp9Wh7QV+CiYVh1czdmbnnkD0SA9kBmDakkABnW4BKUP1mfsf7aiNwD36Vrj9wS3yn22S
PI9KexsnCkUxegursijv0OodriDaXviBx+HWQliVySRFdmBbL04pkaDSWmDByE6BetxQlAE4YKb1
Y5VbEQLg6tzlK0PRZqKV7agV5dZawfK4TYfdkBVIhueIDa5Cus4VpYQk2ti1yFZ6Q88zy6qq3Pz6
sfs3D9TRIfzHo/rfeOy4XP/52Mnb/euPsj3KOPkbfx47y5N6vVDLYE9A+nLl2frz2PFHMIRc3TM0
S3NxpSOO/nXsjDcknNKaBHYwJBL52v3r2BlvYO/SaOUsG5YLy+dXjt2LoN7rDceP4lYHw0i8htUh
jVtex+oi8dpCr0xlnVjaHU2JsNsktEW2c2oFYsvLx2y2SqArMw26eI7XLW9UZR2ZVtNhn6o3h6ib
2t+tGbsJ9Fmy4WevzP16bkoTmCG6TcAUDG34oQWutWqQYPlQWkVy39jZ/Kd1mtwQ/7rt/1AN+PvJ
svi///uP2+po8/2bG/a/cCvK5fvnrfgc/STZjNB5ONqN8i/9pfOgy7yRIgqPGQ3WgYwvf+k8qG/Y
oWxUAx1P+IIyEf1zN+rOG0QLeP7wdJd/R/7Rn7tRV9/wz3APYFUHuhiBg1/ZjUsctuQCwI8he8X+
VW7+481oNQMNfs2qfLq+5doyBsSgGrvavZqUM0F+mZ78MQp6FSTVFmdL/vmrTCi0hDCN0ah84Lvr
vgs8wiraaKliDquxnAoUGczoSkp09stox6pSDwPU8OJemctonifTrvzc1Mvt1LQ4TKtV+0c0PjoB
rxOvk9MsP40mkgrVhXYK/efjTxOoSLVURyu/1PIaPb24MO2NGkl/jjbDa2aKZjtfmbxd7hC+USZ6
R0p2ABMM4KDRamtfq/UowS35txh1eqxuilIY7xPkjISvVwi2raKpVe4oSCr6k4CYQbExbsP63RTG
0fPldZKh8ejtgZUkvBjHo4RGZsI75PhrhnL2KJYiJdnOivmk6DpEY7OIKE67kf5BoIC5moYKNaDO
C3ZJo/Y3plklu0kreE4otTNcmd6T7ED+IHITUigXCKLlcA5e7xzbQ93RdbAnwjnRPpiaPn6J0UJf
zWo5fUSDK0OSykjpAff427t0SxV1NK9oHJzuJK4RDSYXFQdbwt6Pf4OFWGzfFzimOkE2fIrtNr/v
nfgab1h+yetrgSTQphyiqfwPT8CTSkSsFmo4hKClgKeu3aHMDqpNyw8YQnNlVk+Oo9SdgQ9HdGEg
U6rSvJ5U0+p0rVWpwJr4Hd2iyTJ+gnevwZUpiw/qOCo/tLDprymon0wjozomNGGSTV7exuJATjDJ
J/ZN6IcStg0Ga8wA2rT5zeU9fDKPvLYodhpMp7z9l0aLoQ7iR+u02o9RjTig+pduM3dKbrusdn81
xLwMhb8m1H/SA2MR1oLKS82xHWpf6Vp4GygntIrTXLFBlrvraF8wCOvEQxLmhcV/HS9WUugQtZKq
AuboZSs0+tIbvRv7R9Qlm/tMWM6vxmqYHQQBhnI1WXtbhICY24rW4FhLKMyTbsR3s5m0G8kYy3FV
B/1XrS4v2Mm+YEDoyCYLJl81Mid7vRsDwt5cgHSkH2CHaIkmAVq9dM/+k1HghkPKt0G4LabRwSgq
t4H1+hpaRdT5RbvVEJb4T0bhe3iHU9C09MU73Ik7ZjQzK39o6mA7JcO3UXPaK4OcPNwoC5EaoKUD
iZEnx7IxE2A1VrMr+RYTRbRBQxpRR80PAzDtY06j9A5wQ3pT6zNudZmIgVrBQCnBbl+JI+dWzqHG
YcmNAsVJ/vmra10v+szSA1YOsFW1bjPP2OGoF1zZkPIFvTwBcLfYGpoKkRe1+uNh4FPYbqvxuSg6
8cTqQCgkUb/V8+H9lPfPUV0B0DaMlQHjPozrfVBpv41AVmB8o8ZeanDtPYBNv76fHAIZ808FWZUJ
2utvN9GvDiCiV/5kiGeZru/MerqWN52bYPTBCdLsWq5CGRteTbBh0f9VGwYBWFD4iiJR3SZ+Rpc/
5dz8Uup0eYLT7uOhczxK27ppSdu88oOmUG9EWsXPYEbqw9g6yZXgLP+pRTCTF7mKchnPs5en2esP
mlgMxLZF5fdlp6wAxOZbTEKKTQV+ei3GVKpL19O2UafqykeeHhqEDzTiJ/UOchsEOo6/MrDDAHnZ
svJtYOdfEmEhkwvyxK9EW9E+ja1b4QzlTwBy1j0GldkhM41gbQdWfGXnyEU7mgN6GoaDUoRKgkV2
v/ghCk2RskNS0dfD+ndVxRewmvpsG3SBsUoh1l45pCeXvXwj8LDl84lLUC6Pv7sN3LDN0Qj1EzNH
/h6ebQj2gO37kAQd8oN5CZ0jp1/24fKuOtm7jEtFnGsLJ3QKXItxO8semmQQhT/wPLq3HU4tNgDW
ldvxxUd+MZu8J2D58YBBEu+Ezo7wljMiye1nQuk+1K47UdzNxE3Q5MrtBP9t7ULW2Ud5FPmd4mQP
TguqHbtqd22LfP7CxE17082tap1Zgw05fUhG2KCl9+wI83NuZtPbVOEa5LHS+7beskhpXYO7B/0+
AuU6GIBYVoU6io2iWOKt4Zj9FiAlhoBZr94WqDPeIszdbYB2xVujM6I1oqKxjyBes0vB+/p5NqYP
VT7bm2kmrv3yMqCKQUWY5yL/WSaviscrRAdZ5keI+m8ooA+bOum/XB7kROtA5RHJ+4d0C7VAjSfR
8SYbdEXJEFEtfByIv+MQ9zjakBDjOKbajUDwJu2Lp8hQEDmYt/RordUQ2H6ED6pupAVoFrCsY9OA
pPOuZRcnEUf+Mt7J9GWQ0OKddvzLRBD3cL9mtr8+iv2sNQ2iE4a30vVEQwI/5AToRAFkKdwrB+8k
rC5GXsyJVXuJK9AJ83Pc0UBPWgPKXRDP8hgZ2svzf+as0UiV7haWzRE/yXn7WR9UAVXexVhzW9h1
BI87slb/wSgIK1J8UCkcL1/xqVEZ8LrkiW6F5hsIZ2yMOfj464MACzDQEnpJehdhQ1UsbJMAlfiN
5tabGZ4FHnyDdmVtzu0KChHU4Cmw81hYrI1tNCGg14S1IbkAZ22mn6NgsDYTjIh7YLH2YQi7Hnqo
gujar38glWbZE+dc0ug73pCoAMUCyfDcjwoz/oigM6irZrBuLo9y5pKR/XHK2lIQFFWk41Fm5Hrh
5cW5r+e1fYsG4wBsV+ABEIL9bkIzonn6d9nr6Y+A+7oOcmZCWTCqLQxoyerB8Xg6xqi1bie5r/St
4luGwMWxR508KXHJxc1EbPQeVfG8mJor8ykT98UFYJJuE3qg2fMOW4zsIQHdD7A6/Rm/jo2FBd96
FnOzAQSUvLdZ1G3oFM0GuHS9KqtKu7v84WeO3tHwMgq8StEEm6hSRJv5OOri81jCThvtZrySvZxZ
TlnTBq3AqtG0XoySgvesgtZiFM+0bkYyz5skBNyrwZneAZvvrgSU00klWBJQQK6SLxne4q0+KyNZ
dRllfsmfbYqk/Ewr1vriuom99gRAyrSMzEcF4CDWlr27vzynp5uJ4jxnEwAIwQa50uM5hfSj9qWt
Vn5Sp4/EaG9jCkd5rAVQ/gxJpjWbTH2Ab3IlKpx4vEnpO8peMnPhJkPN63hgzaiHMA6DEsmRuGvv
07yBqw6QzFFuR4RTfmJCg2622yh1+xaX0faeZ4DVrmE4o2SRh6P3acxmdy2ckbBhgz390rRa72yo
cSlfhwTO6UqbprHBD8FtrJUqOsqezjx179RUcSDkC8GzRQ8DcMfj0KNdiS5M+7GwOrEHu1n+JkIH
6njlVjiZh0PrPvLO2ejIwLlfjNB1I3jjQ/RbCong5+UlOd3mSDaROFMs4rEHbvp4ZiC/jUnQJ5Xv
eIr6peXGBqnclF8uj3KaqyJ4afCYMkjkpALx8ShFPxto2KEjqlDgCMLxThs8F1nr4hnLK5TpW9e7
Ej1OC4x0zuWThPHwaiNeHg9Zq3EbuagA+IglCXjEQ3CY8FzYcD7Cg6dj5BmkyJuPeYUcQtPoyWPr
oH/xq98tfwTXN0mKfKMsNnyOq0OqtwGIUU9m5xlMzIOoZ3evjeE8rXIn1G6xo51/XB723MdzAbLR
JWaS1GFRrrDtIAqhoOR+Fzv4Y1WlCqLfVRBoapLNOHQdWPrE/Q3NqhbkMmbySZ3M/uUfcRpqdLSo
PJWeNjcxbY3jBfCUqMHrcObmKAy8AAwHi9m467ZIxCeYVkdoL1C8T27xBxowCEqdK+Ofn4RXP2Cx
A8qWTKYOYNUJhAHf1t2cvB2hVGzjflA2iWVVtyguODtAKBlQ/1Lawuv2lW14eryOJ2FxvIJuUmHV
GzD7YvEVKTn3nWXO7ZU7+twgdPpptFPd438XQb1rKW/3uip3mRE9tb2Jqp2eGzeX1/P8KHTTX1aU
jXW8nlGYDqICxEO13FQ3nZbrT3BT3Ssn5rQohIgopCu6qBRgsOVcbBuj99rGdGvSqCSvVrk5RO/H
duo2dBGU+86K8SYQY/8EE9m6LwoErCY4oT9dM0MvZcSIHJJ+ehNOsE1hfye/nBQc/7jFHAgbtLen
tSynW6Lcjw3TWwWawubyTFvM5HHmwygv4AUayVK7dzHT0WDUQmMKCrPKPhhGXdzNNaylxIyuvLJP
0w9GgrAHjIVuFxH6eKSgakIUcrLcn+ZYAypcwCt1vGhbxc1vnVNcewNcG24RlhSdW43LheHULFgj
GSkJjWGwB8+S7D2EXq5M5Nnx6PBIZJ/E18gt/SqHazu4MTG8Al9F6fdDDm/YV9rI3kS101GVLoNf
zuaYTvDgpK1cI/REjscbgtx2w4nxQENDeR1Qyk5R+1l7bjv5ejD0vz6eAYKBwciqpFj38XhF0arR
MNFawuRiXtu2iLauVX6FmNTeOnNe7i7vy5cq92Jj8hxFwgtVcJTGpGHy6/lUwlJPg1JJfe66Xipy
/N5V7jqEglaGxaOixiC1AQNqcXqXKPUBKtwGw6xNo6U7pQzvSnp9m1Qku9guMMqpdkaGsngTbKJM
ja4s/Znob3CG0JNCQoCET13sNV3AhZ6MOvX1xFO2mGpgaGVoJvd/P9x0c3VnTso9IlH5aqom3Xcj
o3l/ebpOjzH2q9y/pNqWwRItdoMzCMiOcI/YDQizGdSKYK5P6Hyhwnfla2VQPF4YhuK6R5GRxzWP
7OOFMeIksifDSHy02dqDguzkARAYzBbXhelv9TVcGNSDL3+fPD0ng9ImoIBNk/ykgeXYOP4lKYNO
EJ5g9mrNhmJZd+UGPf006XAgEW0a0F2ajMef1mNKWfQVrWATE4aVSx3JMB7BWFT4TnbeJm8gGl3+
LjlZx98ltT1ZOHTQJPRycQOhe6ihUWKnvqE2g284iiw1xulabZN7xC3tQ+jMKjUw+5qq9emEMjCC
dtTJVOCDy7d2H5Yzeotj6k8DjppKldQwvKJrE/pClVl8H7g8UmIZFbHRMI5nVHHUeSiDKPW7FDGI
jIXdOUWEMljnOTdDM8cHqHfzVxwkjY2nCRWi6OjtraxJcbHroWFmMJ4vT/npUdEBCHILvWCteQgf
/ySUYdDcmJPUl/one6PATAT1B21jZO61bvXZobgSQO7YBv3JxVB11rtU6fn6tDNjv1ATKhhhh39g
6n26/FFnlpOLR8pno8hIDW+xj3K9Vk1YAQmPziAHi1k3SN24yZWpk793sZpgzmglUZ2BhLQsO7Xq
ZE55BQkNVlnqu73mvUcCBF56EGBdWsNFv/xVZ+bPM8kYJJCeDaQu7hwAEj0PexlqQqSh6GSNOydu
poMrij8Rkf+IwTk7FF9GAwu2CE3k410hlDLHealL/CjvZ9IFtDvnydD3tkjMK4nQyw5bTKNH/KeN
zM7AN3m5WK1WCtF7Md0UbXj2IG+tPbRQfavCLrPBmPGmURsVLbMpQusbRXRoUgXWiclwa7hR8DaK
TXM7Udr8YTihhfPqaP1sJhiGxQjxGDZ1ipMEjSADB9xbO4VUPxVB/5gi844fJWy2FuT6r+JbAERC
iJC1D2ATJ+7VQrXTusXh0h/pWm3svrJXkyXSK+FSzszxzBkUBwmYGi0vIPGLmdPyAOfTHlmtsp77
XWlVuKxarpCuuKVv2wp8Wyqmu1/dhVwKpFnyq+hwLjW0jSnqwOBHsU/ZLN3FQKEhBoK0cpz+yn4/
l0jgZ6DTaZNADXf5uhqVBH8GB6qhaErFH4Rr7jSj0w+irA1kgnSkVcu6e7QGWkEDalBrO2yuaU6f
hhIabUD56KYZ3G1LDFHPGx3scR77DWCxnVVm3dYarfLKSp6QLDnSaDpQpSeiQAtdQraFQPERl53I
R3NLI5eDYb9tEox2lTkY6boHCGMA9blDR6DYR0ETPk5e8VsYVNbdjP3OCqHn5taY5tq/vNqn8DV+
GMtMDcl68SJYJHMaTTT0ZjFhE40S7NECG9f1GLY3WMfpq6koxodC77ttnvTIC+uzg/MtgupzE8/b
oAXqdvnnnMYlfg3oHS5PYjuP1OO4ZNnjYNaljetoa1tfUBtQd0ia6JtoRHLg8lCnuYjk6ZKOUIGX
lUv5U169YCwURmyjs1JfZXtT+m4ReRG0ICd8EVZ2YRqrLkQDikrWtZrpmYe4dAqhZkqdWAUQsYi+
RgFTdK7NxCdePsxj4j5Ouavip+SG60pLO3T1q27AARTNOENV4r3dIhkkML7FdjSsaXy6yh2tA+QK
terj5Wk5swKgJ6gOAMw0Qf4sLvHICDMbU9jEn7PpIXXN+i5x4emDzjSviPWfOXlSY1i2oIGDqo78
81cLYGK4W9lZDse7tpN5ZeeYBDimaKMre+r0GgdFR4dFGj5JVOtiobnDFcT3Cm5wA8OIwEQnyYzb
n4muPrLdr3krnYnZkvMGzsjCD4aG0vFXIWSpRhZYIqwp1WA3tyapVlxjQ2Tm9S5y8EhGS8u8El7O
LdqL7QG4AbT/lnl1knlePYwemUpRxkhq2OHO9kiKjN641jc98e0gkslUElo+fQaGWxQ2VC/WokEN
2CCK9j5CQSFuugfylrvA0rew6W4Sq94jFb3DYALtQeedWtcgltsHN243RUjVfWgezGD84FT9zeW9
ey6YIRFGcYuI5YF9XRwsBwXDiRwh8TNKn+s0NlFJHCsNgYd42Nh5au2GpKkeZksv93xiuBXB3PsO
enPAacJrNYQzzwGmiuwbtBM5Fo2A471Qt1ylacNZSvqp2sawaW7HvPmaiSp9Ctvh3ZCg9wT8m8YA
sNV1anfjAW4P3jt116IhSWPs8gTJARcJBbMCzVD2o4EsLw43DoWjqg8EHnQwoQ3mireC91YjrIuB
N/oWdI8jz/5U6lF/M824SV8e/tyJ92hUYGPEqSfOH89HD7U9UnuWxxsq3oBajWk5QK4rV9rZj5Ss
JBDQGEXqxvEoQVmQNCkTo9A2gQTi1h9Vd9I2VKOtVcaxX6P1qa6SwcwfWtQkr8zxy1ecTDKvEzqr
qECQJB6PP2KDqnhlz+MkQ1najN6KHrG42t6ji4+smLutkd+wWGBbeI9GQQTy6uSRmuBzMyB/qQW7
SnU2Xaut4FLf4IBz0N3s0JnpbQsmxSyS711a3TlhfwdwEbvX9K1aDb9bU3VX6DS69HhrWeFzWI5P
kxo+aBgBgJFZg5rxEI9MfKRkMObWn8Yx/ZTX5XeZ7Dj4n/KmOgDZ3fECuDdczsfU7VMl8BHTgzAa
3Q6FTKzdfYoSG0LWN4ndr6s4uB1D74B3BkK0Yof27T5XtKfKzvfqFH5X0uE2GsytIqJHPZ10hF5K
giAOMh1MVbv83CnGTe9afoCfZaBhGOkONVpx9ftf3ngw9mTpAQK5BOkeL0kK+EItlJAkb3KHlRA6
PkNuql3ZeGfwchLxTlPflZh3YB/Hw2D7DV0iZgEbhWb+UHv51k67FGuCMdjzoHXuPCVB6KjIAnTN
IvQV7Ub18zb+/fLnnt548qVFoukAEia1W9x4QyDayQlqrp9IL+9Sqy1vasXQfelz/rWuDedK3L02
3iKsqEKHzE+1cedMCdKGCT2FEbOObR1hiIyQUX1/+fvOXncO8UtWg6GZLcZzDBHWw0Bcxb4KpTpj
VHd5F8XsKs97vjzU2ZAlDX5ADsNkW0ZMZmwWXirTIUVz8b+YUPAR2TXOxvlRTMah0EBiuNifdeol
gApVxGlCrz4MBIaVrejlf5BwSd9cXJ9o6YBsPN6eCKdlOqbwiW8KFEHCQE02CmbU+8szdmZxiKsI
t2HARGn2BTDwKq2rRivNCnryPrA3E+AYOnluWgS7tLrWYD/ddrLxDeCCDh3Wkku4pNU3ZpTgL+1P
tjvfoaNprlFWdPdGmSIHlFbllRfDmVUiXUf3gncxz+Plscop+HUCl1o/o6lyKwaRPEx2cA2qfn4U
rj2aD7LRvri+KCWIXOVR4OeiyVfIutrIPZJCXV6ls6PgbYt0g6yfL/eCw6NjyOTcFfZU39qx1294
9eVXaj9n94JkbJIJU3hdaviQgM26EYnEF4kW7swux0AlLKRzUBVuL3/QS8lqce2CWpRuLUwbwM3l
vGE8PCi4BPvJRHgg+qJtvHaduB1uEMqMHpHeLOdtrDtpgwxY1FnrmVLxcGjM3E1WTRTMt46imsgC
jkaJ9Z6qp58ahJWf09n7YQXzvFXGzvo4xjY6fSl2Pc2qmLzsXpvAq6zqyunNg7AqHYdEu+7eh+og
MKzThn7wx8lOeLo52oT0Lg2S7w7g4l0ae1AH1dD0igMnvtbeBnrjIXbY5/1nu4kTsc6aHNnM2upx
psAErB7Whdbb2M4AF0c9qNS/qLzekTcvzRzlFeQYpOTBd/BF1rgychpEhVPmj0097fQCDi9OQQJ9
thIXrqfBBV0DjlTPfqs6tBf5fdN4Y4czP7XzUMtYt25uf84qVX3X2Rg8r1zsIT7h/tN+Q+6lK9aR
iLC7JAVLP3Nk9vzNApmNzDK3kOMtsfIqK+nWnt7bX4w0MaQxUmcBahvSFLVXe4hWdeqk42py7PJt
A5j3RuRalWzaWWh3zJmYD02VhB/qFFE1ZC/qpxxfyK2YECtC2EO/rwdN7FRrym+82IlVPKj00VtB
Tqem6dj1/Ak9fpcWQ6BE1yzSzjzzZC8S90YwGBR2Fqms0mhBXaoWiswWBeLKc38K5H9XSEI9qU0l
DmXrmlfSi3NHlneUQ+gBsErX9Th8NxGCZblLZd3pcmUztsq8jRDbvFLZPBdUOUVoDFH640KSR/pV
+BZhx3wCBvAHnu6kprrV+3NljTtdC6b7edDq3eWDey5GUEj1AK7BWbSWjXJVHdShtfgso6MmhhoA
gnUlZZkhdz9cHuncmvH8R7hA2tsB7T/+tKLPZ0pWY+xjqdDtlNBw32GVQZE9nwb0oXX1Gx5jwZW4
dG4+4TaBkqISzGtE/qhX85kJHVsUPAj8YkDInf3Z7418LH3ULr/TZVOvbJIzs0mp2AKixB0FqHyR
gjaBcLTCbimqIKC+9lKr3FRV/GMmUbzyYece2wxFq4esGuzKEgLg6nPTpiX1G9tt8ucAO1VfdRtt
U4OMWsdm7aw0UB1bo0XfYQhC+7bRq3Ybzrwlwl69Ri46s7hHv0ZOzKt5dvOkxiOKjsY4Duu+LDsU
6c1804d4o9Spku89nL6vXKJnJ9sAiiV79iRuizG7jjjpNJz/VmTe1rSiaiOqydrNDhY8l/fumW0k
3c6Qo4PRRbtWP/48wn7ocruR8s5pdgOrQN2FSSKtN7BJVVsq9ZfHO/OWebFX+3vAxXU6uIkYdfDe
vjMDuwyTESRZaNJsb5Datoq2X9PpVPZlUhQ7vRqMdZc5Hmrc45WkSx7KxbVO2ZxEjwoh5dKlUfuA
wJGNmxR7iwO9wbS8ojRd/IbAqbpNcAPcdq1Z+2qTKjd6Ja4dpxNBR6pdJvV6iwYWNSVIOcfzDooN
0xAHAyK4ximtp3Jbeu4a4++7zhY/Z8femlO8s9PmYzAke+BFdyRwa7YDvjbYOmnlZ0cP9pmdPzpq
vx4z8awLb7py6M/cDChHgVUB7gwQd0mq7WG6hbXsEw12i2dkUmBZJcrhym5/IY4fL4UJ3gMLain7
QmljuQcLY6yMWTP/j7PzaJITWdfwHzpE4M0WKLraqdUtO9oQOpoRLvGeX38fFHehorjF1WwUs5Am
K5M0n3lNYPeU1P1QzuA/h3aHIv4CxrZ/h7Zb9ZHOPpKzFarmH8dlaXMXAKSG1nZshZqP3HGDoH5Z
aI9d3NqzvwCnbP0qMkf7FA8o5nvL3Fq512oYSrhIdilvYcXSuqJNJrwxRJmqT3Yz1zW11R5Xmbhv
5NZv0UP93jtG2WGQ80u8Chjy306Rjd/hNudfE6vsCI7owJduo6fN4HdLu9w3sa5ihtUuVNsLebSF
h9OXMF1FkpZgnoT8hk6RjBCXqDsbkZ0wy8+hUdYY/7BKT0PSid6P8CEnopWMxVWEblQ+fj6oixh1
VApcCLQKtlo+mZmPaaV4nTKrxyhwTr5kBqL4JzkMJ+FZOEJ/ncNBf8VxrUakupgm8UiTZbXXLf3R
GlolEEiw5bgrLThcKWjqPvPr06ehyRvdy+YiC72sl7XhRBO3eDu4Dq6vOmKcFXNqUtK0OQiX50CV
RAouz3JQMFDvM63XJOTJGyd1cRtLPX1GQisr5xkXDj10lTazXH5cRaklSV7sGr+fxJFWcTFkg/xS
PkKj/Spwb7YmPXrwSNaqFEO6fvnz0qnBaaC2naC1WjznItkD3YjmamEgv2spHoHTG/xGHaDSKIHG
y1yjwjEMKeJlfjNnEMth+1hZxQe25+n20l3f3JxNBRQPehprfrIe3t8eJqtCDyrk8gqsLn4aFw2x
10aSX4uk1L8oEkWT28Nd3ZcEN1RFEJTDLZJqwibIibo6jeN6wXYBPX8c3mTbW+J0eLZ1CoFTivZ9
E+Iekil/TdXSHbxSV4/wOjhTpM9Cu/MKNbdMudYPcZvcwemP3VyL3ptj8VnJsIuu+uqnoQ/vb892
d0C6hcRWKINx61wubiItdj1WWLKNQxXeiazoPpgz1BVnps6q1waKznb3xxk6oH4QTDwLLDIh3fYe
lODGxQOzlHuTJ28UmFfgMnGwllf7Zh2FR48KHiq4MPAvp+ZkE7yBiKnVkVLdR4ZM2VYS8Slu5/6E
He+Rvei6VBdHaB2PygZFa3oEypb0Wky0LEWMx8xoWPi+wvqlCmFj8lbMLoA7yxvUyljbFkddm6vX
azPw5mqp8WPAX4EIOcXl2s2XaAjCoT1C/u4sJ/VQ4jSw+2CGttCsydTbQU1m+tyYTd0hRWoF3YLP
l4kf6HNmHDL/rgMoyMqEDmuJcm1nb9FDUhRJahrW8V1YqerZ7IX2VkWT9lBF7NTWTjB9mXtxh752
+KjgXeqHiRZjTpNKH2+fkZ31NWh/EijB2ABPuAlhqimtpbiIYiKo+UdhaNG7xMAW4vYgV3byMtP9
fZTNoUClyGgkG8ZwiNejCxsm9VSp/Ye0HnYOz4dLH+beqacgjWhIUBPy53JOPYuOpuuEqYfTSnOi
l6b7YybjN7dSqOb4NCd0HBKe9UmWX8c2fd/lNE3AyblJbTUuaIJHsnDz1HZd696e0t6OAfK59hIB
CHAGLw9g3VdDaKlZfIeamO6OxLynzJQ/gWYafLQrj0h51/nUuoLos8NaIx9Wtv3wycqldOms6C4e
6r+tRKh+Ouva+wzKuZ+HxpuhzdkJqFH8xAXcUWoIRYC8nvQ4oLt7cPns3Kur4hoAaHm9xrfO24Vm
dyVM/+jOqfDYlLQxQiWoXbxQHcmXhUkMKJajjHLnBlpLxmgOrJgn2DWXC06KEeVKx0ZN2u61wJzj
oxP1+QcFjMBHJdZrr+ipJrqissKj3bszX4YmR+ec0lLYCshSLViUOUkQPbfKx0hZYjfDXAHwh6CP
bVFz6rIEcvr0dbJwAcnDV2FZ95pZ/yAB/rtGqjQb64Fi7fDTjDPauYKYTxq+UyY/R8go+m3TP0Oh
SBF8qr9bRtme+rzoThGeoLc37c5hN8kAeJmYytr/vFzDvi9RjnVYw6nAts+xOivAksE4KBLtjkK2
sepAA+jb1nWpiiUJ7IIIsfp68NnRKvzC2T44gLsfBagUPQQIFByLzVyyDEPCEfUjwDCLhxwB5kiZ
UO5R9MOvbSnweaHkcrAVdqcGb2NVmQD/sm3FZGhTO4OlRXet7vyoO0U5GVGSH8SE12klgTSnHPwL
VcS1uXQ5tbIJ9dQGcoDSQ1q96LWpuK2yyHhux31QRJrwSb+zE6gx6ZNU1Z1XN0I+AflLPoBpGr1x
mHRKpLrxMizd6uGeKcSwjbVgyVwId8p6/pQwHQr+xfYCzYBgAWXPKyHGNE2SsJNkPgkO4a6pInGE
A8XPfzMI6n8E5OvNu3lKqqwMG7tmENlsuzstxRbQbIrq4Irb+9BEyTAuyPGp3WxG0TB5HWmC8KEX
BCqK2Wq8fo0Kbs/lGuvFl16hMqvYD5TJbYSa95mjh1bHTRrJ6ed6XPR7IdOOwAUNCR6Seh98GIj7
ETDsUk2v6LhYIARA4GUAqM/jhElZmTWgWYqiPh/8uPUJ28R8VHllRlm5NTTkLrehGtGoj2CfB7wl
/XfQZNi9QPzy5HypH3BFT8mmeVvApusouQqohjgzpmnVHq3SOtDVD4H+sko0rfrymzh+WUp8jrNO
Cua8dF4wPHuqI8k+L3KuB0aq5S9FNa4eJuFPuhj5z1CPCACWYXqtjFJ5vb0qOxsDOT8ie0rsq8Kk
ebkokdOODYrzUlCJufYR2FLcOIRa86ejrH03om0gVKvK4+axa0sFYP6C8pMp1MnFWLG5j7EvPtjk
11coo7Ce6w3KedoyC3V5NrNCWcIAwJ/qN9U8nxOU+TxVTaazCr7Ekwt1OhgUYMXV52RYat28qRSi
QfdeLmGbzFpjTF0YiB4xqUR5qrD1+UHzwJZP+PKMdxVwVsetnLLRvD5vxZsRWjjLNbkxKe4oLzzC
lSW/AbSbX8GJSTzC8ouZOs6HaNCzb1MJmPXkgM2kbbCo+cc41tQftWZiaVZZ/Wx6y5DI33qh5JNf
6/YsUUrqcv1+aibkmB06fHhghJna+0Jb0o9Ix4sQVmPizG6Sx2HkWhS6Kr9VUmfyE6OMQj8cDMyG
bEltUrAvInoe5i55avI+/GsaJSSMJ6f6nkT9LNwshcjoqnCUXoe+0jFxmfKfRacW/02rCA+gJZKN
kT6WMbCdnYS8QEr+m+md8y5B4Mj02wJ7eZCKqjWxy82JCMwaKzAOJoT3ZcjiH6ldcwLKrE2+S6Oj
YJcuTWhRq2X/2VxmmO9wBj4r5VItboO/XnaXxmqBSWbXgxCCT/Rj0pX+xUwKB+ClYTbnGVjua67Q
GAR1pEpPSqMn4UkDvHOOe+hgrirJ4lss2eOXotLbV6ErC96Kcvtq027AWCh/yvocS8jG7uUCwFBF
waUYw9Uf1XjkdrE+ChApr3Wahrg5Qk/2m8KZH0v6pM4Zq9wELX7k0CS/sdtK/m9lZViX66OTJB45
kdEgp5mRKqDXJrVuLoXOGMDzjr4pxTLUfq8o/bt0iLP5rjEqSff+I7oUcZ1aBXiQWDFc7Ep3XqXM
LPD8KoxPApWS3EV9M3w/1U73FoG/wkbbzmCtKblkUyDC2vGTLUzpFTOL/PPt07+e7sv7jhoV5HH6
J4jDXKHOo8axpjBLwyBqkQYNYwQa+lJR76zW/PTnIwH1WBmoaGCQ2V8eRSKLWm2iHEwSYiOPVRv/
7Pqsfic7bXIQeu7NCYCYKhsE8bACtzFNGkXxMMWMRGoQ1FHePC5VaHhtL329Padr4gDwWpTJULzh
7qSdtxkqsyvbltigQRW1yDRpWKFKFq1h7gbtzEMy+7He0hoGYOzH0QBPMsuPrtZf89l8Q34EP0Am
BqY3sLnkxkoDSjeGTpBH5hKICc1aY8JzttSLT+rcP0KUxtIztEfPCFtMq2yKG71TPjZS90/kfEul
8bHrwr8S23w0Y8382VeYqLSpVh288jvfhUISlDQyWZkrebNYU20tuowtXNBJq3V0bP8t2rw/wY/+
X0OV/5NVtPPa6DQCwfVAKKBXs8mY7SgE6aOJMMB0tvSH3KA/1FuWTzVbRglCaJOrAx34831HM3dV
q1r1tAA4Xe7wKMTTnmEoTVuR/HXolNmN1HQ883fNf7GUkGOoH3Fw0XjeHCZL6XQnLhjKweXL7RMc
5kCY1OhJdsvBrHb3OFEp+9uGmgFn8XJajpH1I1oeTjA0I7iKMsytk4OP9qldVOck6Mvfjzy+J8lQ
Br+2q+K+JpI4eMrXtdvucSR0yPHQvlUpnV3+CDNKoplKhRMsqSIw4FXpqMaTHSQLHU40cZuP9UR2
Iozi6KvujkxvBbknLhT27uXIhpzHqSQom+N+PJwK3DFdPa7tB2lAWhU/v+jTXKbNSc0M9eAjX8d/
IK/wYIeqRk1Z2cZ/doScShNB3exBuWPtUCn0N5wjtam9U6kQfPNxLXbTFiU81vRqkmJyApwqE79N
zfA7JKEn4FjWQQd1dz5kIUAsKKpcCVTrBEE1BmFOoCdm/Q6sZsnOTY7QKev3uNopYO8NHhmFUuP6
K35rcxi02B0CDkYpkHIaGq0NNGUSzzK+PM8FlVf39huw3lrb8dRVqBwoB7W5K/IyPukTsBQnkIq4
fnFmRG+iqqtOZTmgHb4MeAV3Gi4UrRa/FM141Bjeu+q4TckT2CuqsW1LJ8YiYjln+FCzxnsrnpz3
amphjKgiy0K/Cw6RnExfbs9570z8NuhWYmqslBBoFIO2tCZ/tGaYPmpWngTQt/LX2dEbqLCN7kuW
+fH2wLuzpRIKkA9qEFn55cftzGlpALLwcemfIRrSlL6tCXGWu7rBKCkuPyDB9eP2mDsVZUowKtjO
tZdEJrG5AXocY0OknDghSvy9FOQvpOfx34OOu2WvYROJUMrSuEOhq4GVRsVDg2avG0ltHoSdwR09
4+GMONJM88T6YkhN/b41OvOdusBrz9kiARxP81zrDoARmsQBoGn1XlBcA8eHtipycAX/dPXyLPLo
7fbsdrfvSkkHkAeeYwth1tOpjMuRFTUKKcNqGoDOY986BPJYI/xIBDqqmRLFj7IVaa7ihM2R3MrO
/UN1l8dFp+BKGWpzs8fNYpFt8bx0ZdM9y3IinpPJ7p8bS8+9RSvKZ9kYclzGMRluka7Hs7Qe30vk
cX6hZLJvZpa4z/vJPo9Ii7kzVtcngXcTneja8AacB71uscdHVVpkd0RyK0S884zKFjqSS24+Jzga
n9C3kD8Z9jC5bdVavoPI30mOWrzVVeALE7/FMxeMeJEYRDVN0Wgt41pFm/vUazRRdBS+aKDqcVff
2flSPOt9Mn9VlCi7v/21dq5QlA+R+wX2QOFrG0TLvagluWFPGd1qk2rjaSsnsXZwpe0c71XqnQ4V
itf0MzcbPs6NJFTtmoDSkKxTlE+InVZK6kdNS6lozoSv5l0elDwmwe357cWyK1sA3U9ubxKTze1d
JsowDgavLSDO/B7H6Xp4hN+s9p5tTnKICmc1fxNGqtxXEQdCjTN02QQWuTDBphlP8l7/C5/i/kNX
4YKAsbokP9l43mKgprUtEsyJktzHmP3+MaNpheWvTCbupdWXbnMzZXNmS0Ja16xQtLMUic6zVFy+
m7gufTy3ex9/buTmSCgCyemPUGd7p0gDAsp7t1b5tuDFCMDHNDclQVoOJnNWQ93tqlacDSU8uIL3
tiAIH0pFXECgP7XLKzhpbQsZPCaqJEMUJDYaepEcyQdb8JqyxnoSvK8BkAHW9FeT6rdnfEryJG+X
hgivGcckUNoEf2QAmgjwTYRqwkuGdPjQNk302jrG8jCGIhHnRBIJ7Q/AgORA5dxhhjo5yYfbm/QX
VHLz5K8FMxgtVJQoLK2v1G+/rXQsKQ0t4QRjZ/q15HybUqBpcp+fisg4V2X2OJTinRNSI4n0t3yU
/5sNy3M15w9RU+HLNZ7GKvEMGUtJCuNVp3mZNZ0lpTypSBlLDmzsiA3Ta4MP6aNxVRRJDtZ35yGl
6LfCBlCkpB63SSASYfYZmHg7IEECGtmDT8mrXvda3XhSnK7zrRVJeLBu69bYrhuNffAK5MqrY+fl
uolZzvplMXH2tvr2Y5ikxosDbKKg6D1lTLfuHLcEGfJf+M7qVyC6Y+O2vfNdaihJufWQzC8zIj8/
QsBwja9P03NKdT53YyNJ/1IlBYHLGaXULyIzuthtSjRUvTkM1a9ZmCpHbN6dh5MVpHWCqiJ4p21e
MPVo2MfFbAed812IfHlE+ja/LypgZfaAUnMjY0ca102GozpQ+dtLudOjXbWZDOA6QDAhFG9eTREq
oVVBQAhS+sGuldaPStjiq9t8lCOb1rdSBFIvPhSO8hab0k8dboWatEdSvLu7yKJ1RH706/m+/KAK
cshRBiItWCLnHdbBa/1+4b0skujkhHXnWuE/tye+d/sAzyYdWqNA4EyXI469QCKIvDiolBHpmty2
vDLmCro9yi/kzHancsPhwQC9GCbz9oQnMgIgPc9bF83fIO3aQZE3MBlAFPtqliduldEMr2io3E9Z
0ZyBqPaeo8TGJzucIK8mln5nKlF9tyxr4zYpxjOt7PhpRrHxETFCLRAV5dvJjMU7VN3/vGG5iqqv
mKAVZKJvhdVbbDWLttLsoB7U7JEWnxrI6ti6caQ2d86SSs+RJE0HV8rupyFGhvEMJQmEy+WnoR6+
IOix2AGVmZQKZm26WlkbBxHC3rGjUAm9hnYlWZ56OYq5NFWjhaMdCAUzXmguJmXR0QnqpUw/GUbS
PuG75jzmxWB/aEQtDobfq4ZQBFl1SVAmWMnDl+OHzVA7QmL8bE5R6CAcI5bMkvsSZITXhbHzwRLJ
SBQwLq5sZVTPzV49+BG7K73CvkDy8TpuoXVSlQC9Gqh+2LGuuHNo6ecOqTP/9iG4PYojb46aAV5x
onJuB5LWtE99W6AY4Ejdv5kLeDkFgBnAcmwxL95SqjYzBZaWrar0WA30iuVHNtof/2IuYFmQySGk
Bcp2OYowMi3X+4G9mcQRF7L5oUAN8eBS3tuagPAgmEGMWTXQLwdR7aJDMpjbcIoL9UXYS/JucQjE
pNlOz5qw0GqbWoQf6lI9OaDNDua4l6fS6+IX4M8EGXHL8g8tLSt11JY5GrGFPFHaLPC8sx5zg9q2
v3Wmk37VtWwqXUyV5MVNZEPKaOdGtf5Axpk5LtY9VYTLThH+7Adqbq4jlYPtAzSy6HUUBsqjysw8
orpUEGlrHKihZooNqJfVVvWyYAwXeVrPn66U1WsnxXLyN67P6E1zRPvt9kfdS1OItekbE4PBp968
gaAy4mqoBTFMCT0cYrFB9MCrAKdvPKfk1KdO6w1vkq35w+2R9969lVVKR5E7CEj+5ZfOVLU2aajz
Ci1R/L7BDsKvzeyr0jQf7N5+iy0MR2+PaPJ/3D5Iv4+42cC6sAG4yLxDaCn7tFF+CEtdzlCFvGVc
pIMzuRd8470BBmw12yQV2+zkuumTPut5ZcWIF3PelFPtVuh6n+oWrYqYyOMJQD0djln6HJud8zCi
TulPmp15vd3/XSvWHzsCwkbmWV/pYCAlwBNfrnjjSHYv0QQJIsTCzkWhDw//j6xj57tejLKZ9zLE
TRStF+uMKMEdauJ6gJicSVexbd9n0Zy8SPK/yKeQ7rJBMFHUIu3WLmfG3h0lZ71mtXIZSQSW2TPX
4sbt/XOt+8QCoqOzatz8wvlsNpCJEaFSAlWkuKQOr0bvxMQree1PsRKf2kixPzdpNwdzGzZ+q8/a
Q6kV+nf6j8MLDtjiIc4kyVt6YBe3f9jOpUkisKJCyZ5lioqX00ctVu+GEoUavBYbl0uyXU0myZR6
2fDyLKd5hoFvMBjaF1tuhk+3R78WkXGQ0lzXBE49FG55syw5ichCMyMMSBmHxnPSaHyOQ2OovAQS
B8pu+Bv6md1Gb0q9aqesLPDYTSTJely62sDaEcywaxckKL5E1/iEGZOIg7RMxHoWOF1uZgv94Gfv
3HywL8mNVxYhwMjN/WNNqiGl41pxctTxee77/KGW6v6zI2LkRQb0UiwKX4HchuaB4sFOUEA7gl4x
3GYgI9veaiYrFM56WPTUjvq/lXTqvXRY7AO69s4ovyCQnHR8uoCnXG4KJxXpYC62FSgz5qyuY1da
6xp6lR/cqtfnHX4iQMuV2MUtty0ny8JqtLIdrCBsHeHLUha/xWmTeoY+WXcTaY+bO2H2dnvP7Qy6
NltAFwGFWUExl5NjO1ZVpmBdoodqW7uL7czvS0f5Eppq81RWS/GjsaYjk/mdK52yISS6tWCBnuu2
zYOnUUL9KbYCxLOjBwqu7dtsUFuwI0VDkpN6aa1U4bvGAXMyTabzDr2JKihNmpitTfdat6o/Txgo
k3H0qWWuUNctJiju7TCyW80MhBOKs5bV/R2WtvXp9nJfv5yMAjESGTdwXYibXC53JfQ4wbvMDHC8
E+eGeMJHesJHiG0iSSmPtEePhtts3VZz2o5dZQawgEyvlavm5AwgeGWrD301Gf48Suf4k+zRUVst
sH99999qUYmQGmmRZjOYtKq5mzp6sKKSxoPY8vrCYZQ1QOeOxuxx22VqWlPD0qE1AzNUM18L2+l1
0CINCJ7EeHggP1kgDrwlmY4kXdb1ugx8KDSCxebVpyhMw/vy84mocnIxVyZ+7ZnkzaJFhlgX9X2S
WcNRK+J6KKYHnIMFhTi0rWxWAj0VAkgjSMpRvYeWF97LU1anB5fOzoxWxRhsMujeE9NtQhlqBnkE
6coIRCxFj1mSqucBGFFQ1lZ5cFvvDAUNk0bNimSEhbV5XPU+Rp2giCECJ1KJdN5SeziPOH5VLkel
oN2hVmG71asMeNbmO8VtnLTN6OhBYSRlII0op0ajOt4pkAkPNuPOBYonmCnjerECArZwbBppTRcv
uh5ge426URYiuh1Hxjt5SbIvSqPId5TsloOvttOZYBk5BToUXEhQW461rJA0YUetIX9KElyPSNtN
FeRTYekPg8ga9McH/W2M1B+poyUfMg0YIV4wSTAtjnMXZ4bysCA+4ZtC74LIzkRQtY3sdqjfPFnh
+Pn2rbezRr+KZMTLuMchdHZ5bMhIQpLAhV5DrttcdtwNgaeDRDs3eRifbw+2c+eRd9J+Zm1WnPS6
N367g+jROTZ6QXqADbr2SOhh3EmzNKBziAHKLOXjH6P+CbOA95DtIokOwvJyvFFUI0cYRG64ANts
FLSlcjtPDma1s6N/8YgwdF51DLaHx0qHtK5EwijmrL+ZjphPkVg65P65zm8v4PqDN5cciSzMbppH
QMC3MFUsyEWhpRZVwblRXkKnjWCxJ0eh9g7YH7UlbnG0m2lm09K+XLc6tyYDqXw1wKxYepAcO3xr
s6iiK4XwReYmulSe7Lqa7nEfm/7Jy2YOikmf7hsEBV5o0RiPjkk71EjqckGlRQgEDZQM75Ukdnsr
XloPUKT53hDxHPzpAtEcppy51nw5fNbmIuu0uuzMylaDzKDILqrwh2030b8ZZNX+QAwUXdRtD02p
l7xHe1cNpATrg7wv229mVBcfb0/l+rBgk0yahxgRRSL67pcfQc+jLEUCjtIyCnsufZjYW7qONAEY
BeLCyZHz306KczmgejmgNML0TifTQh1B6h5m0ZTULuP8n7HMkof4KYbrp/SDR3pmoQ3Sk4klUxyg
IzT+leN0BSXcct7atqxPVkKNkxyyuGsrBPZur8v1ceNn0lZby8c0VLYNPy1ZakB7lhXMSVZ7dU8g
WI1y74IF0A4+9A4lkrHQDqCIy33FU3K5JPgWOWC4sN9OIqQQoZ41vlKWiifV6RSERUWlHNXne7kq
Wx9pn9kfMl3yzKIuDu6Y64PPD0ETf63kktBtqX26Q4YG48MKcCQbzmOIJLk2O0fFo52iNcPAJKAd
AGHmCqMUFYtoQ9rXdB0iOP+Qlc5RGPdubddkV0aFXMiMZKPAheyxAg2NQqSiHHzfvamurpprvxEc
3RaXVaYxaQ89/yCOLB3P1bj0NLnX//gmJdBfQcbAF0gtti1GubKVcjVkCpJutPxwHudzWljF6fZe
XUO0y/uaUSDxojmzyixu94/cNxMsGnWltFmAAG1lOiuL9c8YWyTdqgLjaczyB5UY4CD02Tskqzr2
WuJdxV7WH/bbS4ukbBeKWmcRl8p67FojPLWhwCpcKY6G2runuJ0IvYGYIgm5qUshxa9J1cz3Gvup
8IeUjpaiJCmuyh2PuqH/eSLzK0WjRQSCdiXgXE5NwWGklabRCkx1Lu/VPhGuGGL7IHTYnRX3+3rq
1wt4M6tBmVfg/kRlobBsj65JRRqeFOckHz9pUy3e394ovyhiVztlbcRRqiF83B7whLpfDD6Qkweo
6VQW9eSFTq+CQZ7DQI206H7RBlpIVCIArybTg4o3JKSPSpzzCT1eAsXOV+ROv5dTDdWIfBB+JyV/
w0RUn+nkKUB+jfKsdEr10GXDX4uAXuEoYBOGMO9fisLSTpAeIhdBkMhXsMDxOwUcSpSGBUj/Jb67
PeG99aWKRnC2Un3kbV9aq3utmhcqKlIj1ECILAwoOzAenADaj5pyhCldP9h2gbnWVm9N+gAoxF9u
m4wGoBzGthnMXVkgz947nsU6+jFWDF4UaZXbQo85o7lrnkfirwDmCXryYxO/JPpon+t+0FwpWubA
WPBhEb0+erMMk2Roc8VFgn147vGKeYp4H+mb2O2DE9rT2TaH0e+XFew5RvO9tTiNBwRMLl0HNeFz
1YT4I2MIobWo1pql7TKKbZYTtlupcafOWvpYTmgL/KdSmi5KmsYKshwCZSUt7YNIefcWmoxfbn+c
vWvr97XabP5KqWP2GA2i1lFrt+ly7bPRGcpLHaaaV2M/dIcemeE5gKa82yPvXP7guVAec0h5KSKs
2+a3e2uKSkdvrYRreTDqp35CW10RbXu+PcrO7Qg6jicdAcz1jtyEVqBkp8yE3RwMosP2URjVOdHK
p8mY2oNr5Dq9wo7rt5E2uy7PNaTORcQ1EkWGp6nFiJMCIG1pAXJkSVjmNrLU/JtFhDtBDLwGqVtD
DAk+R1e3Ka+OUUx3hVNJ9AzSIzzz3iJSjac9tjaAjG2hMK7jqNIrCoVZ06NQI0sFAluj+tBJxhFm
bncobosVQAOWd2t0HEtNEhmKsAg2s9qvHfUDbN/03JagFG7vjJ32BynPb0OtG/S3DVjmogeza5qB
ZBrWs2PFVdCGZfakw8EKJiesvkml+JnaU+eaQx0/JDaxXl80llsLuXnsC/OHAPB/EBP9Hz+L/gfC
YjvUnW4onKTLc86FVsjynaVgmunPdqmqp6SUTdeG+4UsRTLOL1W+6I0bGnX7aI961fo1zmNncy6B
nqFzVH/NOnk6Kp7upIxU39cmJ/BgLIi2okGoXPHxBz6RHptIT8RBVU6Pi2N9U5zlJZZAVckKCYwO
8y1O32v9dB7U+HlcEc99lryfK+neVIrPpdF5sya/ay3JGxcUS29/3l/B4+YVWINoeNq86+TPa5fp
t89LqcNaWkGR15akkP52P86PjhENpy7pELHCjCfI1bY6R/imudVSjme8vWqf6E6c5kkbTxLC96cs
n9OzJIT+zunT5ckcTRDcPBKn1FyUL/+BVKCA5TYwHa+wbpYLazyBztBdeD9H+LwdgBcLT8169ThY
CXqbcGhe6jmyMt0MVn3uH3PVli4qMYOfyjoK5eHUeZI2qHeSmi/vY6cAOugkpPB5bpxpTx+yx/cu
cPBm0JARBlnJBpcLjIvsNKepYwbxitBomxwtHjXS74xQR1hNLOic2lLi5au2uSzMf5qhGKBPi8wl
Ph3csZH7oIGMeXAlrt/16rtTEgAQTfbEtX/5sxwJbIrgyQvaOHziYS8+mFlUf+gGNFwrWf7HTKzq
nENcDbQFYb7bu25vTcg1aFKhNgXfZPPcqOOQpWYamgEJz+wrybTg1JIcuRzvRFSU9wH1rpQyIv7N
09kr4dhSwqVdVOIxa4T9+FTM4pMO2+CUds6f43EgeWGRBarQIsvYNtpXwkGfNJYZ9HFoncJJS/xa
RUD49tLttKMYBucFnYoq+dNWuipvY02RRtokRZb1LmJAwqNw/GVRa8ef+e9v44xwRNMYD1pUIrdr
P9uS4cf99Pn2D7leXYzSkahH0AeeFXqWlxuoUVvFjMSoBtMs/iLlUj1DgsYbYU0PsKroDvbr9YvH
cDCfVitPkzLWpvBQGwP+vmahBvoiSb1LGaR3B5HHj6pZ6n/czrgca7s9eRkQMMwoZ4Xy9GSaw9+W
ihT/v1g/bHMQ6eX04Vx1uX6iDDOjMcEXzjNMS7t35JM2V+XJajoyK2s+yu/3FtCAQrwuIvBzfQ3M
frvoMZadV9irEkxW1bklqmsvBEPFqTWU6XR7antDUYaSSfOpzFJDvxyqkHN0EVCoosleyKc+AQgl
dza+U1aYHQy1twvNdVpcIhD+tk085EyhQSOGT8Kk6y9aWVUPqJtWpwgw22NYFfXBNlx39eW1ifQ+
qT08i5ViuEWqcV3PWZyUTG2RKWyNFKdOCb6X5C1dfgrlOvcluHX+JJyjE3B9aTK0SqUbPindoq0J
H7DpRG0joQTYtTd3JT4cboFNy8GC7o/CeUasBw25bfFi6aS5VuxEwZNW0b2up04Cg//IHXVvh9DJ
I6FBPAeK1maHVH1TocTJZ1vF0OEqzQu+hRVWKHrdHExob4cALeHlJfwHd7E5zCgIK/CjaiWQ01a4
aTSZfhP3qh+Rv7odVNiDBGcn/gDkqmAOhhiVgXDSOvffDtqKNVtGCXVfoXTJe8lG9kaXI8PNkKI/
5Wyg2NWQUfZNJ1TPci0v97pa115TWK0XjlVxsGOv58/PIYJHDGWVJts2AMKWZIvWrBxQDzFPc2n3
YNEyrMkgP54gDX3/07N/OdzmWSjkUoHep2P61toQeeQ6CUbeywCu7MfbI13vVHBHHPxV94S4bHuh
tegB5HnBSKtqxZ1Th+NJKEV94LhxvVNpiPHyUDUkD4Jfdfk17bZALbZ0FiTT2uI+MUQUFIAY7ykg
HTVKdyaEYxUyQ0Rl3C6/UKq/bZwWKGCnlsYSLAaCw/jc9J6MiPNBQrezHxiFbplNC5gdujl6digb
PcLAS2C0cU1lXjyHWfhOGVqTr4Xsyp9+JCpDwEcgBMAxv+qmVn3IkmmTGvSqVgcIewgEZVrp0+1R
fiHkL69lkGjo3aMfCyyIFtTlV3KKOo/INuWg79tQ80Z5Cr8thWpofj2i/OMOUhtm/ijChXgWV/XH
FKBpFURNGfcP/JUxOpWtGkt3UphVA8KEUvM6T7b216CnWu0tpbX4MZ597+p47AscNxawwJ3ZNajU
FondvqlS/8NIh+oTXmGp4oZVv3xJl7AZ/4e681qOG0nT9q109Dm08CZiZw4AVBW9KEe2dIKQYcMn
XMJe/T5g98yqUFzWao/+P2ZjZhUSmUAizWde48u2hxKZDIpOhyIbi+Jt4o5kUKWWNRoiwAoLKm+B
vk5O9UktRg2+mzGaX6yu5/aa1n5L+Ppsna4zm3weKAp1g5W5vlkBuDrRM7UHdT91pTy0U6qSoybJ
59dHeUE2i9tqrWfSsaAoslU/SAjroaIhOh5NCn3fdEzuhFhaBPRQRchurHpWMngOwspCrMwaKKbu
IO+9rDeouUbGfJMq1nid95F8K5c8ghkIzurcZlhP/+OFw7qh5LU2VvAH2oIvFkhPBW4TkoryhBi5
XScB/Q8XzeHRXaZwqkxl8S1Fd9VDMxTYpEeRB6S3K2xrpA4ymjL0wIVeUxKJvlpdm5arOZYsLms7
MsoLx5NEV5lsDLANabezOgeZUKOp0680igfvEKcWAySIyC5+Z+AcCSXLhZhZgb0SPmmg0HwgCHUT
mF0VXRiSKiDMZ12/g+az3KRO57xXzQkHMrWRogsjB8cwH7WyRASoTfY7TUesJNAiy5v8rFIH2F2D
3t3MWV0EGXxVmMJlLr52lsATtFMV7XNKaHebVlh0XMzlTPUGSXJ95+K4VQEZAakeRBl6xH6XtOYU
Fq7VDzeGV3bkqkaCXkpCO5JKMGX51xfUaegFEofQFdQCiCZzC20c1TzVJ5HPe2OyxfXKaQ2NMSnv
WqkAaCm9BDJ4J97a+XROePZ0wzAy+AwqiKRcJ0wLXOppA3u05ltLHS50YKmh4YrhzFp8YRTybQM7
DmIGB9WK4zOM8NxUxoyDWfbZiJTsgla+Odm/DBDF5WDd+yv7kpB5c59pVuMgzCeXfVzJ9NoGIxak
dun+H97l51E2QVfeQBU32naBXNT0YdnM1d4z4HO9viJO72beBdAHURYThoLE8YyNbj4qKF8xY7lo
/KpNDd/MxRLEnHBn0u5ny8HNQQGQDqwgZ6ZBxrtJ15qiNYZm1sF1mD1lmWQqi8eWfLS9KhR94URQ
iuamm9RYXCt5C2s6MUaMSWJ1rhQ/MxTX3snFlF/rOhluPNdMooMZzc0nj7p3ErS1AvethhSIllfj
Kb7XLj2mfZXQ72QEZzYcGi07V0V+YUex2tYaDMURDujNO+U5jkIz1dH97Obu1TzKmDZOtxJrVV0E
wu2UnVLOVOSTxAlf/3QvLXYOTSA7CH87gGuOP10hxgwLlYxPF5tqWGTQ4ykhq/+XUVbE4Ap2c0my
j0eJwfU66ezOe1JI6qxWOYaKEZ1LzE4jqpUYQKb7L2TK8Sit2paQGE0oALORPCzWIA/gFItDhQBQ
UHoIz70+dy9wLKmN0qhZ6z/gBbch/bjYRdvTi92XIJ+vC6kPVaCly2NsRAhvs7n9qSaP8GbNeoAt
5d1jPl4fHLCSvuEO4n0rlu5SreIB7ygMHJRBRf4trcA0jXpzYbYNuUud/TClmnyCPiTOHEGn87We
PpymxITAFradZLurnV5tzGnfmtq4H1uR3yRzan+IrEnH2Le3z6QkL4BW1s4WnEOEKVF+MNfF+FNg
TXAzRCi7TGg+eSC4szS+SpMuupp09ZM9GdkekRIIJGgeXpCtlYFWmf1tWhtnotSXnoOGzZqurJ16
6sHHz9HMUWarkxwBrIr6D2BbBeQgun/3VR23fyoK5SxAAmMpdkYzzu+E5rQOBmLOV2GO5TmpitPD
k6x41XojDFy5kJuQeSpSi6XxrOZNT9Fonf7GQmguLOdC/+XbALgQxSBu7RVRbm3uHCdLcBkqGGoY
xvjLMCt92AHfOZOpvTS91P2ppBEbrNzyzfRinOTZg12Me1oDHxHViYJioFs7LwjGTMXNIq2ryRnN
QNGHS0tm3yjUnAPCvZD8k2STjpKQElsDij7+xPpsOUMxJyzrHA0li5WEKZ8evy1Mo/Gpila0Tzxj
P4m+DOQ4d1dRhpdDlcYyKNPBPHNSrAv7+NLiaaj1kVGS8VGQOH6avKZoNCjWsC9T23hfd/USjn0V
n2ETvrCS0HhHTW3tedLn2FwjWuNCj+gYRWn0BiH+uPsgFxxMfFUxujNv9Fw9+fmVVsriWqZcJUlJ
+rdVsHGEEk483ey1UdWxbsskomaqnqRIGacJIXPcLpVf64MhIWeJ8mKwq/660Joveln25g4CdEZC
11S5CXovXkq/j43xoRWDplzhQZe1yCUUAnoHYfJdJ5PhwUHm50cxVJgCCVxxs0Fl3eAXZZ/LmLb3
8fpulDA5o9ZuEQjd48+l1kIxEQ/DzgbE2Y7U0/08oc/8vce2Z6/LxH1XRFbxxVXy+NKsRufWrJXa
R8uZ3luK1nVtDu11Wzr67Ge56vFSmnMBBheYdAKx/PVbaLu21oelikyBC8zRiho4fti2rhU7mvpm
P5rCCZJlcQhdxuVMiLe9KxiFBYWSCTV/NKS2nfvIaVeVgKzZgxyDKtqT6BRJXflROn8RoElef6cT
xOc6HOVx2GUA8Vco3PFLFbFbYnANtGnscm9X9vMc9uZgh8rq7+wuVgeosjHemVNiXqgqNphemSkX
ndV8y9qR61SPu53d9Z2v57r086VtLseedhMw1XPp0EkHnGfV+b8V2oucNzCAzbOCs0sGgtJ9ldjJ
nTM36Y1RJN47XdrtpaZUdNekEbX4UbTVe1iZ8/vMqdauyQxSJTOzWg+WrjLeLZ55Thz9hbVBB4xW
DeoWePJstdHFjCu6VZfNfsKsHTKfkezzKj7n7vDCdiEKYhToBRTotnUMp1Exholq7KjntrhDpL27
xXJqCPpUWLd1JOxb1GjzXYK87plU9AQWytxjKICZErBzMOFbAlZU6mjw4XiyL6zyobQrz48NFTmW
Nlf7D1NjOHdRBw3W7KLPdW6j0ZxP45nrbnvqIidJ00N16UTALKLQcvz58f619NExhv2wYEaetnZ3
1bRUsBDUOCcy/uJQa6dvFS5a8dfHQ6GEqqTSRW1tyd2nLp+Ny7lKH+2yPkeHOJnX9aVscgJyLBID
FGKPR0IxvCprpxz2TYR/pZpgzuPkufHBntt41+QItkyI54XRWLQfc1UsO9P4ZUoBz0BuvAZoHhG9
sb1h7JjZ1gav3y8u2AsjLSXXhTx3fL4wp2sG7pqUr1X8dTdzmlmLB30y6iG8ihw4ZRcFJEr9dUkN
4Myd+dJQULNwCAaVRGl5M6lJByjPqeweBEqhhpoZF1dVNTdX03hOEm+7I9epAxnKvqDbgCfCZk0u
ljGNSQxgIXFUEcQKfaretfKLFrdl31iM7j2mr3IPVuicueKJfdg6NLJSlOq5LOg7bl4S7zajHeu2
38fp3GMdZmi+VfdQ67249bVkEdRrE9F86JI1B1eXg92DP+u1tr6eE6++iHRyXLabtTeMMsdb3lw+
NpHIzuQ+L32L1bh7rfGvVf71739KRQZ6QFECrHSvjkA6bITqD21cDzsgw9aZz749hIGcrFBrogmO
CHAQm+SXiH7u8SRv9p6s1WA2CYv6MTp3ZT5rqf4ckDGMRXmM8umKeoOee/xG1D0BmMRVvTfMHu1v
IKvzF0NlFfjx7LhXEzY7cGOw2bwrpq7DcTlJcE8Ss95qPtXtLEVl0xijXS1sPSwS02jBAjoybKEQ
7Z25KPpVQD2qD/UAqd0nfzc/a31HD7teUiyO47yrZhLZETMG9BDrq1mX+P2pacqxoeI27M/e2AHB
ytq0CwpbuD/4ReqTZfbyU20acRxmQzcI+tRQ4/xFptUhKwaBxntU1F+jzEpcX5jCAihkD0Oy9yIL
TQ9XaP07a9CwaI2NfJXtQZhfTcrlY5lHgL3IdPw2Nc2QXl817MxMVSAMKKlLicWuu/tx6TCifz18
2QZLfAq0VNd4YCV9nl4JXmaOZmbV+6IaplA18vowej4WTbWWOmfGWs+nzWcnKKOyTx5PX8fefHbk
Q2ZQ22W9B/3ahqWnRyEKvzl4Jfr+taNEIXKg5278557e8aiw12x8PLnzYQlsE5q+hv0J6jvlDTsF
5GhqFnlY2u1qYj0s3lurKbyeTuuYAQOO+GvED1v1u+Uk+BIvM5SV1J6jL+jzLONuttP5runzyjqY
leySvakjfhu1kZ3T7SuWejchpz9f2l6bvp/h8A6+kkDw3qWNjHRfYPuwi7wEGTWD1H0KlMyYsBgi
L9RDet/Q751SxhCmY1v2e2eM0xwNCU1FmN5osCLFN2xads3Y12VYGjWA6zRNix8RIqLvjbFYLszV
/HJW8cpiMLP/qLDd8SZfBq/ixrCgoby+fk6KnJZHyAZbGYU+Ll9iy+O9LBqplkrd5RRE+KiZktGS
Lvt+uU+XOi9hnVS5r6utIdhNeSIvpKwNSUlNKl+WAt2qS3UZqiejX1Kgg9RS/b4sEXIyU5WcK2sw
Cfe7YSlomSyd3GV1bZe7OFOX5gJdOlwdRjFX5f3rL3WSknMssVBWhxiDXiSTf/xSSdIbMu/bdC/x
VYazNJj9EpqG0txHs6c4WEimXh3kSsK9UUCma8Nhqr0iqCc4ZbvKNTUK2FH1Vwj5H0dK690//5M/
f6/qGTxuIjd//Ofb4amVffv02+3Xuvtt34sfXzldxH+uv+TfP3T8K/55m35vq676U27/1dEPMdLf
TxJ+lV+P/rATIDfnd/1TO79/IkuVzwPET9X6L/+3f/nb0/Nv+TjXT//4/XvVo8/Eb4t5+N///qvL
H//4fT0U/uPnX//33919LfmxsCpTkX7/Kn57/1T334r0+/Znn7528h+/K7b7BnsK1iPtEapI+C38
/tv49PxXjv4G6VuCG2ouqOnxD37/TaB2m/zjd817g7vjSqiGiwPxfiU0waJ9/ivnDZXHFfEK+pFl
TiXpX095/9dp89eXYlL+/vNv1GPuMbCR3T9+p7KzOQtpiHEDwj+l5kTevtWlqBUag7NRgGmV1Nmu
M/xs5z20y2nZ53mRfdTpH4071+ywKsK/PBv2nSPbxoepV1x3mlrpoUFOX111VjHzDz11OPTaJAnr
+yT9uiD4bYRLURk/6jLisMhZwdhx1mb/SWRwcAM8MGg66zKmo1o1aSsu0TSt7BBujPspFRpWKSqe
mnMwSAMOUipcE3gp2odlIJwZN47c7tz8VhRlx601jJyhXu9g6Zdm5oy9UkX1NCjn3LgjrbUeNMgO
daD1MIdx2pgU+hdL59S7qHKGJ6+3HKqaipg+tmrqlBc5QcOE4p9tDrTPyz7Gh6Wjoal4ifot8bzo
RyYSbnk0gHUzHPRRfgDmVNi3QutqL8jVqr8dPQLyq0wulDZA9HKJIipYlmypBcRuR1UIr9K4m6nd
xkja7yUQpvKO9bq6ApeD0fuz2gMt0rCoQaxL9O39YC3xGI5yyb5qtBWRgrT5yaA1xUQOb2JKFBh2
pOiACRAhDKtJ9smXRAr1rYK1IWf14lacjqZbDnfjDPnl0KVj+4jb0tBNvifQk9hx3TfeRQN976Pu
TbkZDKlX3kD6RS45SqfyNoLy/XV03Oytk1vONxTFzA6k+pyrwVT1EGC0OFuF6vo5o4ToyYe68XI3
MGpX5aaZSMHDJFKMb4szxciNTNnyKfascfRHJ5pUX7PRo9o3TVJpfobYRRrMwBwG2k16TQfQgMj5
LnNgrazH8mAdFqVqjCuTgrmOh+OI/kAFpgqTFUvr3itZQWmKhlJ0W9Pj4I6rW+fJLeqluFuP3fdy
oHF2k5kDlnk1jjN5uJjADAMPn5QydMsJ7EwROU55XRGujpdCadsGT1IIlKHCvpBhJ6c6DgqkI2kH
abjQB9rQoIygNnOihH1pcdvXiEBGB3TZzFvTLjMZxBK12wDnSss4TJQCS+xi5gq3uarr33cA3HuQ
1M74XStHhAVsjhvTj1V6AjdCes3nTJd4RIGPjabAk1AtfUdvXStQUJ697M2u04PeHlUnbG1j0OCA
CdRpIfYBt8WEuPoQjRhg+w3EZCTJ41XdbUZhzP3cW0rk7jSqb8K3plx5lF2bFH5nTcpDmw7jGKal
Yz2446g+esNYRngB6cLhi5eWybaKWK2p49CxmZrvHh0DWiOZCr1JZOncsP6Hb47Ih3tlmog65oHe
E2yGsvyzLavBC+ZcJ7TGA0H7MMryaY7atj9M9jKvWiN4cvuDB7QIYyciVNdqy6AoJtpVOV7e3+VA
ZSUgAnFv6hhdfsThGraNA735Y9Ln1h1Z9zz6s/AaLSQvKPfOyutBs5fi5a6jm3FZFrxtqEm5OkjL
qS/Dqs7pcVIuq6tQt1qK4Iom85oGmWsieme20AE8s2hjjh5i4101Fc5tqw4aur6OBTrJmyjvB2JI
p8lfwEAa1zqWumFTqur3Uo/6r6I17WVnjYlX+K4JHhTDs6XXDhNV3U9mloku0IWlfbBYhPWdvSqv
IVVu9Y+qTWrqxxIUS9Dq86QGBS3FOkwHlq4/mkmm8wtHEsmUT6CFVhzH36ABm7eqzK0R/WIdM+12
yGmmgy9UG9+tlCremwMyf1itG/k5ENc2twPjBFYFUZ7VXsQg6juOaWwjlstiyXEXLbW2i/TI8zV8
Ws9kkCflmHUYminoVhEVoiazPsZP2areqkmPbvS4m4ivJO6ErWIHqmQzEBRmt0mmtoGNRe6XMU+s
a20Rbh+acjlnWbi+zc9RP5IhlBOx8sBSFErtFrOQdLTDGttodnZValdunw2frTrrPjWpMAkq/h2C
vHCZrx2R46HQeYI7QmcMrXTqa8dvjH6jp3VFWu+Kqgf1CgADu5ZcG/nKpNGudtOSYXhhUuoNyg0q
/wk6JMvU3fNj/FJ0+D9GekfR4f8yhvx/MDpcqYz//jRr8HkUHR76rz+emOT66eeocP2Zf0WFGqEf
rDYb/DAFNJoD/44Kbe0NXxEe3srAplG0cm7+FRXabyjiUMMk+6BIxY/9d1RovYEGBVrdBOVDTIme
4C9EhTzY0UKiywuHfq2+rDhq0JbHC8km3vFmY+hDcsjHqNUXIF0yDceJ4CDRz7FCnlvYP6/bdTgL
RT1AATCmCZaPhyNqiSoYC5RNItP2qc+5ckcAPH6JAXBcLWPXjH7qZtrkWzEOHFU/1ytm3dAu1XyR
qm9rqYo6n9Prn1sdta9URMr7LB9yFSiKsV+gSvttL8cfuL+JoPJaM8jAjtoHJTeLS2s22gMUe3AD
UePq4CfTK5zdxFVR6PpHnOXqOpikhzLgQFtkKtVLpevyK93LgZk0ymFEj+jOdCLlbk4nNPgkavTf
y2WuqV5EQ/5uTBLs3AxvyN79tKZe2O7PBeXtvFEuYfWQV/C1NsmhAh8M+znmTZuU6Vs0ZIsbAha1
vnekuYHegAfw7WlwKm475Qv/nwk72Swi6StEDwTOWUI+v6BOJJwJ1zyHUpAgv63iTxl40cDLU6pO
SNK0s7+IBTCf1eSAIbOhL31iLm2noRT3oxuGLAO86tlXY5PNl0WTWY0vhX0xqdIqiU0z91pN4eGN
s6HcYJBDeRoIK7/J6KondWk/DragiTwoLYWPlCT29Yk6EXFigZF7ASAHOQqhcetKvCxtUWvUK0N1
WuBkDwX1VTeWFORi1x38WcvqGxiWykEbbV9qveUvfbyTSakGeqrp10Kbpg9yVFeBozn2h66HAJmr
D0pexocSN5y/TtCj9PrnrOwEDcADr4Zp7LyVMgTs4nhHgHofUc0oJGWpKPN56OhimLw/0jaafMek
k4fpFi7nk5qEIqUoXS6edUCNajijJLbuvM0KWyEB0FT5H3o1mxUmC4t4y4pluGrV7AgKjYDE5hye
6qTK8fy6qJVxHJJjIjJy/LpZ1jRukWcyzGPAb53VTqE7tVpYkFEEnTSmC9Sn7B1dApdKfBxd5V0G
Zauy40Arourc7J8ef3hLr8qzKxEToY/N41hlJBwAo11YIKB/o1dFfRkbFUopyZqdRMlYvlONyNJ3
opT1V1CPV4CV9Gv89sRbR8cyeHAXsc/47Yk/DiK6Hfu2+VU5NPC+nJoIAAIgdMhQNuWuSTaE+hhg
hsu41p699HbRxJUk2r/qXUDH8m979F+61v+XF/bxJV8/iQ+yfXqSVIr+Pyj8rMim//lq36dZ+vOl
vv7rvy91OlRv4HRQwV5D2r+KPJjTvUHhC6IcfcG1+sMO+vs2VzT9DTAy6s9AXOAEQmH+93Wu6Nob
FEGB7dJr5qqDK/Ir9/l2g9GpW5GfJtL5ABLW+vPxBmN3pdLSO/NhNpr5it5W98eQmMo30bXW28QQ
y9vcLmcA2G5/p6SDcZlPyRSMjV7cz5Jcw/9pyl64ubbn2/o8BMRQtjniQPdsD2Qli+mxjIrzYOqZ
cSmpYINKz6prc0Fug+SOG0qpBK5/urvD4AVJcoWOfyTz8kxLa3PArQ+CgyZgp7XrRvl4E3pEi25E
wuu1h0i0xS6JE3R95uWcQsXzZvzpHGUYgD/cPBzpoKTNbWQ+Y+MagXSMHpSoiAPTMnJKCuoSLIlj
+3kkXbJbeQ3bYQn0bhmfppoENKJXc2lneRZgMwWTXUMpdQKcGdpiiS/dMYouBEnaQXZpEUblMF3b
BTjBvEaST1OT7hOnUymw0M68Ha54zS42cHx//UtuIU3Pb0a8CRt6tZzg7D5eWdYs9XIwTedBEeK6
7pXQSts7PJdvGmH5rSMuNFP49mwhPlkFTZIidDWEZk8db2oukrjfmYhAQ6/xKR9clWWFtqhzMVXD
B4lyTI3Au6KjjK382r3291OvqRJ9IAo7m6fWo7gyRindh0S3mwvkronV6qY7Mzmni4tYnL6uidAD
t6jKqfBzBlpOUWW71CsfZgtBeoeLwp87Z9q//gm2XJX1ZQBlgvhZDX1Bk2yGoRJWJXqhJ4+A99J3
vVbY8aGtJ2y287jo3rUd/JQ9Tez0ARX5vgo9fWxvE1cFn2nnpmh2stVHejlFE/f0Je2y2pXeDNno
9ed8YTZQ+wBMacIRWGOx49nIi7bosAuMHmidKFiJSunrc3dO9+6lrcY6BFcMexXpgu2Opo2u0s1Q
ogcqt9oFUqH1daOrNUbjACIysFNB3WXdbnWRPyxicvEPbPQPXpOLzxY2kaEiLDVAJyjdz5X4AdTW
uxgnsdxn0s59OxlQtOht48arsa3vl2EJs9rW9nNfirBCi+NdOS+rnBPilK9P3xYy9fyZwXwDqQUU
voIij+dPlKmuUzqPHtSoGK/amTex2/kbN1B+cG2x6joVw76fasPPmhzTS6dq/KoqTIqfmn3Vq7ES
WGl+7ixfr46jow2yByb1lDZANtJhWvsLP5VZrAmgep/JGPdvM76eUnRBCkU1rl0ML65nhLYDjrX2
tiuRPXp9RjZhGtxzRl4zaCpJFFi2EvrSWHo7TbL4ES7ljdA8+wMGXU/Y2iuXMkPK6fXR1nhq+55w
AYkKEa7hbt7sMgvdRMNA5eTRI85GLAlSXT8acUDq2oU18pm+njbGxeuDbio66yui4euARgGiSuqy
TsFPkxtXKz0RmdWHCNm7uyStnUAYpgh0U1R/OAleF7MpHulZLgdrGIczO3Z9pc0rU07CnmUVSqc2
vgkxIYnmnUxrzq94QO7IxoBdrURQzPk5oeltb/z5RVdZVwx+UD45QcZigqlZiFR5D8rQ9nDKms4+
xEIbvw3o3Vw0xnjjjJDwtbH55nrL/C7qtYulnSz6086fg4qjAfK91b2R6l8ohi8XSmN+Jq5y9oui
0z/R8wF9CaHsCzP/Mze99I4CZRPQUgVNSO0urNKovbZ643FRZ3VXe5n051k3d1qP5H/aVcgnuqBt
Fk2Ndvpi70ynv6eY1mIApMz+WKXl17myvECqlrys2hGV4K5WQq/NugCuG+4k2nzOLO+FFUnbcC0I
EUTS897svM6xJmOoJ+dBUJHe60PR7MoyojXflMsVfmuVjyvgOVHJF1YkwHB0K1UUUBh8kxFmVqzS
7Le9B8Oo7JtpsI0QkoVygf3ldFnNsxXES1MjOWc5byPgAWc2xAtLcq2iEkLBfiED2uxCaamzIYuc
dZIYa4del/e1Eb/Tyqo6Exlu68frkgSPT4AA9p//PkHkp8i8eMCrHux0Efcu1dLQSA017GxEeXRS
wX3utGMwujNGfkPV+TaY+DM4ydNAeXVoXhUSwdnhOrMVm5lK2oMKZiEPmBuaYSsdNI9rrTnk0HZg
Shrtlb4Uxo0+Q/+IqVKh31IlF53aJGcU9144bPno9Kq5wNEH2FYC0nytJle184CXUQH7iz6pl1XV
XTZb7+VyVsnhhbXtsrDp3rDKPG3Lv83m0RwE3ml0myakmwysJzK3Um8UY7YPRTbrd6Nn/3j9sD0J
UHitVUiKy2y1QN3GUWMxtoupje5DB3ZzN6fiK/ht98yl9bwrjw9VRKUpeHBnQoGitnN8pEtn8Epc
5NLHSoGsXS0NalW5gfYqMoXvgYx3F5SDpqu4bLjPcF49JJquXNWpJ+/KBg7AoIz1uaW+hrubZ6IZ
ww2JQQTQ1a1cZaEKAXm/I7TohdjZ2jzcZMO4hFqOQ4O0ZvWQGMa8iyiNhk3qjlfdqI2HRibz7vVP
8MJ6ByzBJYCNFfEEWeLx7KDGW9CHBKDrCANJtAKcjlfVw1vS1ugLBl/DDq8BcagQVriwkjK/EsOg
0cBM5OH1JzkNawAdQgnBgphnIUk/fpBsojw/RU2KcXOGlSueotrHBkfklEQ1gT+/BnzSb8s4eZRu
Xxlnoo1n/PfxJ6HOj0YRAR9g7RP2nzlVTTx4w/AY5c0SVLVu7DAhjgOAGMhtJOmI73E0PDZp4QZR
vghMv73mgwsn7jGLzAmxxaH7goZC/TY39fhDP6sYVMqiveoW7sJBdOU9nq5dKOwE13A7coDWT+1F
U+j4G5eWdsjwe8F3V/XCrGiHcMK65EwV4PRIMaFUwYim+LFuic1OANiR4NChlo9NFYGxQDn04GaA
AqrGGw7dpJ+Ttj3d3yTWBKorFYMk/CRVbYsF9l7CJy0pnq48woOhwIV4feGcpmMQeygpoPSEiC7b
aZNb2k0hisUzqsfZntEJbawrHYQhMcIy7QygNmGzTP0OkqrytrQA1TRp92NMdfV7lhfppSvLYg97
NX1AACI682yntycZOtBwDnGyn5MoCzlERZa6yB/1FFCOiKs8rFpYFCpUnDML+HT/oMtGnEycwGiw
bI73T2v09aRXunhcZiHux7aqv4EDoblc1uMh6dz0naYDLEy95Ww1+fQ0Wwui3B5snPXa3IStCCC4
3aJ3xWMKsfZDDM7VN0Do7VRpz7o/jdW3LNKMgMix+iGjyA7RsGuDuNO0X17ga7KGaQHtZ+Bd6rog
f4reG4QTAexZ4lHRcNzTkOb1beSyHDQ8USs4K5ZzWovhAKQaTGRmrrXGE+tGvSwyoZfiMTWW6VFa
S3boSlVeS6PLaHg4w7tGG9noZavuEjrfB2UqGx944+rjAmRTjSwyG2wZdyIplau0nohsstHwrSKN
bzsXs9PUtq2DVUK8zcqI9trcT9cGGg/v6mZMzyyh0xiAU5ypW+1uV27eZvpiAP+RhmTcY4dExEcU
UNu9asa0uJrWOwx614aLlbnnIq41jT4+eKkawNii7k8Bls92/NHKynVTQO7ZI5dlfh8VmnNVRYN6
yKwvrv2tVUW7K5Vsvs4WsFOIjP+iKQRhp+UQGPzVxKf2u1m9ndTV0csg6HM/yhCl6s4fMTw8M7en
JwGjoE/N4oR8gKvY8VvOJZodduPkj6ba4eeQTMN1ntXOgY70OQ2rF4daRfbwf+Zrbon6bWI702rg
+1hUVQlwL0KAMzM+ZeA2dmeO3vWpj7+dTW5u0kzm/CVq37yVlyq2Av6sfBzjVaSX2gB2yE134YzG
6Lu5Yh/6rv9DcWqs/uQs7/t8An3fj8mutc105wlvPJNCn9450I4oGECKhOsOa+J4ntN8wsU6K3ki
vMYOJTW8AOO5c4n66U4B3rIqyNEs5PW3JFZHi7QZZ+TycXDr9GZwkCWr3UlgzJKUF57ZW6EymeOZ
0+3kuwLYpm+BlpvhApHbQpNbFlWxJO78qDjGU2+1CapZub6b4k6+P/NdT/YkQ62SAWvmh8D/tn2h
Ym4t1bxaHvuySHeg2Icd1VTK3/h0XMVLrPkoMCtBYkz9jeiXmMqMWV6+/hAnXxKKMCc5DRlUgYAT
bb6kvsalbmTqj6OjZzTMQUHmAFjP7MuTL0lDgh41RWPQv0h2bMJOykCNgHlcPw56mwI00KwbdZrH
EAEHMI8ZfWDZ1NmZfXMciBFh0mhiXuFxrfVj3LaOF2mumWPbu173KbbsG63P3nVjNvploj2kovzz
9WncaPb+Ndgz0wrky9qMXx/mp0txNmdZanXcfyoXqy18R1qwgO02P+DN5QSy8uZD4Uo7xEfN2Xmt
Zr6Ny07sckhSl1wyw/Vid3GoIsDqg+yeAy0ZugMi6m1Qumm+a/t5eK85BWC4Ls0OLlbth8bqrKDp
uunMXbEBYPAuKz+dT7XascOo9DbnTcqWA/u59A8IHpdXpZIru5g1cotZQ+m7TYrh7zzisaI05a6K
qZIYuB1cwOwQvmkVzoN09HSnmma9E2427FybOzQvRf6gOoU49M3Y3rGk3SvQje5OdmP+QSGAxayn
cYCnrvRYJ1Wu6WH8OWXedGhEZDzqmdME1Maz766XmJkvpwaBDeHkQGNldO3GgBSXxNJ2aaHW+6nB
L8PWqCu+/pmPd8tfM7MSPFlaaxRsbsK/Qo7a3LhO/zB2WYKQsjT8emSo10fZxNrrMKsfJruFvUIj
Z0ucg45WetKM1Id5cHXeH7inMwkz7Idq+AO1S/x80PLcN61iXUSpC7RSzilhT5H6OvnHTVe25b7t
bRnOhnPOfPV0DgBR0XVlXbBvqZkdr3Q3Utq5pB//MHsQZkxt0gIaXt6Zzfu8Yf770vtrDmg5o5BI
+4e4dzPVAoEKLe0tFTRu3IczZ1hoDn3r94VZvCXa4F01rBJ2hgHunXlpvqi64mI0sFJGLKwLFqu3
gwh8YOH3Vn5Hm2E8852Oi4brI1I+W/GeyBFSxt6y+ZADW4UlFe0hzywLepHmBko66syJ9V/sncd2
21q2rl+lXgAeyKFzGwBBUjlYomx3MOQEYCHn8PT3A/dWbZFSice3c9PpVY1tGwSwsNac//xD7xlY
zG2Dyog2nRT+xLPwlGHz4UH119VBExiMMfheZk+H76EMighBeajuUnsU5501tm4cglFmEbFeHy/I
NzspeBU1K9I8sFE0x0fbd9CWc72Eeu1oJrI11q7BijI2h/OuhlcZZfmJB3s02N/fGy00RRy24dhJ
HXuRakx9R056DYgeaSFJddoZ3K/yBiJoRnTqWKzEBLWWwb52Jkmz7qkEwa3nLkluk6Q+Fe353u2D
KWBcDkPR4qA8fNKwyaSYh6Pt4qGcVgDghgvpzHC1hIyLHMn5H5Ugf989bSZcKeA6JouH11NR9oRJ
ZWk7NvjggrqQNVSMCmw8OTv1pJev9fAzg628nMlsOHgsHJPtcOBGLNGxhrumsG4wQsXhbJDuzCE0
/VkfrOtILuUn2SKoQUtTZVs5NdoWW58AauoHteAtiO8achQbaYWhZF6EGvzEgfTub+Qbw+MXuge0
k8PnYeLBU86BruyGXtXvdS0fr4amwOu+7EIsVPV8nYnCWhX9LG4/XvjLk37zdDBpgYHqwHc2j96E
RMcU6rmjsNeRpDYk6rCu7bn+oxps/74BMOTFr4rYF8Dhw/szrFlPyLTUd3YbIQqxAVCbCFnFH98L
y3chazBHNhmwHV7FGiOBMDI1dg1Ypa8X+UOt4wL98UXe2ZRIrFqMPzXQL1Cww4soUl0o9jAteqTI
PAtlKdzqXYE1oMjlu48v9c670ZHqo6bGO5Vq/ejdIKYAE5u5VJtHi1SZUWWuZd2JE/+dtQdmy3th
9TGsPJ5U0HpFJgFZ+i6m0NnMoWVtskIYd8M0JBdTUY6XhcykWqsxmP74/pT9vnK0+lBHwpVUARTh
XByte1GYreiJ79wpHVaHvhxIU+AL9KvPRBFRbEUcKponKaW4iONePNatZN+DXFXnZhbbPyiJq6sy
NZ0nJQrr3IPZGjxLeSPdhSgpbtoytRsos9a61WVm6qIiEc/LUzF/z6ZIGJ5syMnz3E654ptTDHFW
TUxwAaa15aUzq+Faq3qIx9qgJKUrSrt+JiAcCFKKDfsi723DxwE6d1n/tKNTF5TRCh3CWMNebo0f
QRxY352qrzW3mTW8K0OjnTQC/GLV09CHxavU6PBeJ5PMrC7qFAjdi+1afta13vop6W1p+OM8kn0h
Mtw0E6Wo0lUYJc3nCVL3Z03vSp0ZXhHcBpiQRAVuV16rTbl8Vre69YPEZAYwcdngUCyXQ7wRcwhk
LAgfKVdJUAgSNxKU2oET9zOWvEp7iYNimbsVYHntwSu2vk4Dy9LtatVeR3lMtnQ8adTKREQ0s9+k
I05LVaGl6JnNdlPWAyVM1ehzS7ykUT+1iQ0GVTEBj9ZDNXCcGmOQP88Z7KCW8Vh4lg8qzw/bVe1n
P7aAXZR1bL5Nbl5XjPBQXOOmgJcLIqrELRxB7lFsFjUn5BzJ8VaVu+Bzz+NPXTPJ+13YS+Zvp0sl
coREcbO0KGfsqkp21od5/VMLMjt0tawsEm+UelV2GzPoHtVUkJhGX4Iyv5qHZNMqbffFHm1jK9TR
gHKMq8HPJErnS21sKqbMpdVSmxUkjrpzmxN/aMdTdF0pMHHcTkIO7pV6gMN2P5eMo/V8uq3xvLWm
UVe3k6DZdvUOo1Y3G+vpS19JquXJWaicp7BVR3ckfQVSAqbhvZuqQfVVZT3SIyut486ZghWrhYYt
djOYML8HYqlIQ4xTKO6yPGtPdlkn9wHOSI5bi1i/bENZTlb9JKxkpZujfaO2ZeBB6I++KOinIMbb
vbkO21x0i/liY5wV81z8/vhLP+yO9/s/Jz1UAKZnJH8dY2PS3Es9MCY0Os6Wx7GYoLfhAoc14Mji
dxN4XX6X6/H648u+U2IjI+LQXyxzcM887spTqynHKDCCnWkPxlUVB9WTQ2Ro4vZG/buqjQAWSCf8
kEHeqhy6atWnerANM1W/sw2EWqpdQkKo6P34JO3zpNDiEyfj8ZNhlrjYtjG5XJKiQPcPj5OuDlTc
iJN2lxh9fJ2ETerbhPd5+kyorJPoyj3lyCl39vcuiq04+zFZKDro3uFF4VBDwuqynmrXEp5QLdkr
QnX25cifnLXV5z8/fg/H5eVyk6CCzCiXl2AcU436Uu2mUar6XTBXm9qmsx/FFMJ7UuotVKATB9pR
CBK5fUulwVHG/A/YE2Dx8PYqPTcRwRj9bpj7YY08r12lsFlvoiLut4KTwWuMJvM1J65XbSaCbUSP
5wW1pnqiFBVCkBFb8ih1fH545eeMGj0sgoQfxaK5cnA7Xs2LSdfHD+mdlwJpYale9kO1Y9qCTr6a
ExnxsEtU4uF7NL63SqQqfOy5slWrLvCjAdfIjy/6zpshM0bDfIGDf1GuHz4qkJchbat82DlVXW0n
4pi2PQw/F9bpsBJtn50o/N+53sIhxLpjYb8Q4nJ4vT5J20aLmnEXhuZ9LNSKGSiOOEnpnIf6dCpn
avn1r8sLFgLmPDYA1NLF0+IdXi1r52gAoRp3TS11Pm7jIeY39akO45174n4Ak6jeAf/2YNMrYKzX
oGUnYzXuiHsbvN6YsvN2MO85DtoLWvRTH++7l7N4Vw6WhNDajlY35ZpshbE67maBgBaeyegbkKDP
Jqn8CfD0t2XEf5S0vPMMAcng01ClAfwdsxeLEdFwMOfTbsA+eA1FuVgXVqg8/vE65HRARMaDVJYB
+uGbyk3JDvLMmHZyazwbaXfrqP2vcBp/WSMmOR9f64iQud8foPZqbEdMlVHKHXUjYWRbYwlnZJdh
VrRSE4EoypJmn8A4fTNZGIzhEyy5kt3HZ30fB1ho4iVgRXnoodLUvFI2kO9QI3z8u447CwA3LFBo
UIHnWav7be3VOnLiVKrzSel2Utj369JG3tVKsr2VC478jy/1Bn5YroUOceFK4X0Gl/7weTOSM+I4
sLtdRwnuQtWWHqooEJdDaZY+4i6oCtoIA9TpQ092lAlHpabcoPtNz1oq8c3/ys9hXwCpZwzEDPTw
56RKAUFRx/XSaCRSLlSOXggaw3UW6SNWqmBPTV9oUO9h6qnBqK+ybsZaWcmbbdzlwwnK1Buoe/90
CKhbVvxSPBw9nbIvstBqJeBh+NUXco/CwhgpZR1oCCtSLGJsI7J8I0+kTpU4qF6PceBsKhvRPRJ1
GaeD2rfmNts4THA9nDPVm2ZObd/AoeK6a/L0nNzXbJ3i7OFB/BsJ44sSt02L4QRBaPmhhxsgrp7g
CosMDEX13kPk1ZLqnKzvJUigOzWdhUeiCF4aOi1WFKG+tCMHs1pGCBe60Hcfv9G9AdfxlRdXH/Yp
zhbwwMM3KvdazQld9Du2jnJFXzc/QEqlPB4t+bPWC2fV1LqxHoxq2jTqmGymzPkai0C96+ayfCoM
YfkSJaGnh3K8AQvGnTxRDL8eGHXbmiShRXBYuYberLo60tdm1QcYRyBbnJ2oeLTTznYzPjamTvHi
xVZ3FwqMQ1cj+N4vTWJjcZdJb8mPbzZVM00n6rq326YOIQshMIAOFP9jMgk+RdBlh3jaGfYk1pgl
DjSesXHi/b7dMpAN0x8z+YaLQwt9+JSnupAHXHbnXWgUnSfVveVCPsrPqnaQTmwZ79yQuky1yYJi
x2Rqcngp2YRfYLSyvOvgcW6aGQvQ1M5OuYy/d0O4+OFmwygNu4Pl8Hu1YEOGsnTiibKD8GK7KHwr
dy6dWztTOv/jFfr2GIUfvaTmmbwoJmhH33iiWTXzjwr0vVe2cqKQSqNkd+VknJMtpp94eG+/w0Un
DSEMGiYA35utHWRXqYNG2yVmgvdTOMkY25j1lUyA6DpohbydCrl4SuX5FMbyzm1Cx4NDDT2Swfrx
A52luqOHj7SdM4TWQxPqz0okyz+l2OlWWFgNJ3byd94fRQlEYyatAPfH/t6NntttGU7aTs6wrJDr
2NoQVJN5qmR2jx+/QFYEi+Fwj0HOThkEeIR9MWP0w8WimGNYTyKwdpEdXjRVmdt+XLfhZVsAVqEH
0a2HUbQN7luJZH/GGgnO86D0WNkgvczPcY+DU15MFKFdq1P00gMZGviAncr4fhR5RF8vi6/AteEj
TuVjuW10BXWrptO/esIpS7DxLBNuVdt9iXB6jDQP+5/BBKUga8DXJcoKDlFdm1y77vRza0ise+iP
nF0qMvOGSeOuxZ1rhTq5AO2lVIWSLm1LrDPvrSBrO8QJkYFUpervyyHFDTocePCuCi5FmNccqV/M
QtHGM/I+lS+RXt0P2L7UrqG2IoUwJKVfhZ6IbmMjNWjdkKM0XRXNBIe+jPlt4dhIZ0tWAwkqKU4B
VmnRDndye2cIqPhgLlOvbnWOsIeOQv0n42jpdhizufNsqwwepylxHPp3Il68CsLWuVwVlFOL9z2l
sJxZrlHXcPJryP2OF4FpKRw5aauTMuGUTBliowNKSYBcvcQcxrupkgHmUC8vWdAiTC66tFWgMxYJ
/ouT9J3dAQAOGVjJfpqaWyWZ2ffV0hzQVhdJhAmSKrJv8IPAYhbc0/CKaZa+5lBAH+qKpA6oXLGa
uyknJ4wgPKQegW8HmO9Qpz7L8hhetFKYbuopxBJKtudvirVYijZRjstOlOo1oJs+zObGhuop8A2a
2tE3G2SZj/kcV8GNMThzsGS+RdeS6E9aYL+zl6CdgU+BUQiFyvE8QwF7LlHQzLt80fhbZrklk9Ne
t5EmrSe+M0LQU2VlyX/m/rJUzdjjMiUAkaZmpJM//Nqq2CjSMZKcXTXCN53kxKRGPKmNeLtfLXJX
gNdlIgq17eibLvU5kPqilXaUZ+059vLNRh0Kgq2NKvLxKDpVCb/dsLge9S8yz6WB048OnKEIIiu2
e2lX4he9Cop4xCVAu24QGa5P7VdvtisuxbgLwdMSB3G8FSsB4tCxtqRd3FjRReQos6+AaK5kq2W0
U2nSKhROeC9w0rtp9Tb/HZZhtsJYS1sJs5ROydIO2ZZ/vU/oP7jCcjgs8sPD98mkr6NMUPGFms1p
1UZVfNvUwXSOJoAUbRyO13z6kTvroXFemyUgJ6vba+f4FCbwtrLgucAzo4CBkATv4PCHKLmUxKQV
hE+DJCU4n88AlUEXnEAe3nnRnME0PTCAUEIcy8BAqet4sFpzp0a4epELFPlEaKkbs2xPudO+c0MY
x+syCjCUF28Ef4FhTlJBLsROpJ1+poY5/mERpPMT6+mQXLV/geYCo+xDdOjlljt+VStlzpDYfYKi
R1ejADuouLnAna5ZswVPPsHsOaA+4Y8YziluU8zGyowm6cT48Ij3v/8RcGlIwIAMTsVmHnVuoqpx
yg7r6CmIerj8jZUHl3Q5U0b6g16EkBeWY1INMixCnK58nBHSkpZqSfaj6khIRD5+KMsmdFgSLEIX
ZCcI9DFXOS67cTmRscgqEDVa9YzTRO2E1VqdS6NYRVIQa36Zdq183lShE/7xpRnScZbj+bgI0o+l
8aFqj2POvrmTFLNbxcysSNecHY/IyK9Jo/1aUt38j+92QUUO7xajAWexB4BAzFGgHa4AIXWYiC3q
9GqctF8pVOBF2dBUu0hP8cINg6rXGCE4eDqaRqwmXoF/sDhR275d7ciX4S7CfIXACGHy8EcQdOHE
casiD5YJDdRb0ZzrEuqDj2/1HdDm8DJHCNFsQjwROK7tKqdkUmVaWOaxdVxYlarcWlKW3iSjXT9m
KTxYtW/nFR2L5aZJHF2XtYnwr5uqm6kS9okW7EgXtHwBnIwcjQydMfNB9HV4/0Q/KnMXy9JOIhR6
zR9Lr3SZ6UuG5fRlas6OnyBJWsVxVnt52KUAuvP4TVKrES2yECslHMITzed7DwvYe9nnYHnKzMQP
f1NdOcEc9uMicdGGTYIkxQ+WOldK8WVupp6RCxm4m9YefsEgdm5KfTBX1Ins+aOuebpNaG3r2MP2
45f4zlJREYWBbXHmOmxehz+rCELVZMLEGKjXBhe4NCOEEaO3j69y5Mq+fyN0jkuxQmMAyeToQIky
1I1jXKIjkDLxIFWz9JsU43LCQllJZTjyivAiRsmrsNPm3BVB3m00WRCDVkaacFxVb5xbh3HvnQRb
xFo1ZWy4ihjl2G+D0TqBNr33czEa4MGgbwGtNo72cYXgdjNPbPGkTYl9Pc+M56QpCa/Z3XFSmCHI
aJbU3DdREJ8bEwVDNPXZOeGNCQ6qekOuk1xuZBMNs9HVwnMwKO/cEaLCiQ/9vVUF5ozrB9M0/OqO
7XUm0o36SB3tXTnNtYv7tAkeqlbXOpL67+EY9D+jsda/FiH+Rw02ixed0YwQQFE7Ll4ZiHWNAhwH
vOjPqOrLG2fDhUjF2Aq4y8J05eAo1GfRSboYnV2bIKU08iFfhboUeGXhnEqLOBJr/HUtirg9Umvq
vLnDa8WSVkWYRQa7Urazs0StQ6a9zeChozD9qmszTxT4atbRNG+a0Mg2XRqEN/AGBhTLpr3RrHzw
RqWWXLlHJdhgTX+egUbcVx0+sykVzGNf2e3GcAYZRoTMvxzawnesTvLCMEt3H38tb79JRmV4bJky
RHems0f7atlHBb75UfKUQJ7YDlZknytF8fzxRZZncnhQLUQvak3SJNBXHT8zXQ9wOiNL8ykaVcfF
vNxYgXuS8acQk/fxpY48w/bvh8N/7x3JJgAJ9/D9YECaT1IYJE+lEplu1cnqShJ5fYlDaevLfBtb
iZrqsijrGhPxUT7HtLYHUuwUNwJ+8klnMm+QWuLdnpnNygpF6DeaE2wMxmOfQ3k+qaFfeoyjpwPe
Dz0NIz08A45NTYBu07DMZ/FE2WhCeA7i9Es2jpXqOkM/JAvdpLqBW1E+GR1HsSs7SXrW180IQUaf
OsQ9OumJYxFdDsEUPBjY8EYuCbfZPfvICAJqzMmujwLnbsjK5Eoa2YfceQK08HO1jO7RVchI95MK
M3S104JL4QSYNCtFi+dN2DTxM/hmhlEfXvJPCYGvW4VnbK4cgnY9i3/i3E5w1KLd7rPPtW5Xqau0
k4JLJx6sKai5im6Kj1eRYDz07U2upN1XuQqJz4zTtj+lYHvvcVKCsf9DGl0K8cMF0BiGlHIsiicj
VwhOMLJ6VYJKfR+SIvK59p+y8BfynA3mxZ4IhxJa+eH1pEBlHqZLAuGPaa40YnZXNs5Ino67rI+x
63gCYzsSuC8rnJHmMgBEWcEOdMxeL0bJwoBVtDh3NCrAzWQ7T1FnTQ/90EeVv2QjXSHoR/ibpakE
5UeO8e7p8zQ45QD5zsfmAG5jasJYnwmDc7QZ8i8aTltJ/RPASn1GLrr+UNiDsy6H8txEPHRO/WHc
IhuQ3cIOf+AJnV7GDvx1uavrMwweQ1+e+NScUcGaWCmaDbCo8MUwf0MnlJ1wD3qzDUFw5HiAjUBv
RsD6snJedUxkMSRjKlo8EDKqxxh4K5ndIfu7Iv4zw7X/y8zToEy82mffGKNun+M2fm2ftv/zf/un
Wcon1LlwLZa2C2L6i4eahIca6iZcUBZmNcfMsnz+NlFT5U+M5JHtL7xcVABLY/lilG9/AglYKAns
iEsRZ/yJhdry9f2zuS4BREg9APgxrkAig3bu8J3Pdq1Jgx1ZPoJzTADjgqSVOLEdPC9iPXBD1Smu
LKZkv8YmaW/MsSY749WTuv3rWq9NIQ9X3csvYARG1eCAtBwBZyqmPkVd1ZYf5kWyriuNAhsw0VeT
4EQvcniW/3UlWlCmqPCseH5HMxoDuUSQyYPpZ4pSrWRqx1WEvf6J+3n7RHmmyAFQHu2Bm6OWPwIe
L9RO130Jo9abupgIcq2QuDdsNK2sr1GzttsKb/Jrc+yMp34s1FPErsM2f7lRjgvshzC4QaWH2v7w
pTpWXllCYPMy1VXDNK8xr9IpcFZj2mSb0TTgbMIlPdG9qPuN9XAtEX2LygvmAEQPfsLRZdUsqFK5
NnxC+EToFlEcYSqrpxphXRGA/rKN1eFZWysDTvBOhbE6gWnYyjtlUtyEraQ/lrM8TC48GOMyL83U
oAg0q+ckbsEj0iLEME/gUn5RKTMMv1LMyYSLaK6S4oM0OHFRuM6mN0156Lj8UqWFThXpD7JdZOMm
NkbVwrsN2t9PxCUSkF0p5cM6UIbgMdJi8YWXJe6tVNO/20mV9OsJKli7zYSip55ZOeZ9ODnxN3z9
DfOuNaI0e9TZMRl8G3TOW7uTzK+hMQX6tZY6UffILBlLEQKV+7WdJ4rqIXbD01xus/7Jwn0w95VR
d8rroEvRc5sWXujTYos+7x3S8V3XdRdHdJzTi3pxUc8XQ3WzEsoPbTFZl/d+68Xeez3Y+7DPOlpw
r9r7s+tKb10x1sC1Hcks4igSXwPdxdLKCKGYpyku7ywKbZ3v3d+JQ8AJvt+7wqttq5ZuVgwVhN3F
OD6viQzwzb2fPOdcto5ti0EPmME8uGnQGdf2YkMPIAthVskWciVgi423UQZVtlbgImd7J3tcPyHl
4D2rr2ZHERt573qPIzwO+CYfSrcZ0vIXh6byed575fejIChQXSz0KyfWI/KrFmd9Hmd/m+O2X+x9
97FY1Du3to0IP/7Fmj9og8ybkRlua2noLT+AEXyXtlZ06TSm86UO++jXUMdZ42pgMa1r2bP2JSW3
cVM2KVRUXbIvsmSy+gshOfrXijSRW7XSChImGlU/zzvHmlFkaerVODp24M6z4tz1FFv1yoQdV7gK
AbPrMME/aVWoVuMH5BmY3pDL+uz1tj5cj0rUVZ6ejbmycrA1j5lJSdGuTProrkyTVPKpWp1uGwY2
DMC0SUPfFuh8dhmSI6Y0YYyr8XnXRUSWlDOcPigoIpgvnWQUwAZYM9zHllN1HiMJTvCiSWi3xlrq
PXViWLDqIO2k8PSkeV41UWEWW31Iw+96P5m6mzupKF0V7ZTptf0yjXIK8aO0iiVvCFeczF/CJgpP
zUxJuxHa0AbelCNb9JOxwTtHz9vRi7Ngvicko/hqExHyI2wLYIKxkoK7qQBmihKBR6RilOFj1Vms
cTEozS+rsPNbJ5Z12cPjT9xNsdKGvgjktF6pcSaatW1Ixg4ELftWq2P+m0wPRF9OlfbfGuyEvyuh
PFZsLgpCCmPITULg9SSTtyWdanDTpzUjGQZ60JSgidEbiBRhjctejt8I060lIKxI+E5gfjq3Zm9E
7Urtc9zCs0DD6yDvQtZgZhSZ18TkwMut0LDPszFXXiUdbiquWUnyuIpUrHFdouYUdR3LBUx0dSA5
d8kamb9WyLkjt0/b/NkIC9oUNWoLsc6zDsDX0SRVWxe9SopsJ+xaXcWMXpi9dPWkYFfdEERfS3Ma
3miL4R8emhkiDtMuB1rpXisjl04yhwStchBtFro9WBXfDh6NShU1rqPkEduAHKtsLr09Po9dLVmr
pKDL8eWx5M5aS5NmnL31kHxHUWvDCpabHJ3rAabJXjkILSeJxM6f7VDPbmdWb+QGVaQyHK6L+QZ4
P2eMaffBDyBtoa/53LqvaSjJD5VEzgNfhG3J7mhYMNprWR3A3ESphCtsFmtEBjmaRRzG6sRZDU1u
PCC3aK1tXmiixtbF7ovzoWtZmQxyzceOrlG4pZzbmReYTaKcONUOuyVwDKZeZAMyf6GVAMY/wuSg
6Iyiy1PDl6rOuMN2slAC41zMaXmvWzyrj2uh966mIdEBb1icxI7ZhHMxzIXZCAMRa8EgWUVchRDA
XvdaqpPs0P76+HJHVODl7qgfyWCBH0DuJZ5Uhyd2DQJfs4XgvjSH3V2EqWfkRgZSQk+unblzDZGT
kTtEgqgkIU1y/qi2NtB527PwfZJamnRV6SaiuBZhwxU2SxhfFqEWgtH1+TRcaU5I5FGVSs3kkVoU
t79yTr5TuXdHLd9yH4jyGF1BMaUqxlPj8D7QI3UxY2lMdTt0E57eWI7yHcJcw0E0J455Qa00qmeV
yDCWHhW5IYBwViUUtOzWf/s3/lF/8/96TgR71aul9qYf+vz8HQjs1z6PbAkd2//xl4wI7ZOqMAzY
U3Rt+hte1t/JYSb/CaNE2DGL0AoMkV7hJSPC+oRhClR7GOtMZJnm/NMQ8Z9IRCEeliYbByQov3+Q
EfEmbhpPPHgPtFjLiJ127Xgt4XtqzWTtrebWkTZTYm0JBnRcuxt+q/PsNsODWYaNx6n3owmVM4eQ
hjNpLq/RLNmrYq4v07xXr/jK16mk6VdG+3X/JP9oed181D4fupT/1+Lslqv/eBWJ9/evWV7s/66g
OsIzPlpi58/ZM0F1r1fZ/m+8NN3mJ2UZuC05mKgd93EjL/l0RNfhkIR+XWaLBe/4p+1W7E97oTNC
A3TnTK1o3l7abusTjn1LA88wYmFeOH+0yvZzr4NmieE38+DFutyhjVga/NdgiwoU3znAVMR4yBUR
WIMaP9uxTn8wcBDR3BR5uWQGOMo9ZmJJR45UXvWrOZF6YHB5qlpPl3ucjJhpo3yUJQUucBfNAYlx
kXWJYadGgqVjitkfNZKjOhPdlxWnuJ8NXT895s5CwwlKYHVvanrw4NYKcx986DzCfuB+SoVWehUM
msk1QzsV3mCko47xACM8Lw3GiboFxWDoz9CoA9BPQ9tlqCAx4GIke5kGavGlShcaVxmY/EAcyW/s
tMh76EqIpzdQ3hyxwcNCuW0GOXO2kZaNO9OW0oL6rZ0rtyK4Gwp/NegSdTfVuEtdfl2ECpTgXlXG
X6HijJTkVTY+KsKWt5i5pZknz0pyxv8ljoNaQnlCSq1+RxOAGbshW/Fzp5r14FZqEiqeEWKO7Led
OgqfOaW8I1Zbf0qaOIu3AyfHdyuuqgt9GAzLj/EDxW+5TCF+tZpIxaqbbelBQUIteXFhJl/AeXQi
1MSk0BJ0ES+nwZ/6S2k11FPMypCMz6rcqG6lBMGER4iC8x2Mf+mbMwrsvJBEGvo6nHvbrxHVPReS
auduRtD3FzXToh8BOTK2W5hlcAPrR4HoRWIvA6/Zab8pACeaO0PvYO1Yuj5fgo2LLxJYqUdKqt2D
H8J0I4GtNUZStKT4W61LJfB5ZjS6FwNq/MKUdow9sgAwAuzjWqyZRsZfejXQUt8Mid2T9Ekz3TFQ
h3yt41qvUoo6Q+D1QYRPTtD1+p3ZaGO2idpoONcnfWiJEcvm8RSI/QY0IgsKKHkBrRbS0PFUXRSN
KfPvxmtDjXI/5iXSP+nqmkjjUwP8t3jO4raGhT46GfaNY9Qo7fDpr2kH1qVR3QItCxIcoQ/TyUp+
EzlL6RP3lyX/81YR8vAXJvvfu/1RLKmyZAf853iKq+e6JZi06qhw/ykr9n/ppayQP3Fqg2T+u3r4
p6xQPoG/UuBalBZUHovO+qWs0D+xle/HBagZtEVD/rLf658WE5yFPbQoLvCe+5P9fi9UfL3dM9bn
qKGgwHSTo2fJRH293adNJxeiiHIQx2qMXCaBwVZM+di55gT5P4MfeaZ1ibVGSDGv8FMZnsy50X9l
ZhQ8l5K17fSpz1dqKZzM1Ue1elI0aZPXZXHbJ6P0WW8b+xLJk/MQC43ubxDpplMHML+kzL9VXSM/
FEPc/WpK4w4Tscp0J03G/jLvqwsBke2myYzgPJKMyENBjKoZD3v92q6LgMBkp80xvLCVn2bWGV/4
SOrbqUen5s5j8zks8SR0xzYzYMPFWvtZSLlKpFWZ/sbkzWEbn5SWhGSmHzsFEOXnLDK28oEv9a4e
s84NtbJNXXXUGQqpqabhHmvYmcvoyyjWWt/YZ2i/cWnVwvmLaQZkk3OMXDHW778FWYVfbz2MAIVO
ZK27ySJyMyE3+qxwEvUnmdsYUSbOWnTybRkMyqOZN+VPjWyhHTFYiuwanRJtAmtszmeNTcxLS9w8
6PmqM7M2NXycnCn7YvdRmnrT2A1Qd5MlM/ffK/kdAHxBYw+XBuXJsmplB94tg7LDpZEnM1kSoZOv
DLNxVjEBaWfyJP1tzPBnG8l/rRh8XQv+jw9Lzf8Dy0ZEQa8e/zudCYHB/7rsfsQHpeP+b73aSZZh
HQZY1jIaWUY/Lw0K+Xa0jqjwwATw+Fochf/ZSRSmPnQhi15sken9s5Von2AZ8WZpURd6Jb/wDxqU
fUrdwXpZeKAQpRYrTKTRe/HaqzEdCQltUAZ03rgNrIkyjR2/GSVmhkV0jmrc+JGZRvUZ3Li9TBUE
QXzpTbpJpuKCtZX/QmajF9Qe1nSXzyS2ukamz8+tHUaXuA7kl7MpC5DBoqoIsgii7kYd60stc/Tb
RFKdZ5JW49twAtuT4ljxQkDX6qqZIgJpsTfDRhi/+tlTskleZ5Squd8aKJtnO7+LKecST06DbDu2
4Wr/Fv9sef9/0BWpMlOVf+8u/2F5X8Rt2/zrOf/5r+tffdy8PjL3f/9loaufGLqpnEiMxFCjLHOi
l4WufoLyrCCBp+EBAltcEF8WuvVpYZCq6EpYhoiAOMpezkx6JGLdYPXCs9h3XX+y0NVjNMzm6gvt
WZXBSWnsj9ApUcYTo4NQJvS+FVdmoSf3Wq7J0yqzQvVWjEm6iWwWvVHEClRao+iZsTUBionBmnIa
KakdM5dd/0dBZPdapj3YxQyHCqJgjelabZWaZkidMbXLjEy6SMfymw0v8DvCaRPxSlQlHoBE/Yuv
8VTIx/4rff0Vc3NU4YwIZZwGMJw8Kggcs2DLH8Z5hTlh/Iz5kPJ7VEzpUiCaYyImIashsFo5k0xd
++zYmaMsM674C8bqZ4u7duv99wdUT/e/6Ovygw9gAZX+8wf0UFNm/nz+uf96Horvz2Hx5m+/fD7y
J1iai0hmORNYo7zCl89H2efcL10DFEukMnxZL5+P8gl2J46mkLCoO/dD/5fPh6E/OBbuzhoEjIXy
9CefD5c4LCtYU7Bb+Yf4wA18Nw/LCqrhcKxCFMHRMHSbHtmGP4xju3r1dN4pXvYeRK/WMa5nGBUs
7pqgyMvxdzTurodYkcwxAfANRPAQa7S9ftpgIOLapA19TYhjk9wplipzJU9iVPy55yCAATWON5OR
x9N6DoyYsNMSvp9vLvj3eoo7suM1k6zxJsKv/rLEzecm66sp9WfbHr/rWdCeD5ImJZtwzNodlTLV
n8rmYKz6Sp2wsEiV5utslPVtPTHHuGjMGS94Uty1uzTuVJS2aVe3Hgc5tgqGImUMdORQGGdBiu/9
GWaT/a3g3Ezd+n+yd17LbWTrfn+VU77vqc6hyvZFBwAEwCBSEiXddCl2zrnfyM/hF/NvUdIeEuQQ
RxenysfHVTN7RpsDLvTqFb7wD2M9X414xpsBbkqUBGdzaVpgaHp5LEqKC25aluC4KizHad/oPJ4n
w3H6MVlTE3kI1VTXmRQn7xOU9VJ6mebwHgM6GLYYxMK91aVyOQ65hWHc0rUQItIM48UpocNoFuoI
G3c1MIotaHFlLow7bNAhco2zZ0DOEx2lQXVHIsi3xWqvEiBS3byKtSHs3Aah7je1jvyCm615uNHK
solc+OGh7el9bq+UTugeeToM7CvQCuqXLLLpchXo4Hx7fZmcLEa88Ogu0EMRao7wYx/40I9ilqyY
e9VaWsnTVoynunkFvKfFw+b1UU77AD+HQXwMNRX0GEEiPF3zSxnavTN0EhWtcrrIEuu2GxWAtb3e
HWz6ZV4ShuFBSWEDs23T4xym57AXJ5fWw1cQpkJcg0CW+d+nXyFKa3rxRS15lhF3l/ncarukS1SI
QnEdDAmelq8/80kl5GE8Dhnml63IoXIyXq9rc6bLqeTVBVUWHQNyHxGRzCtLS9m+PtQJ8Z8BYLEA
45MpjbPMEId4+mxNDca6s1OavX2ZSNtGTboPEnB5leKW8D3TtNJYfQl5NPqgRndTIa70faqKJEM7
MNWO9GJi25vLaryGegGrPaRy5bgIeiVeP/XcaSR5eHHUbB8MzPDXDWY6YgcyzOxNXDrWZUpy+hNg
/keR4//z7Rrxql659IY2+xkvetTUq+7fLrqc6PFp4Ch+xa+bD0QbaqfkObAH0D99uMN+F9cx/xSC
dZRzhbMWu/BfNx/enwh4AEuih0MwhwXJvwJHfkQyA9gNkWZ017j6/uTmE0v+0ZVE6obLDZcSlGfC
V/K0p8t0kRYpjPsVU+gJ5SjEQyNXwWTEN3HJcnH++jG2af1eU/4Mxi1gV4wrpG5g+8B0OhUtXReg
67UkRxtmTvW5cNvbtAONkMjlMLqPXtAL9+7JgfowFpKARO1CcICGxNNnZCqHcRyXCJWBKPPsIok2
HdIbZw4XsaFPZ5JSlMDuihd6WvvsOt0qTIVRyBIKlJqLaWOFSrajRV3up3gujjD5AlXftt10Tphc
nNUnY9PWRdeWcxQdglOumjEN0WrnjD1DLwqsWD8Ce7isIPJt0BBXgramXvT6pJ6cpWJShZKkCrgS
qpYtSpKPi3SaEaZ9JefRZsIhxwtL0cOz09UzUPE9g0V8YWbxyIWDBDBUNPtPbirHiesWQqcUSNBn
bhBtkX1nLZMLDKiyA93yT0YmH+x1zHd5TwX/9ec8oao8rFTR8RdPid6UemqTYEpdxtiGFKDlYntx
ba2otTSaSxnS3hWT0vqaulrArBasTNKVamA/Sj7CnthU0+YwVD4k/6Fcx69vBdyCbwZyERrU0+kH
7hx3VaVJAR0mZ2M2a+7R/qrBOg3NuUjhhf2DJAj9N6jGHGKnXCulSack1xPE/SOnOlRjaHyJKzv/
RD3UeNeMlEYdc0LKKC0vhuyI0LnsEVOlcKTmZrNCoHuT4U6wntnVz1JeVqDj0AxEjEKHpHXKzTIK
uY76TvjZzxp5bJtbhTvLi135Se0oFTWW3H6bR4typY0rci31tMRo5ITLlYPz635SJ+l+MGc+tSh5
7HfABr2oLGvsvgd1s5SaBXijiPyutfVjEklfiowuFdJfVD2lOcl3qTkZdyGOa+dMY054XOLtwj4S
/XlqZxTaT4OHzKpiwaGXgja2so0xrsPBwhCkg3wrzzJKg7H8QzjLuvYizTMqEpDJPKGvgChOWQPc
nOPlspglooR6rJ17+p4Qs5soiuNA0ZZzbukPXvRPzx8uLyqA7E/O2GdabHNDslDNRhisVVj5fZuC
16tKFM8LMIyHNK6UWyyzlIrDtxwuV2zRb1J1mEY3XUIpc5UmLFzEnFCIH2aVNtiUdbRs0ZPT3B5u
b+PNqjQiM6RHd3W1TjdJI8dv2jCiwC1VM+6McWbcJLOT3yY57oN5uYkI/nuAYL2+Bcml7gVZ7jYx
Q3v2lG5eXKrkjjut5foO+Rb9XUq8+BWm/LBRBPHt9SPk+f4RXDcuauSf8PE6FcLXRmM0Ik0PKcsn
47u8xkuttBvjzP3z8ig4IsChpuN+esvVa5yGkoM3pRPh6TWpy/eqNu0zj/I8XBBAAJ4FdW+a/qcE
Q6lqkrUxpjBQJgTzjXS1PrQq8qNRVFJjHa3IHeqp9Za2VC9en8QXRgaxJJwxKCkDWxK5xKOsKO16
Z0nUzglGQ0szmCoZyTqci6XtQHha7yaY42iCludcDE5IemIvijOG5S2s+mAnnURIeNckUpxqTqBV
sla52myH7zUoU5/VLs10OiqG5BeKLG2yZCpIZxd53VVzURvekKp15842EsBxJi/fqLcdmwmrWDXk
1IA3m7dvQzWVDmNsaW9XKaoxhypLWFRwoL6CQdDBLTrpzTxk4Zn05PmV+vPgxJyLAgqL8+lsYhDc
LHUtO0FcO+NGn2znjpbtLbwFDnhrHjZg4a5sTY23MOuzM4vo5SllwwGpE8Jxp/IVGbAICfyiE1RZ
PWz7Vo+9UEKcF8yAtU2zZrzOpaJy62UKIdxV3LCKkW3WXNZuoG0vQYOfdmaFlYsi6+rr6jq79CbK
XY1XbuB0U+MV7aT6tVx/j9DodIei/ZwndXjVq9pZ3pJ4/0/PPgpTcFM4p2l4PyOMRvOsjPFoWUET
qdbtynHihrqTHOIC8V93mZCAR1zAuUj6UEemuXEu5qKtbsK2i96/vkUeluLpV4HzpwrpQ17QqUbb
XNIRTLKKPdLiT1xDjPo8YoXjmtrQXdirIl2jWCa7jR7Rgeja0QW2fVS09qxZj4g+nn0RDjvIFSby
MqfLy+Ft5hNd/mBsWtx41It1NeQL5MeSIxFa7+agkLxci45LJ+k7ig3OlkJD7teJapxZbC+sdIpt
bGNRIEfI4ST4jzUhGEFgFzRdpb2DnWpfmuzUQ6eUjZ/rkbWFcvfZSfrlIFldc3j9lbxwKGNgSoVf
sInRzjo5PKom7K20YfTZCcNL/J/sjVbov8RJ/39a/gi/QAfl0dT/QzMHM6KvQB4eCtJ9/P3ftu33
8vO3pPzePSlMi1/1uzBNeo7mgkUYLXSQ4Io9LkyzDFFURl7gIQXn5f4uTGt/gXMAnyD0YBFQ4ie/
69L0idCeFCgJWpsPiM0/6F+eVpHIrciPUVdG6IeWE9fP03M6dKTWltYu85WxNOnSFCVtQ7yvusqr
nQ52rJAAh1mjae9TLGZiV506+2bs8+6d3DeuDCwamkelhhvdaJt0q4ZG+gFMgeyW81wd6Rr1sadI
avTWNgvTLyZtuFv6qliCAVD8Lu3UM1pBz2DUPBElMXJu0hGZv8SOeXSPJ45E3SxFx2ZKus6PFru4
0eupcpEvij1j6To37Drk5fD08eWlyi+1ttPfDHadbQGSt/RM+9GbU+UmpSy8h82iekOsvMvMyAhC
GDy7vsQ/99FSuvl5cD2m3Z2m13xn2PlC+hsJcCSlTnJdu0XyCf5z5i9aUWz6CRfPaCrQhC5HqBtN
5fYhrP3Xxzytz4pXj7CTrRHv6IB4BRDn8UTxkjAQtfEZc8ZUfZely/t66gus6lTHqyz9WgV0sUnp
jniYfCYb1O2dM4fXieY5kQ9fARiOSHxNYteH1fnoXVkNKZM18hXqEs6hqeF8u+hK+WFWNOEbFFuX
cme3fjyb61aRUgl5EhxbnaWXAtNcEKZKFHgOdfa1Lia4w/CHzkzSgy3Z44uGb4h6BBEEhWwqutbJ
/liBGRZDaTFJGM6Ml3g+ea2E7hZCb2M5oKZXeXl6bXaJt8ozJqzmMde+AcpxU6nwstDwF3UrRcWW
eMNbB9tHUcHXnI+LnbpgG+sZ+apOwqH0rh30M/mreH/PvjrKnUgLAdWmavP0/TYxrZBCNVO/kyrI
KjNi0lVpxSi1QxQbQUmfCaCfFTLQUUQwkn4n7QU6ZqfkctsYdWeASUbAJC2byc4P8lKn22qciiAv
svBSHbQvQ59arox8bGBnK8zmSUrdThkk1+5Mc9uHY37maz2fBuGxLFIJfEN0/vl0GgYUPHJ54Fs5
LdoJVP5Vr6r7dscZi5ahNHT+w776o7vyVZzOU0TPvw8FJEb/vwwSTk3o0YHz7L58d/dv75M2SsoX
69fis78vSP0vYZsFM19HkIiYjgP7d+fWgHgttDgsODEodj2mINgAH9Dn+eleTb+TsOz3DQkFAcIt
4IcHfCGtkT+pX4vr4vEueqBi0zsiuLLFJX2yiyRbVacIsqfvwEFVk2W72GHwaGJeOP3FCnxtiJMI
EuYFcvcTQ8yxfqnWkGNrzrfRuXt9mNON8PNJCBwetB+oNj7dCD1NxaiX5dAP82lT6cWxqhY/M5z3
UjWc2XPPDnYxFm11cLr04ym/83Ye3y2OAYtcXpfQt8fxECv9ASqhmymy34QLFnqZl2jjoVqirR5n
+6RYrvpF3y2Rhqw/9YVp2cqSeebxxSyezjLAFVTNCNb5btrTr6SkupJjjw3jLZZuay3fxVMUZMpw
iMSLbe13UT6fkUs6N+RJKIIn+kJVnRyzkKN7lF5ua5roc4l5CcpmEqxsY3bOhD8vLdfHT3ly2vV2
ZhKH8ZQ1JIEUnmCsZ2eClWdZoHi55H/CxhMNMYheT2cytRYK1VHPyw2rm1UuP5W2vpMYiwrVpVno
l6M5HLoeeae+ukH05tz4p8mfGJ8SkajLIljI4f50fLS4BxVjudA3x0+13l6jXu4vXb7LSudoIzwF
tW2fGs7t5OS7prDfxV1/pmHwINJ0upjAVAHVws5UYJmffgUnXOxIG5GUXgr6MWv6Ecu7Y011CpeH
d2W9+lUSIXM4BVqk7TF861xbTfZ2nCMEHwYlVOAIbDyt7wuWwjF3hkOGudAoZ7uxnsDBVjev732x
355/X94ZAR9xsYBKPt6PTVuXph5XvLLFvMS8yMulKNDx2tYm507qugN0iMtS7r68PuxLJxvMGo0m
IukKrMCnwxahxYabSlZjOX3BzeKmrkZskOPb14cR6dCzxyNKowCKAaSwC3g6jhbZStj2aehnIKuz
+qZEFQ5yDBKKfbVBpHefjvqe6vQG88CjOGJAf2ObKh3VxTlOZf4GSaMtJQTki1Z/tqI3ZjYFBUBp
hPXBviycR8u8tYXVc5XvnLq5rqMVSePFJ2L25Vnby8oYMPiCO+Drz6Y+FFVO3x24PwxOhW469cmn
D4f9Ma7SveX4peK8ja3iRsVIGyzRpdmFfi6s5WUzc1Vt3KxJfzFDiHP77PPQRQFk832q6ZSwk4/z
jDoAJeKakv00Xzcsv1nSvXqhOhcaHtL78IZhllptscN4eJODlcCRZLeu6e3Ssi5bTDzx07KyweuU
Zata+W5WR/hMoOa6aIsjhmug0iRmUk5SL1Q5WTs2RDd9sfD1mhtjh9MYIiYDerLTldE012HxqbFm
ADLdRUr7EkXgzTDHt8ukI5Ds4ChZgUjPxtTLouLoWGMQ4rHrNOnH2Y4CMaBeVDfs8uOAQ48FRD6a
c78384/N0h8Ky/42oTOMJe+2SRCiiNP9Oqt7KcT5AKI9wIqdaKkZcvsZlN8+ScubMYkKT4rba8q1
l3a0bEcz3hpTcagA7VpReLc6zWepRhUFedwrdWLb6vb7QkluLQRZkiY3/HrN3o5LXbltmd+kjr6D
uR1IURwMUX9t2xIdrOSbXeYoaKzbKkqCvB5hM6n3ScobNe33qbgXDOq+ixP0lmfi+WRsDe0ya22g
RWEgDpLK/BEzt+LcFXNdLzV4okBvcI83ay8p+b8049sc6btSdD649naWWd8qaXFsw9wvVutOmqZD
nkibtpSO4nfh17iN1u7ayeK9hYVf1+fHeYz2xdQDUDaWLVystwnPMUYxmqQTKnmJhzPxu1AzLk2D
hSetF7QfLvsIdX89P9aYBZeqc0xLc9dIzhtx6kiJvI0U7dLO461qCkK7sYsyCghDfDuVI8Xv2ik9
KARflkLapPYo/nYRBuHa7ACC5c4ddbh3tHqCucdZFNXuwZ2U4pg28rYeDLew2LdKd9Eh8CCHOrlZ
vJf6aVNm6d5EwGlCRUKrRlo0i1+H/UWObGE7obrQM7GWeZFEw20IMMxu2muaQUGlL762YGWH/GM5
8ZmIRWhNvQcI8WtXFji9yQj1qO3F0Ol78arjnD/TC8tsVDbH/mLSp0Bpsp0cjV7eRHhzShs9mjeU
5G23c1jH43DRT9EtwfE+W1Y6z8iTsgbAb+9By/1YEIto1DDI49W31OjOpMWm59wuXKym+tZWBq9S
0r2hTEHEtLbi1YBCUNrkIwq3bBHgaqyTsSh2hhK+K9RzGl8vHfJgSciRZZia9IZOzqe2MTHTVh1f
s9trC3ZjVM7bwVDPXPvPCjvi2helMGrZ1NIoWT0dJw31vG4Q/fYnJ/sRs4tbM3KjvLrJDXxgFX2f
LMVuEPWrpRqCRipvsjL6IO5U2QjvY1h3bjcXt+hD3FtzfkTtxkvnc85YJxKreGw+fEtwJ9Q1RD/n
JMyEixiXRWij6a8sSGIqcu4uzvp1MnQc+rT9zD8lR9mju/tlRbJEN+atRbUKJfRzXcHnqGbxVRxc
MESgBD/iJEhRjXzKNRwn/WWKb5PefquX65chW7Z9Ufim1Qeq1h/KqfmcWL3XWBwWZ1V/X1wbj77C
yWzMqPoXHThE39DmK6uJUjeu6s8p9bczt6SIJE4uSaDxOq1JqpmskZNFOOZNIqm95vjrlH+sZf3S
tKSAtG7Xr87DHinHMLBwQxs4hhot/rC017ojbTROISdsLyR53LSOc6zaZF8MbNt4OFfsEvf0s68I
DhLcJSsYDeSn69eMFhAEreL4QwUPcxmDuOXgAXWSZpNr5uMG241gkJx3UqTFbsH19vocvZD/QZ/B
uYrbA9TnAybgUbFNSi0tbmbUjgvl09zh8B6qXxPioLw8l/69kPfQoqewiJ0HYdlpUVmqUePI8sbx
1fSiGLTATFU8K22/VpetVuucyJ9efzTgTy9NrlD8h3LIE552plBSBnqcMGStE4hxcQyG4dktkCwC
3VZBHN5qQNjwQ5F1JuDRBs2u4SNkO7EiEMzx9MbYL9oULPq4KVZ1Zyz5zjTz4+oY+w6b4a6PPqzJ
vKkreYshYdBMI6bzhT/zGbQiA4soqI2iSwrdxyJBpR+PhjnDmL7prhW0jEfbOSYZl19s7PuWwi5i
9ZCb910ByKZN3xTp5FqjsWvM9BPqHp+W2Xov582x5UuLz/czIlgY3fe1tgOWsoc34Wr2EEw6d9wc
fxDR2MB4ZTcchANBnfcXYxldzmnqKUN/LcyURqLAZdX3irxucQbeil0C85v7sL2WOTGdXN+JYGma
Bg8TjQ8o0wIhJWPp0z2trR+jne00cmV9mG8bZ73BVl12s3TcmDUhYtJdKMTBItKyuGz7EdFOQFNh
LAWxLN3aWbQ1lGjLbQcdef6qq5jORfOVOL+XVt+H6ic8KW4x7qI2KB06By36EDq9CEXC0T7isXGR
z5dmXH7Ci2YbSglabuF7uSMEN+0jZQhvGUFn8B7Ctfe6mlXgJG8ios+GqNdC4p0m/3GxdDdv4/2E
FJqYw7FvrrE0vXXQvUJ+Zis+l6wEhtyo8mzs4PVfSg5/T9Ld1CQ/ZuavSodDYb9tx4VMz/Coe256
OfESLnw1w3IxzN5gcQtsybldLSdoe+KnPPcnedmKQEZPnfe2DmPbDLXLTpp9B4BBSD4SOv21VS5X
YzIesKH2rZR3ylqLnNGVs+JomPOVUVyvVnqbtgTd3SdgPMj5FjeiZmSHhFXGtFVqbT8V40W9xHuN
W6jXYbEm2Zt1Sbyomg4lyWllZG9KEtbUaW1fapk2PhyPKUFyHd+JWohYI+a8bCOOKdQ6N2INiiu2
cLqLxcpora5bXS5Yr1Pg6P2Fyenah6xPaGxqu27bGNdi3o3wM6T3g0uldGdVTJBE2gm6CfOXndIS
yU1v2dLvXj8Rnl9+poykLqhvoCoIylgnqSeNoXTg2R2mVroT+YCqD4eVqFIsgzLVd0kW3Vlg7RId
V6+QMFBzzqSlzw5cvgJFS0AI2CgJwcmnB34lN3IrazP2YQiGjWXv5cg8hUa+W4pfhCGqvtH36ubn
LfK4gUSme3oAimIM2BxVBrpCCf7keZXSkcoS1R1fN9K9tDoLCJa+RaohvrXk1ddWwnjUt95AKg4a
zuG0Ud438fypaeLbemmgPmvqPsS6Y4ynDYkMCLTpi6knnj1HdIAqUk7OBoUmmruMROrIZh3TLNmP
az64vS3CHDG5JGl1HW2HxNgpC0lBAr9LnbaTOXii2LUiGYUK0Lw162U7TYhaVkW2C8PhAExtX1na
ZZVpe0OjfmQlt+Qftx1bB7DFlUMLqAWv4cb95KKAR/C/6JdVHiFXD9WjK6yVPl10n9pr7JrmelUq
y9XUiww054zSVHyK55JTcC2OemteTn38odSSN1JW3fQtHr/2HAatQVKB0D0uzhZnLGu1JHFUw9tW
Ce9wkXHLSQo4hx+evl/IqEvpTuKyRX0tvh3UCPC9nO90vf8itfH3ZTY1N7O1nVnWN7Y5XKD1DrdD
33eRdJulmelLY3gndJQVjTcQNdKxyKL7XiMjJHMsx7IO8EUIOAn2UVJspyTdh2iy9QZJHTjYfUyy
ppbkwNW4iRpoKF0U3Ta9vOFE1jLuut4+whO9Q+NjT8nsjRL2G3nNj42s7YGGX9rk07nkBGJfdKAB
tVJHt2PxWWb7hWRfM9mi5BmDMW76Ot7X6bTJ2uhWHLPYL71TphLy6uCNbQt3ppb8h1/upLtkzjMX
tQbPAmyHyfSuV7kU13ZndvxggBIBQfVOrQ1xBace5f1vlgkPdbCNCwU5SBePF20HLtV2ESKF2PoD
Uk7tdoDQXD2M97mU7bJuvtJs7A57A7pQ+RlnobukHdB7zN9AgtpZfXUUiXfKoYwzzI9a7r/ELTaI
kjD4yKR12ddL/qbvrfcIV9x2qn3bcDgHzlBwYNE2jrrwnUix4zTHhNtKMK0DvseJps6RJ5lZUGMF
bebclBVYrImOVk1uXUkBCMkLmTwZF5FPJoxgEW/nikNjnTPTldfwgA/WnpL/PrfMt11HdNKs81Vm
QZ2vLAu/rga2O2olH51yjDcaIoIDLZKDuOnbMjoTO79wcgArImYGnE/0dFqr7ylvFUsnW77tTERH
TCYXL4ieAw5px4zqxOsn8/PhaKlSoha4U+Ayp8B8OTHRYulLEqR8OIj4JCZrtsvys1jp9XzWYUFk
OU/CbppLQChsASyGH2ielM8WhEtgT0zYFnHo5yTYGL0BTFrlLTUbDx2WT/IS3012dkziAnrQ4M1O
+ubhmf+oJ/jvo7W8rQr++u9P+n0P+I5/df/+5z/+oicf6p5IRT35A9EaaKM3w3dByewwJfsNIBFN
vH/vD38hZ94u9ff/8d++VkPZv0jwFJXxf+a6uFX5OWm/P8HOiE/8bg3af6EYCE4ZOTz+RROX/O/W
IP0/0eJDVwrr06e6Uepf/Jcs5b/5K/9qDarINZMcstJhFyDt90ekzmfkf2A7mgDCgTghoXu2tKpF
TYGDF4pfA8W7j03EkuZen5HiSFs8TDF5aQLHWD2nzZv3QJvluxZ7gYsuMe2D4TS1i/nKh3DSB69t
MnvA6b4LYQTJSizEo+iaT7lSuJOhxZtulDCpIywN1lLuCZ0z5BaHCFWqqZ2dj1le2pdRoZvfpSTC
TS9s7OZintUUCGNmc9stprlZbNSqlqGIN0wMrMupmsKPVqesd4/e4QvByGn6J6aFahDoecTf4aWf
NP/aPFrRYVIVvxubkNqmVvnIsNWB0WmNP6MsfdGtIX52EoYT/1H77Po/b99d5Lb/vKU8MJdfPz/l
SYtP/L2lAP0L5RsML6G7i+P395Zy/oK+BIpRxJAI9Ajhxt9wNLaUWJ804sFVAYYhlP3dbYdIJpJu
yNcC9sF/8UfddlEEeXxao8lBTx/FPwUEF9igkzB2QW1WihHO8rHYlL7Br4+vsnbq68NYt/IuG1XT
rxBn3tS1bnrlKn9cQTAdxm62HOisTbi6kdn4cDQUJ0i6UXuTQIj2VqVuJ1dHwTT29Lpr7yJlbDd6
GTqxO6aVtVNihwYiSqnajxFN3wuAV6ERVHZF1lIkuG2DGb/s4+SQtVjZYD6xfrR1bOhpU0ydFcgd
qZodE7FUSkFIpU/c39M4oGeeUvaJyUspRcx9OOwfvdsXttppiiG22oMZDwhfVBodcfk9qumsFkJB
qPyqvpMbF/GqHaa5A62HZqhTFL+ca/4DbrH/zLuLEuY/7647IVgTDF3/uU+G7um9xQd/bzL1L/ql
lIABuOEYBLTy702m/SXDzMc5HFYyYH/hYfN7k1noHRoiVjGFgiYX3t+bDJkPFDdxffwld6j8ySZ7
RmwSAQ+8bEroiI2g4Sk24aNVQ3FqydJS4d5qQstbrNDT58/RHPW70hlGrzNSn96D1ib3+SSWM1gM
1RCSwAXyH3TqKDjoH5TJTjfhan2JcvBtbd7dKJPs9kMl+bZV3aFTJ2+1dHqDjK7Xp+ni/flR/18B
ZgWv9NUF+VmsSPdz28f/+3/l34vl8Zp8+Ozfa5LejFA+ohUA0FTg1H8f/OjLWEiYcOk/rFYBUf57
TT7wEoUjs8AaCwTW74PfEmpt8LG4ExBgAlXzJ2vyxISdvgnoAODzENP4EnDoTw7+sI/a2c4gVair
oXpjuvTImEmJP6bvkHzdypG6bXrru4OuhZkUuUu1F/ZaO++toXe8Xk3ehke7tZ2NvjgfplS1/NLR
LsolVdx06N/3cPm8rKguOShdS8qQRO+l0hvHcPDTdYXRpkjj1pqtxi3TuQ1Ko/q4yI2xbWVrj/T4
L3HpPzpL/yssX5x/kAA+d6JefmYBf38iDfPrg79XL8emMCWxICUSgjzJBLS/FCEQi5YFncGngoK4
s4DRESouEJcfsPL/Wr38CIQ4McaDWAzr+ncS9OvWJX/6x+rbgzHL46gFlrygiiKzRD7ATSyu6UcH
al9VMURDHcvuIkKkRDFHbCia90YCNL5+30dQEMOqfDugwu3jxqF7WZ5grihT0U+U8cLUIsryQ3zO
/eSFoiAFSOQ3AFdi5vIM4j3l9HtKY9T8OsNPpu/Gcme0Mj7Vy5cYH4UA/a9PaEXgJpavN3Xd0jG1
BlfPq/fLKi8XFqCHHPZZW9vvFKWV3QlwEsXMSyeiiGRFOXW1gdIpYss36xpiQDZZeWBkY+O1rZZu
/ChDntaxBc43gyDezdSnOyRs7axwpXpdIBfLB2o6uf//L4eX0mscokRpA/4ImC4A6uTKr+21q6r9
UeXZL0Tu45vixV/0c++xfv4S0b2wrtEEg+VfF8fDT0QQwcYUErDiJ7/uDbRw+ZCoz4ku+E/5pN9b
j4IjOxbGCe06KNbowf/J3nsaASMLiEMfv0lH7gH6OFnL062H4oKtoxAQ3w97xIMQaf6wnomxT4gS
z4c4yWd7RetbZWUIH5Do5/FDfj1ajDT55TnKObfpo+zn2Uin2U9u0Td1bEaqgnZ3k/8Mmf75mBJ3
6N/H1K9f/8D4xjuR5uxJ3BfhCpLp8RTfI3eUuMPVeh9u5Lf11TnZnQf6+GsDnXQ+dGW201rF07XU
PQ0vdPxZNi2aaV/izcXoUuDf9/v6EN5w97rDxeK3VxpdQ9f07U12QYa3KZyNYgWP1voLudLJKf38
8cXsPzql85ROxpov8X1r7+gPZrtN9d0J6NwFk99+nt+Pn2ZsOJRzsy5W4GuTcXI5xG2o6o3FsPJe
8du388V6TGF/3HfvxoOyD93uphu9lFN0vz8Hi3jxkYW3Lpej4LA868Q3UmrqaR/fK1/R+rZbt/pU
ecNHmyr6W2yI9Otsk6iBAWToy+uT/bTK+3OuHw98si0dtVVbWRFLbQkELLZ11/dfq93rg5w0+Z6P
crIzOw0UFYJF8b3Z4pHn1jg1YnnkZokYEGFNwJuJ5I2a+/q4mkirT1+pkA+GWYMzH5iOpytpTDDN
AY0Z3+tF0JZdv4miZQ0mG+/ImgSPSoOGRIVlvimMVGjVXiDvCyC1NfsDzpK5NyTEmdE4tJ4cz9Vl
ruhXTg/9K5stFHvbT5LgHxc4qRZY3biJIpB00o9qseKdVVnYOqEYvpk11c/K7n5d1g699PqXiuc/
Hxdil772lCfHBY6U1jLLanwPhem6vwFJcJt4ylXkju+XL8pHza3OQWTEb3xtxJNzo6RYMo7qGt9r
d7qNqacruXpQBJFrX0uxZ3+w1XNv8twznpwJ4ZK3Y9so8X0TFJ+bXRgstjcE8yY/yiBKPQjs483q
0tYJZldZPGyaBK7W9sZsh9HOhJLELt7mF90u3/Ln7Fry1cM5fshLB8hDLVVDv1AoIzxdbas9ynHZ
8x3b43pwrqgpnYHPPFD9TufdxiQODW8DdaFTpBiEzEbT2yS5R6rEM7cQty+z2+q2/dbX7urixR18
nVK3eWd/XA+xv1z39woQpiD51B+W4bK3N+bFcqPeUR1wa2+5j/wwmFM3xOfsQtood/NNs5NhrX+H
EvARePu3VvczJXgDHeRm+JbdhG7qTofFxedMdaObz5N7Dgt3kl7+PCkeP+HJWs7jRpH7WIrvDXcI
4ovRL68ld92gIpK7YIGD6VbW3Wwf39kXOGyhg+iFruoXG/2L6bZe/El2sUn2mjtwvC4IrnN3hDio
XnsBJ694QXa81JUwvqcxf1z2cux170EmbcddX/lUHPFYnvfKXj4C6Lhxjmg/vH6iGS/tg8fzc7IP
KM9P8oia8H3m1kd9H39EdXgH1/Ew3WTeW2uX+vPB9jPvvt13vuOJRdHsG6/fd5fxpj3Mb8ovN5+/
zm/yINnkXup9oCnsax+RDnegb7rpZXWv3nYHKkT15XQYzmzjBzWiZ/MHzIM4VCeuOZXtjtUskWY1
Tu57v/fLC4y6zK3z1dgofrlJN1bAmVwH5t0aDNfJt97r30X+j9dn8AT4+WuFEdZCEiNS5qs83aVq
HEmLbabJffJefa9+l271b2bs9vuyCADy6DTsNejVZx78hIvzfNST4GLtoszQyiK5xxLh2thJ7k13
7LeAmw7nttDZocSV/yh8amurRneBobKrsneLS06EcJNclEF4xcF5TvLngfv77JU+ms+TCKLRnAqZ
ojK517fhfvYzP7wKvd6fj7PPgXQ1f5GC5aN80fmEj+500d1lvuUn92fe6osb89G3OIkwrKXI/w9z
X7ZcN65k+yvnB9DBeXhscNiDtDVLlv3CsCyZIMEJJEAS/Ppe27eij8QqteLw6UZVRDkcpRQIZCYS
wMq1cMmOj0ZQ7qZdt1921Qu7Zi/hVX50E3SYnMYS7p1dGcidu//7t6/ajP5aXVx6oMEaZ7twfVHb
VM1s1hnmAM9+cRWX1+DAuahiFkPjJOp+T9+hHRhntDtaF3ncy/gE3bz8CxeDLMo/Jaczlun8AoQO
9dXVnFZhDuITzMHz4aWmBX2+P708pcUVrspieNwQoZWPvhxOLz69gKYdNeM6SiyaHHcdZfTm4ER1
dG1FRlQfa/rs7X6AGTqtdw/IISy9S3i0v2RxCi4n2DvcJA6+b6QvT3l6X9NrPJfiJ9OLCH0BMSQi
6SnHrxjoj9uTn160ux+3nF4v+FmXpj51Y2dn0Ns5RvNCeroe4ykZoiyOKhrtdHzzlt58v/uV6Gu0
X1vJkhb0dG1ELkVLML0YY+94fXKSHw8ssulvCJjS09OPWNCHJ4h/0199rKPr00KdQ033LX2oKH4/
NVObPqfZgST1nwkwUy9iMawOsLrQt+sfPgZ328Y1vb/S9PX0Y8EnxBckTu6uaU8vcQ9E3UOc3h6f
WjrRE77nFbit9HH/mqcBBldFHd0/qiiLXp+z5OlHdihoG91AvgaZ9h4dCFEbXWMuz94xX7xgPdAZ
Qmt8cxsRenDp7ek+HuPTQdKH3Ux/6N2Pi+gVpF74qx8zPsqIFmRN7OWgJ46H3fUPnNRQc4VRWke7
BV/IT5Legbwh0jcerNSREyPuUtiXNIH+DuXnP/xK3CTZBTSaj3YU3SfHK4/y3eEmnen3/SOGake7
MToM9AbXYvDby29X9xdVdEVvLhe48+X+GEYkEnFyvDwmd5cBPYbxs6AXe0Xv++TgJpf4JREqLRqB
5pD+/hnEQ4SKdMH87L471IHH3QB1egwo0vtJ0auGJnsXtUSLpVDR1b1F9wmjr0vqYkLt4y8W76aU
HO0jtdKf9OoRXRsPOf0BEredh4lL7vCfjh7z89qV9CmkuFSmTcTwl5dvfpQcu112kRzN6DyytzZK
Y1CnxWPkXV9d4hdhnFEXna6LOPmdxMfd27nQSa5eTyo6AmZEH5HQcKd2kzTJ7m2Jyr1ITup4q6MT
FNDTMTZTGe853Z9A+RdZxydEt4Zbna4fxjjVkU76+PHpdO3S572PiBjjYGfskr2Mffp0urjFyHmM
iizpooZqeqGS6yce0zb+bdP751d48jmMfPq7jpP941OU3Bw1HPBq9x3TV9PfT/vniWJ2dVxe/bwE
hTS9+p5H33U6J8dE3uo4oEsyJmTXxoyWFxnF3o5/dpCionm6x2R3R+hzxrB6tqcidAHE5Dygx+QR
o5PJMYvub59fJnoxxwMmxKeIvHSg/eHhycCKebsAU3jrx9WjQat9d9Ufm+j4FfnGH4LFv+007/Lb
CiFkQZapcATym4/08kwunpf45TTAa56wUgjYA4tOTmRh6tvo5WEnk/rwC9cG4vAtoJfn2hVY8NSO
7rdVhWh5wUEaDJjQv/i443ZlZrqE4BnOODYHI8lBg7nrDjmQdfdlKnEBNV17+6ClTWJHDRzu/959
ViSBf+0+7379agcOWcg8pxnONaF1+6O9mg8+8uCuSOyrbO9de2l35NfiizP9Px12QAEHUmNcpYMP
cvXNBiRdxsCeim9DX3QJc7ObEKzdlJjiZ4OmA9osXRvlc+9/dcv3T2dPsOTiHQrnebTJWh8nu66D
djIJfvGULAfjd/Db+T49W884kXQn/4Y8/MV09x+9AP03XpLPzGA/m39R1b/9VP9qf//r/vy4DObb
X8MaBvb/IcDrXCV+/lz+333+BrBZ8/P9XfP5R/561nHt//LwAIPHQwgpQHjn33fLxLf/C4+CZxJA
vEv63pnF4d+Xy+Z/AdXt4DkcMJUzVgVO9NerJHHBGeGC2RJMuUCNglT0P3rZ+Vj6kDPvGh7e0b78
0RkcocAzmbEKLXXqG8DUL5l6ejcRN/8vvbxHbH9meZVsKjc3JNodqwS367QsZrqgr3Ob6VWdVixa
OmK2eaJD/8awyU0FWapttteYrg5sTU3GM54YkMQ6tS5oeHB34sWbRr4W9s2geTJURcATc4RyDnoR
ir+wK59eZn0y3et00pYGevwCkycL1LWOwM6puOL6K2qNz6yvTl9W1i9T47dVAk5KPyqcEk3hoPXZ
NimrAyVujP3JAZAZDSDc2+eN/DkZPEi2GT9/0bvD3BIM2PJ8o0rsQeCiZrkEl8sXmfyzSVldtbgg
/gqkIaukCnfhgOy3LXLWl1RYtq7D6Z8nQz5YV4PbqF92WRjzF1chnw17FZhZMPpBWagqUdo+AOz6
wN2vqD4/M70KTF9MYvKqpkrKQM0X6B0yT1lAviAb+cT4n864dyvpSt9Rvca0MOuXAMgBPGXbYv6c
nN/7SAZ9t9kvLSxk2UASJKggjwHkxSYHXL9MFOPAB6f1eVJ0IAKwxnzvdrORbjO+ikvDDtpuMNFH
1mtd/Vr6Oj8MpRUetllfBaYD5voZ8kZ46X5eusjuNs7IeYHfLWQWuJYuSpidhg7NzWDFhoKEuS3e
7VVQNmC7En4DL8nnEl2KkwV68XnryK2PIx+5KTtR9FUCft6BVnORRVOgxMbpXgUma6psyYHPT4Kw
QkIJigj0T38xXP6n+8MadrTU9TLlw1Lhkaqo0Tvl4ajkS7lt6Guabc9Sql5aWO/Ky0E9tN0XResn
Mf+Hte6dqziW05QLgQBPYY2nOqtKsE10X3DcfGZ7VYB79sKMcHHKBA/+h5bX9U/WuvYXLw6fGV8F
pvAC0HFMdonGWY//6D1j4DQc+mZb3J/Rau9DaKmNQhSOV4IopEiXqQWnlEm+4jv4bOznv3836VWr
lZkbmBirqto4cxt0vHpg6NiUVNZXfaXpGLIpwSjU9x01IEhkja/bLK+iExILomSFLJNBOeBVUc6r
nf1nChj/WyevuWkauZSkYkGB1icjhubND2aii3nbuFe7pgn1BbHYAlrQUPigBUg3a7/u4k3Gz7Lj
7xdTjr7UfY+BczQj17Zb0qrkt9tsr/bNMQADhOVi4CXMGnbzONT1zTbTq+Bs5jMFfAPTPTQjD9L2
j0Y/+9ui5w+p2zsH54BGOP0A4zUrQUET987GUa/Cch6coa+xnyW6miJmIXl7PnCZ26ZkFZYD6Lu1
4TG4iQCfESTKnAQ6Yo/bjK+2zSojXcNVXYLCoHKqXWaG2v3ut1Pbbave1kgCAH7QVymrMmFApATk
G+vtjau52ja1T9QMrfAyaYk+yrwzaT0sD9umZRWanctKNfoLeivr6YUQdZm5ndiWCM8A+feR2Rq+
mmcG1BBEqby70pgfHTe3/iOavP/NV+eLg/fGs0YUhR2qIslNdmqIxLnHmIZtu/JZHPS98dCSxHCK
GswL01ufH4Jm24FqLVc92KwSYw672WQAkUBi8PVvc781j3ojKxwpTZBGTE0ClWoKstRtYWmswtLK
HbPUAkRNRhHgraFpvuNA+9UV5dnIv29u/72Mq7DMOo5hS3SyF5I3SUCGEH3k/bYCyFjtlw3BPVUB
+ZukK75DGShhzNhWDhqrkCQGWsuh08HgfXNA+w5cMB4x242+vQpKozTcbgpgPcuhB2GzW0u2X+Fl
/nnCoVjx0bVlP+VEEQTlnP/Epgw4M5hGNnkKGgA+2q6CwpxUffaUymoTEEs+DXkYbIodwE0/Gp/G
orYs8GIlPrjnSndntdtKH8DAPloGwRXODuD7Q9xISCMZE1Ue/+rR/bP5Xu2YaG91JIOqe1IHwqBl
DRLyPCTTJj8ETe7HoaOFh5SaWCyx9FiDwz0HX9xcjLstmwMAwx+tu+OoxjmAdVCjXVV8ehML8Tb6
yio2y6zPRoshFfYELCPAYQBbMWSbdh6goT4O3MmDaRTMY4knQEkOpVkJ6WzBNoWn668mXYZeLmUt
EUJdpnYZ1+JMvvnVa/1nDrMKfqvPVW5oTExAumjpbrzuedNqrkm9+zpYZJ77LLELMHWXUzjejlMQ
bLS+in0yWV3JGUioMr2gCSGjebCpCP8DjH+/GYPmppm4gOVSlGAX2lfLV2DtT6Z63ezR6yycRAjL
NWkZZfbLrHA/tm22V3GPTnhdkfOuyafejBk0eSM116dtxlceCPI8u2rbAYGpQtCnLHhlRjfWxpGv
op4NlVczAtqpVl6CJbseNxVVwKB8DErfapWEPBlohVp92VXVafmKkOKzdVyFu9EHyxyECEhAAAFn
HDaVD6De+zjgxpnUwAbwGqHuOXigvrYzFm9aQH+1C4dCNgFjI2Jx8UDMebJ18QUC95O5+FsXhbaN
aXawmUE1oLwDIevjuVdgY+Zb7cFQI8rRkYwlbCvnvg9O6Drdlj7Wuu2zY/sQd8I26eiHXCUN2+Z0
54bI98nDrBzS92eWUTAp/9LmQpfF3lYY/42pDg1ifDDms9u1pE8W60zKrMi2LWzNS23XPsT3RAPj
edP99IPOvGTuQoZtQb6WAa1Crx9LqMAkSiwBHdm8Q2+bvXHsq8CB1qIRiBb1q8t78W3JWuWltq/c
eZuPr4lncgPkz2XeoXaoSghGApQa6P2mwFwLWLajz6pxgIfXtblnlW6g2sK33a6D3/KjM7bCG/1+
OodPvfMdfa3nbtuG8AcW/u7CR5e2W6AVF/mkCcCevogd6MrKTfcPeEP/OGxe83LwbORBLa1Op36+
6IH6pQI9yqZJXz9JG0gqYl46L5VqVrcuEfO+Yv58s836qjIpIGUMgeHGSycVeBE4pILn2lFq28yv
n6X7emEzV5WXNuCQ2RPO7JtRSLmt9nFWRxPgVUNpydJLW24BHQTiwNNkuWRjHK3KiN6oNU7HWNie
OMsFr9QrBMicu03T7q3KCNUtnW1NBjK6+eD6AzXnbRiDP3iS9zldZZU1ocMRhx4GnKOdDZEX1sY2
X/RWtYQvWuDPZxivpnbPitNCim2nKW+VFavAkrhCxnbBg+GmCgjwpUz72wqKswj4+znx9WJaWaP8
ZAzleKkMo7kUeMNLNq3lWjDUQ8s9r+XiQbW4Bzx5dJqDnoS70foqLfLGRKdUL700H7t6F/ZyOYBE
4CsI9icF0VpB0vc7OZuywA6UTSNauXKdMK+cN459nRtJsOgphLwWDwe178GXlM64Xtm2kf7p9XiX
1g3oEYZ9I7w0UF19FbqQKqh0KTeOfRWhjZsVOstyL2UcirmuDWZ8wsyv3P2cov5+swc2lI8e2aDA
aFw0LaZ12Za/IB+x3JSDvdBWiDI1u8LbloDdVcB6nM2yA4ELJNR78wJVExp8ijzbGFeroG01s+ZJ
t/iK0GtuhSPsA69Cvi3ZOCvvIQ2xBdRIz3OkgP7sIM59MqRLNu4eq/xuDJlDNIF56La1qSAB8Pzo
st44+JX7+KYGf2mBXXsS7FYQyD50YzBtO3v9DSJk4+awzLGt8qIujvbgzvvMgKzhpny2FlEBZU8d
NjniynVm8eC2jfWbtYW/0frKZ4oxh5x5jomZparjzPDbvULVt23TXqOEQmOw/fYctXWgZTpPkPbu
vcXbtkmtkUK1rXnNpsxNc6XYbg4qJxkDg2+7rlxDhRzg9creQaaXJbfAhGfLZHDqjQ5pr4qlYsKF
vGIEY3fFHEsDah/Kc7eB1kBR8DGfeVyIofRr+Iw7WnuUBUG0WJpvq7HtVajOi/CGQBkIJvBWXjM3
z+PFNr9qxfpkD1xjhmoQPgDoNHlpPzV3grjOUTWOt+3I9KfF+t0mpThvOmsavdSQ7SsfuvBgy/Kr
BvHPRr7K7nkNgRFjCdxUVa4X5zZXO0bINiwsGv4+rqmtoFHOvRmEio3Bfginsnel3xWbnuTQLf7R
OnfK3q5q20tNGZBdnTn+kWgbneybktgaOtQwEnalM+BsIJSOssDWtPLneluoWquiLPOkrkBF7aZW
WaPfq9FeFCzlV+LinyzrH16zdz4zZl1X2hZC1eHg1s8ANI3NLgi/aqr8zPwqVgNfOfNowyV7PG1f
lE0xRwaI/bdVZX/6Hd8N3qpCWc8c0SQKy6NGzYuUBOwrcbTzGP+hblrDh4LSKtratbxUsQGS8IMY
Lrg7jwfeiiDe5jnWR8ecwYS4ZB1SGWh99TOUTfrbsA518YVjfvYFq5gt0AqCl3l8QR+2zRVkipoI
l1hwfuFDA2DbJ6wil3VeAKfx3NTuZu8QMpI/Yxuffm2yvsYUNWPRmPjXTb1AFfvOLPzdgLb9bdNv
ri4kar8sLHCHu+myBOVu7p06DUcv27aTrMVBLAh5mtj23DTICx+HkczfARdQbbsBXiOLKpcrHHTg
OswhXuIMVpEAzG1ti6w/JCjvIsuFtoSAxIGbao9NSQOSrcjmItxo/Zwt3ls3AuYNC06CZMjrfVv0
GV3cbtlWbJv2R+vs3MfiF5Wfahe5EmjFYA/ikY1PVWt0kSmzCXTAqPoMWXevczeAQzxv9MM2f19F
rHR5Npodqj4JhsDEIlMIhbfC31axmqtYHQ2BxEdQbZdyhAIXKf3+rctbaxsCEIRIH2d+9r1+cjXs
D1pDlyFYfH+XjQ7EnTfNzhpqNJOON2CPd1PAMeS3wBiKy6Vqxy/Kp/OG+g/5fo01Aop2LLyzVw42
H/OowhtZFIZteF3bhR1nfFiowmNivi0I1hCkES8UoFTkfmrjwTYenL67QrdcebNtqlYbLw5tS9Bk
uCjKKyGoVTqQjIfsQLLN+iqAvXnyZqNDkawBSHjErt5DXGlx7rdZXwWwC4fRoPzGQhjTeIF3P5ku
vdwGD3TXWKQgNHs+566XekDImFHTtwMoS4rezra9dK0hSSaexascqScVtbU8qSBzfvdhsPES3VjF
sAOIVjdasA74fgjlwu65cKuvJNfO6/f3EADH1ccA5o09jaPrw/g4z/cj+FOunSGvvgiwz6yvt1ur
tbiPzuB0sEx5A3lMM/Lrqt203YK87uPYQaZKGGkGPw3l1GaHLDDbe4koIJt8HmwkH+0TtI51hgUW
NbdXIc3QXZcSjWJqi89DU/2j9VI4KnC6NoS2Zmlf1VVtXIYD95+3WV/Fq8PdoGEMTK7BgG49ovzw
Me+7adPFn7NGJw0G+i1NZYep74jyrJBU07ybx02ZzFnzcTdZu6iAeCGIkUFxCWGY+hfL7fZt28ys
NlyNhoZwVBbm3SP6CWgzWdMSyNC7beZX0er5jIeFr8OUcEvI2F0qj0dhFupNt3MgbfzoNq7RgAA0
aLMUbEcmhH5kSA2jt7e5/Jnf+EOdZqtJWk2TpZULvjRxlt1u3VLGm+bmzLP53jpEvsIWdPUhZHUk
oao2yL6TVbht5teQomKAHhZaobPzY2N1AWkiG1K1gdwWrsEqXOsK/XA59LJT1qHwBv2XfSUb5WyD
nkHv4ePUFCwL64CNWSpaw0iITcqfdVPLl20Tv9pfe3vQubIakhYTsIreWFqpO+KRbZt16+PY/Tls
M9yGkJSFtfno2dBs6yY2vG6zvorXpeO2gcqbpFmt50RBpHo3SWJuXNZVuNYN6cshrLI0H6oK2kSa
3/g2t39tGvsaa6Tnls/nl6QUEqLWiZlEPOD8/xUl6dk3/mHvXuONFoPV0lOapCNUq56hp8SPGWTK
Nt1C/U0M1PFBPspVl6XNsljp1JVXRVa3u20Ts9pas3oyxQDllNR3SZeYes4gaAZN3m3WV7GajZAK
I3yERvDodgkaCsrdZEFca5v1VaiCk1/l7uKSVDYQaTkICOre25nXbczB/ipY81riOTCH6Lbpcxto
kmnqzMhShbEtoNbwptK3A1M4GH9tSC/G/XT2zXaKYltArdFN3IWa5cCQapTuxQXTujxAqfmrE9tn
Lr8KV+zTlq8DF1lYq+pgoRnviXtT/dVx8+x+/xBRa3RT1+EYqNuJpAFTbh5lajZ2aKFTKRegVKEe
VFOWaJMXrdFOQDIHVe3MJNWDP9E2ty10L7XDRuurnbZoPaMq8gUp2Z7to+HkDoXMZrWt/FtDngoA
tUJS59DhntzJORq26z22uHXptxX2a9QTC1st58AQO6nMLMV70LQvu2FjdvjD1PbuLkoSy2lrvx12
Lc+rWOmRN3Rpi+X3toVdha+jXFaY6Jzf+eHcx5K5Q1wzXm5LbWdCl/clVMk08QqrJjtHobpkbTXt
oP++rW0MCnMfrWcsJBmx3Wznamjm4RKBeG8OVHc23UaBq+ajeQMdDWzgMt9zixhN3DV4c/d4P2/0
+jUSZxxE22bQK977nWPQ0RrVpex4vs0r10icxQ79AhoJ/X5QEoq+XZV3YCph9ba+a8g0fJwdrhq7
5ioQ+4m7fdQFWNUGZCjbHGeNxRHgbDIynrv7rgSlCMAJ3S235bTpbtpxVztuy9UEv5zJvhDdNz25
zVvlT8P3TRG1huL0wVhOdVF3h9F2qh+uWXavnWy+QoZCagsT/A9Z311FLFeGpR1LdQeIvdr5hYur
qMzc+RI8ws2lthjkxNE9NJRQWQha3zlBBoIEO2iT6+xtggjL+fWvKXtQFxtD2ynIs5OFyBNxfIiP
RoRr2099j7DyRTSTrqlvGbO2oV5ee9aRtYp3NWS3shCKo8Vo8xcy2x2azhbHm8zv/vlHQKVsF2K5
g5JwXx2huFXUJ59B8v7o5kGXf1eNEgrU3e0w9/eGEKrqIq6ldEqKj8jyF2JNZp5Rblht+QoNZgk9
oTlUcw7BZDaJkTpQDIPTtbrPrlvTKefLWs6L10eDOQYyNp2aZ3fdCAaMU4tH4QUUdACklne+UNwc
6TTnxuzHutNu/1T1fcV2aDloukMYQI2U5nKsxzYejaqq8f1MLeKw9E6IngGDMPFsdZXdXJ31xkQR
Tb3jycs2HC1RQ0N7DoLX2ulMceUzVxjPtaxGy4hHsy5w+mrBk+P3UQPm2BwfKwOuoRALm0LEgwgc
82WpDJdBpy8QZQFeZXvOQDIKQLTltzS0UCr2uNrJoKyXZ1PWXpW6ke5tn7sDLARgjrNAHokHZlcn
OSSK3etyaHh5FVrLWO1DnE06fFDmtDqVg4lz5xIERXULfacOMjzY4Ntlx1ztDqdB2ZWoQKUOEMM9
5NAtWUUSAos59M/mJe/2DOIt5HttSz00tAB0zoeu2lw3c4s7kNmdoD0SdNOgYoD27H6K0O+nbftC
l9WIazUDSsELzebGd8sdKKuqfIjEMhAXLy1NkHkgHQfjb/dztIdpelSFFbBHkbli7EE7ADKdIoLG
1QwmBmLnNjt4qnW9H8VgVeVvafhkAVdeTharoaNH8GORB5nreV/O+Cpzp+tsqAgtQb1gGtRsfPze
pAmBBUNMTK0KfhtDzuySFqXI0PgoAtWQZ7JI5ZZRD8m15RfkLzR5hTYF5N7QRCFBa1p2YZ3Y3STm
5qLR/BxgvoCmbYJm9TacY9a0YzhfOEVrm31aGhC/bRISMgneeFfZLGugJ1fU05uF+wZ1F9S5LoZY
tjLzIq7y797ct35SDjIQFCLTcPNe+IX8ZQ6Yo1dRDlaXY/JqUx8bo6n9S3TID9ZdIPCYalKcG6vb
2vOK42RyAwR7YeW8ttMIpV3why2/rGUoY9vRPjiFzHx5cLg55a859AWcXe6HzIfKnj0zkZ3mqpX8
cpJcO1CMn50shGi8YnAqfnIWFlrFEVQ5M8RuJh727NuA7OBA3KKEnC6Lrcyb2mN1Zn0XMfB+eSli
p9Le9M0jkNR7I3aW94/D6HdhCUVg3FAbVNmOXG4ZuLIHHlfYGcwmqiaflxDWFcCTCdoaeMPs0hEg
gd7a+8YI+qwd+ii9IaM1KI3Eb/SGdRBvzkH3Ijvg08H6EkAkXQfWSH1VluI7RLcAjUhnFHNVGIGe
iEPyeoA6Wh7ShTgCOgOGBn/WM8iodXjXW83kfbc1kblFw7HuHYxtGifndyV7u70t2BCI57mtIQ9I
ndnp1FVmlNb8c8rHsgIPnDa6Yldl7tiD3kp0oKGiBvSACjOdcs8HBoHr3ubWJR9NYzRp5TTCHuM+
yGyAFCqLDObzrCZtJL7DPee3IjiEgZW+zcO2Sn2OV4QUmotDfyXGUjUtFBLmETSoeGXx7xloH4wX
LKuCunYwB25RU2wNU3gD0VfLB5SrBeAFP+M38/RS2m0PZWO/nA1oLJC8mS2146KTRICuqPPya4/Z
RMSWdBfjYBSOxH7he2MADkcxZa+aVyO75X41qes2E661w9zkzq8qcGoTDYaBG+SP2OhVCZpL6ATl
I2VD3UyHQDiLmAHaDiZwHOPxCQ/skXTGxpoiX1Uqf3RCs5V7o7eG6XmoJqcBm6xbMD4llZyFnKJu
mo3xVgnkmdNQsurM+mMUZmRCh5LHebWE4Csf2ta89ZkjFW0qXVigtHemufpGMuUt7S1q+xJPGD0a
gsvuQvvd4ieTOXTzBZ4RiWtQy2oGELd3telomuFuDIrTtdHq+sWtZqeAzkfIJlxOMtE7HeRPGOiG
OKgfcnZd+qpHys6y2fkJZrOqqeNlLKU5UTT29B3kxy3Y+DYEfjhc15yXbbNjRsl4sGsgaBkYiZmb
pLiw2sYY9PUUjNxqonDQVr6c7GXBWlFhyqoHOkFqIzPi1iI11KUbD4vbRKI7H66pXGzS3XYyGHxQ
fOtFWyJZJlzyNVT2bt4E15WY8u8ZaV2UBHMvrfnNxLcvGYVWXDm+OtMUAvE2D2YDiXQC2fW9YwWT
HeXEyCZBQVQ4BXeGMtGYkIdDMYYUz0I40v8usmXUIu3wLBU+IgMaVkFHpwhJalieUpAm8LqRl7Rp
mKVftFi6/iKzuDaOpfCX6aGplmE8OYZupRFJwQvXRm2xIAmA1x7xuLDHeRrgIJE1SN/sI9u1ZdFC
osOq5ydk9ZL8UL72rZyWVg0QRF6GNnsrw6rpH/pA2W2+c1qbBWYkKk+El64hgtyLlGr5OEBNumuL
vW7mwgjjcDSbboRYKLLT3UT8ESnZcYTT3NjeBDH4LJyld7sYHFLhIEQpXEgGW1LmzRD1mBPolJu5
DQgJSlI1RZzlLXqWfNOyq/uwabGV09ZlrvxB5mnM30AW6wwdmj3qSWk64qkf6uG8Aw0NJVNV2t/M
MSxtCI33LQ4wNAvUQiAOzEBQZSbD0nQc8aZRELp0rBxdXrje2Ht3ePm1w/tigYa7xEpYpsAlrCeK
BtdfgQd73pLz7hg4mVs+VYtym1++VXSWpk5jz6agVQg5tF+Fm2MboFbhVcW3XOcZxGfygKD2oXPn
ZuJQD6zMwAttAzr9NFSiMMC/Dd0Lggn0pIRrZbrw851boI61ogKcoCXy4OgSE80LIJhRqKB6HIsp
xAG77MCYGjCDXM/mJWoOJ3iyK+TGtFvMM0dZs4B/7lm3NufpLKyp59QZajv7Xi9hO9xiKC6SXAYB
17NmQTtYN17tBISGgP2Z1K8bBW7tkEsTWgcg9svu2syZ+4M5V5WVLg7WBwX32IaP0mdzj47HIdff
IZbZc0U1I3YtqcmM1jmRBTFxa+gSyDbaiXDhLS1yz60KpNhKhvh83eZQBwI0rakblCRO4fDEDofc
fxs4qNfAuQyhO/z/dYnX271bY5f6tujM949zGbTuc24in/xaWkzYLe+lO16ztrbHqxmoGXYEzspH
Lx+Oz1NwlM3Qy99mB/nbxIAasKvoqEzW7rPRLtUz78DpcW8D8cjuxonYqqUt+pT1Ey8GLvZ4j2WT
SSEI5rdPvYE309elDszGTOx+nL2JWngknB54KCwU9GM+de5Bi3Iq/H0N0Wr0nRaMqJqaWafcN1Px
0sX+yvP6aUISwfzgRq5wMQczybAKiGchLuYFDP0/DSADbzWOWu6lr0iP7mapjJu5VeissIu+CB+L
oijHOsIJqXdPhIf8f6j7liZLda25X0QEIJBg4gGP/axd766u7glR1X1aCIEkEBKPX++sE3HD9rGv
b/ibedKTrqgHWyytlZkrU/6IYV3VPUiAEPFh6vAefnA74p0sZdrkKVaPopxgQTNK/vKNDvKnDfYD
K4anJQjTkwrhAnQGCZ3Nr7qP5/Zzy6cMfz5Kvdwe2KL6AW9bv83qhmSIzhUxbxf1Tla0kYUxlIXn
znAz3k3IACJH74SUr2lq2kEWXm7xcOpNokdUAUveHKRe5sE13suj7eYgGAsfqix4bc3I479kPy/u
iJtvXAsFdV5U4FpkOJVRF9sqnH0X3k2Ja/I3ZVSfoGZnqaki4TLzbVUJ8Eg85R0vgd3ZjJUxR9GS
PQV2mQE9O9morvbpGMjKZ35mzwG3a3yZPE8QDLIvfY9FszXv70m/y50Xw47q87rm25qWWk1O47bh
DVLRaWfdNQyXlj7DJHDwsmwU62deZ1HmkmfAcKk9dKuXqIQLMpS6Q7IjjuBo7JAhZNlYz22FDeVk
qeEC0ao7NJ/MX1jGI1oP1nF+6Aje0MuwK9rUabJ3GHaZiMa7xsvwy+nUaSGvYkgQjVjgk5TzOdxm
l1Ux5t3+3kPZZc/IXgfHStteD7xw+A3piSku6P2aIoPvbghBiVQpDTqDXxY7TrAN59keXpuJSv2L
0yGz745FY/QQ9eiiMcBhD4c+cGPlVE9whPZ3dImpOSfNOKPmR86HZ5FM0XqH9VTYWxS0m5P8p9TC
rIdM7F69SrzFcHXo9mg8TgRDzQP1NjForbKOtR6IUZwPt16qeL/3FA9aIWUqQHpTd043ngR7Ba2g
UHAQDzaWw9IzpsF/isX6N8j2P3d20mGMAt0l/LziRoQ1zKBHSGzAG//8r4Eo/4D2xrjBe+Wn9tyv
4XgFvR7eS6X/a9sFCF4GtPI/YarxMDuGPmk/p7q1xWKj8XXLTPP0X/rd/7mkytJ9GhXRy3mkIrrE
bd99/+qY/wPR9bex4f8B//mncTJfoolvm5DnXvet6eoEAXddESVTc04hdMJ+FpwieTXTOMCx3waI
JEMYdv8lcolZq9M8vRc4SDMAU7Re+4p09HzaiiCZNoKLKMOOXZW4IcMXWJPw5hiPGiFnnTQxIhB7
CGhvQc6UvXAvohbH2oITC/et/082sf+G1vjfFmUZekXercs5ZxgfDn7K5/Vkm2j5o8M5QmIaHFr+
Exf8b87xP9dm11GSwNvNnj1M9YJLL3QepBURUairXO+AYYq02ZO0ApoQZK5soS7ZCujvoiAFJIbE
1AI3xoIwtnQOpsPaN3Y65QOJ0zvqm0CWRmEtzNXJLIPcARCYemXvRdxTNGTzbFw2w4rZWjM9QI24
uHs4xbQYHmybjZcv8RqitVkjMVXXogucTOt+1R2r4qndFlRM1J34KCmP16PnU7S8DtqC2yh66gdk
MDV9A7cvTLOY37fjSNIIQMy4c9uWYbONuooXWBrVAw9W6y9Jtub+fsgoh9mYXOyiRPX3K/H/ZIB/
E78gWdN/5n9a3cO49Zc22yR4O/+3/4/j5HGO/709fqF74cXH/2yO/7XT8C9zfIS+A51DdmMEcVsY
f233/CuxO//yzaeMIdQxSdK/45D/lbyK/6JYTs9hOZWkX+nG+I7/MsePkfQNSxeKdKp/xSj/I+b4
/xZ7HBPyVXr/R91BKGyKyDhCEkQ1YB0eYMD/WjxhmDTFC9KHa2QZrrxuMCEP2JaPJ+dvuDLj5TX4
ezrDuI/rJmw13asJIO32mcKs/pNz07CfczR3vLZ5EMwloXSDFydNOHGl2XaZFrMO1POs81Yc0OZJ
bMLMHZZawbrDJ7DQ+6aih7HPkAK+r2bZi3Qi6XgXorvOTDkQ1mIsjEyKvKplVOhkp1ST2st0X5Ny
n8fR1rMfN/nWY8dUnpNRT4h9m9jyZxnM/LPjU8wOGQjzQmyM1nAV6iqg2PcrvBJeJzcovFDA4kSn
HwIYrNZycAu+VLxhXtW/4HCUVtZPSHHj2ye88Mh1R23hIW/KlmGBtp0xzu5KjoURsH3+gg2OMFW9
hlFmrlKmtmRczoeIYqjZfH5Nbdo/EKk4rVpGSkaSJ7vtopKTGSuxLbz2EAPf75IAQoKmqNKsfYJo
gRZZN92nbm3Pc7tNL84bWmeeZ2dM1nEZbel8IClCuocIWzUje8AQMp1HH1zAHPyJgu2JpHIvU82D
w7SKb73z7ojBcz+wrdNPUR9/5l2XlBOwxCppzPjNDHDxl/GgavTWnwHPfgIPJgVyuvWRhvsvQtvg
ISTO1DGw1SKZdqR8gTApYi38i8zd+4aX4NkY/KlTFjgwFbz5JrE99xNutvkJS6SmDixdyxmNdxnx
AT1dhrq5viIxsw1/L/so32IfCkQXLszRl1GJ7Yyt/4ZcrPcz+d34PmM4kDoISkuGdInvO0GS/GBE
Os9HcIjhnYn3JKvzno/tpXUZewnWWUWYhrfA9x3ohRH+dRXxUYYoxGxOWvrItjnPYGUH/CPN/piQ
z9t2x5mzefzYJjxYOACsOYzExU6pURW6XD8ex3SAgUDCd/fMQ9AZ10wDYsNlM0UvGJXiD7azrIRn
5XpyXTs+Rch9hRcX7hgRw6oeTgk7Bv+5aUsqZvqOY0vKPXBZoZFvBgQ+HOZTC2uV29R05g+g8rlQ
XGng4YjRuCyKb/cOzay1tTZNH9g3KxqsUrBONqXEPFFyvoj7aCWPnGlSjZQMJVbUvCjygbZIdGw6
nOIMza6/DqgX2SWO+s0AwQAsu58ssLISeorgukR9eILz0loANSBlEgRbnbcxwsJEM9o7i5EGTKXB
SFZZtTYTpkysgH7mAJxPfeqNK5e2meci4bw5uSbgxTbab+2k05/BAkuubPAt1qKXYDlszrSPiabb
kQVACvIgyg86U+EhGScE6CDYrMyajBbxkPQFlnlh6A4ArJnVeI6Wr+TzbtwLiQjfIldCPolu3y9f
u6eJBHpMuuzBilhcp8aos4FIFTtXmD2zcFqwR5NM73rYgqueFwTD6zm7ZfvSfXCs2hRyxbFHZiwe
BgGknKRfX7K3qlgW2MxmcsmO1kYtL+TExDWbPKKd9JQdM0C9Z/TuYdm5dC+sMPmdBGx5rxXS53Xe
hSdYkHbXpV2Ca5aQ5JtIYWMHBsMW1sKhfdu7s23X8SXEe1L8/SPlvI0vydZkRZj//VvlbxyhqAgj
87mgFT4O/FwxT+9/f4LamvCk151UWfz1HQIKs9N1QrD80H5IDfRxXZLgMul2OfNWra/ZhkeC2ts8
zFAHAWu1fdlOBsGBfp4PNqH4+8ZlOQBmyY+pk8iKNjk5Y2gfwM1t8cPI/FJnPU6PgPFsic2tH1mz
dR9//3ydU2QMM9ofpcVXhCPP7/9+hprr9TVch/mcTUm73nifIoEZr95vbtPspkhLfq/dHD7ZnnUf
lvWqstPefUhHpnfISPfPdfBDNTCoD4vMbyh9UPn/kFGwnkEn5a8MKxgv066CN2Fa4FzQzhZdBD+1
sVfZ3RJBOzvE2fJHLGiSJTDbax7teRlNKjfZd5KmecDOpgGOLr+eMY3jr75S9/4C31vTtUAhwojr
Aphb3AKbM26+JGFkp8KwVJ4DTECvVqTksiKl9zgv9KHR4Qswz+eNqtOqyF7pbEGC0nKMe3tWzB1i
t50cIZ8my3QZdjypMm7VJWQg91qTPSxkxEHPoseM79+9yPXXHhWoVQrgbB8iewQ3jHnAOxwmwMIH
Mc1TkXMrD5COmLrRGQGSCjQpCwRHXFUeFlCGJldLIFlBhi0SvbwgJVUMGBpP+WmiOOJ2oUNUbnb+
YGMUl6tD/GyzbG+wuhZ4/vpVxs1PNzW/UrjuVZEKXqJpGe9xl+QlOA91iqJ4qDu34HQzlGIH3qn2
ewaOc5b026rTtYrb3b5vLdge5llwnYQPjlZDtacwdR+pbc/gbzcU7iT7s4b2sG/sFIIcHuBYjStL
7M92btwVyNLRNqTyCyWV2SL5EMuA3Uy6tlW2zLy0TGTXrVdhKSVywgaK3FHTfmsUGN5gaZCvNtoL
hv7v47wfDVjLgvaeHucMFhdjJH+JRGxgS744LR1PoC/hchkkNqxyC8/2SUSYuqLttLtgrF3KhjrM
V1CFFMl5yZIdeKLPyebjautof8d7wL/IHF0r7DhmtepblMGUBRcf7itoQ4ft0KA7YoGF1i4yZ1C6
qNW6LWGjoj66DdSSJTN5QgoNOfLFNyWQ2vxxAMP5HFmKLTvWh5XK+uxFTyw+YrOMnOTQgPUNerFW
fLCismHE4D/CEgW3/Ch/ajg5oxvMukrkSwxbDJAFOHytuN/t0D/kfTQcUKsh4Yk2IKOguKbv05bQ
ESow4c6ZYHmFhhQBjlzjGqFbPF9Y3vwGYL7dN4B0bhhw+1LLJKoyY4YnEY663MeRnyNc0nUzYLUU
Vx6dqyZx5DgxifOa+BaMnBoPU9hNr4OR8ChfAq0rB3ONnypXwRFOZFO1ppMtd8RRnL0f6GUjnT+I
dQwAKWXynCobXQnt2GlBvfq9Og12kXXBAzzKPY4pl3dRPu0H1MXo7GmyAT5fl7U0WMoG1ZOgyGAh
kGwgz8C54Dpk8V50s9kqLoIF8Dlt8zuxM14xwxx6RW1uWuip6qQEBgf+qVBrOL2oRUjIBdAx0gwr
YEay7aePg7no+ljwkk+MP8chWSqW+r0GqweGI9UpTKBddxzHtqdFC2Fc7TZQfNgcTIsQnXrV7Mv2
CG1A/mQa+9VCr1hEkMH9AjXsL3xj+ZgviP2ZR9R/H877N79uR9okc0HhHXoGhXQhy5ZUVG7bXzwe
6O/MsPAYUAbmictKSJKcRAekMG2a5bgiSgAXIpgRiMWaGf0x7qSsa/7kyGOtac9YgTv5fZaLvUWT
0E+JVHm5KP2GLBJZmzZcL2qS7WuOlrFCkrs4UzBWJZnRgM6bo3W34RtlTP3Bjf68xxNoEVxlRR5m
9z53z02YIOI7ho01ruUYPj0TbpMmb4cnUMUCxM6Kqjau7DtWu187tPYXSC9+s9z9CnuK3isNSKWk
ScBPR7jMeLzTGeVSTQcfd5906RAkzbsP1u+4/fYBWaJufJjwjhUyS5JiSx1uWoNlOLQaCPXMaFxQ
GfaY1kMEL87sNigV330pao5qBWS6hn37FiZJBMor77MrJ6jHGr56aJXjMv9SY7hWL4dVoY5OmO0K
HihzAMn2kYFwPaHhUh9YJERRzPvLZmDXHbQ6PzWJME9QZyyli/rxCkmgwscUI6qiz/3FhSviO8Pt
ZVMZPSUj/IoFYXHh7dJXTZ/cq5R+ZL391qkkPoRM7mDcXVpGkgYHOzaUF2Ev8dLv5hmpcEMJr5mv
D/UvIjLkDY7UPcLMda1nOf4FeAmN7jgNMM8G/2WJVy9xy9yTD9SMlE8BVdIexKZMx6zDYXPNG9j0
wCDYBYv3C7qlYjMQ8EgxJcecQTYEev8XVmpkKalTZQL79sJOcXP2uOpOPQlepSZnEgCAaZIlPM1E
0AcvRyikoh2+RwO/RHnCq16rHFWkRTItB/Vpgikue2f344LHWODaJqrGkM7PPE1wnNGBV7PYw+cG
XPn3BcEfhW/Wp025j2g3/Te1TEUyJ+bZBqR75UkcH30ykR+Yq+wB8tLfI4J6L8CaUAvZ+ABC5GEP
9f3A1HHJ0GkpDhdgUCLqLOmwnSMN90oc3E+5irsQz/V7E1HYYYOzER3YZWSv5RcJHLCYGhuVc8q3
Ku2RROTjXh7TOY7DIgcbcbcks3pekmyGLVA3llsDOYOMZXjw+T6fZL83daJ4fvUNR3sW/GSqdTeW
exjAD4H/q+my6Q142lBlg8gPSbCkWKjWHJelad4IsMr7Hn78x52mzW2JAlxhTRZW0FH1gOHQ8zR4
mBR+1Y8LI6qCoWD6IHQrTUnha1tCtLHc0hnG5Coi6S0l8VC2g5vvOxTnEqwbwva2YQTitg3HyaxA
3SJM8SWsQn6rJN+rbm390woHXljYYA5Fs0KLDUuMGLxH95m0yYr2Ld6qPqLwMsyHVpVrMH+2Hgwy
YdApwRgvPlKRujtwdh8L+LIf6b6AdQL3dhHpmOD8Y5EQ0Mf7tvS8HLtVFqCLw+8qYNNxGRv22lsW
PnE/J3ddbgAurEuAxjzfS+i7+VUo+eRhqA1dGiUHFfffM9EiBDQxaQUjJYZN4NGfF5/ZImvHBWWD
ivFAsaXwiL9O1FhduE/2L3NKR5b0Ze+SHxNN9mKFI5YrnEnyR6XUXos8tp8apGepugwPfYgaWaQh
OhHnFHgUENgFkpP6E6DO8Kpo9+ViihkK3Ub+lJDev9gs5pjZuy6ujCbbc6t5VGMWlietUghIeOfu
MKLOtWacnX0b2cpNi3zV+aCfidpwDSSos7cRrNJpgI7mSnQq7x2C2n5vq0QdH0bIe2TPXwZ4tBQ9
dojrVSfB+wwO6KRzR4r+KxZpCOT4IxwTcxEuaE3BZbceohHFZYbj7RuI5ydQsbcEwz9vw589KKBv
GeCsUsasP5gFvavKm/G4r+k3MfZpLSF7eB/jfryT3GQFiRbxfTSsv3MdmoAo2j+mGKK8rm+2IwQd
+10CUWkIOcCVL+1+1yzxAojerSci1xndhEPubYZXDtZV9pSoiNdpkAyFafgvvRJbN13z6UeISvpp
uE0Yv+xu9cPEVvXE6Eb/NNDjg4LikAyj43sKpkYcmXC7KKAsMD+VSvs7PDpRMYhsjmyL8yoMW/vE
0Iw/OgxbyJBtoBAF6FBC8tNHRTo6WgUUL8vXM4KsI89jEK7NrhheiDyqwpam1d6OcP/YYLD9jJ2p
9QT/C4YFp2gu83RYjrliQZlPY/CemyYpw3RvKz02wwsYw7XkLVIK8PzHi0E7dAC7gF65i5cZc08a
4xCSFRSsHOF2PGyxP2rSwXZ2bsZ72bnmfs2lLdHQQrsCAvOn3vBLgR7sLHCOkZ5iMw7PO9pqeAJH
wTc6Yzxpp3WuHLbYj+oLJQi5Cw9Bh9t2k+E5H8P5hN+rPecrwCRgDf0t8f105Mks/vS76BE/ayDH
knN/YnqwRz8O2w9rUHxCnk/IxlNQMdF4JJCi7tlHlmpZd0a5057O2YlapQ8bYJv3PnRb3UEA2hbC
zdHv3IXqbc6MhaJUuPwZjjbhw7h34S+VzyAxfTaVM0L+/nKAkyouN17pLlsLt3XqkDsgNHGDQ5m3
q3kDBNV8OtXp+6ab51LNTINShCCRww39l4AwgPBE3i+wGju52aKxSfNV/9zWNXmOV0QYJGu3/sig
4EQJSbJPL2CEY4LQnyQu7qGEqR19tvDne/G2QRHWowHt8DVoqy246DXaoVxtocc0uIR0i6m54IMK
SZHoKLtJmYkrBJvik8iln76uHU7BXA7d4zztSHmGyMAU1ApYC9uJ3RMK/cZ12XNhji0lFtIOWgfx
LKvEMEugoBC4dLrIXyFzHsGmZhFmNT7mD2rt2DPQNnmLIKL/6GNI6iBEGkQxLftU+jbz3weEeVXI
MM1/TcDcXhNOm2tOXQCvxCA+xDlfLlpAduuIAo8P96i/nNFQxoXi0Y7cP8YDWy+6GYCfgahFNNCI
2ij3Wx7l/OiBN951TDZPAT42NKVb/hivQwSAkyLFGyLnm2nC5oLaOty3MiL1kI7rA16PuWAbn3/n
aISM5p8kzj+hKntJAK7eBUp9n6PmRZAd/ZAPfQV17VoxHJOsjX8Pg3NlTPKf1HV130NOM5GBXwEu
9q9zlMToguIqlOwbXYwoswygYbjxQxTNpFiSkFQR3oaabHGVopEtAtPysu1jpHnDFBg04naE5hYl
3ixoMDdz8ZrPLwhiwLGx8uZbHqPc9fvBdwoxT1EcX0YS+6qftzeu3LsecyhjU1db5Q8a0yiEHqG/
RREQxKYZTnjB90JEQXMz8xxXSBlRVxYqdlqjHkrleEG7hkXWikOAWsbd3J0ppfNpW+123CZYhIS5
vOipmW8YkxAZHa3Jp2ddV2EDe8W7Fj8RPS6nEWKyxBNRxoLwo5n25C84lU4vVNqg3iWE2Qs8ptAp
9F1JoF06LS3CWgJ4z0E4nMY1Ziv4xzInb4vKgb1C1L0UYwoFadZ17w5muxXUg+FjB5nGTYzBl6hx
d0mNKyV/oAwQby786yD6qIosa0AcLkMB718oylLSH0batE9+BnoQLiyooOe97Rwdve0B3zqHXKHc
Un1TwJIOsIXGHEUwZE8azz4L03KiEQLt//7LcBxeV7U95wqtsvAyKdB3ousbwc5/TVZx3iK4PA0R
XJuul8bFCGFnytwvnT5Da//dWH7zJvhtPEjgQMSQBG1M3IfcQq8ECeZXhFrJw4adIAmnVcgzdH9p
9plRO2FaUe+AeMbShxSnC5Lt8waVRGmar759iA96Bf67u6EO4ED95A3BAVggi1JQQFuMEyUCDsey
D3xQyJzorFiX7KHFy10msRG17+RwziBsnmcLiwb9DvFrWmww0tHbmJUyEd9tJ3SN8aEpKOihA+Sj
9pBKOoLd2BFWJ6Zb0unXNe1wv03AZBWhdyqXU0EmMAawIFjqkbC13odVILnVHGifAN1rDXLgGygp
40mSVxbYHy4HTBcjxR36RrbixoQUBGslZbdlCxaoMntNsuWb3XIBcEuHh8GE711GOEqL9Cfq8ldN
0XKNM1lvcQspFSwCp2NODLmY1D0zasCOrL2/x7omJ0ABwLHnehWHVG0H7AH89G3+kjaARKChPqLS
u0rOcYPaa7KzW2X4ivaxO4r8FyzxCPA7BQA6zF/RR37nYn3AoKEh6Nbti3Dq9wY+515GLDw4mIze
kiD6zRqob3JThWIvIpibHPNxV6cFpnQXkq1H3Jg9ahqOBIvEcty+xgAIJg99Yn77eTi3Ov7WjE1S
aRk+79CGXzo+dHfTgMk2j7oqztUHxQZ5MQ2YeyLhQW1BzHiWsCcvtgbXR6Aydbd33QVTEr8sLDTH
OIh+9ZF55VJ8eAFtBTdBdJIIsToNeQ8mCQ3rlc88PRK0atC/y6nFXL2cLNYz6o3u+cNG4t9k8P0L
dkvWsw7GrYRfiXkiGbZK4EGhKw5nyBLD+/TE4dp4VMr9wKbQIO4WvlSifUVJX879sJiC9G47xlgs
xJKB5j/NaqLKaYUjHtquRN91npeuw18TwD4n9UeihnO/7D8GF91Z7g47WddiXN2ll9BFOxxAkTYQ
bffdj00nT3je55UkdYqVD4JzV5BtDGugrkcrxctqm2rtQP2NTjWPosUXeTdcp9FuVWDNM5i2Z7JO
Bxe3Z5NmFSKRIB4dmzpCCGyxQ7x9TZq5Uq59dHn0FnC86mY9Swl95z6637JfZdUE0acdwnOKt8Hj
aBwX191MmJ2DOHuJKOlLnwyX1fJLighylpBiz2X8uHY6KsCvOaT1LFlFw/DSa+R15f1I39pJvcOj
Ae2vMj/GNXhMZVsmkX1JxnYr7R6dFzCRLabFGjyveQ/37r5t1iIY5gpXVLX25lvYYn0IXexBUXJP
IgP5BZTYZ5c32z1v9EnPiKNF0mNSi2FowMyC64oDUS18/dwRIHEJpkxefID9hXlu3mE6Too0QAdF
e1dhl2QpjOO27rf1x9CGS73uzS3G2JJ6uB1MY4PagPeozxkYXPgvcRAIh2xkF561+XW0kcCERxT7
DkAsxbJsJwrVzMtDxsIrQhQAAGPUrAc6iwOgBvMO5c38uLKkuwSdELc8QMRw71gHNJVORU/oETiL
OLc2gB9q3GMtAcSieYOZyfKZjGjYka/aVzjkqv8QNMW0jr4aQjPQBthPqEM7mXpFKwd7qt+U+qQc
IMEAIQOrlTXfobanFpzuEFrweYCeWp+wmuCToSzvsBdDcHujNUmaqGJ2qlMHJJkDzRCevQio6E8e
2wpweHO/EimBPICkAmZROCfO+ARLdIMaoLpT1bjoCUUjTS/xMjxHA/WgNLD067a3pFGXkcm5cGH4
SN0u65iZvhya8a1v3ePi42+gQiUiqcH/BzTpqjHi01nt01ZhWfDXxMcIg3kIFX5H9avTnkGg3D3P
Oz1nTU4ObiRNCXXyVrhkf4rNbuph8hqKRmxF9lsPPj76Acd/C32M6coU4LxNQvmU4hNlTNICOlM0
rpwdNxCjRQaAlrS5LYe+kdWaNfdYW3hmCqCFZVhfmNu5wO1z8m0Pl2neHLRLf9os+un82pcTOMXa
G/G1ljO/ce1+5eFcjU0OKoWmtU+4wDkmj1jPMAfdIzC378NfFA7Hp4BiXyFh4OeYbBlahxi2u/tY
ub6/TrOvuFvoWbPuR6BBRsg+Rqs430/BQo5JO0aH3Y7PWRNh5E6fZ8qmB76ytZqald5NOnFVMwPe
9gNuZZRPcskUK9nCdQUOur3MXiQHyBE1VsnQtoM+B5jeYAhlVA/lxLO3KO/sPYTl6a2dxdViLaKG
jvIEOfJDBwcxtBO4aBoMGFMna2iVajCXkPtLMgEBAoMr4+5hCZkotA3jomOI1ViEkAcHwr5uEzQK
EjFjeOs2ce4zgNYhjVkVYCyA1snfpUib8bunNRbQniB3As7IwjdYFkEVx02Cf3R7Fj7+ICtgDD3c
IL0f6i1W/S3kSY8GNO/LKMGgwjaC6WYImAKKi8EO21xLB9yTvHli1n541NxE5K89Ns1YNSPYe8ji
4fV2JtoxeV2xjbhB3G17cgMni62DKPVyOlu4+Ud3o5nawACqGMFETTwIukNq8wX712MyfXSm7YHT
z3b/3gKqW58soCRTCICRyxH/uaS3GfOnrrEKtbWPuN+b6WEK9PZnl2s21aDaDfD6AclSp2FIsQck
GgUrgmIFVaLLgY86rLp0CqI7qD/QENKNtT9Gs3CYxKQJM88xSDF00zj3UtytqdDu2U9NjsaVI1i4
ctAoqYvibe4OOehugPdp7mhpyOjDI5b5p//O3nk0R44l2fqvPJs92qDFYjYAQjPIpEjFDayysgpa
a/z6+cBue8MA4wWMtX7dVlXMpHBe5dev+/FzqDXHUx4LJ5/c63jfDx6D87yclJamqHXjRmbEa4G+
qU4KB7tqUCL6kZX9JB4ttHdovYsGVWo2xD26+RACnmAf9ymacgCGR5dOoLCzpdS0voCmMO9VQ/o1
lNoXswIqrnad7iR6Fu6auO6fTIW20jIqSiCEngdkLmz91zTqiy9CLNAiUiFoLDuyyF3qiJlkHgB6
PE2dob2kfvzDr4ytHgUkwCXPkdO22/qx8sXsUwSVIaoCgQMd01ipjxTO86MvmIXp4A3b6ZsK0tr8
u6sqebbf6Scrq7/2BVDzvgy2gu/9GaittEsTYwfV9a7oiIGr5G7UQsn1IqkB25+HlEKCiSJMSNbR
kLcUL+jw6vhkFqF9IKVw11SlBezHaIZv5US7dDXkJ6+RebwR9p76dMzs1BrkU6oFgWvMk5RpmULq
u9pVgpIfajDbu14pfmWCeR8AKOaNVB77ghiP1xG97ikdWBxLdKIEHz+qy0XliAEnpKeZ5qtX0/Yp
DLJ+TlRRdclejkAZIu8gdJX6fRxaWsD66XvRxL9zgg63GapdVE/e3ijQuvcbC9mcSQMgW1i/5dGM
Dm3e3uf0TOzyrn8JhnA4dWS+HsvSTDZab9A4GYqvWZMFThjU3DKKQD66mgpg4DzQMjvoohwRJB60
1jRt1YE6+RDUyEQEwyYDu8ajqqQQUY5HinbK3rC4BK1RLjaq1I+7xE90ogSDfsaIlzLkVY+AsHVb
11Lf0WUL0TfJ82lONawzjbxPamYWL4ZFj2jUTvojmD5r35e+4VJcKf/0+iS2+9DyN1aJpJGv1NK+
7sB4ITTFWyKiUhtUtB0pjJ4WMQWSKZDDB047eVfTPIWAaX6XFA5I7k8I9vT99GDKo+hkMb0KnibI
du/FP2Od92cdcrXlcvQcR93gpPT0bSjDPk9Dmp6t2KOsa5VEg0bbWK6WRsO3XFVSghkwUkcK3vBC
hwVzb5MWpR0I1qvpD+Bh8q/ESrT8sbF4HMpk9aVtltAk8cUc86jeNmIgHrUoLX5NnUU+0O4Y6J2a
pBOtMon6PQ6lkApjXnwF2aadAD22NOxS4Gyn6jjNLstuao+2UbPIKIdldwlwQacUybkUVlG7/Rzc
SLUw7Yk5om9AkGGJHIL+KNfecMSBEVibXhI7VcE+2GRe1QdO1UpEXXXWF+JRkhFvt5WmHczfPPpo
s+paDVbCwcvuKit2c7Xsj4Ofq0+CptdHs01ldwgE/YuVDuOWmkR034xB9hQU2Z/oLcpnDnHmxGki
POZx+iijtnWo0MR5pixC10Hyl1ZFpgtJE+hfmhjySVUfixawvxtKnuBOuh95YICCqTmBsn1Fm+8r
lcfWHcNp05aicIg8nshyGD4NMYU8dSQ3xT28N0tF+CsrwRjkluHUY76L5Cx3hnLqD3iIraaBIzI5
JJsUmc+WTR6rrqR5EjezHp99Q3zuLGp7It3PVL4KW1b7U6E28kFWhNrxREt2urDfTmbM3Pd9HX4x
RLUjnM+oRzaBQUtS6rsaAIGvctEY976eGij10Nng5FElOgaaNQcpiEe7DuTq6xTF3xSTRsS+LX/z
AGqegOCBcsj75wC3i+4jnfB/6Yb6QoIo3LbUW6jUP/mpGDheZRnE3/0LIWhEGyV+gq79fgu70/cJ
9mnSs0l/9GqRpZEaauK9TmucZfdVLwLFGQerie58TdNoXu+NrwrNseek15ItQIZwN4CkjsABjVY6
beZUPrbJb5nRRB681fNNCr62uTOCMlO3siT8akVT35AnMg8yLX73ZjuqnDp2mCeBU+lpEHTAc4l2
HWn6XgEd0Nt6MyIjOsXS/ZQ3r7FW9mdoB+JdEtXjhq5V9UQxsr6nLUidW3p+Z+xHt6AZ6FRWwFbt
NPP/0oMQpFC56ZthS0YfYgdOmlU+07ENnI2ixT4tuztDMFzJ6oJ9qgDoUJpJIhin4yNXxJCtLtfE
PxbQDB1RDwoNNcgfSu9Hq5X2LSU5eWwSlyYahx5kkxFIz5bf3BtpcZfK4F5pTOu2ReoDsKWDivZm
1Wg3/mQVd1FUCcB3osDWQCq5KM9QTaUzAYIRL7fL0PT2Na2u+5bEG+MF+BVa47dUanInMQLS+cxS
XIc+sN4IeoMhehJq4ZtATzn1LZoNLA2KraYfJ6567UtO29ApySDZHqmYw+tVn4S4z7aAQfeU6mit
lwjJ85xEpUJnJeAH8ydiABEZFOFPRRqfp6KV6Rv2UVSiEafvI2ErdBr9zePE81Az6fYi+XzoJ+Mv
iTYc05H0rkGPM2RzSdN0yJisM6JJGS+Q/w+I98M8e49vn3UebgDiqz+opCy//j94eNn8l6kaOphl
WdRFjXfr/8XDG8q/LFMRZRWBZ2Dx1vyp/+DhtX8Bd9cMyzShj6fOPsvnUWlvgv/+L0FR/mVokiSJ
IggpUZWhYf0EHH4mivlfLLwGeEkxLeyrhqzM2NtFm5JCL3wk+3TPlFqTAP8ImqbaUS0l3+UT1jTb
dzPz5d8/+P9kLY8H6tb1f//XR3MqBGcSpugMAOK24NwpBAMN7kYdKJLVo/Z7SGJpSsgthNxAvgrM
6M/b9i67YubhqZo4U1waEofggwyhSOWZJDvxX0n/8FNjKPpLGerRbsXKmzD8u2k0QJuLBrV+mhpE
XZeWLKH8lcQTTno8HR62D3t3u7Xt7em83bru9uzw57PLv13Xsfd85J5P24N94GvOZ/54dF0+t3eP
fG5z5EO+ens4PLh7Pnvmmw98qeMc+Gnbnc2P5MfPX7LN+f7Dy/bhcOCn2fw4ezN/envYOq98Cb+C
7cx/w8f8YWPbzt7ZY5ev5Sd+2T3w40+uy4965W8OG3uz4Sf+cM/24fBiHzYO37PZbJyN4zjzl234
fn7e/MOcOz44MxJ+o6fZ/G7vHL9tjvOXbo4He+PcOy4fM+r9LmfwDr/ddrO/c5zt4bydf1F+tx3f
+eT8wU/d86XH++f9/nmeJiZq/m73fE7t2eyzw1/fXrI35YobK2YtOujSqCI7EkmP5+3D62H7wqA2
zh/O/ug8r1h60wm4ZWlxxBoeRXTaSo9b9/HHrwfffrA3P+8d0V6x86bgcsvOgqoM9YwiMGY7LNGP
w9MT6+ww3yzJ/nR2T46zwiomXfbRaMtNv2Ql9qSmjCYMnt3XF3YL63R7jfBzl97pg4X5eL9rc4QQ
BqagEAuPp+1p3tDb89v/+e/D65az8cBePb+et6/nh9Lm4JxfX1lL+27Hxjo87Q673W6z293Z9+yw
o3Pas51/3t29bcc727nfs96cPI6F6zyeHJvzuTk+OqcTu++4X2nRW90IC9IuVew6j6TBo/vDfeHc
MGNru1pb+NcPEzZP6LsJm/Dk4FTwQ9vXB3/DseS4P8wHnml74n8He8dH86n2bUZ4/HtPLdz+293v
93/39uPz2hZ5I1G7tSkXDj8FzRCRenjES708bJ2/94fQ3u6286Sft/g49/k8u0kWhoXY2PhAZ/6j
+7B9cV8OT2f3R45v29k/Tr+2/ACG8rCzdy9fOqbPxYs8HXbsu82RfV7Ym/s/Ivv4zFK7rmy7j2yI
V8v+urnHk2xde+9uHvFDx/PsYG5v1TfOslvjXBA5g0keFImdisM+2z/wuZ3N7/1zt7Wf/u2ZGR5O
9OS4py2/xAa/e/s3UN6UWm79CoQTF2tvjP3Yz1P9A/d+ZhbOs187P7sPrnM6HPDW+1dOC84aj88t
sdtsStzrdsucc/Xs51vA/cHibF/dw8MDDpt98/Dk2/Z3dtGWNeGW2Bw5hT/w2kf7zZcddoeHw9Nf
B9/+62n+ob9eHl5D+2Wyf/n2AWeHH3p44o9//cVuxOfvnftnfCz/fdw/b573fzu4/P2z/cItMti2
b+84qt/v7u+/3x/3m6+H4/738yM3hfPIdeBsNs+u/ccdF9H+8eQ+c0TtzfF4h88+7pl6l1l9m2ZG
/jfTzeWKRe6W/Zl7+Xxy9pt7jvrbF3575q9np/Dsnh5//GAjOr9XVuS295LFxRVjUsgRDK4YbskT
/7B3d2eXK4+jbzvu8d+XnLOyD6Q3CYH/9z6QxcV9E3eG0eWYxSbTcX7g/HPUZqvz7V3anCL713zX
4y45FwebL8Q7bJ/mW5mFZuH56IlvONj3BARbPpq/93DY3fPf/TOT5h6dx7fAhmndzrcmJ+qek3t4
Cxf2xyMHct7q23kPPmxndxrYe7YQ04+33rr449O8jO7+x5lIx90/uHzP7QWYb4f/nQhdMYlnTVki
QSDTdSou+zw76Hh8sc0AFaJB5I5N0c2dh2uSoper/B8r9P8ZKmGfLC+1yXKvLmDdSmsbwglr47W0
VVfZkLz6CN2BDreET0mszfZooRFF0RQlaMt5IFwe80SCXYLiNRQXlaVuQ7Mftuh4S/9+1tGh7P+V
XwnUP84dLbIaMj6wWOiythSCkVozJCviAbpQA/m7GJbpoSmGaWWzfpw7rFgaevJ0+AKzWLisqiRd
1hhWZQ+xCj4mANfV0j2mQeGSW2NOfqbsg5fbu+LyinybP0kEjWeKJu8oealOYmVKWaTdWFFLzuQj
KkyaC61OdBaRzF4Z3hVTvPx451g0GvNEWFwKcgGFVtoCzqBBqiC1mE30aLaFU0dpskL/fGUmddVS
VbqZNdPgZXi5K7QCNjghS6mhhzU56DDS9+T+mjt4n6yHHt69lWDmyv54b89Y+LaxyadchzOOvQ74
e59C9CFsok4PV+xcm0JNliwwyAwPnrTLcXkposNhTp6Z0nvQOVE0RSMo9HZ6VfxujUTh2iRqBo3o
Iu9yONvmz7+Lnsgv62Y9d074oxy7bVfJ94Gu00GkUrLRB1NdcVBXB2cCspbfmuKXuuEd5DZmE9I0
IyUtpT0rgiOhgaPCDyGk+fSu12eRBIPTLBG6Ly4FCRbMGGYVcKOVmLjU4PX7OpqoX6V+tXLA5pDu
0u1qF6YW75BuMoqqlhgV+amHIID/CpLQ8pshKTMWPy6/kXH8cXt013bj+9EtfGKnImTexxB3SYFI
nR/E2DasG3/lOF+1Iqm6qfPQh55qsRdrqwiqCdpWmnqs9kucU2UXzEz5lNDIm3/iwqLQoqo6pMTm
4mR5mgeOZAZm5DXQT2VAkDns8jXR22tbXadySFJKskBCL6yQoaZXtaRBTagsBb1LK4mPiZ56f6cQ
f79Y+KvmH5xkpg53aPETVXVhMRIouYW6MoOzDX2XdO1PTVV/yaVsbD6/Gcjti/J8c5myMZ+6d6dY
18TA77W5NOXReNOntQk/JxXH21YWr995nUjqWKqpWLo+XyQLjxsIJoSXM7SpVCqFao3SO4DFo01B
7/8M1oYvS9d2nhfHO4rU9EOUXUb7Ae1ZK17k47bUOTq6KMNrMf9a8+ffjZdOKh6WlObhgW0S/TGr
VcqFgdKm9coKvun6XZ5sLOnEOrJiapq0DD2ASZmBNOQVTX5BfBQTuduWZaG85F119nWBglZdwJMa
A55SsO8MI8go1gB0vXVAOKNcCYU+ehqLy5UTCdGIKmrK4tj3I/GR0MGeCqKLjtfep6fflhtgAC50
m/Tmh1UH9LtFw3Rl9T/OOZZlk9sd1pKP4dEoKwMgOG6KAZSnU+XgbCeFXqzbe+zq+N5ZWWyxsSsA
N5U4bZ51HW13iUzp3UNfF7zvaP3M4QZxb1u8Oi4WmInTDYmi2eVegogCbrieGVVGEPyCBdtIR/vU
yux9dD7Mno6MDGSLElnxxT2b5TJaf0ZDyyB9Z0+5OQLgjutoJ7ZJ9KsJaTa9Papr88iWBaaHLfGD
R/DinAS+xo2kR71auF1pCifZE33HNNP6LHej1biDTxS4Ms41u4tx6q0/lCUVWjtJs+oU9Xl+KODi
Pkew/Z3g6aa/hE6AFfd3bXLnaFNU5gBeVRbubyjMtKSFiMkNJe1HI7RDu5GtbsbYWmB8kAppvt+e
3vknXroFay5IKApPIK7FZSzYKn6fabUPu59XZ64OVNtV0qgDADt8PuwklCaC0RVNFHVAOZf7M1an
CTVitbDHvk02QHRalOe1zwfTlqZKBCQEgvJctLm0ko3Q6aryWNiCUfQ7JaavKY6MR7GE2CepxJXd
eeXMXVibd9E7/937sl4PoFJsMUw8yVFCwHqwN1fTuLIz5vhksU4GrfLivDtUykqL+IVzHCZBMAHb
6sT6GJhCusuzVAQkppmbArrjF9r2hBioI0wcnz8KljhXq4iveZAri0Ea4LqmuOH2p0XVegbBIj/A
7QxbkqyVh7zSJxiLA09bGfGVnWmRd+GGoNrLvllcELxJ9IZON0JRyaP1HGycXUjUfEOxEz7vqyGZ
eIuudZ4pb5nZd6toFnCwqTBjzt3H3Ulvy/YAtbx2DNHb2zeeARldQjvcyrReWVJSHOQdCERMTX6r
cryzWgWlPDUNVpVWl307CUPT7cO8PkIXBRWbmtMTYALyLKH0WjH9YdvOl66uKjJNOBJ34GJFNQ8+
cvqmaU2kzYAOo0wBbWB0K5I3H1YQK2QfrPlNRri19C3AOqHen9izU9hIsJm3EaSQYZ3slcLIPiWm
Qeg02yI05QVokMtZivfSfgHTddEU9G5kQ2GXrTC9doKcGCtb5eqY1JnvwSQzoC+dWDhFBXTgbcGu
jEdoVEb1JCZtegBJX6/4lmumDPa/qOjzRbsURGt6L8vzNMUU6AmbtAc6KtP4M8jFcSU4vLYdiIU4
ApCrWZCPX3qxEs6UcJCLwq5UMdxUArFu0KMdcPuquWJlvma4Gpk80ViqXcEfHAC3CXFhMKEBna3p
cstTc2WBrllha7MHsGHKy6I4p0gy/QQcSA+Fk0OpXvjVtVb26Te5JSpkKDW0SHFQxK+XU2bIaQkX
JVgmtWy9Ld1TtRMr3cytaq3UYa4O6J2l+fPv3ERGe5E3QdcMFXT3De4IOkxlr1jZa/OteHG9MBxS
k7Pvw+dS3r80IkFXj1QA/NySnot3dImXz6nS5wcL+oAJzuVh2N3eDJJ8zSIteZYCPwRWF9HAVCZR
0pdYVH2LCSyRrR/oG3M8Cw4AO9C8YJ8Nnb8ZEcLcZWIp/y3Q8Vlr8EcESh8/3f51rk0yCwlLoURu
FjjF5fgDkcIbOKhZcyB4NVpB2JSB3q3k+a4ZMTTyAzCVkzlVF3tGB2Ec1oUGCXpYyfTu9xGcMDV9
TvrKGbi2moYF5JVmTXzHUi7Xg5dEVEY2ZxZlgwPgDKR6j0ae1u2zRhhXrF0blglKwjINlXbCZXjQ
DjDioVhTAAPWvFMMnf6hwIO6n18hZAYslfiHGHKZ1DYSo1JGH28Y1Wl1l6NVAcxeCT+/REwbDyi8
4ZzImX3yu8MGyy9M3SE9+2MPUizpLdWRQi34bJoI7A9UiOShFN415lvp/J0Vc+qgtZr3fhwq6Rmp
ThgLvMxc8bcfsxyzGbBBmkEdhVfbvHDvzKRwY2oifFbAg73wThjRF5HK5Jj3mmXrYndv9toTvdYe
e93wTuS6j7pVFCt3yxxKLDwL51tSKBGQaaHJ6PKXmEqxtRqIoSDj7mRp04CHzr6ogybSL9H2vUKL
N1zyh6qz5LUU7ZVjwEsAHJYM3yAh1mIxhTzQxDYFgTimkQIfh6gD3i/COwWJP6etPf796T3KxSOT
f1YQOAOGfTnWVjaGdBLxImoQgJ6vlWprpBDX3bYy/9qXMwqZiEF2jB2k6dbyKUC+2R8qg2UFpenT
6WfkhzGbDNrRrTXZv48ziClTIUTk7QFaef78ux2Er6SdAiFi+BC1UHDHPClNWwQ38tWqFe130Kfo
itwe3TxHy9Fx8uYsI+7rg1B5EANW90u4oIsshfoNSPe3su2nX2VrJK4kZTId6uJwKgIl3yO3U69Q
fn/crpJC8kTmlUMUiVe7HHGalaLf9egMiEkFy45u/E4q41XLSE6VFt04rboWUc6ncDlg9sq8pgoZ
1pl09/0c1z09SDJdTXaG8Bi9oy0EDnqXrTiDD48NS1Jhh+aGY39y9yxCPLrXQcDlUBZVkVBNjpmF
4Y8SchrVreDK+FLGHewdsRmQLzKSpF67I67sWU3UCWWJ/8gcLbGDtEgYcUZpG542r9xqPoJrCH1L
wUteV0q0cgyvOD7KJDyT4a0jh8J74HJK6aaPVehOOfh6/QW/GL9I6ES5nVrRA6/WgfYcKynPZBqD
6mYr05lj2EJdl1B6qqtaeVdmnlos+EyT0HoGjF7+MnJSwzVB86Edl9AbkDtvfvU6sXwmDhYCKDQg
1HSulX7w6auMSaCETtYMrCa0zZd2RZqStZKuClsb1SSHYs9Tph09FOGaguS1teXRBf5U4SkpqfPn
3zkJOMEiD9QpfaF1633txkgxNqNkeacmVFtjJW68ZswiZUX20aKR/w1A8c5YAzNVAFI7tyey6sdC
omGnh/YFsYG8f7ntia44P302IVJMNCj0KZfjkjxVGxEpytFFMbzfUSONX83G6HZxliR7ipnB99v2
rgyN/DyIY41sgAlM4NJeogph2o45fj03aOMIKF5WFYxGOd+zckKumDIpN3MlMjQyxYu9Eepp4ddN
hKgf6iSIBA0tpAXalCkHCTGpzL09sCs+Ffo4BoaXE+dk4+XAoiHTE78V6F5K08jxUD2Am7Kk6Od4
EMj/bsaKxr2Su2bl5XTNLqlGTCpvQJLFyWsbeH9hScBuTyuoPbShek8DE72iWRh87XM1vzM7KKFv
j/ba3KIRQmmY4IsP5s+/26GdQVd6I0DQMDcUuF7GKS9iGCENo9ZX0jhXdqiJn9MAZZMxBpB+aWqC
b87ooMOxvXqaaNqe5N2I8Nke7tLIhV9ZWEmyXBsaT+q5dEKumMfipT04rf1yMC26HWDRPchIHLqp
r+VPEzKOKzt03oGLWxFpE4U6gwGUniv50hT0mzKkoB7aO36Y3Kv0LLsR5E3b22t11Qr3riajnkYo
tbAiwruZ6hreBIm1clN6onkKhKD/dB5MouBINgKCG1GTjfkp/G5HwH5MknSE8gIurwEmGZGW770a
UVNzR80UyxUXeW1XkJ2a3zEEFaq5HJSIFGkb4reEpnnumukReRTagoinbKOERO/2FF6zRn5vhk+R
IuZddzm4IqsjXSk43NVY+scsrJRtHcOvJg5DcZr6qV0Z3ZUlwyOThbZoHqJsuvCSsSEXPa328HR2
RUFNNhBh/EGpjOba2wO7stkxMSfFyM+qojX/Iu9WbShUiS5yzvHQdQa8zOAGXCPOzdAOQ696vm3s
yiwyiZQlqbKjv7A05g0SmnVQ2Ni6FWjws4tW+WdWzUxonkASl6y/GnzeO3JjkyklJqEyvLy2kedK
h2BApDTq4KuIBd9VZRic6lYTNiq0pPYwwG18e5jX5pSgGqUIWZ3zTPM0vJvTALW7IhVUYsw6OcpU
EjdJqsA5jqLwimtcszTfDe8s6QWQMBBB6Bu0TdgdcNUQxSKM2kHqHRcs5e2BXblqLGMuis6xCXfK
YmApggBJAF2ajRBws5tGTfgy6Z4FO0RdbgS6nI9GGXrf/4FRfXYrHAdeSwujVWrBFGMqGYTWTGII
DORrOupfA2R6t6JeKtu+DtQVm1eeZzh+omqwqUAWlvI4tTnldaRAXMtLSbIh0jtaEBJ8H70g+hOR
t/RVS8XK1QSxOsj9kK6cyY+x9FwRwoUSUdNztTz8opobg5JAndQag/TYyhlq0kHl/yF4ZXueTMHb
1BD6n4WiXrn5PnqdebtyUoijSSgsr6MMdaywIT9pezKgIcoZ/iZSIvnx9oJ+9AK8Og3ykEDKyKMt
71eaJ9swlCGiIKAOXv0p6AIkeOs826pwXL9CYuv/cdvixwmd37mk1AydO1Bb+p2gSYVArIgg0gbx
X3onM+2LBQGKb1eUVLaaktGOnfkiBOkwx68hFq5Zf4viJU2l132pEt8JuRiin81jG87yxDUEDqbd
I4sFH2KfQFASQovfuxCnFjGd7YL01+3Rf3QSULqzkbklyTWQKV04CaoRhMk4CXmIlQP//BEXKuz1
gWluP22JFCmZIco4bwn2S0u8HWRrSrgl0SM3MjebzH60rZh6/pZe7TFYcUcfT6nCPjLx68RpOIZ5
4t95vzoSoBxtkMbWIQ39zQXiwlMVu1LskYFrsnznp2P5s+iNYheNivrt9mA/Hhask0oH7CwaEgmx
S+tNS9d3S7evDWosOkmFDv9JBHH0P7FiUuSn0gO8dBEIcEJMENrQypHato7RqN535iAc/oERU55P
PUhPSEcvh1KD8xNApDGR/VR8AZAOo34oit0aDuzKySe5LZOqNCxgg8tyErVTCExp8bV9NJZcq6TN
0ZJS/wDWbziaJsR+t8d1ZedTg5uLHQZdpB/QYLUvj3k5LxHsL8om6czkXiPvhRbXoH65beraXgR1
Kf47YQkm/XIKUygzeG/BBGIYfX0Qo1J1SCbM7d99cijqSoS0ERV5uAuKn/TAFStH4YqPIYxjSsk6
AYZf4oK1JIZUVST4hsgNyoqSjOIXFbJ88piDUb3IyAh3iNaF5Ysa+mO1MviPcQERFu2rFHvIgOtL
tFQOmZaskX6xpSkXf7IYEDxnMofRaQM/qYE5xvET+mfaP3A4GAZbwCLjdpa5/yYMZ85QHgGjVNaO
wG94gKkp+CHBI7kSuy6OOycPdS8QhTwA8OFEdpcL7HVBllrqGLpiX2uuBPP6Tsq7aMWDLpN6/zFj
4s9EyBt41F+aQUQwFUMF7smIGkVjwZWGFpSwycUI1W0dQgbqidkRRb0v3uAN25Jq56PXNp/czh9+
jYVHUAuxbwhuQzeEnd8eNFi0CQz7XW6kihtb0ybX0TniNJN4A8i4uX2YFuf2zTrgPtAqEplUMjiX
k1BBXh4i2h2io+K3R63Uxw20wrCbht1ameHasr43NZ/rd3eIPinGqKVd6LaWFW4aJUGzdKjzlWVd
OL63AVlzYtgkmuPhM3/+nRVkN2ItCKPA9UIU0I6Q3qieU48FbFXKGFnis1E03iejudkoKHqqfPSX
z734i1lURrVEk83y3d4L/HMDpbqbsYNXgtUrQ0N9nMsD6Az/W4bKLY0inkCCybWG0UxPSBkoMXz+
qSHvadWv6f8xCjz+7Q2ycDhvQ6N0OaO0sM1j5HI+c8/wgnCE8j8dRHhGswhmj8kxphrhTkSgjMFC
Qivo+p3fllTbbxv/sGWo57P3wUUAtMfXLq7kCokIVfAyFTWExt+LlTc6OqDXFSsLj67qZNFFmTCK
BVSoBS+stElI80ouS44fjn7njPDYPETlYG0EfRA29chtnaI6vIXqx19x5x+OH6ZNis9g4WTKKerC
1VlRLnpxlCqOJOaB9EXWiq78FkIeLKjoMBh1s1KNumaPc8GdTywHVH1xBoNJTWRPQEtjjOHDgb7T
dKF8SBxYECv39tpdMUXu3iKFD7iJc7gYWkE3VxUDp0FcEAZ0r8wmd+BexqUhyHTb1CIimBcQFAQl
dv4xYMpf7NEIbjBpaHtGVYv5KfCyYid4E9xfAjIxTUeN34Pq04nSQbnrFa1fWcQP53I2T2mEoA7k
Djv18ojIgmURAweywyY1d8LUyLaqVySmRRQjSzUXH28P9+OpUIiwmFY2D/HiW+/vOxdX+ANCdR5u
DW0LFc0KpM7LMGhWJvXjqC6syItTAWWxJaAn6zlU9I1ZuwWymwHUnRRYj12naCt+5po5srMzMJsm
CsZ3OYlaRu40hEXKxYmJWbQtoBENYe/UkKpu4bJVoTVEdiWBsvHzs4lSLGkAQn8S38sjQaoR/L4s
wMyd6z+DmDJmXn8SDsQiwXTC1UBGhwoQJ/5ydEk+JoFuiqozMpyflphnSHVkxUoG7uPGoPlB1MnA
8V4iFl/MYQSlgI8mD3zEMlUfzYQ9WgC+dvjshGFlzhFREiUxtUxN1bnSB4UJC3ChykRmtLsiwFOv
7YeP7kPHJfLEpT2Tiqs+f/7dJidV740KGjiu0I25HQQi1xtEifvBo1h/e0AfrrgZ0URMpfB4oVFo
ecWh5sqqQcvplrSJ/TnFbfqiaX65LSPImGozR+yUJOrKfr82PpAQCvVbYAG0vV6Or4LIWvfRoHGj
MCgpGQNjr2XEKQYBUePb47tmihPF/cJ7hbzIYltoCfIutH1RwZmU5qEIIDfNO1P6qQIw/PRhmjv3
wCCRUZ/Teot9Lk5lOBatGbvI2OY7q07+rhR9DXrwcb3YD5QjwPzP1+bS39aKBGsQXa1sQGP82ubT
5E6CGtzR81qfxaBIztkkVGu1sY+H69Lqwk94OvrVauCFriJ1MOEWYbPL607e316rj7EIRU0yaFyb
tJ9T37zcFtqAFHop8ChBnjv8ksbtZI/IpDipWsgnKYi81A57T9mrQeP9cdv0tQFyifGylYmBAFlf
mh6muhCEYeA9pOsDvNFyfBdDiej+Aysktanuk+2lhezSiha1IJ48DSkXueu2SpFDEV5Ka3ndj1ue
Nw2OUJlZs6jFLR5VuSGmmdQEkSu2k9fu8r6o5e0UVXG6L1O5aVZc4ryt3xUXGQbmaEaBPItXFK/J
y0F1fqaW5QSNszeV6s6Py+kx08LEjao5V2W1nbWyTa4cAbJ+QHDmvDnh8WKtgkZVhc7oI9c0iDaa
RqJmZQi5ueeh0iBfUZh3nVHX6eb24l2ZVvwxoBus6tyZi8VrhDn4KjuovLl8IO+PpoMH4z6s4Dzm
1xrmr0wqwT+qobP7Rx9qMalwNY6G5UPQWzeNn9N6RujngD4wdSfUrTrYx2qO2NmnR0hShTQWFxwU
YeYillMN2CLrtkWUh2KoQ27Je9H7RtlPSt79edvUlfNG4YpjTqKYcu4SQdW0BlWAAIVWMPSG00md
5iST9fufGCETTZ6DNrDlc1iUCh88X5O6AKCRUs1E5C57a1q5QT/sC9InXGPU/cjZzEDXy/0/8Hij
uBjlLn3l5WNC2t2Fpr3fBaOkf789oA8Okv2uzQUxokRaeZbotqzKKj9L0tKNck158UBmeYdwGmlw
dXOvEqGD9cvehIO/L8r4NepbS1nZIpRQPywd7yegkgTIMxKERvrL8fKci2n4jMvNqIloK9vCpCRy
8qVLptpHZCVV63RCMjKdEuT6zKqOUDI3U6hP4Xu1RngwrVCUUvhsIboM/ghjsBjqoU/MQvgWGKg0
Nd+9MY6yaG8IXS38ztJI8BDODkXEF+wQxvY42iAiJ3pIv41Zh25P01HujXYN5MvKSzcUlpAj9hL0
89cHU6n8LI0gbf6WGrHov0/oOCr3VWpU6e8yVhs0d9oxlDaRkIclZNWo2afHtojCo2hEekRxLOrG
H0OQNRTIs9avImMrqyFquAjIdr1lU2Ezq7OYzEwJkRIk5jfSO7J60umjFH9bNX1PX2MehDBh57RE
IQ7LzKSG2yVCBJN+0+WDd4REPW3QRmmz/hnlVJ1WybyJPM9NKZLHaJE0VvV1UJUqekAoW1D2iWV5
JAgZS679LJOxRTBYKfvB0PZVOfmTgsJQRC7GScTEUo19heRAv2tSoFaI1prdTLU+F8gMJ7VKK7XH
EUUjNw88tN7ydpKy30mR6TLM27AEfi9rnrNoAVV5IdyDl829+ya0EAopW6kOeaggKOWmOsiSH1Lr
izS0KhM6dM/QeoJptXxoIzZDLZaN0xpaEqF5DwdN6gqK0FrfNW806tcC8aGgdUgyZe1z/T8cncd2
5DoSRL8I59CAbkuWkXct2xseSU9N70ESwNfP1exmMf0kVZFAZkZk3KFm6Jpufd3OJa1snrgXpe8p
/RRWWjV0EYVdJ/TK2hGkArfevNq3UEdtATE73iZxIj1g39rLX859+RiV67htKSszMfHegK9g/qi2
2E1NPCh1FEmkJtTD2xyxrU/fRYizerXG34FVVKSLisd48Yv2G9JK4xVZJwTk5YPd59qLUfydYP0z
hKUT/HjWyqJhKA1Hy8nKAoAR6dbxNrsLtIRpmAFfJAP4kZS0+jZ5rnNDqHO3jmFsz6YI+v4jDhqn
blL8EiXpzQPwiJ2QbLl5TqpW2diHaY2xQZ7FkhhYF17dzwEIxkL565xWsfXyn2XuvYBHOQ8X1haE
Ma7zHoOnXdhXl9rOW1bU4FI+xjKx7tXujdK+yH5eiz9+Ajz9mc1W3R6CJBd7xlqEjdLYUXl/2IbK
OLcdcU4s+zOMt6+twD2iDsMa8sPBOkc3BnaxfFV1vNpTnA+cQMAE1qUEBp8PbiEuJtOivKb9JI35
6CXs+RJehSGiIY0ax2IR6WvRz861P3vdmGQ2J49zP/elCCLgqWXMGDC1XoMWADiMLU6g3Fu32v+C
UqBiHfJywQWUuoNxBnnCItTHbMu5who3rR3b7x84LAWR+GyUEx3teb8U1ZSMH2zJqRniovkMplmD
2IoKB8ZnWI4EJ7C1Y/KkTq3CIrOmHLDB+t3VIOHITPcgyK3Zrx9iWa4iIKtS3TWDE7Tz5azaclzP
s2YtmMRqmoIoPIx+mAc3vV+H3UpuEcSX8lJxWtd4pN1EgaMhvybIPCnAfGTVusejd2nJ+B73F2Bx
Zl2f+safmgSaRxLt7sucD/Q+VHcABOpfTRKqtVZW62uY9XbxjmNh5Z7uiVnd47IYIoEOidjr+aGr
JzNdTGR5wKxxOzU0NYm93p78F3cemsdJ1SAK1Vjt0bXrNIvzN6q8ZXjuIrbxcf1hVsJ4yBLp8J9H
dHKeehvVQrbratuunZDUwmdDg7y+OmqY23PbFqF3vcRkUWUcX85XpCBHQPcyhG/ntj3vBF0TEEHw
upuGxV7chrlX3pPs3p28Nmnu0dVG9J4uSpbgOa6CrjkybprhOSF6D+V9OG47i7ujD8X43fOZfX/z
N1X+uwrrhbEAy0jJmV8LyYGIa6LS8SG0/hm7tdNeL6bPgwNk31VmTZ1407u/erFwANZ003gjgiZp
n7ymAh3pcgPnD5OstLnhvBvfrXRNCSgtmfLvyFZx91g3Io4e1eTY5B0v0DSclkFUEQnH42bO1KpG
pRswXyOPk+jynyFZ3PkB22rVnTRgp+SLR3bgmSOdeqoe59Dr+/+SXNYhS4UznwNQnW32fyq5MZ1O
xTB7PNU8I45+DPwOeUr0RoV/emMne1WKGswb5lQy1l/zIlZOfyH3JVyikxPMhXYvNI0C4fKWAO35
Hzju3fmBOjb18L3Bz60iWxSwry9v1nr12Z7vdWgPbGhsC/goNRSFTpOkrIA+wWf8daXOpT9BHQgN
aec/0do5TpsO8bSwKQtsTiWfk6yd8TWqZAeZKhx40EvYLIkNvawZjA8Agrz1TvUcpLGez3G8teyf
o3tMt5UIdh8eU0lcUDxoznOsB8v6QZR5CJow1OQ9e4Tvu1mDDwSPpTsA0A70UGErcppKxq+6QDh9
zXfR/Vf0Yx0zrWy3hmnw6L66golZ5vMs+lk0FXP3vaw2fsLgxY2dEG2uH8N+1xcF71d+05Q+LFlO
n+k9dhF+f8nGzceCqeepJVz/P5CyqrsYoYE+jvsePrJ0Wqj/XwsfReyCKvXgsV/1wCTWP1QK4LiC
Mki682QJtjgTZpKDk4ty+LX+kMzBhV3I1k+x+3avgxvxZRkryK43zi9uIi8dgOykHWQY8YgiCKa2
rU81TN4buhtDHH/X2s9KcH9fjsqbJKjtZceCrVR3nKHYn6COu/Iknb4403yQGDKaZoTWgi+oPIwg
gJwMwh0MatSL9bxzvX34eDHbbMq5Y7Kg2fhSKtOSCrThalWZmfe1uVyADBmQHjHeMZLikoL0IL0T
pw91RF8VRF6YtK4BBjbdrDRxNXsMqVRwDRFOz4/K1sFr8Hy4KzjS2R1CcfC1p11MdkX5xHHnvS3+
0G+pZ5LlRdZR8RIUOv9Xouw8wj3rNJ+IEM6prAZ0JCeaHd6HoU72NIkXilVCY8bwZsw73TwOg+2X
syeXerzUAzs6p9VXnn5p2DKfDnKKRJXWwQLwrBl4NMMl6eQxN7EzZDX/5v73e2ASbohdz1See/Ck
PbLHDtJSi+BLNB2XSB11AJv61ftM9qADKjFYcJARH1TKVo7yz5WwExvltqr/Dnw1VVbtrTj5bH0H
/LY9lqIgGHtsf13jZTQ73amWLf+TMSw1eNFAQUv92i1eZ2La8wtZAK9NIyoVLBh1nAxZApvxvmnB
t50iD8x9mixrqE4+yB4k/cQ2STrA7DCApHD2piJwSziERCUER+B/49MeLV3wp2uKGkpmKGCBdToC
5dGUk9a3QQTV7TAWflJkfbFH7mHg+xzvAPh5F7C0uuBy8Fvi4TstJNVlBO4h9dkM2lIVKQ6zxVay
PfXdJu49rFXDlzuAJRAxZ2Y6hRBJgENO/Gf9Jkqa4waCpr0EOB8UOMX76Dpp60ie45YzHJRx0jc/
DaC2/SckdOW9a0fuk7qsKjDvS5LMJ2ULh7/FBQtBtQQNud+xe1zleg5evcAs8VWfsweQlf5WPNmo
6J10xHl/rbec4nLbd4q8zY6JdwgHWeiM0Knkl+Osqwczed7fRSblTdUOnUyV4xeKwzCpq6zPNw7G
3bryZfYc81cMTZ6kgigv98lb4TSlARaH7r2ZJ7iXh2ZRa3/HawmdFT88N1+YV454KKlrn+0qiHVx
Bq+6HtxgTbKB1G/wV83QQN4syti/4KsKtpNdS+jSNfXD08a6SX3MdaXytECjLi+qXUzhqcGq08Bz
imFT5SpnHGxF3pW/vAf3Xe7i1xDFNmd9Ygi5HBN/ww2a6zI/W28D+rcHRdGdBfX0CPvIh8MWR02V
Qcvj7ELZAEgL7iEZu4uZfdcHZm9ee0A/2tzLKVIuG2KCnoX3K6zEdibcXNcXvYzn8Zpaha6t4Wup
Lxgy8N9x6hWc3KIlq/AssJRvyPrdj+fa4r9yHPb/iH4pP/eiaW/6AG/eyadLf7D12jz3uYA26PBA
vUOKdZaz0/j989wIhzOzA190inTYUhQ4eSIOAQWFfw5d7TaXftstz+jsQWEz+n26N6t6/2lmx84c
2UAaoSDWIXeB4NbKsPGSjZW3Mq4oBnsa1A0Y3AOqPMEUlmWm5IRH35lPIpoj/VL3CSxqJRvKYbU5
0dG2G/dQulQ97LqRrLoqDYUoP+qCzfkU05rTPdfQhJfD1k25f+YoHm4xUeSs+Po2ZO1mTcJU2pqc
AIwUyT9n9vQ/R4nk3yIDOtsNeKzJVmcNEC3jhfsMg11b0Yd03jEPaM/xvfyGRWq3mz73fWfTpSj9
DhxoYv1vxBJ6IJWAu7FKzC9xHg1fHVhh/8pnO/3sOmEMWDiM54kcDqbAJzZXgC/XQY73pARn9roN
+cbrMtjib9iP+11oZf6ZKCMeV99bHxOR7A1spdnHPqkgPabRL9/jWNX1dNplt1THxIXelgIUNLf7
1GoHhOWuvyLiSIHwCKO+a5+MBFJeYIUeYIBG59aZN4fBTWE/FwdgNDdn3IPCbhb/a98laO/EmOFz
5PCwx2iN61uv9px/3trtd5tgDn7ypyX83Iq2fi6B+LSsNLbL1RoWlEgBYsqWGjw+20WLCRe83V51
//TkiC9wRLXH+WbMn2pQRLIsg23L+7qaJLJpt/U/brvMJttN0jRHI2Tb4txs12vR6RGIZG+mf0Uo
87/GH4vHlSv8IWxL9VGqAKjcxqf2HU1qvtbd5FLr93znKfkr2s3aRlAHtm35u7YrF2wLjjQtHIKy
XO+SmTYcYFej6KpM+dsmxEH14HqdhtHhVAETeZc0o9O2mG0FRlsF0Rnl0v0IVROEZJMs4l7OAa+7
x9plxKCKHv6gWWufUxnpiK4UJ0GM2iRMctzBZka8yXq4smi+8rQDbrZHb1LInkoqdY5qPus0UR2w
rWH1YFCtS8RDlm9S3udTXL7ivGifd29lDkTjt4KRGpMJUB8JDJD+wlg/wZgPfmCttLfAcABcQgWC
xZnEFDGnWXcxzHIAh4zLc7e4dKeoVSetk+SZO32oDltQ9dc1G97qch7a8O+w+eJW18IGJzcuSxCs
iV2vomJOnkqgldAtl4YdgwUAep6ZcpqOsauj5mJyZQ8mS47yPxBAUDhVn7fX0s7wxfZ1VNkcLGFP
3JERe2r4Zs4dUuR+2rbSvucF9KsbTougAxnbeKBtYrWDHB6hpThjQXOX88fz6ZjEvNN0+89B4xd/
mplF37RSUwAGWlADHLzGOP/aqu6uWff7PcKZXoWneavGKGOLRj2ABd4I7iXbgQ/A7mFmWcu6J9PN
11k52rBPt1iE07GgbA9+0VAwRbedPzNhCYIcyG6PopT3WX6j8OUvziiXN4md/i8ygbku2rXWmSrb
5A2C1/Afk8D2YV7H7qsOrH858GfOGSo57a9GJSItA88/Prg9yS/9fmljfu5qeKIEFM4jcNnNS134
mHyynBnMQbxgeWoJ96DZ93BFcHpG0wMc5GZPCfGt3evRiODvZpbgNgrr+bOtGvnmR0ho6SJb9QXK
BjKMbpl/Zks3hKA2g7r10nld4k8UZorktUyKGwvwe04NH+ItIA+nYrVKrzfjWlCkOO7qHkwetZCY
SSYIARkN1YfAmgWcPZT83pDXQIdO7nCWY52DGN1mTQvEWinNv62G6Zx3Yr8FiQ4UJESKBUFZelGR
LeUQr0eqJmiKcrH1Ozb9/MFbw31LO/ojCxPwt2qb5DZc9CF5hOk2htGQFT4L+1fxbOZPbzPyGYKu
5OwWtn8cehW/BYXvmsukKZrnUdXDt8JifUt8xGBOVVglOh1IwXh3NIPU1OMGZvm/mtynduu5AvKS
2EyO2DB61L0Tva3+SCuHi1i+lhuUtGwfDFs/4dzo9ko5tX/dLjTJ1L7+sB783hXvVTwQS0fPkNOQ
xpIgp4Wq5aaz0FXSUbYwfXnFwy8h9rY4ltNO8BHgLK6pomnue59+gjkQmvK5nXLoxJaghHMuEvcy
Xprop+hkf4V/nSqm3SgxXBXrZybLEbjNPs/3TMciLg9xMGKgbxmIEZXJ3vxthdj0vbcqAdeqBu8U
hBsVfa9qC4F8npcPZ9qThxBzH177nkiStAm6ds4Ssh+vkTIHiN0zjN+ia9SYjar3WgJZN2ovmLmT
nyq/6P6AVor2DA6xbzMlXX0j48IkXIWqeopJ4Y3SblRVdPLj1T3xHY+Wyo1V585bxAfmItbdWXr3
lkPQBstNy3bcftGgEj1HYp/LK1IjuRxLyuoy5SwSF0np6O3sFGMUHeYgZks9KDhkJMOyq9xt7f2i
2ik5Wl0216Y3c0ADFhg/TYRZIDiG3Go9dPDq0K5zf1FFCEUApoLyPchH+zkl2pkOfIfNzaqV5x6S
feHhbpu8e1OiGb+SrpUg+KhQvhEZzG0d7ao80DP3d0ob0T44RDGo4ikZGQIf9OArqDz5Ws0frg+6
jFDgVa53MveK8BD38WS+GiucJe0bxVsgYsW34FCq0xkufuOffw0ArDhXc/IdBtXcH6d5sfvHnq/u
nxjh8MJsTsmLYzco992efHfr0Jan2O37V4LT5ds6iHrOdl90H07FrZs6dNwvVtQJoUthMpzcOeQp
TcJ1b49iWZP4qNd8rC5mZt1L6vXStTdFm1CzwKUf/4RyYbzoao9kAJ8Bdnuo4FzplKjSQR/juB4a
xhx+96fRBCcQnW57keq51B9K1pShXuT20bFr+WUOwzbxo3U8RcvBsUbfUjxP9LKmNVPWMdGrjmzn
dzDq0YQ+hdnCuPhu7e9IwTjT9BjXIo6PXozjJNv3yeyZrYKeyRR4QScTRoPWYjo3j9mApv3PM5Hz
fxZxV3kXQbKPf6d8JeU0j9bpF3JnaWtM5K9MeiCVjVeL9ERLRKfvMx0iWI8p8TyWXdZbGzys9d7c
bI7Y+4OGr11lhcW2l5V6JkS+nNW4nzyPGgMHTIENuBu7GTojy31P9bx6Dv/3bbhz/Zq6zdTW6eDZ
DkZm8ELDx67FNZBqs45M3JouuiOSzo9SNYbrfyzE6zVlGOKMh5CveTx0sygZWI1J8bAZgnFSBiWN
c95w7e6HQJPOmQVdApB1YhJx2+b58oSo0tHbm6F3f49vcM1arhzTZKvxzyuq6VTk7vbsWZncj51W
+oxdv35Y+sL1DgEZEY8qIbyRPG+gfFkf7h5ylVuuVALOAq7utCaMjF67si7weNTF5mbD0Ff2tpEN
rVrANdilsVoDfRytILhTtHZvr6s5di/mcVRbOqL/P5c8VQpnTRsDUGdLu+AwrnihKrwyRaqxe9GI
hkFxXgs/tgeCiUekzLxWRRoTOp5n4ZrrT9m3yjmXdKmXzFT9+yHaw3+ln0CB7PZCQfvmAYrSoG2t
c2ps0VhAxN72vAeiE6nrVmYhG0O2ESJMFXXZ2I0Yvg3ZWDrGdOHbnTEvftjmbic/LcjQafeJan+P
bxGJ5pcci5yD4M8ohCzb3TL1cxVCQLVPFnxdvuAfdSvuphbk75coK8tQUibNc45CDx86EonJBP3B
Q6JrKie2i+YydRwg5Wlo2uYy9z32epVGlkkDkhn6Q0TlOmcrGl/HN2kHGgAtgzkL6lH+SWaXvtpl
6fIJycdlhDG5K4XQujapasBV8xao8WGtKHmB2U/NZdeU1BhbIbbpsO3l9uXlxmmp93YYfGAo3UtP
5eJ5Bmr+iPfXdmmg8oQJq9PP87FD7bu1Q8AArCwC9fJ/kQHmbjL+eOus7wVU8leRD1N7TOap/gHi
znU6btp+7UbM977py59pIMKD5sDP70fThxxB+eC9bq0kr3dj+nQReYP3nUP5e+NP5RlDF7XrYdX9
/DfqBYN5azcSt9a4bFlJJsqFvLY6OHLPyXsUtOWJVhXguV8E5h2TtPjbo0xwkSWlXtJ2dUV9S1op
elKhpu3PaOLS4Pe3YA9GL5p/ZofMFqr18EcQ4uhkNKPxneftNZPeWS8vQndU1qVandu2/j1pdFnm
jz3Xp8p25W7XiCNs32JkjkSaV4sb3urAyhBppmsftWuod/mR/b2nRUis4cZ9F0cbh9Uchc7TFPf1
dL3kkacRmLotOBRRy5iSCO3Yu1gnSVRWQMJKcFBub/7xCf0eVpSaTTYyTn1195JhaUM+3p4GkrFH
QTRJcMEl6DLX7nKEcM92w2PzmzRwSnrP3HDs+UBIySAyaRiL4V8uOimzXpcTrfDmD0+1TpY9Qy+v
llMie0JfYFe6j6COaycLcfk8LJT/M8dBXCI+sT6yshmvnZkiu9Ckv+fduKUNZx3rSVsVmUvJRuBP
HNS1TDt3lV3GQ2Let7UWz4VbzxVS8Dx/9k3OtHYDJNekq97Gh5Bo0u+Zm+eeSbP7QF7v4D1MeOFz
RnZdA3rjVyHWde/ObzmTP+dc+2Z96Bx36a7zUFmbTrxe4YllRPS/WvwGHv9mDR+7ZaGW9+MqqXDz
LALc5eaXX33DbJYlypmGVsxNg0w0NuWDxzbsepzVNh+LfEHi11j5+HyNR1Ext074CJ+zmfioC2qF
ATfol9MgTB/7haM4M7XmiY0HJ/qnfMc8wWXdlusxDrlyDDs3bhZtgf5kDh7JbMGEfA6JvYU0LrHH
/15z5GGO4+BT/g0FcztiaLw8Y6xr32u9uR+maWM33TyA2Sy9Dz9htDN4JuSZsFVwrtPb2kZblLZO
h4YfFNF02S2C/zIE+4mSVkZtkE1NHPxD9whQO3AR/IrFHTtXvVxoswiNd76ZnTAW7znUtqxBPvRu
zNw5L62Qkwfc2QYVcGxUfubIOWJ8VDL/PZAlNzw1u2++NE6uD/4gCC00G21/jNgOCTM5bYs672Sn
XzHwcfZ04BH6Q7XUt4fCzwXI2tgK/wyr1f9wgr56xaVa/l2ZzX4Q5emWZ3Tq7nWqq+BntkOpU4oe
h5k/2tzXOEzyVifxtM/HYEvcb4zjo029vCYEABKFbC6dpt3fetBdwZVXQgA+KNwgPMgsdv7jfdQT
08MJnbjaWkOJh/NmOoaNKMfjMlfyeiFtArlJ9/In9zsmAe4Q54dy3sP9FFUWN2G1Bo6gYxjEUtwW
0I75m1EGRKZ5Xs1pWFe/zTq+u6veHRy0ZBYyf5pxV49jbylqRb7kQWYYV/vHoA90nY1O6zvXNm/n
HHT1FHwIT6MI9QUQ3VNNA/sUNcIdsyQQwlxWc+k9Y4clGcBxS2qDaCDDZVAu05nitw5Iizwf79ve
H1sO973/I2bkMW5paB+pdcfo0VnCrTjtQnV/o5HqKKt6htVpK4qA+8xrx2c16eA/di6Yz/TNOkTp
rNjHke+SJEP31jfGszfNDCgCwmrOtGkrguger+7YHGLuYXsoVTxxKIlgZb1uIx3iVABvac95O0X1
tcfxweS5nJR7hFNZPddNYRj3BLuojgO+JMk4z2OsPKrQZp5ZcQ+7jW1e2esKu7Qjz6Lgn8/2EPae
VSlXJBrHyk3zsxCgKw8oPu5VuHd5Q4ZlEl6FTSw0A/1d/yn5KF9Ha1ky1nVSQaZuOPuyrfRK4ob7
YRpPjISKhwXIc8eGR+i+Cqdc39j34PXr1xwDiulGvRxKGS8yK8SIFUPmsXe51Lx/n/gEOCBl1CN0
eT6HbUOZxcvZe/OYuhUjBsJNMEeSm7jQxFbhpOACda5/bhW5b9wGUX6UmiYilSSmnvpNifomMDvg
8Vg7ukqLjWSirO0ZqF7EJgx+xmAq33qOlJIPIVovB5eS6BDjgZJPtmnXGyOdobqhOgtv9tGJ+nOw
9VuVBUGHqYbKgWmN627ufOg2TzCAsQUPTxkEw8dmVv6Qya+Kx46m603TE7DiIwYCDmw85i9NXIyG
bUobYQPi6qiPSL3z9ThSppw6ZupN1o5mXlmf9ec7d92Hb9GKoLqGEh9csH29fodbGxwdr1ynO0b3
aF6KpUjDoTSF/5Ktq/4zaKs/LdPXVzmGWCfykUSfzG8Kqjc1UZofqm2U9wq7Bw4xNFhylDajkRw2
2WTGI4Kc0M19/ozqgUNwLZmWc5OoaM7qplr4KvaIR1/BHZdpXy7yNcF69FnCNn91pihe087r9WdP
QLR7qMtNPFJPWBwqE798FHcvUq7za6MHJ0k5q92aHSh8JzjH5EzRYoqxIvIo7C29m11UWhEAw6iB
9HjGXGM0x6m7avkZuEq++E60PkpBg5ou8bZ8e07RU4/QBI2HHFnzsuMPpKTLV/+6oiQNs7balgHP
CpnVhH36BNNuIyYLXv1uPHMXll+R3ANFtLSxPjlPUxUeJE6Y6pDzAboZttyIdzXnOcgqz6+wLZMZ
hn4+YthKf89kllb4gmU6g5S66WPGnShyzfhKwFT7X6O3ecCFb9v7vqXyPBoA1chayLvdIak3qU+6
RtaedNhNmYkayV+WsyV6tDkXDNp4rP+OjdN80hCwx111wj57rnHYWhHT/iwLUz95ZnMZGrk7KhzX
xzBm+DVQpttYDfebyqe7Tnr+y9zT6T8ydvJlNuG8+mvYrPsoBtP9WcKGEhsHeI0nrMr91zIwAxv4
pvLvBDJ3eTH0xfRZbsOvA5EepEl3YtzUeXX6RqTbmnBfCLPWyEmIic9hiKmlLom5TPepVz8bCxd/
Q1rQgnrD5/30KRKoJtC4kuMQ7pXKpsUWL65yMRONKDq/RI0SuSIYdj7nqiN6Ol1Xz33U/q4fO8Bk
I6NLWX/iqKMJMWr7T+Ms7tJy+X2Kl0VWw4Udm/59QBDmgU5aXWWCwYCToh2UMNBbxnDkfDblbanG
Pspm6c3cwzv/6DSVci1Be5QMx1tHmPZCdjnGoaXQ6rFYciwW9a/RPpVyLw1+tFW805u3937AqJtP
vhb346yKB9ZpCM/N3V5eeq5iBjz/WpR44YKAgMhmWONDxFDtlaHi+OEUuxccI6dlLrvNlXuHZ7IP
M/ZKGFzRr4Wo0rUbmYxzFvMGpVf/CPaeBk9MPl94qZCSD7wCbHkUOPbeRemP+uCXxrnYBfI7Z3ih
P+MxyJ8Dqhg+p1CsX65vUflJ8KxAzLiBoVEXe/nq5lWQXxHJut/3E4kxJ14FDjasedyVQwAHGQV2
mwoqd39m3tSNIVeFGeYbITlb0kgVqjmoVk4WqrrJ79m32J42L1Zfm1RyvnDJDLnuW6R4KrchR5aU
wSdzvJ3jL5qLi8Fnw55ZbDWcnX3C2aOlGK/5UxesDZFXlplh5eqn4vnhJ5DfflqcLvw3yrINj2Le
+s/f44EuDc2DHG8qicso1x2xhuilH1O8u+w7lH7Rc0OJmPEMM4q7dma5AHtMmN/ZqIXmZxnE4UUo
7bAdknwoRkoiWV3ZoGeCPeb41Blg4P44TcI0d00ycHl2U7d7PD6zf9UEaE5k3jhDSw8VNk+O0vX3
Ptjob4kfHENm6Ttvi51oioKW1B2pS9w2heewY1isTk5ZHm7+G09hfYMV/1vnSztlfj9S7UUV9Xlk
Y49EyL51LmpvxM+kLSInB3Y9lcc6pmRPN0EnmtbIdZiNkt27xJRTxkeS7uAyhb3wP3vMcJxWPtdw
3W/ORblMvBIM/pOHxRv9h5EJdH/Id3//mDxuTR4+uX95PaihtG7q8Hpb8H6lfTJUr7tBLmMmtQe3
7GDvPOGYK8vjirFvJhtqlHTzUYOKEc6uc8UXN+PVaLR4bhJdYGT7NSAOAbSh8zZtFQdu3n/MLJG+
7/4y3PVOpf2Luh2dUy+0kmcO16nJIjWoUuKaYCQICoh5QrtdNT36p/urJOKpi9OIjdLtQidBh97Q
VeHCCeQx7AWSwqIDOfnI25vf8D7xJeQzPiYVhAgfW3wL4B6a2eIzHr9lqYzpQa+bMIIrM+PPZSzB
tIJ7o1THbYxa/wQliJF2vfrz+1B7+8/ecweRyIXifKiVmf5EiSvaG4y+1XXNadFl0f7bVaEx80tg
l6mKNKL2eieHVFyztYiMHdm9/pSl3H/Q+Pipc7M0yYG5VRvfz7JjIAzd0NIPkH+L6trHwfzGHtwY
XJfBUL1gOlCKgmsbVywzlcAzolllabJ5xIF1UTBSW25Yp11uN4zmaxYz7rIX0BHHqrxHa9XeMw4L
+0XhteGH15HMl1dVNKyCHGciuKJLgZT/Scr3/q4LX69nNPl4OCR0xXgsVkE6JP01w+0isuIjIRKN
2K44TO7KtUlK3GBlTHE9DH8WZHyMVU7lfAnsEf3BVk2QHzGHJFijaE27g1zwCKF0/74AcjWEFXp9
vE1ZzJ0SUmFHOM1Q+pJnNUzxo1393UGstPyZbChPZ5y2+63dlv9xdma7cStZun6VjX3Pas7DQVdd
kMxBsmbJ2pZuCNmSOc8zn/581K7TraQSyaNCNRoouOzICEasWLHWP0yU3yYig0tjpL3zAU239Iek
uKSmacaPIfIIitvmeYXqDyhAksw4HakV1xohp5JiHv0mwBAJyFjTNOBShCCmxSCwbejfIuMYF5Ph
7UtqyyEiRSS4Ti7KtAxpwWX6FtmxAm0mpNTMLZX7mLtJkWnNqcDI0YyrJp7LWdXJNK0Uwb8neey7
TYCC6jliMhIVFjETBB7HNdu3H0RUFcooHT07Hgnv9BEp+JyhCs5jGsCJAbZriqQXLZZj+MMZMpqo
rXbx4KZKp74GU0YMFEKcaGxBSanRWhEYYLslWN9VSZl8B5ioFBte9cNj5wdpcCaQeNPbCAvl1vBl
FLYGqWBHNnrWSHQNJemyJ7l5KaPOvEcu2AJ8hFORt0msCUrnpMjNVWWG8nOQy4bmRtEgnk2anxfX
lZVXt/2YaSLYDRMEez6n9qmnxJWjii2oMDJyAeZ1ptd/ZUHCOzdCFpQgD4jTc6mMq7eEA3pIcMyA
5CpZIgiA34T2hjA1dY4SxWAciwhFo758vwfUxursXMybS0IjfWJwRN4PmBjJfkRZdXABPNAeBOZT
Po3w42q3BPBWnuOZIv72h8xUdqJAjc+hTCBxlYg67pEEF8HcSL3C8xP18+Y19eW6J6GO/Uc0drvb
Mag6bphC91/KZhx/+wYwu21cWfFPi0u62ugcLDoRZWSWSNBEBrjQkZTTYcfT7FYDgXMDi4HEj6d3
/IsaffaSF0bY2xLS8I90canR9HUzXuZ5b72g/QKah46xVtIFmCIgy4pgviZROv0MeVsxKykB09am
Rqc6URhpzdzO0zpHDI3kOUTbFdMeaYJur1Kpo+sZzpyOurMAi2b5lAI+EUU+vk/b7rzuR7mxRUPu
Nc6BKgSgjCK/2piFBeyauwU7JdNXJ9+hIVte4Tomjq4h6uKF5meYDYRSn+Q78sf4rzInKpPEAT1q
5YLQD+Ax/QXcNLqB19qAMwzlVNiACPduGuJT4JDmSzzTwry9l8GKfy/o3TxoOn0EldvxIs0T5S5K
FDW7LaO+RWrHCrtxL5vdcF8HdY0M6lQpyAAVSePtxlyJ7tpCqak89SOklVGcqDaSuyCaOslmbG54
JQn6JlRznotDXeqVKzecmo3fhAPx0eqr7CxTB7mFjturpkVtVSM+aErDHwfQeX4V4VQIDlprOYoG
kTRGP80c4MQOiYzOu+x44wDowqX+bgA396byNOBTS7OYS+ZTa/fUADjZCAIGeEMjJj/7avAePDL9
V0Sh5jLrOPQqgYAccAMVR3mCDwLSI4Ue9FSGAxd51UjWrkz6mC4rDKF0P4DvvOOtUmBqHMk18HkN
clAvTaXk1AlMRDuW5SQBYUKRxPU8aDLkkYZxQ22abFODFfAtqoDfuSH2kibNg5brCXCN8iiPZfhz
MEH2OklikOXC/qtKpxRN7yaLVHBGZP4kubRdg3ibK6l+L6QyQJ4W0ZCbWpCaySlNr+1t6G+gmQpD
zB9iIxyfzVaX7nUaWuJG8iZRcAPLojmBL5QfOnGVkpomgpLdSmZj3uHcmD+JQq0BWMpzX3aIh5QP
cYbLLqCkCRm85kp5QU8ewCdw3PSsgnjVbSR03xuH3yM+eHCez6epz8GIUEB9rePQf5KppoGoLYc0
pBPLFrNlJRVGkILdjLsE4AY4AAj8X142BqoLImmiDW+YxQ6EPX9TAVuXc+/RfSM5BpJvtwo6aRu/
aoyrJtKEgVCdSBq1vyj6URVx+GB5sXVD25CKS+95kzAXuIbcNnUBassQqqT7I5HthaSBp4YMytJu
csgONsQq76ceUKrY1lYZqe4IFsIC59WM5+qkp2hdiPMNE4llEm7ULqAsm4DoUDZSahrX87tTI6i0
01md137leG1HbQ/9Jvmi7ib1ux8TxWwELkPch3iWbM2qIJ1BvLn63UP4uwjLtJHdrhLpl4cmrAJW
mg3paE3pJ3Y3jcIPCIh842FEEt0MJ+lBGQykWkpwlzKlMVI0HHRyGeJNnFm3TexNms1jPSBp8CSJ
AyHKwvc+VKbvXti1EoDwuc6MGFz7oka1UjpTTx3GmXCg8GZdwZGGGzWjm3QsfAH4LM9qe1QM6RK6
WHVlWj6AY0NKyex91WgwirKKfiDS056n6Uyrdxri3tsCFFX9fSLV1q2QBahoWBYd+29K19PNoB1e
ux5hv4ZiwV1/JkeqJdh1g49yk1UCb9GGtvuGx2oWQUOM8vxWHiVgAWDGakg0nki/C45cuymHYCzc
Shwk1TEnKNDOILbtS6f0Qr/p20qKtlZgxZypwNLJtACgTsDnfD9yJUqC4evgU5jZtJMgdU6aQ4An
MRtjIBdWKYfn6I9Z6WXfheaNFsZJ6SrdlEDTysHYXUP5oandwlNgMUolfZXiTKq3YzB5gzsOlKy2
fkBi7EqsYuVOBHFyi4guFQubFIJEVUj27sLSIJcosb4QAHp2JCEjZ/UtyQbM1EN4H3d5M6LwMtsA
XGKI0PwAM6vShMxr/bLU6Ds7yjQWQIvNIkKLUfUkkLdELlugkXIleRKQl4FKKki8Hli2m8Afes29
YvyeJ1J0rYJKF2fAILVjqrEGD9G8+G16HY8/6rrUCqkeknFFGg2bxkjEZzK+vnF4omSkoF1lXkuF
Uko7TzWnZ1/oxUsopp34DTKZ8tprkjIXZxLgmXgJ+WcUhoOJ/qiYXUMuUCQw/Eob0GbH4MABBMSJ
MoZIvA0wPYidXBX5YJ0oag9tXdFWLlud9m4s1tbZKPhNv+v53vcTN/iwV6lmnEVUT24bpaOGhMZZ
ewEgglsyB31yRXbAdZGIdd7ZU00RY2eGZUUBS4ZNcE9NMiEFyTsZvFQWm7d6mgOG5brxr8sEJLHd
scp/gVDvrueHHlAcMYEPJgh5fQNP0vsVF1SQnU4ZeGGog5kAE8FS5ckKRg6zXwSjAT4roVyRRgjr
blDDU38lFNtQhpWL4CFQs4aXr2iVT+gM6QlFtiz55UtlBQrCiykpweZOCjDpWfEg5SAACLLgL1QN
zWM7rDEkdznF47M16lNHHq+ABekp1WqgcEgbwUmryZ0awmVw6ELpPzWzMm65g2plm3s+fW62brUR
G78ixa8KpXDm6Dxu5YjiziYaGsrYmjkBjAzM9HrGoI5uMJTDJZlLVut7n472uAlUySyRliuFy7rj
1tzHea6cmdREZNtEYJ4nfD4U0nUNGfC18sTpWg/NpLF7gBXtvpmov93APfPQNhWMnLUJVC3f4OLV
GBdToyfFI+8C4VGwKIzSBipE8Pl6RJbb9IX0lGSTKpID8jz6ZflRJ9g8v8AoehKkqV1Rghr/y8Ax
1KLlYmUaQUKhNAbO1qcIDwAoHL+DLu3w27CgLm2VAi6PnbcjPrSnGdezlsBHcQPMA5D+RK5BROSM
KuSC3J1Io2aVAH9oCKvys9Dmnt3GZbsz4n64EYQEsVfB8/l0TesmcSvtTg+/JHzPw+PTCh3fRMaW
Ltgh1xoOa9UAW0ltqFc8hxKgzO1eBCWowO4srulRWPakqf63akiABZ8efOkqhrkco8uiSNdR0Wf9
lMPR8QnTNVp3mR17XLmbSvI4SCmWgJuYV0UIrIkqmg8zm/55yIsKjugmzkCbkMRQ8C715sfKL1py
z5e/aCGxAuDZK6uUz+HnKnGYFqYb+ZbskCo9lqTCBB564RVstE3S9Br6Xua4yzIqAHLvAw0fKTmA
J7FWVmopAfD+szAwnFVvJeWTslg5EKFblSdxlvqUW+HO+QA7EqqRcZ3ruXt6FZbaEPNos8KHMaub
golZyKQUvZph8Q4SBDiw+VMNDQV4HHQp0sJBG35i8iuviOgc24ZI7km6Nu9BSVtIXwCQrPO4pg8P
HVC+0YGZkOZKYHEbcTgDPWftigzudq7oX7N/mO0NdZDG+rwDGV9a7EAzh4EI/oV2H0J4UK4o/4bF
91TlLjijEkRr+/TSfp7o4XiL/TXqAsSUooB4mIn9LKo6Xo6M+w08hgJWvGzc0izLO0tL/O3pkT/v
bEZGfEZD1NjAj2r+ZR8kn+pRy6VQZWfjkCSe+2BbuXiL/ItaLe/riUkg2wZGBkWcw1EYOlSskhOt
9FJzrs3QNzOVzmnK9/cGeOuVffP5XKC+Tfige0xDkK95OJypWp6VCuzUquE2aygNO1Qc/4JcI+1P
L9/nM6Gis2HgRE67B33feXk/LB9UrqoaQu4Gr5TLMzIYuFjQh0MHgCes5Ipy7orl+tERFYSYYMBD
TViqF0q8sMu05cwXgdD/8kYKXVYTzZXEKohvUGs0V3RGju0QrBNMiBAm8k9LdfEeRwiVzi3RuGp5
r1hTURduYdRd9h9sRSyI0ISXVJWvtljLEDA5GQVrOZVGCda5scAcDeXKKMfWD7lyCfAULihg4g+/
WG+A040DRmlACOhQC61pHwVytRmosdLBpxZ2eosc24yWaIEeIC0jmi1OmJ5Xmj+a8xaROuu2zxAG
cQbfN4RNm5DUrESSpUjRfNIsxRBZRRXViKVNSW61CTkwzONK8tOXkIYe+NAY6MpUXJh1NtsRC033
eHqKR8IXFwMiZBKxEpdn+XBNJ8+cFA2QqI2mAIxOyfB29Ui9VUmjbZl4JlUIRd2pCoDHleke+ZqI
wNJtRpOJ4KIuEpVODvPALDnptdeaTzLE64i7WOr2mJW1Wx9+9Ob0VI+chjkhw5pFkbiSlqGl7q0G
jF1CLwt4qKuhbLltBWXNkfzIVzRkFN10CZUipJ8X00Kuxo+y+cx5ciwNoN7jOtopdS2JW6mZ3xJS
DSUqkNrIWpnf0ZG5CKCwYRaIXvrhp/TA/Q8NbmA0SzrxB2yrmPpO7IXXI84YPwntYF17mJzeSiA9
ckoYTiS5QOsaeNv8uz4E0grGuwHBlHWNi+G8zsRugxCscGtRQFkJaEemiPqfgn8JJ2V2Cj8cqkxE
eeq1lClC/XOFCmTZoFXwbkP6R7cFKOUfsWStyRUfmaA1S8NjH6RRQBEXnxS+NBLMHWck5Nu5YgUa
CWaLt/NFSApf3qMWkA8Lkw1cb9DAPJxgBOecchIT9NADcq0GGFNfamtyb59Pwmy4IOKxqiH4pi8V
AcXOxMSjxAZGQD/gOu5j4HxB1K1kYkdGmaXx+A/BEwX9RfRsoaukmWbRizaAiBZSpgHWCfSVXX9k
FOwMkZZHQlEWET87XLFBDLqB7B2MBZiR9LpCWyd380pogpVtfmwgEkrE7EXuOHbC4UA0lFQ/o3xq
Tz3CpGEqVw54xRXB4c9B8d1RFLks3OHJfhazkclX+iGjxsl043NiZzhuwhr4RzFA+t9AsC7Gp69u
ObR48WoEoa7NziqLsBGC6qZ8QMKsKAUvtsAstsU4DO7pUY5MzDAJi6rI3abzzDtcvR75Vr+KS17i
VknHMAmMC7xk6q1ptIFTDP6aN8/x8XgB4GNKercUxe9ksTUMyjogEISa9h9uojRXPR+iTSRG+W07
VMqv01M8skGYIi5mXDJI/n96eSOPD2mFhRyDLIS4m9NcyJvp6/sdSR7qYpoyR11roTNs1ToUdzgH
dpuI3o05wHeqo3hcMa/8nBZQidK4SQyuShjxi7Pr6QFqU7N6poKzHUBtRFkgzfT3IPatndWbUHBj
f6CDVzfp7vQyHvlyZFvIBWpYFUqUUg53SheKYVniV2Lnuur/gAGk/YCZp9bbJEe1w9ZjEEXb00N+
vlbwpWAp50YOl+fyzg56ObN6TLRtT8mmnQYo6zkRaEheCDKv8xsPAq9k52VAOff0wEe2jImqp8kB
NDl/S6lZbC/JX5EbtLugEa4iTU3tuij6L6exTM9C9lKGb4Xi9+L+yosBKr8J7stKzGwHrdFD403I
DI5CkqTaygY9tnW4mikGzisKZu7w+7UKjljAVHmWmkO4Q9oLaF0SCojSe0Z0iRzheKlRs9sp5NYP
X19Og2XEbMRk+2jz1vqQiRghpWtf1wD/g2W6kZB82uRIKq48UY9tUEPmSUwKqfFSXaTMSD4VCoLz
AJP12LBr8ArPyoCoJ/Dbcg9NpN6fntXn9IO4zEsanVtePYTqw1lNqKnkMARh96SBBjRS9WlJ6nRn
gXohlLWyJY/Ojpf+nIHw/83Fex91KqChqDSg4uLBI8AdmKZJnVtDso9TTazvJtg/a9WwI4PORim8
fVhR7vHF7TDJQJWLCa7NiGsbfSpoXCNY+BxtGz9N3S+vJ9AE5Ep5q3I1KIsAk/YxTFukdaBFNRCM
nHAayuQH/C+jHGCJj7289rJ790Y5rAnPtim8rkzWlRRi8QmH1Ap8nfaEbXH20k3YNeJlP6AiZoVN
tvdM2kdSWNa7AHQkPoACLSrbHw2agik6eSv790jQsRA/Ia4rOgF+mWMGPehMHKJy8DWVv8FMFxif
j1r86VU+PucPw8zb+sNhjPQm6UQPBxxvmgbdrtpZYAu7SFVzUsVqrtnNwpnY02MzE1Rri4R2NOLl
Js48kbjiVXVsf/HF/zZXIDwsjmyOoJxnqEzZBz/uqCBW35SqjIGFif55V/NOOz35Y0tMAZwLhetz
NnY7nLuqT/hTIM1oG5pSor0Gi8gY035lVkcCA2kb7RAE8hW+5TzrDysMOlhNhpbHAjJ65ZMX+fQS
S9l/wXx7LR84OiEeXrNKOfhecbGAKCQDEpDIOiqMxF2vAhVIsyZYyTqOjgKxhMBD/YMgfjghuE1e
IWOdilWwH5pbpIrU1uW5BQv69Pc5tnJY+HC/UnynALHI5SsyfBNiKwMJjbgVQKe7Rt4ZtwWs4fv/
ZCjEn605u8YH/HBOaT3UjSXwkYqhKa5NrwnocppAeUEU9dH3/2AwHK8ow5FnS8unOJI2AQrRZL0d
TZht2zaYX4ISd7smSbenhzr2rcjTuAWRZOaaX8wLHJOq1ynlG0XR0lvkLMwr3ezMlVg1/yvLwIlQ
sjGXiLghlnrMWdLpYzix77Ia7KTdghc9Izj2jwFVqm3Rwvg5Pa1jO4OCHzBFEEv0sRbXn9JAHE91
2mdoamVONEGRqyKMwkjug5WP9XlulExUNgUXH+WM5dx6VbKSGlz1zKiudoFX3uZmdQ5cTt+LVdit
TOzIaCbay1go4PsyQ84O92HfKgKO47TYtV7Qz/3UEh6wd4K+I7XTDTJ93krS+Xl/UF2XMM8hj5Bh
uy7OcijqgPaFHGI7ffanQppG6m5yf3f6cx0dBadDjjH1DPqeh7MShE4fJhSaQLWhwqp2fnUFjHPN
V+nI2s25EM0WXggUnuc//xBoKdnDkDLB1mfd2N1IkjfDJmD+nqtpr/8ll17y+8vTYgtSaZJRrKfL
s5iWoidV6Ae8C1AZI2NP5dcwM77oU011gUeBSlgioHN5LPNKWUBwIps63ni5gpJujX4MFWY1c4Bj
QFIT+WYrp/nz1yKua1hw8rAkxVw2BcuugIXTWWD6krK9MKbIuxTbXum/HN2hVYgG7uUG0V02F9Hd
TMH8AAKJUcdo8k0ap2/TDDer9GjNCuvThHRF4hluiLyTZRzMF4cKtd9KaEXIiFI5hk9pLhSbuAm+
XKNnFN6npBOzYQITOtx+gEFBfBtIDldxr5R2nJnI4fRjHyuXXVsA3YtqCyAdXHkOP2qX5Wqv7Ng8
57DBs5wIQtfx8BckPHdm0i8IpioBLxNWSnChhlr61fuf62T22eJi5mYmNB4OIyIR36pzLQ9qmOla
Sv+WATTenz5bc659cKVQ9pwtQ+Z+uDX/3+EgVZjVVVPrzy084SIXbvVwn4rGNpdkG9cbEhyIX3g2
rOzJTyWGeVQIR9R21Vk0aPENwROi2Dvoz0N7bgXmRdpt5NxzEj1yp+nH6Qkuh6KALNKBwCiHsiss
6EXwCNGWmICHwgzWB/8KxRPPafu0+yagub4xUw9AGbepe3rQ5Q55H5Q+P31NmRRjWd+LUB7S+nwI
bDQ84ls4AslmMkdzZZTl7fz3KCY5r6LM5nqL80Yj2kcSmKkFUJ16gCXCXI9FScmBW74Gmjgy2GwY
AheNrjc2GYuoX+U5VmXajEgMPMbqC/OOC40bc2i8L2585nUw1GLja7rnGVPJUPATe4gMqbdDYOWr
Kds8CuUf/DEorhFJFnGxbaUA9D0KjQQZbdfTOabhNhnbr+4EOrQwIYhTlJwokhyeL1gHU6TpEBS9
sCh4xdYBKovJVyMv7Z+DURanmAcJugADj0dEQT0b7awnMZaeTs/k8wagHIE8q4m0C0UlY/FVhkRo
ZH9CTg3jIv1VGtB0SCDpztoSxppd0vvW/RiWSDAYjBIBLROaTEuXuh6dBHXsaGXRSUdJhpxRgLBt
1BeVkJZXAHDzbaO37R4BWNkZwkg+Qyk3WYmNn04xb2R8TyQQXObM41zMOC1RWU8D44cVwgIokVp0
Bj1ey6aODgLKgzWlbaOLy0GQfkFK2H+KxzK1NkqpaOcZfnXW7ktfb0bFqDyE6KMwEB4oi1jRJslg
BfrQ2xjiBaCXC/M72inQSNUoWHnjLWb091Bkudi10sfG0vBwyyueEcYZya2tpxDAaybotokgfS1I
vI9C/+d9MthgLtEIU54jJZUFsG0CrDgqWNEXijitde2WEL6/h6HFMBvw8VzVFuuGdk5HE00ASt9p
1T4ayvECJbn2Smt9bRfwYIbdNWiQMeFw9TFGKpClW/9MQ7vF4ZOuHfTFIXz/OTr9gPkIkhB/qkea
mYyMHnIR+Tgkdq3GybcBSYNtCL9txZT7HRv24Qy+jwVUTmbj0MAnNz78jqqaIv888h2DqHpoIfgg
n6XsJi/eI1u81/LquQ3751bCQkf17jOt/THQhh7J+somPkObfq1OMcfKxQ/iIje50C0ZKN0SMQTN
AmauiUy+KFWW8paiARufZzWtzhv0M7N4G4dTKt+hCxf+mkIUqVcQS0cWf7ayFYErAZpAgO9wQbxq
klskQDsbeBg6vnqeu2CIC7cMosQ9fVyPnKGDoeaf8uGNVUqjHIzztgsaXTiL2RAXJKPt108qo1ic
UdBs8114OEoFtdXLEs5QO/nBVrYGYVvI6E39B3PhWSXRB6QToS/2kYXTQoL8Gvsoj6JnmNH1ldAJ
+t3pUY5tDuAeHAnqIzRwF1EH1IVfdCnM6jiUoh22rYEBK0TyN77qNxdigbKD3BbFudJF3fevD80d
BbIMwMfngwK9OpP6FHqhQnHucpC0/gVvBOEMurd2k6Ish3yart8Q+9fwgZ+3CeB53ltAlkimCQmH
H1Do6e8IVYSGh6mWl1Gc5fvAqtdaLp+X1qQNyKcTTZEH3rJeH4hlp4tFOtpQ8+5EXXvpVPPBm/Tz
DhUXdFubvaFWX8O2EHyoSMooBlBmlYHpLq5FOEg9z+5shH2KYMEPq0AcfF9ISqg7yMwWAbqNtU8T
BpnO6PH055x3ymGYMSXuLUANtF/A1SyGBkEDoSxmaFMHlK0MXrTJi6Dc4HcE4aGp1ioPR5aX8VRa
IeCSAbAudu4oTZ7qy2jiIIQcO0OW63srbQV3KOJiD+HzAcG/Yo8m8ZoP4Od4NvcFwSoBL2X3LCvm
AZ6DEKTRWUTYSHBiMRfcWK2tbYHO1ko8OzoU73bIoGgacmsfblTkhHojFdDKyRL6806AxkF8HRYd
OmnNLPhx+gt+OhZY7wGq0FV27dyzX1zawgCF2tQgYmgDEh5ChcxVEeOfdnqUT/tkBqwzBAEUsCKP
y8M5WR64swkpKvTyUrPejH0QZW6iB9orFDETSbQiWrMb/rSMiyEXy6gk8ABNjA0cGJ+FK6nxW2RI
jZuWSbcyuU9L+I7GB+pAgkX/Wl9cDcE0BiLKSEiKjmV7hmRJ6kARyla2xedRKG3QjafXya2KhPvh
EiIu2kVGCVnZimttUwbdhHCTPq3kvvO/8vFAk75wsDhabHLZRJD0cBQIWhLWTyBeWs8T7warwzvJ
b89GxehsfIiGuy5f6xB9GpIV4+0yo7dn8Pby2ZdIhjIoNXyKsK4kd0DGXHOsvBFuJASWri2zmWXr
xmZzekfOn/9gorzNyNRm+CGDgrk8nGgy9G0nxvhBNdvQbp1+k++US9kNVoZZNjOJGYfjLK4dEsZW
LxPGKdznx8zFgsN+Pb95OT2Z9yfJqdkoh7MZ9DqAAMgo8g5ggY2lx0a6Qu3FxQbF0TZ03+xvlX2O
ir49/nV67OX789MM5437If/iBZ2o1eysJexVp3fAwtu/jEvj/KtX63Il5wP/YZwhyZCFyBhHvfV2
Jez6R3DN597KB1veMMtRFjcMrPwoEebZTFssQhz0A53MKVbO8qen0nKU+Ux8mIsSVpIazd/rstz8
jJ2HN2338ni/ZqD57vF7alsswi545mSUQoYpN8BPHWQI7Ec0N68nx/iOjOfZyk6Y9/Kp4RYh18K4
kvDBcL3zE+1X+1dmn/927h9XhjkSMD4e3eX7PK2z2kARdJ4VQlgO9SIH6yDHdHX3ZfdUu9+RDFr7
YCvhYsmDakylsIJ5zM7lbccBCzd/Tfav71eBfVO7LzwLbDQ3Vy6Wte+3xNgraHXIyfz9RufntBV3
GGNt6m1wFZ55drJr7ZWFne/6E99PXkSRWIVKCctwnmTgpPxHtRH+dNBoW1nO+aieGmgRMlQBR6KA
5qUtZSh8dx6MiLxqz7vYWJvT2l5ZBA3TiGozmw+aqf1ovX2IZHIh43mWxSiSrPWc30ttp+a1CB6R
KcgaumN/L2ByjV2Da2yxgnO+h27o/oZ7TyAW7d9rs3xPP08NvIgnvZ9iKVAysHIvn9eP+VV5rvz0
bqg4or5dvIwP2Xl4rdxoDys7Zm15FwHGb4ZQz+cdo7BnEGBgf3Z7sjzHsw2n2GQb3zUd01mDbn+q
tyzip7yINKOcxUk9Hwx6kNtwL7kPqTPZb55dsLz5VrZX7/FjAYCeIGD+mTQHz+YwYtexmWbivGXx
It5InA/FtcgcVMf6ljo4+d3WNwhb76qdemGdrazysbj6cezFKiMrMyb0SMhV3H6jPybbYNtvRzfe
1mfyfq1sduyT0lKgbwGujr744kEQoVcdjVVR2xUi8KIECReVKnV8a7PKjabb01NbBgLSfkqf1DsU
BbA/uIXDVdWbUPaCRJ0cQWmULTJJiCtLVYjV2jitxJw5pnw8IgwFwpNeP1Qk00Ae63CoxJT1Qe4w
0PIgq3/LrSwDF6wkKzF0uXrzKCpNLF4DM2l2WVpRMavGFhLVowZy7jXak8Z51SW1I45yeh0Vafod
RpN08+VVpIjDs4qknT6oPu+fD9lEjl5CVRdYNuI7WWyQZyWmqk16i2p9srYXly85JsgbjtoNgHwN
FtbiHGDKU02WIYyOkXWZ5SCBUX9HAw4ppUrLlfghkboG3dfUQL6W4nYt2EgkpjdJNHqPWpM1OToC
Xdedlaku3wIoKbEaqsLCtAsR+6TT6/Ip+abtSntMl6g2AQ2jfXW4MCpeGlljGHhZSl2H9YiQ+CPR
EOnawB1q7F5Rg9a6IdpidNq9VDQff/m15ZuuRINw2kaFoq8R3Zf55fyTFPYHHS4UX7EzOvxJAlpN
IWbxg4PTQozesCLbeFKkT9T+0SToi848HwuZazfshpXU9vNhU/hoINQoCVOkVxa3E4KuQj/CEnGq
xnwuwW98b9AgukZ4cw0oemSkmVGj04mnqgCc53CSfj0731nyhKpepIOmgPPk5mOEaCitqrfTH/nz
uaaKSdkL9QA4G+KyK+8b4pDmKFo5Boo4m6Ya8Hkq/ZUOyqdHDp8NcqUCKpMeMlfAPOMPR8ynP6FE
U9s5nhB49oCxqB2lvmKzodLzsJ3yjZF4yUYWI/WShn7ypqWjtBLBPh89fgPQm5m1BNJsWWwbp673
85LTZSLprG/83BPu1VgEFmg1SOKcoWKMosuXV3eOYxB9QPtIFOsP551qQarkiQffvs4RwhnVeJum
hrL/+ijgm+d+AbADCLOHo/h9R3tqjDrUXrD1RBAJsWE8tb+8fqqoMBGJwhrtyvdv/OEbxqMSGw3Y
ECfsi+wyUWvJDQVEaHpERN20HbztV2c1wzYAVdIEYeeoiz0jj2KdYEmLTPwU+udRLkxnHtYsK4+E
zwHFlDWom0yKrtsn3CHkX7p6o1k72MRmrigig5Og1b4XTU0AtKH1CMQOdXfmCfW/UVn/9Wv4P/5b
fvP37Vn/67/5779yNJ9m5Njiv/7rMvxV8e1/N/89/7X/+Z8d/qV/XXdvVdNWb39cvhT1H9s2e31p
wjxb/p2Df4KR/v1L3Jfm5eC/bLImbMbb9q0a797qNmneh+M3z//L/98//OPt/V95GIu3f/75K2+z
Zv7XfH7Wn//+o7PXf/75Thb/r4///r//8Ool5e/t2vElo1rz97/1P3/h7aVu/vkn0pb/UKnN823A
zAEWnuvV/dv7H+nSPxSTpixAMwKlSY/yzz+yvGqCf/5p/gOKAbfsTNaiqg/S6M8/OF3zH0n/4C/M
qDHEByi508L58//9tIPP9b+f74+sTW/yEOeyf/75Ny76f5MiDRQ/GxMZPQp9lgFvcFEFA8Ng6jFe
XSggdilKUWANMgcvNHXWzdY9MGF+ND13s1/sVASICGbvNrLaVAZQgoemu+9D6PoYNcbKcx2Y4Y0o
Vx5JMpLlDyMOuK/9NJvU1n52XopecYehGgaZsFN7FCZnQ1sFeucs9YnNbf7ueCtkU3wLAFlDc87D
Ms2aLXGHOMT0oJgyhOXMpOg1x1Bn19wEUjQ/eDbT7ZFJwr8YMPuPWmybKyguuO3WvSc1WwSMmJEx
W/HCa/B6V82UtNzI9INfKrX1b8tittUNWiV+8+tgAoyU+8rEDNE/QM6w0aiM1/VLhRk3MltV6ne2
ptemuhNm799S9rABTmWh8Wc2go4ojcpgG0nOsZXWe8l/amq/vezQfsLA7t1SuPPT8TaQshDTD+xx
z1MR42CXXFu4rt6diOt3V2L53aGYd7E02WlraZ2bvbsY811wNC5mc2Pf143iqvcDFRtmbTCeJMx8
6L68GyJ7KNwhTtrP/h6t0UW03/kvOECEXag5dVnVGGlw2ewLzFe0M6XX7tG78u5wcPfx266VlswM
v4E7lED9xC1JaS5Vfp/v9o0BespXjOm7X8GRsHUxMM9EPfVQFzVKM7IDwRsxplIDnCNYQ8DlCR2+
n3o1IHRY6FrzU0JDpsEaApf6vSym2r3WhIDoTCHpHvoY8xJbUmvQ2khEcekGkenIrXYeZvG06fvQ
Q923tYrLLu01zUWDh308CIb020R2B0reaAyQHUuJxhumqTgfir2FRO4EQbp0QDTrKGzi/gKpdBTE
66hVx1dElfO3btLF3xhxi9c6hsbYI2ayUtiN6HV4SfUJ7a04TnAplFUBJaYUAOfPQO8bKE8ysv2w
1+ruuRu8Ah8jTE0c1LZ8qpWjOu0TXceQedLQ2xUHLCzEGm07pzcj0gl5qqrnqId1betY9uGO1IW8
iOJG3YDhxCWlaRLLNbB6xB3AD2QVKdQUzqgu50X1cxS85Ar0XtJupsCoz9rQRx5kNrFXN+PMM9kZ
Mm5+tqi38gT5UvsmRUrqbfyiKB5UMVVMJwsDTEEiWceQYwi7THRGP06nXQ6o47bCRTw6M1Tci/E8
SxBpM4XJ/AkMGJZchX20jMSilOtXgyC3SI9FU38tSWUOGthvk9dGMuvqW4Vm6UWhJ/izqeIwiDtJ
BzOJiu4EL7qY+Ba4m6E0RyMveIvlxPsRYlX7IoAOjBxZ0PWnLAE06zSiWjwlgVAINs7eneCK/SgK
ODNrKUoQE2rZuHQFw4Mpd1rkIJrfXQEgDmBGTVL7jJWK8tLH6ogaZjTnG2mf4eo4TcKL0dLmdAeo
Oa9G7WO6MOVe/QBSwmjOFMJfsJl1gO6zMpVu2WNKzeoXhYZIX44WqDf7ejjmaAkFhqJ6+Gh6Ypg5
/5e88+ptHEnX8C/igjnckpRkSc7ZviHsdps5s5h+/XnomXNgyw0LvbcHu8BMz0x3uYoVvvCGDlc1
221qWQ3XwopymFOlWol9p1eYjwi5GsZz+lQjhnEIlVA6GXvR7czSYTn0uqlxicEKPfKwvqGzhPFa
Y95CKV2MiLqqBgXi60nCJRcIRAh96LFiP8hymZ4bFf6i8LIhQMDjSC3cDweceC+UPERMOqHSgVhA
FNgbTAxMFS8+WUG/3ezG8aI27DI5qTWk1E5LoykLfzIrTPQWb40rUAnyjCNoEQd+MJGXXoPXj9Rd
E00lGubopwa7RuRgE3H8MRWBN31fT+aIiXIRI8XZ4C+1aich36HijTjshKil5BW6NchexKojchFp
hThXcaZs7ol5uux3mqVARIkd7WFNvoH9t13b6G2lIX0xwI+Z/mBHuX3Zshfpf6j8fj8fVeU1NErp
lWwuAcYd8K3cFMVH2VfsvLtF+6+dfUT5C2ed1K01rkErm6PfTlF0bsgp9fIimB8xsCUAxsQ0OZth
6yBraPdgmZMJ2wl8DMvqV9iF8y/UApuLsk6T56oerX0UmcpDwIH+pWBQOiN474yAhM3Javwhna23
RfH+Di5ruSiS9otPSREItE37AHvASkat3m9a7LFdFSTPg9aPTrk3EcBrPQzbuhHkUIPUmF2jv67W
XDlimCNsv82S22ahB8w+Ph6l4vUOahO8l2Zyivg4EsAmmLmToa2M+3IYssFLRjHdqVXG3utxREOS
FfUfEBrDgPxx3Gmquk5zWFw+NkUsYN3MYb1T4nBMXROIU7RWkGSBmxSNOIvieyPuZXPUNU8C0493
oILfsZvNtoLzzqAld7E1tLY3WQ49nE5zZDIpK2HUBNHW09nJmQ/3Ma4FuJ2zzeJSfVaFjjMKppA4
s9pZmvX4pTvGsxka+bsVOgCTcUuuMDRHGPapKHEyNNTEEG4V4OKKW0t3S4iu8oLqI6XmTG0dXvGx
a39ZpeRs+85p3+x4Si+dWpRcGDrpCGaleDKv4B1kV1MR0/rc8No6hbzHLSW4Fx8W5i2sQKiJi7M5
JibTe7+4nSt6JXM75fo5GqtmibhJ014YhZSfVItReos94yNOolnka0pX3sYIUGNkPqEo6wo4U9s4
VirrxJZ6jdZTYDenGcatKKZ/2LFbMv4aPk693QnIX02sFNzjNC+yJ/DMXaTJb+aAxRqAiEjHbNSw
cLbSkjDbyuNCn0DqS721NaHfogoUOmt0tFEHGuQkwH8zrIi5xgTh+RYxcS9G5wp2R7UYyGtDLj/K
hdk/OjIohFWIvW4MtUrTMKzRjPkcGIMi/FaIdouFr63jn5Yl50IPs/48z5NB8XHACu94UeR0mzip
cm9ZtTp42tgG66g12wxGndyhtxvZarjC4X3S1uqIVvmqKBrzrtMKud3MsFoeGwtVAV/TovR2TuTq
MsHzIvSw9pTxJg3T7JRLPXrpHL1/y0UavhHNTq9YQZfP9pxiKGB14DjQfUVl0Y0tPrXHmbeQUa+q
lmNuBt1lbAXRXTtmiMeGgnDMHaxJlsn90/R2SBbumAOV7gmTl3lfhLFRr3Ehd5xdZXUKhNUh6LCu
jAPUN2TUwe5RuCovQ2cq85OyysY3lE+i1kdTqdorqDZHfqMXiM02ocBBBzqXte1E0i/2RomyG2bk
tX2tTczdXIQ5Dg2xpvVoYLZosLOHUx5NtZc1V4RVsMGFhLtxpt2+mqlihOsQ9iCMwXJUHokRcvTM
S4JE366d9mEBzPW4aYqerggiG7SOOwdbQS1GK/MEF8gYiye8by2/oOh3PRXzhLO7bQ23On4aD6Xm
VJUHQxGFsLJQcZaCAv2blksW+kVK6ASjxBAOBiKo2qV6Hl0JrNhRxh0G6zZHmRaxkiwIz3HdQ4RV
kasp8RB8HKmIZSO/264iB+MRJdZWCces0DCW0bBCwvFCwpjAK8VQ7KQhhZjbG5OxTWtTv0sWxqk/
NBN/AH7ewUWvqfwMeE44VEUnJaTIpg1a6jkiQor+I+P/Nw39kmH9X6b7/y0hBqf8qQyyJNxfEuL7
38XvWfzOvuTEH7/nf3Ni5z+UBGGQg5HTAJtoFHv+zYkt7T/U8khDqW0hKQOc5v9yYsX4j7mgUpyl
yA1kQ6cM8m9OLP+HMiMkNLCZ/CaqgIDP/yIp/lAa/ZQTA1yGbmOSeKOPiKjNIcZMJsbMpXIK/PsL
Xgz37Tl2L2P3InTp9Z5f/t7c7d4f33Y3nxbp343zORXXl7rvT6Me1NXnPAiMvB8C/7l2769K9xZh
Y/eRX7z+PsU6d/n1783q6eHlfH9/fvpy935zt3+7GtxjP8eRH2OpNn2qkck57Z85ZfJlea/Ir010
pOHzwU39aZ5sps8DqKPeqcYyz9J9vL+i7+s+3z/e719/8767j/z/Gf1b9/b14np78Xy7Dd3ttXu5
vb7enp5fX59656vTzfV2c329W/5utdut9s8356fe7mbnPd2cezc3+4srb/e+vznfXfn7/fuRn99Y
Cp4//PyHxD3YdqUlCX7+s+ezx6vdydnzxfP+8XGzud2fPYbu6vT6dLXZna6ury+uL9YXy4+4u7q5
2t+szndHqqYfpe2ffpaD6k0Zl2nVah9r+bpsG9by9fX292Xo3sKEYxmvf9/GrGXsxvwt7Dv3evP7
9jfLezsuu/mB//Khci+fIvf95en8/e3p5Spydy9X7K6ny3d219XN+/37G+oH/O/+6v2ebqD7eHV6
+vTytn+/idyrtyPrq31toBmHp++wl0W+i7qnwZz89Zl/cuYvf1277mq7Xm8813NXHr9wT/yTI8Vh
bVmsnxbzAPxQ8URiOTUGPjNkG169ve9fL5BqcV8pGrrX56xV4Z4+7e5fLl/Oj3zJ5VT9NDb33udD
0Q16mCLku7i1nNTmQyw/h+lljHRqVwmMWO5/vmsOYAr/rDHNJxMera7QCDoo6hupLLIwTQLcVnB+
GU5Fq53k9kDT8L228hWv4/M8vsQYjxb9td4/QG/g3+2k+WVK74bxNhS3oRYfYQz88d41qWrSzVkI
9M7BbkZqvZCtIVpuhtvXktvvOnZfXy9fTi9fni7P325k9/7t2HE+6Ov8uxSfBj1YijlqatuEpue3
FBA64wHpLzdV9uN0g7EBUrIB1lF7pTsicPe1P8aocJhBo9MZWGg/UEq/fu+JGkkoiZqMqg5bnwhn
xhMCb3Mf7775189f+3Asi44HdKYFOwrBErj217GafuiasqOnGc1Wf9YOkwYmfVCvmyTO/6oPDads
GWpRkKCRQ6v9sBVXxlosO31i+1ndzTcGrtkYXC7mJ2Y253c/T2v5sT8fmWUsA4IllFg0XQkWvk7L
op4v9AaTDGi/xoXT4okFeDY7sin/NIrJOaGIAWtAPdQw7hH6jWgkWb6DVdImGCxrU1iz4/88l2+7
cJmMiaKQrpt0wWTtYDKVEdOamoiz1XY01xHojIcBVwnNK0jgdnHewJgqgy7xF7dmX0U3+1eCouAx
qvEfZwvzEkQ4TQc26cGaiqhG6may/ESaMQ5zSEGGdu68n2f7bRQYEmhyEN6B4kO/4iDSaY2osah0
4CXWNvEmtWcVe5sq2vztKOD0YZKaSFXS7P5AYH4KZELIaENkWugy1WRuDQ7oVJWcY7jAb4fLpp6m
cpgtEw1jQPtfV8wkcU2MnpIRNkTOLqoVxxOdFvlKGEf/5BZfem2fI8QPsN+XHX8w1sGl4TiZk4OL
wkikSVyy32sMZ7y67U6ECLbYR6zArT6UVJLr3vLCGT6EZqzwOlsrozhRzOHEysaVMc4vEOixllLX
CTUlRFiUuzH5y4sAlhSkf64AeAX0sA4FiSPFGUTYURzHaaGlVEdF5irRJ608kSmo9qufP/UfP4IG
mQYcvrEAb75+BFkJtGQA3eNrRQLX1dYeNTuSqEE3f4fB54JbPgHkMWTGQRqQq3wdKe3sPEPzAodo
PJjOUkOXTyXUFo8ckK99/n9G4WiQfjAX2oDLAfq0dcuAZtdY6yP+P721MpN4WGd0yM9NEABuZUfH
cLvfdhZQJTIqWscyGQ+95INzH2Otw0vVYJd62lwaF+K+OGsenTf9fIzd7qHZJ/fT5Xwevczv8aUD
4pr8+kgA9IGf/by5D3+EgzkPCKlJGVm7X95rN/K1daGfl+/mJtxpWCi7wyXWytKdfAl9q962J9qF
dqsfueoPV/3wJzi4g/tI0yMh1ZMf4uJmw6BqQn2tGsOurP+O6M4WXYgOSCw4CppYqMIcbFgpMSq5
a7vBV3qUUxR7bm6asJAffz4WHxzPz2vKMKiZcCVAcFjQFQdrGlYaRj8WxUA9yrd2XQ0+QreP9qjS
mqNoXjQKnua7qLrTlGGDe6grnDsL6+WoCijB2LNr2XscSR7nYS0M6nzRPmuGk1xv/Vw6U0vTQ5fe
tbFp0pIXHG3cqX3thidFeRppNgbVVpmmzSy/wQt2ZenBAmuXmt3KAoCUxm9lVz3zXq+NJlWP3JSH
DwzzprGNOibRFWTnQzGwEuuobA6Ybl7OzuuIbftzmWdHLp0/DEIEh8oDtz+Qv0NZjkQxRadi2uDr
Uy6v+6a/srJyPAI7+vMgRAcwNc2ltvH1JhjNqWklvR18kHOT66Q2LVS8bP+LqbBeylJBWShuB4G3
iTltYKnJ4IPl004hx0+ePgl7+/N2PEzs+CqLcBo3DK5llNuX8/fpVsN01FSiuh/8MU0Fra7MuXG0
pDsb61lssFXS4ICP6hFi9mFi9TEo4D/WbyF/WgeHOgjxNsRYa/D71i53VtO8YCqCBeiMByYOVzUl
cWWOUh+Ek/L3u3CRzeKML5gjNJm+ztfA4q5A5YxVNTSsnxsJvvdgqkcuzj/tEO4SaOdMckmbvo6i
2QgUIiXU+2keWuvEyMRO4Y0/wjA9wJd/3Fg8fRTfyM1waXAO1lHKSrzb23zwE+j2EBPpedaTGl7i
7mTvcOyx3Sgd83VrFir/iaasWuDKT4v0p94PGttpsLA5y2+rwcIXUjkiZ3hAp/nnx4OdTTZAPgCg
5WBvhaoYU8Fr6Sv4Yate0DXFqzEqmKfG5XIXpcG1afbFyUw2TBqvhO1VO+ZG48kmtpWeNKvFr593
+7IgB3cvyB30UgjrURw5FAZuAJSi+yWEbw1CP8nhz7kECtE6E8Ox47u8Fl+H4maAuaksmlzE7QfH
16jssMJdTfh40ikAYDDPBkWRnvQmDnAIdcWns4aJ9aheV7J8DH32bZ4QBkGxgkrgL8tG/7r/OtwM
bSEnwHRypM7oMma8C43VZ+pmiLJGWf28rIeP9OLdAbIUnCCJEoMux+HTJSIrmQmlSa6w4KwvUFl5
rGDEuoE1PWdtLR85wd8uD4Bb8Izx/FzUidDz+TqYRGdjbOxFtTKxupU8Sf1ZIWaxNbu2v27RDOaB
GbINiCN7/fM0v92VHyMvEQnLy715MHImOaJvWif16RaDaZKq00ZUoQcE67lxqpMCrdcjMee3e4QR
CaEBl4EDYxMdLGystSN1dZOLqm5kr1rs6Tpsw/2f53Xw+WATcEJ5lDkUyB+Dk/+6orkhlKyzkIEo
lcTQTnM7ztprMzfHxR2FyH6DLn5aHXkDDrYog0KyXJCljGjjZnMQbRVGFRZ21+S+RYPvV5x16Sbn
zSldgd38y88TPFjGZSyEa5feBW8NdIaDsXrSAoyZldzvuli5CpIqWNAj1d99rI9RkLYEjgwK/zub
Opgxf6zaIfe1Rks3sxIlLw390L9dN/bD4mGDfQ0cT+T+vn6seKxDs5xZN6MSub3OtbZ4UOWpytai
qdsj0fdhAkDRQ6YWwEPGLkPq7FAwZEIvJEM8Lfdj4Ir21oLOYK6LUHOwVWqMTL+Sp9jA1LCoUXq+
qLAQfpormuRubYgpWWVKUeJBG1tW9Jw3WfMq4X6a/LYLqTnDM6AYVkjrd0PkYo6sJ/4Y2Ga772e1
tX0Aic7VX24Dwm4gxviawDlA7eLg7ZfogzcNyBpPRhV0bc+UOHAbHI6cpoNbAmQPoyxajECMqU8d
hqAhYHDgCyC3+qEurlVbxM+1ZPdPeHvpaLg50wIO083bv5wbHwo+BRUxlFB4aw+2RT04sTRXfCht
ThxwFzL2LUl5zBrm200BUYeHkzsHpQ/YJgc3hTk5dT9JTeY7uK6aADe6Efth0iUb9FctPSsUFoy/
i7bZgshKfGjfLaDtbzPrWLsO+ffcp9xYr4bEWRQ1xvLI4T0gdRofw6A6SkTI/KgnHNwRqTKIoHfC
3K/H2QZQG4XnIABTT+7reacMdnVTAxv3wigO160Yo1Vntxi1KvW4seo2PAEEoTz87TddInNSDGTE
eG4ORSByu9PjPIly38kI2bA6H9aJ1GhHZv7tcmR9KU0SqbJXSWa0rxfKOE5xnteMkjRGfGNHUXQ5
JOAB/n4uXI1L6USXVUKir6NIrS0VGs4+fhWr8z4WktiosVL8F3uFaAeuFlEnenXLXD8FImlUGlJW
ORkxfZ+s7XFQfQNW1H8zl4VJBtSbD/RRN/40yoyqeU3MmnFfKdl7qcnDqg2B/h0Z5ttFwodBdAhZ
FW55zvXBkSYmaKVuGSZrkbWUkrSCfjTXvtJF3YaaY7qFyXUsc/n2LC+D6oTGVE2RVpEPVnCOu7CM
iQd8G+dyX0lH+QRpFYw2kRr+6yuLC4T4mFiOWbLLDz6WYbRA6cfIp1JMGqYUdXGazFn6d7Tm5WSz
FxA1wpuMReTR/DrO0E66jOEB6JcwNR+rgZSjdts2Vs2VY3Sq9vvnnf79s0GeJDIll14cFw6nlSmN
2RKKMBwK5LuGW8JY4yKJb1JVBPomRef1RObTbv522OUco9NIn4dCvrxc3Z82ZTIViSZNmeRh8VvD
R1XA9GwQKS0vYIBMhqtwZyU+7gvNkarycnI/JTos77Jl2I2L8Dov68GrOjZQC3Ftkrgph2AflVa+
Ta0w2cwjFuVhMdUbKUul8xqfeFyPi+HIvL8/SdST0MGEQbo07w47CiBWML7NpMCz5DjuXdWZoxwy
lJL07pRrlJ8r1e4V/+fFXrbm4ZwppGOPCBoG77llD3xabBtPqlxH5NMLDFtawR6ErpQk45FRvp9F
prZsX3iB0FEOb2Yn6aDJj2rgjU0/D6dADakGojcvlX6asLGOPATfhiOiVHHDoj+z3GvWQdEiFKNu
CHuWPH2Y5Y3Ik/sM5uKJWnfxkZvt20jsE16Bj9SUXXM4Eh1JR2sERP80GItdYWa222ITfzU0zTFT
1YNscYnG0N1eLGvJ2iDoHVwyZsw/mvXS8tBYBLXsqGN/ZQKYjlEcSxEjPiOjtfRNl3RIqLu4xhfj
3wbsJB1LfYZSL38S8O2veyVr9YZeVWaA1uQ5kiqtGF0H7757RKD1v010lrEW3sCSxy0Mpq9jTZJI
8hJ2mRclotqJVCrPVD0+li/+4fOhmo72PEvDvA7j6GTqi1yisuflpZziSKBLQHJD6qyyVyuhdaxk
93245RQsitzc3Ut0/XVSo97Qs+YF8RJh9vskVRE/Kkblwsr1fPXzuf7jUEuxhu4/BTXrIBYKU62I
sqljZlItT35v1PrTVEtGta7B+f9dkZCtybw+DXawNZW4SgO9m3RcavsB2cJicDs4DEfuxz9NiVI4
bzqNeY7d8u8/XVVcVJMKElX3RG5ZmZd0jXUdRpYNvxuBsf9i/ZCyRVSf22ppV38dbI4zutOC9Yu0
wFjrXSavZCyNT1WM7o/M69u9b1A94MHDHJqx6MsdDBVMbaImDKVYor2KZs32ZzuVdyLOJh9qRH7k
GH+78pfxAFBwO0JoRt3v63jC6RsNaQtkZuLOuu1zdMwdKz+mUf3HUVB948KidvetZNoqTlUOSYof
YawnF0WSqVschpO/ToSZC/V3WvFUqUnvv85ljDo0Mq2MbW6VIwblRbRRhnk6shn+8IV0RNKRDlsQ
NbyVX0fhj55bHWNNDwKe9cYXrFbCDAHy1C0dTLVoj1liLJ/gy6uMAxR7nF4Jje5FTvzrgFUQoq1M
muEVUgH/UJ5b+G8DFcjfFLppVf58Vyxv/OFoACXg7lOO5C48uNfjPrOMOmQ0Y9Qcz0yiDuGrfnDO
wqFK/MZ0LvpBDo8UZEh9l1l8GRcXSZJv3hR0HgBsHMQeXZ/M6gx5iv593d1WSlAPJ50Wd6fAebTW
VyujLt1CbaUnrSizM6h/A7X3qbJXuTQn1jp1isZyrbKLr0M0fh00eJURsFmC3odoDBuyiBbmN2kV
1JprwrCA2WI2WrYmjOsqr6/16CbgKBgu3Ldyb6Na3XihHcp4gpqmQQFPGtU7tTbap7xL5thTwqrq
PdGV6jq05gAkTafrv3R+81la6bPtp5qVlBD0LCfy9bBK6UgKq+vXUVBOt3nfK1tcLInkSlg5OzmR
rd+O5CjbIteCbpPWQXJqxFAYNvzaCb2oNZILoCx54YX1kJ00YNHDVVfDOSl1ilmuEJSKXSD65Wlb
NdBdoriWrPXUWGrtJkkSPtWBXAnfCKFoua2MOcNkylO2GzA2phLW93blgYovH9KoD0LWKBC3JITp
k+i7IHNznsfUDSVFuRYlSpR+Oi1WvVSk4kfU/drZJWEpp7Uyj+0bKqtQPYyhTW8dO9OmbVF09gMO
U8UViCbsonOs9m57rYwfRtT44r2oTKv0kt7qG7duwW5kKFZgz61UkBDUoBt7nD5q6dJo5+QxVCg3
eV1U2mJVw4ylFZAs3E7JhqvicligPLZmXm+sLgwqAGHasNBrQ1gk+lwNJ5JaNaNrR7o2QC6J4qdJ
MaMnTaol+BTtqBpbKbU5xwL8A4zwQpwSC7NoU9uUZ7JRj40byHN4KoUDNmlaYtkviaxnqpviup17
Hfmn5iEZZEE+1rPuFXkSA62ZONUf+mZqXoapNc6yoDOfazrb1r6EMIioV2/Vl6kqBhXHALNXXNnu
2uswQEzWU/WghpXYTtW4mk0rUNyyqmfsoKY+t1d9W2lbI54jyYdpuvTSZa0xvDBlME9LbW3biip/
TdUxu3SGvnwTUeY8RNBURm+mwLsP8c16Viq9faCTJt3FtaL/ClEGtXBFK+3EMyn61SvL6uVtFOsE
Ymbc69NKF4VOu10T2ugVUS9fIKo/oANraMqt3U29AVPD6S7bPq4sjwDPNte1UuKfV0VmttfYQO8R
XLnAH0OplWGiBiVfK9XCm54b/rafnOlRsmURuk4rJuFm0zhUbqbb3eBFMHpWMIqwHyB7DJN1SXcU
0lcfzY8ZpWY0i2ap3TjqJC1Y0xSquTaIqvMGXZ/v86yv9yHZZLyStEp/m6weLpaljBYi2k6PGZo2
GoHXELvpFDeDaXTNsHGupciZxU6mnPRANWk21kWvSWc1hLBnqUjGbgt2odjLeArE/mRq3VVs25m+
boMu3KZznSQ+rUC788ZMFimOXtrYbweViGI9t3N21lq98Tsz0aaBFzubro3Iueo2LAFChHnXyL6q
ztmtVNvRvdTr+oU6tCqHcsr7EBhJ3plel8X286yM9XkOu7bEwyYPnRU9y9JY542S73r08pHLaqXJ
WcXw1Gxfs0YrcTszQMonLvsi8RWKCYAdiUNYO6M3Xvs5HBr0xufxnkfItDYC424kOhSpGNcKQmSz
q6r5WKxHO00uVXhVsj/Ab73FKR3WY6Vh7u2OXSPO2zmH9NND6Ey9SrVCVLxSqU1dnUOveEM10zMd
8lqRYQ11zd6So/At7gwb76Qs6p5E27aXs1aFV2VRSM8qifj7bCY1t8aYCSpwSp75bJw0XclZ20we
EujF7xgbaeiQ5ZxFF7UMGpZ+0zTdJHkOHqSrkvBXNcT5e8XWgs1GUN6fKNjj9u4YmQ7z7vp7tRPt
LjQkNXOTdkxu9bo1Xwjg63itiXw4p/uvvAdjXlxIiWOMK3uaypeh5lC7Im21VwfdmPFEkHVWLlbW
2XOU1VBD4ahbm3Ak7fZjDYeoXRfH4pcW6AgXVLM0voJVGuW1w3qfGUnpBCxdzq41QVOv4Xcr8ioY
kTRylVCCqGVLzpBu1Dzur6IkwDUGQt3LJM/D+dIcQOM76Hkjck25L3o7FzRSY0Enw4TMuR7jkfpo
hDRv7OlzTa8xSyN9pxW5+EUwBYN1FGw20y76GzlO9F8QZ3kRxmFoOKCZUr+EZj9xNSYBL4mh5CpP
c4GPh2S3EXJlsjAUj/w4uK//4TbO/zAduy7NrzS5C3JsUFut8KsR0Xwvhbh32eht99bDVd2OC4My
atIg80TBh2O/LSTLqlG7Wx4289WJNEiYTauM92EPM7P6IGlqvESFZy3cTWlszGfng9AZplUD5/SD
6GloUv+spNAn4fMvTNBehxQKAiE7TT+oopE1KJ07lUPD6nzQSUWepnfpB8kU73MIpygSQD6Va24+
T410cZ990FOrgJ/UNT5oq0Y2QmGtPuisQzTVhiuPENr9iWBWXc9mWEaubc1QYedUgaDqxBgXrnWz
ygeP+924D+zZmE5MSUCqlQDzrUIpKqEJfpBvpQ8ibjAEqARpCz9X+6DqNnZUlpsagazW0z84vdpC
720/mL6IhjmNL4qeCWC2Cxt4+mAG6x8s4aJ2xN24UIdb+sKNL4UIfLIsrTN6zkI0zoZCfagX8rHe
T8kzlanmQmqhJo8LSVmKlLDxaHLAXQbxHigb3v3krC4k2M1VUqWS2yzE5+CDA61ipzitg7SPYYnG
ZiJDFqjS25QOrez3jQQRWFWGNEHfAYK16DL1teqUEg5o2iQondejzaUDLVsGVQxdscuCaWOm/cA+
bMMASOMHoxuclhLYfkzAB0ObYnoX/1KdVLdcZ6xTaZ32ZVk+OeRfsS/xvpS+DOL2Jja00EFIIYQq
PUWKkcLnZO03XdGHvwdbbkC3zigUrCWR54+EnTCaSBCyedN2KSdGgfCunFpBGQcnI3oPHLt6uQ9F
KaJpNWp6JbGb7eZX0huyWNNjzBaNukpkbpQnE1SaOJeSXU8FVvfHARAc0RnXqEVhos2MHYXElkln
OIbvRRvGOWTZZkgi4cWSqJxruyoVaaUPXWE9jnUe3lrp2Awe5dMmDX0EHcxwS49Dmu9tFIrMi46e
27ytinrOdlaRgQNNY0F0AUkXyea9lJmltBKi7KLN2OOGdRVpUb8LE+j6fqhBjd31xNrqzsiNtHvT
I4JMWPONlCIuQAszW4kyF5NXiC6ZNoOwYxCANMmcYCXhnhj6UV/18U5PYak8wcqugvGERktdVa6u
BZOzA36TYzijTAR+XCe6uMmIb8R+7KNJv9I63knZjQHbNCv+bC1ZT2U4OHdzngE2G4zedk4Grgj9
WiPkCbwB8GRyU8JJRS9vUFOIochip+GDJexRdjsrtuXHpBjbROaciCzm8TRIGfgvDXvb6jX2PkUe
dTIpAYghN61ypC003lHFM9W0wXK5z3OZBFH0xjq2eC43Tc49favUfLhTMeeRubMQpO43SdkFsj/V
UIXvFCWd50s9ogJYbcMMZ5gC153Uji03LKyo/20HQYHIclwNxbpGhEQGGN5F0r2ltnF2ga8hhSQL
nq8x++gpBDLs3klz1r0I2/i5Q+E7z4mJSFsUz9JRBPKMKWyg6ev5tAoF4INbO9Qkwc0x9LpfZ4E+
3sS9U+k11Ode4jYIy/KxFQpiCb0RKelaC+aGSM80loSs7bjStGoMGZjPF2+rSkiEU44V1ApaK0nX
nldy0XO5QvDI6nVf5v287wJqCO8O2h/ZSkM9Q30xIWXbZ6WZd/11ZWeGtumaOFuixrbu7xdP6uX5
H/JsepgUnF4617JE0Fzkc0HJ3sVHuGw87DQaUj4nLrs3ObVTQrWOVj8VCSM6LxOQe16BQuO27ON+
3qqJZMDV7pU2n/xIqotsHUdRmpw6bRS3EFsSq79UkOhsiJt08WT1UBkutIbCuas1jSzeIHIYxco2
+v5hTFT0EWAy67Wv203eumEGw5kmkVKstAlRUy+aAASvajkZig2KkYoK9bmzyCiwDGrk9Tw2o9Vh
vjza0SppgroipENUz3oPSksJzsdWIrzrp1m7Q9ADby6UJDAeFV0ah9e5ioaa36nzKO1BB0CxQIFF
RsdN0pMRWGLSq7c4TBO8DQSSih8ESSG/4vqpmyeYYg4aCkNdZ5WbuR5L9AlaW2ncyWi7/CxN7CA+
m+sA9NAkq2m/QvBnrm6o5Y/1k5A0I90bfZV0dwM2tomJbAP5m4uqTaNsHDD68TYUKfdcDEtaWndD
U70HxohwkjXPWDJLjbC25mRgPC2HqpGc9Fg9XDtO1OZuqNO882pZG7J9KNVp6cVVCItNUPPe0ZLV
Og+3BtIoKmmSctkWNG5cRR3JWSs7hvctF0Ng+sIkOuKfMMVt1pWc1mwKY156JzEJMpB2iBuvHKf+
FcvxwrlMQf0Fr/GsFNEuIbO0920/2enDmFLU2MeJPBWnkdaqxnnPDz6fS7o6DGeo1hpkn07WiGJF
TKtnnh6B2jyp5JH93w6Vbl5GuWEl+NckWCYT281hfm8IhGee56Qef8fjYBjFSREwzrUVdlPgAbdT
8lWOiP7OshtUHShQGvZ0JyKtrN+nUNbS8CRGcEK5NOUsv1d6tstqFHJwqSNuPq1jUQQrUSXwNliw
5D3kSDn/Q917bMetbFG2v1I/gDvgTRcmM+khkaJMB0MSSXgX8Pj6muA5711lksUsVadGXdM6R0Ii
EGbH3mvNHUBpsLVdUs2NcK2kH1I4+bl9VUAJ6a8cuhLnbkEzictozjLHzWdjuDYNYbAUusqugtZI
4sRFqqG+9JOCrIsEAydDlzftb2OMbS5inTWHmYWSjtVTbE2TzDwCltLVdLvh70Nlp0qx8Y0rbr3u
12EuvgA2S9agXGy99Oy27SJXN3r9esniWgvqsVa7fbf5nVwuIMWw7yQWD6IRS00CAen5ZRX0nlmg
F+0Hsxmv60GxCxfK9vCDs7mc3FWZIlpFkEmR3DnP8iurSkHDDnAppiBVG+jf7Sj/0rq0Ug91tq1z
IbeQBOzMctIdFcrFT7FsPVCnIItA2BB97pOCfF1iTKrwsnYZfwPnMp9mK64KTxrn9XPTlws5NhCS
N5bQLCbsqhpfe5ENIMcMxH/tXNLdFG5t+rONSNPuWkCd9p47ZdXcCkluzNhN5VmOYeuky5Nldehd
iU4iE5aCaeQ/jbU0rlUnmlbPmQdHDgw5G+/JkLRKoGeKuC9sbdWhia3p7E1KMzyuklYgup0Q9/oT
Arrvgh6VsWdOulC9BcZqC4OjkV/aGchUMCvULLxlkvsVToJC2pWuN80zH66gy88i1aOH1Sz+YRuF
tDWIEZDYMN1n35S0VIGkqT2HZ+w01Y+6g+q2a0ZpiVzVHKXvU7VmUgLPIVeUQ28MqhIsWkwUknFJ
HLyuqxTFHedRYYjnTieDXdXNL0vL6tKPpIh2fsNcPndq2nGHrYdvypQMlpdyX+cHaxKBecKV4Qs+
vil37Y5kqN9VOjPXmc30QQYBB/KoB7Xnqcv4klQkeLylyddm72Sx/iS0uEo8CPTTnRbNKBhNImOy
l3af5y7JyOFqoYnok2Rkw+xOjjU8KBPCshkwJPFFS7rvAF7KWT1jKBvlUi2mpPIdmJtPFfQkwLW1
SL/BFLRy7jsE/b6UyWvFWawvdZAIZ/we2bnS5twUiDf0FN0xDUjcoVCtq1UTMMTmKM6gUGkKuTM2
lp4LcOnU3+EUidrTI4m+YVQVgL2AQx65lJalufpikthslZmo1mUd2yr77GSQzBTLJDwsSfT5Sdcl
epqHlv18jHRng/FkUuPSTVQLCYaIZmGZzCvgUrl7BtDEk/W6jEsvtTm3EcUJVAt9r8T5BT3gJds1
yzQzA9FE6YtUDqrhGXZmfJtzJ+38qNxwbHo+TJI/0P109Np2FMntOEZpHkRsadNNahcFu09pwxfK
RaMSd+VNc02sCK0jKUdb8TK5W7/qWksl1loEaNWUTY9LZj+0gx9j6rK37JL1HA/RBI6ePVU9OAa1
1CtdCKxtaVx3P5e1m8k1jo2Ser3eJ0QVvdb1bk5xbcKgAgzHS8i0kJEx9OK+oQdoeStJiZ0HauKk
P5iMxeLZHLmA+rgU7bWkyYaLsTV76Jkk+is2DmII9KmgQ+j13pTxfnIAzgZRZEdiN3QbcIqiYmX4
4NCbzs20Fm4SafWRrahySFkMs6gTIthauXVEqdI8M+6F7mJ1B2QzUEqrAkkSae9bTm9qbp3riThI
UaU7F0MtGc9D2kvc3BMSVb5jx/HnqVfne6csL0lDtY3PX4+msU2jDpuoIwrF1QdjUX15VEoRNKoz
Lr461CLy1VYfI9/OV1MOYKakL+XYgn2a51WjRSUGu9j0ua2M870Aljh4I1I40kadZt1GNjcYD1mg
/EwrWFByDeHiVVPKc7fX1j4aAOsQOfrwosbP/WBpX1geovcEVeLrXNSK4ZZSMdxiayWPIZX5SIFL
koPayJrYV6aU5UPW60sG+U5lLtjy9wi/Uho49UJKKNGQJXmdkxXFPlVm/vScVRY1EXpBF65SW8bs
iiSVJd8uIlK7ZEuke5GVaczhXsu/lSg1bVciM5NcrFNfzPt08zO76lg1d3NFFuCGoq88cGMYFnAH
6uhcAfxt16tyIiD3uPzKdNXqjRKiH/Akoh27s7/YjSNx/BFPpf6KYq+PP1PYSMpQcNu4TS2if9/S
JTJFsJ9+NyCxYq/s2+IF+tX6YFClWl1aZ2oKubW0uE7zUUF3Neub1d5IvpHRw9icD6I6WJFt0EUg
YpDJKS3d3TwMq+ay5xMgyXOSX4m+aJ2gtE3CXjiQl+yc6zdIbvB/6EKOVZoYbxr3pFSlQz9rQ+LW
syNIXEmA0P7Rx/0VCeeuea7ue/H83EN9PUW9HsFi/9/Fw24ii/81HdZ9FuXw9PNPPOz2B/4l4Zg6
5BraVSPR3Qq95kZE+P/osPp/bAqa9qaX1MnNb//oXzqspv4HdSpSfcwlON/RQ/3/JBz+ESVjnRI8
kGMZfa76NyAc86TuCH4W/bLFXRY+LOrDUwdTCwbHhB4ldrOSXyRGvm8obU5okXT2NxUjl/EZMbc/
5sttbOeHcuz3/CjyuKPnJMpNZuX7WtLddnkcadamdC04cMdLcocV0B0ipNe2JF02YEUd7Unvf1Ao
dueWRrVJ/LXJxZdhqHb0sdyR5DkouBKqiaJSvZub1e9N+noBGo2zfg+18muMKXEGJbjWXBNYmxGH
mmRqe+L2a3hjtIMT5lS6tjl5DhU8l1W8FYazByyx3yJn/LwmyX5KpSB3+ivT2GtQtfoyJ9hkb5mE
/8ckCP8pof5p5T6pV78Z2BPxB2XlEUxqJ3Z9W182S+5OZqgPWTC2xu7jJ51U+d886aT+3rQNVL6G
T+iooaR+H5UzxjD97atsrjPaZ6HSoUJ9KttvLWoPWAfFzo5vUjnzSvt+pbmoEnFSuLn8EKu159AK
wG7z2ya50upyl6umn2V3qJoB0VOra3JXFMllJxm+OX4dqCzLyuPMxEnqiLxh5Mb8+ayvve3v6mkq
yynlmn3sWtonaZHJ2YGXZY9jgw2Wpg460o+A56gXse9JOW4ZuHdVDg3sEr38GSnbKz7jjyI5I8wA
oElkjaAvU9VtgP5UvSBvw2o6ih0pO35xup9/Z7EMXezrUI+HnFC4L13d4nAqgPozKIUa7Whi+HcS
iDc/46RWX4LkMBcKQjsoii5d+FzSSsQghJmGemZOnYgf3jzqROVaN/roJPHMtkAKBfODGxmZC/nw
zBu9ytXejqyJQP6VwHEqe3ASAXg4Z2Q79SFpjItMpukRXmKpbPZS8lU41+Z2E9Mvye18XqXbuh4D
IkqVWslK6r9q6AQTEaX92gosHy+rEyXqv0Pw3592ov/QkeWPXTaIHS4grjqWTxIFKYGMO4Umql27
H03EmiCtP37su4ttk97+OyLs/H/ONUcijd2MfOTWLHyjhvEEWblrxl0RnZNovt04tmn930edbFGV
kZK6GXjUMhMBgxmOyx8fv8y5J5xsTckg5NwRPGFafgjroRvObE3vDxaYEYO30EBDHA8WaleiMotN
dlDu+uX3YDE7YsN1ot8fv8e7y2HrFA6vnc4F6slySGkpMJcdz4HoCQN5z4VdXu8/fsY/roU3i8FG
kGNsEmhNOVnfnRFjFCyZcaWgBViGim/hpEvtC3WV/T4nz2xHLqlEl8LnLjWvOkMm6OOyaWmPM9dH
4r8X1Ujv0mlwbdGAmZXmLyMFVNdMBX24Uv5VmyxlHo0HqTCuy/lLlqPIL6odWWSkBMmdVGD8H/IA
8+9ebp7iftrJ5AkHZ73trd9y+yTp/HmruZQa+VLhOkg6xybfbHAR27rTr9T1nzr9i1J7q7joDW5K
eu6Da76ANe1XFqu7ZdVImIrSahev0W4qM7bwhq4Js5cA4Ym4Ion1saVBOq2JDxTsD/20bxouEV1x
q1bP8mWq1L9SYb0Y+vhoGus9t97PvbXv1VtA9Z+GwnrJBof0MRU8RQRRJt+jrCFjlFz1DFyXcFOv
BcAEwLeDQ4Ff5hJo+eYUiiJ2pemHyEHB69remIw9l0C3KXMvj2/BtAdMkbDs89u8U6/z9mkghFgP
1qe+/Z2DDuJs3F4BEPsuguW+SEh2flbm73j9MehfRe5wOP00QDJFNCs3aSqrz46fTytlN+Gj1At6
xwkWPHFTl92ss301zJvF9svUtjsyrZemQ43ZdrkPIkfLbrJl2ql9fb1NFyl9atNyN8vZ3tKTz3we
H7qzN3BSlAu31tq4XhL1yR7mnW5H96hyyMHLFjlxJb8G83JTwy1yUdbcauN036ACG6xuP7f3tG5y
neWqVDu/adNggOeqyuZViV5Al8jgmAeY7u60HQ/ckTM0OlaNOlk16C4qKOpLzI1fUpkBfWUfl7y0
fZr5l9KSfpXV4tu/ekcKzJhsHyKsttcvrPgKMx+pk+Qiy35qWkZwJu8Y84p769jf6PI/EUFhepk0
HDAHeDT1wRYYu2WjBSV5qH50UHrddcbkE4c4S+d3hH398GtLS5LqddTbethNcijjoVtbycu65DNV
kB2QDai6pU9N/xvZJk4/nfsTqywv/Ro9DASPnYoXIBoc9mP1xklGCjTqzqiLW2HpP3M5+5Hq611l
1rf1On3uJvu6JJSVde6m8SX2AjK7wPiH34PuuGUlHjWp8CPrywgeuE4aL65/9cvzpCeejMpNn7MD
HCUCocWjN8G9ulZBApa7oICchEMqyFs8KZHuaj3noaJgu/cpWHgETnt9MhmHZq+QXaL8ArNd8pQc
Gitsd3AhGaXJIlmvmyI/UMu/KluqIWpzM8fVj4a/bVDVwK7vanTK6PsyBVxK3N/Vecc4TIGNwg6z
/Y56LC7tx8Lg7tCWh0EqmZDGLm9+IBEM4T8Fianv6gkNbdx4fZ/d2Pb9pNZBJBueJFt7EPrUNNSg
k4S7BZOosc24+CToezBNFFIX7SKP5yAVNPIyJc+Qo0dNFwczM31YersV+16VkJ9OA72dr53FwjAe
EaLJrtGUDVIOpmXZXTjwxqWlPKybcZ0q7/aGud3fm928H9Uf9NwJsureQCrIx2mm266uQuq5F0lV
/rCF9CntxSUQY5THpLRiQCrStQRNvc0St1t/ZGruIx1xDbbrfhEkXSaPNdY39U7hQUrT7PRyutCj
Yic6/aBFw8WcOizhcacPDjKy2M1rJ7DlkEDT11pEc+bqphKJ3zI7xJKPCugaZUGARW0f5WDHRfzV
YYOS8v66VF/kGdmlHCYOyU/aI9Bvy11iVIzxJwsqvtb+MNT4sxjmi3G8aWygxEiQqAq7dNjbiaKg
InNRbfCxIt9rbHdTNt8iD3sUILczgDDCHO8Uq7xZ8/wwGKg/jTQAU3+RdhBtxjMy9lf/1NEhyKV2
84MiaAceC9jm+EiXSPYlKXmsnZHWlxkFORPKlkHSurYdCpbFrqy4EqrYexfdRR/oA3EKdDu5ykf5
BuwNuagxlJLHfLLO/LQ3AeHJLzs5ni3ILAUBmaBGhHhLRHcyzSnUbHWN7pFq/c7pyh39G/yPw4I3
ocfJU09CD426mlhQlu6kGZ6x/gg1eq+jhvr4Kc4W670ZdtqosTGjB8SycDzsidVt7sGclwNGYA7m
wZCItoc+HGQR1JLlk0YKlGm62wKALKFmA1kbUd4VucVvMZ+i0EhCtt645J41XKkU6g0ydNsdPZlo
Gsm80gf9i95qXBqpbBqLr/G3tvKTkdCvZDEvJvOx/9ynD5gU3Rnlbd4pLpCR8aBxJRwREkfCM7BF
0vUgUPRvTRRoOtFJ3FFJ06kkojxMjD2qmVuh9aFurTtbe07zOEykLtzWnKmMj5Q0vyF78/GAhAU1
N3BrN9FY7Zx4eoTlH9jO9Klr1B9TSa+x5N6M19KlCLwrl/W+k2Q0EsOhosvdMpnfCvKAK1cTWRV7
iXQmxTm3sbIXpGOogvGcg1miZ4TfAeROOUjgsntLcs5we2o1JnHEavnvl3u9Yv1xOWULjMQiF9u0
vJXZExNxr0u7LY1jr/b1yBivj8Pl0NXUr+4j50xk/CZ/hOvkn2QU1lWcBtv0/ePpXWvPBlVfsUPw
1KXDrrmgcy3J4B6JxOsU/ats40Nd8r8P04z/e72q9s/11tupO/2rtl/zJ/X731+3EbD/bzWn0j7M
Pt7XBb1Xq/9x0RU/q6fuzyzk9gf/yUKim/mPAokR1xqWyj9ykIph/AffkAbjirvSP72r/k1BSsZ/
oL3I0IYowSmKZvHl/4VxSwrpSZIN/CP2C0S9wOT+Asa9JTP/2HtwopMEJZ9pEGbCtwGoczyH1KLX
RWGVaUi9vz1g/gDiExXOhaY70mUtt01QonP05NGmU3c99gGVyDqs5ir7RmHg+eOd8PWW9d+d8J9f
Y8OdYQ+EBchbHv8aq4znXodwGiJXs75Feq3obmnMxcPWI+95WgpQXWh4bgx9ljiZDCv+JLcmIgfR
aCXsCvavfUP574GGrpWggpK2sbvMWVIjhqmmM+vv1bZ5+nNxwbMMMdu/5bFqyJvMXF3SsJB7R/Zr
xHcPYqzbzksLSwrtJaHvZrs0zkVFzefzvBh17Gmx+cvIR/UWGYT6ZWzs+QHfyWrQlq8QzwVJub1E
a7BPCzK9FzUa09+GnqxfFsQE98jZP8vJKD1+PO7HqYJ/hn1DwjM7HSBDpyQSJUE+RkksDU11yi7s
WEcXjv169/FTjk/T16cwXdGoIm2y+N9JQgJLlp22NDQOS3Rx/qgrk9fMbXsFKPccy3MLVE4+jCPb
MN2Y0xrEnZNAZsxTp7FNXkhKh5diBK7Xc2PoJHQnwjG+/P17YdaGFELsRMFgO97/2IbtAQCZLfQ0
pGmlfhXX6PwMva5DWhSVZ0xD73woeouSCabF6Ea3OFkfsI7TckXXEWZVku6mzcyxLu057sm7T8Gh
iZUfjgY0qOMXWkpDTmdTzsIiLrMd/4YIZlp+nQl73j7FwPvEY7BFQ2CgqcDRsKkK3od5VbKQTQnF
GkXpXWRnqv/xx1G2ITmeClRQLTJ6/DVQrU5Rqf2sp2mV5EwFarJ+pZbJQUKG56ZcLa24ZABbVXWt
xcZlMteLq+F+PWM43MLE05+gKhvEYkM8kcI6ftPMqDLLHDEJTIn6gvRI7CnhUldJYuiGa0oVeER3
0yNrO7Pi3hliG6wWJw1DDBVw++d/zsyiiACF2VkoqiH2ccAMXHba5syHfLvYwDFRn8AfSBhinVpt
7d5W+U+ahXLrUC8ejZ/qUn2Vispv4/nMAnhvKDkqyXpTstOg8xy/EezrZOn0Jgt7qvCBGHsjgGou
uS29THxtdtrrVUdPTo/Ac37Od84mWuxQiWE3IU7fmmAcDeaYDDbqua4I7flH3o03SPkCGuOQ25Iv
qOQ9ZEXlqTEW/yryHUsOyvWelqs/8Z+484JLJyeLPTx9PLvffmCT8HNrF02MQJRxslLNsU1Uo16T
0MEH/0gTLuczKiyx//gpJ22et53btDgVMKTD4XyLEom0XrURbmfbiZZj2nByb5rM/jA5qEK6JLEO
Fk3Nv5tiqAMIOM4BRUe3a/T6HA3v7ecHq7+R4phum1nz5KY0KbqwozHLwoSk6aFptD7Ie3kOilJO
vEiudG6ua0rVVCTex2PwdpLzZDz5vP2Gvjnd5LGPUBaZmXhz4iyYNsj2IGIdA4c+WXeYOuQzY358
4X0dcq6CnF50S7Gg+Zx8WVUBP2bEvGmKYv9hRSuKgXGWmq2bnmZIrk4HNrQ8S1teSEWKcjGi8/rH
r/zeZycKBe4AhkCBbX9yitI6UFtoc56FVqM4V1rPnc0kZnGboVPZs/LqgjRjf5/NdEKs0Wx79phy
9qHwOVNqeG2YcLyDbhxfjnLN2PbPUz/w0CiA+5eSxlFpz2GR1DSCcmuULEOA3BXReyaVxeChG4qv
UPoE5jLarYsaoyZ3gba789pSGkOyQIg/66jMO7ca8C/S3hAz8wGyiwlkpNNStJ19ZF+LvlK/1yTl
/XiJHdvF5tV/s0Z9/lxmgz143Luq6xYr2GdrVsTnsqCplTthWMK/hrHwpcG6Z/71NktkvK1E/suS
P8XCpA49Vssk78JaGlWvKwg4OwWxQGKsVCPbVLv/+PO/DdcIAGSUjvTkprOBelKD06zRxmQ2c38X
bXMA5UdnugUFQVbLf1dF3yY7j2L7AkMBmo6vfLy1KkPTLr2sdGHKgXwp5XQztzLZ/OvTcItoYDVs
JHni3JPTsF0gmM6vCQlZY8bMzVdJz8f/k4eQQaO2Bx6ZiPr4VbDiJCYeX3I3KG93xUo7rMVZU//j
b/N236ccDr7N2Ez57EonT1mktkEa3pNqidUiQBD4K0+QP/79Q2wV37oFTVt7Q2C2F+hUXZMOYaEO
XYAd+XlcBnHmIdupebKyaUnOot5qb9xATiLanjPe6a1lCDN0dRexsSDMc+TiIjPjOFhXrfSw1547
Rt4bvu1yjY6HbwQk5/gjmVYLYGrReKiM7CE3xgFVV3Gu28M7C8hgr6K3O/Z+xNons7qsFGHQXFmE
eTountNmkk9Da5pRomk/Mx9OElGvKwgoyJYMImLXmH7Hb6SVnT1qWCbCjF67FJcKK8DprOyawYpu
IrV3rlU9mT3I6C3VPxX6Xtxq90VbZ4E5WvMXdeq1MwS3d17fJFzidqxBPGXHOv5JS5GapPOrnlAN
b6imrBJU9AJoBLiIM5NIeedZ3CW2hmccVvRpPzmp+oY+iLIw+jCn6+KjtIic8kysI2jKxbRPagTb
uNeBVOojynNM+tNSemiFDbS+FCAyhDFd3+0Wu/oK0I76WevUZRX89XriJAdbuSVczDfY9BJzQoOS
dAhLy4hcYOPNhTGnw5lhf28qHD3mZCpYVqOWZBGGUIG1sDMQkN/piUSK0qARYiSp/UU8WUrYGI50
Z8lQD/R4kvZZl1OKU+LZs+hvfObNTxogvE5Ph5q7arMcXnf747lQ9UsSLYoxhU0NazcrUdRrorGQ
20fj9NtU6PDoJmvVIeGHsGnuHL0SIYmgRva6se+xopI87vzFTqD0JlZC/Sehdy3tU5yhtzwcFdRw
WnPodgl25ck1qoKiOomSJjRrrOlnIiNtW7onuxbpEuQbNhe67eA6fh+7WmfooM4Qpq3WBXkiMpxI
9GyuJjSwVgk6ozSz58wiBxV13XgZ9Zd4lPuNc5AVpgiWqoh3K1VeXzQ0FNEWlexRUagkYNXxaaoo
cgC+QfrS8aapYbxgSdFDWx/jXZ1m6nUFbetiyiZnb+O296ek6y4kFa8DrnZgR8g+zhxrbxcY+6XO
XQM4NIfa6R2vka2BW7Q8hbLUSV7SO+KraYoaBZr2d0ibba5AsGRM4SRz0yIiOB7bdh5G3VytKZTE
ou2TrnhuEe0e/nYt8hCLFNHr/63TFgaS1vYiqfo5JNU2+bWUWB4pvnONErZt53iakPBC4MmuhAyM
VO7xqyx9ToMExZzDMeue096+zCyqJgBM3LGnGPPxK733iSDI8xhAzjoJ4uOHRZNu5GUdzbiCRUGX
7nHZlTmWhkZqz/VmOMHV//ONOG5IfG5Po4fw8bOQeGbRYuRLKGKj8ZzYTi9aCJY7lYK8P1ZSe+ks
efdTSU219/h85pU92QidjK7uqL1PpdOjQBeaQ/4jLtV9b+XTS6bhwDgzKG9Peu7sBiArbo388dMr
zNShwJU5hUNtwRgtD07imQJbxsdD/85NicdwRabd25bgOU1ttqUqWaXCeHDAyQ9Ol48FBX8dWddk
CqB7wpLFAd8W/Ai965SfOADjeIdbpbuPhng5BzV8Z96RlaMVGQknDt/TNKERx7hh0mYNpzVVfq4S
4HjWdBZWluj8Ygaaeeb9t+99MtGPHngy0RGmSm3Z8kB6QUd3y+oUe6GrqVcUZny5oFTgctRE3yp5
ke/7otB24zz/XbH2dU4SZJHp0mktCtTuJD+TxBa9osp5DVtLbfcrPhQsXVLvV1qsn3nfd5YaUdYW
t3JDotvMyfQfVnw4aTmtYWQivJ6c1va0AfKbPnXnlJDvFGhgbrHCaOdKFoBswPFSA21CGWgyVtJO
trYfST9DVtLjqzwX9kFKRp0UBL1LknQZgtVB9jNqIvUyQ2oeIqFkZ2b627QEvwY6Ne0QqBeRuj3+
NVIj7GrJhzVc2BzcThmNLxjbM2xOVXeJe51m6lG/BLzRbyFG6Uxs8964Y+GGxgrknkV9EuYpZNr7
DBFOCBHmWx8j2JjL+rHTsnMC8tfY/HRC//mkk1EHCUUfkwkPbWkuxQ3iMkfZKWoHDsxR+v5u1U3A
CEVUDOBCtU4Jx1io5CKa0tyvvY0mRCMN9xD30FXcRTbUEeWi6H3S9069kypV/LbTEXmdVYB9uWaF
wuBWZDu7rlq6Pnttk8TtuTvCm11h62IBfpQLI/cSCK/H3w5R10y/aEkLhZ23O3g90n5zFYeJDjDE
t6dmcXxHXkTqarNaf3K6Rv665LVMT6zWjnL0Msa6t1IHB3aOEZODbJLuc2lUHj/eTU73bDQQtHvT
4POZdB7BIHD8O9MUg82a1V0YKZJBTKqtGMK6c+TSt0+xSAUAsVZ5nsGEPn7KZJa5BjZhIL2RfR7b
ycZNt0C5P7NVnA462TOumBSHaMbA8XDaPKREgW+3QkyhCrziOuZC6za4/L5IaWVdSOgQ788Mnsrv
/nPmIl0laNpYzJSjtibQx+/VFAr98bpCDoG+Wb/7vMgjt1WsWEK5Oo6xV2QWFYB6A9l7/B1qjzNf
Q0GYEvw/dVoODFR0sQC6MybpV6sdOgUqUuXgWFY6pYAJsnk2SoKn0rP6xLxTyhQnYtOamP340xDr
NAmAnlkN3S8hlPimGxpkU5NEO8U6MeQBkAdqds+sIvJrqSI66BKY0HUgQ1CP3EbNN7CaMMawHICW
+cmk0/8GTD/C8x7FSu1jI29uUskWOZS3ufn98RC+9rM7HkIK4nSZwBpE0x8ulcdDOAyKnFdVN4RO
qiSkNuGcHxygJ7d6C+RFk74Y+bp8X2lBc2FX+OZlMLS1T9Uiq71Sz5xLuV6bpwq7fOrmK8I8v8xS
unMJGrV/XUZL6QCxWPJlsomLrukbsl6kkZIgdez1/leS2A0YN2TPBz4vX6acnCSUhSkekgIXtBcX
tukNq8hlNxv6RrsZMuxobgQL67IcelwZmrnIZCIX+ty5SDzjNhi0UX8chhh4Q9xl0r7MjdjGDF5U
LQ3w1OkmWVsNFSI0okeEe+j+a0GWxNvUYrnXVcPQuJM9GJ+oAwJiMGg1dbkYPVgMNYrWAMNfhWrO
WSAt6L0l1itpgnh5qY56/0XNKwSv49ANthcLdHtXNu6cGylex091ba+WW8TyD2bYAPIgGSAtVEVE
T8nFatG/ctubwAtreT3sDRXaD1MtrhHNjfVDmuct5soJA7xXOk0+B2VcGRji9WZfVuWSHIaUUgBi
10g8qjpXGMwsCQjtctW+RaaCYZfNWdj7jyfQ6dZCtImYyyH7x3UJCdzJBtYtZaoOjTqEMnzCQIGW
H9AZSNv99VPImFGexUWJWe2UkN8UpaECBCMG120MOFqOqDSnscDHT3lTP+VleIzJC22yQJw4x4sh
qvtyiKRhQbLV0fLS7NcgJ/3oZdo67Rdr/mnUCkiNRUMkPnDTpqtOd+aytt2mT9bjpkfcCpgbDPSU
k4k0NoJoFw3UTxXFr9BxiLFLXDLElVeAuTq0sFcsZ3k+8+rbIf/muTjWibA0kCqnoVfdj5Ym2S11
g45um/hQpO5ryTCQ6pcc56WCJ/PiEIXkXmat5m1jKpiv1tUJTUnSPeAsj0o1VRjUCQ6DRVlE79pT
DNq8x5h8pkTy7hhRl2Lf4g6IzOL4M3XViCp90MdwHkcZA3uT7ktlcrycbI4HXQsTc+P0XMCsv2uW
Q0zKBLFJ2m+nNpTHU/UiyJfZHgpzDAfYCd4kZ1ztSOF6H3+M08CTp5BLxJVpwklVCYeP369S6t5q
ZWkKJ1tKD/K4ItO203VEH0RQ9b2HRkSvj6VNXnrATa0XtdFyLu3zznxgoVF8RJgEK/Y0CZKNQyGK
ReI6P9nrQQEat48XNf1kVOOFU4jooewt9eHj936TzttenHCXRD8VC+DjJ+k8GqiZ0RgrS5jKDnaR
3iWKu+X6+KBSzV9a2eMA/DkWuo+mOmzY2gtlk0Nm/pnf8c6mxu94VTxys2RBHH+AvhU9G2/MnWfu
5ws7UfUrgEX6Jc2ALLfWFjpMqQkci0ZpYIoocAKMxaJiJIGfHOCMlJWqeEh2tODMD9sCmpNVyk2X
ibdtUNx6TwaooNeJUuf8MHscZgwQyYstkXJps7Q+dCpbY2v0SGbHOP9ZZKa9W2toA31FAPvxD3ln
drAKaNiwfSi285MBcuoI9+N26Y6nAdLOXA130LlkXzbm1ou1mv4F0tJcfPzQV8HDydtvYSUBM/n/
bYkcfxbTKLJGaxauRCiD9pE5Rjuzybv9tErRBVKxCupUfN8qxRDokN5dkRUMBtUCPDi9/YlbFmDL
qlIo4+fttZ4Ziyvhsr9CZCTtxLBaFyNNRX8vTjpdaAnUshnbka+Oin45yvoj+KUkYFfm5sCXx+xf
S+iPI9w/64StpKpKcp0CGIZsUWLp84CCYkGDkEW70dOxOtOncNsE3gzGViG2GRFo4ic3nE63omws
lDXsFtEF9giI0QHz6iclBL9MXfQzB9N2kJ8+TwcfQT8Aw6YQd7IptT0l+nyImHrqMIW5CTMQfmQf
ZImo9x9/6HeWH9EoKWdZpjZFkef4O0sx9JJhzWVgTIp5mNZE34+OdO6O+N5TSGpTXFYRmUEvP34K
bSmUrDZGOewMIlq1Gq3DKLOOPn6XNzkN9jTH5ODYJLGg2F/TaX/okqpVI2zvEiWMCg5ZFDNb0KcR
VH8azSr/Hs/z+NVwkqS/hOKDOyieldJrC8Nqd1Kuy61X1ALTyse/6r13Jx+8mftRGdCi/fjd6cmb
akriyKHj2IhJoL94KXvtmae8kREhoaXySBxDds5hlzjZJmo4L1pqVWqYQ9YA4+TEdESWyxQIF6DO
R63Okq9kcDGoRXHchtmoDVzR8hRrwLQCsaOEqKcHCDrVL9NOuv/J2Xntxq21afpWGn1ONOMiCUzP
QZEVlKvkqH1CyLbMnDOvfh6q/xm4WAVx/J/sANlaJFf6whsetSGBSWais2Q7uo5k5cqxdvlZeF5c
iwA2cq7Ruzr/LFFnU1QbDUoc8si1igqUq4zdmmf95c6lHg86Dxj7uw/LYuGR6FuIRObq0RQcHq2G
TKZeas39VCfBIeontAU+nu2rA1IYnm9y8CTL/cRV509jPalH4VmBi2ZivQHMpGx7UktnwP3A/Xi8
9zDo/KzgDf8YcLG8KBFgi9Rq6jHTxo1vhpGLDNVtqJv3URGGO6XPrUMnNd42sntvh96tvqdgg0JC
m5fP1EMyF3Xq8Tavy9chxqK4pF1xk4lJ2g3GSqx1eazxqJBgwe1Rs8Ct43zKM92IQLnwqLWEEBrX
K/JxACcdtFHilaGuTsMfQy2ONZuIZxroEhxtPW1c+gVUmBJd2Yh+DHYwF9fCyGurmd2N3AZ4A5ny
+Pmr+fqIYo2aqkct1P0bP5R5K2RuV95q3hPLuWZnMwPYxchiSczwijEf+lhlcRmlcJDfN4+ZiCNH
JybZoatnbkGT2d8+XmGXGYAtG7NVr8Y+os262EKZrHR2asXasZk04aDA81suDOszPW5xX8uogNNP
nV69EIH8jwe+Nofzywp7hiACbTz/pprAlcRQIu04GEV44NQeXfrP06Oeoshgj2r7b4xncSCxd+di
9LI+2BaG0ar+oB0l9Hhgv0rhg2lXhZMGOvb2VIRXUqsr24HlQs6B9wouvEsgFDXvcBzadDqS5BDE
RaO6t1rtDVWleGWkK6uTpiRIZWBKjLcsFnoo3fWhUU1HJK7kfRaYD+Bg18B0V14HMLDFTDEI3arF
dGXaoFuza8CxxRD0QEwWuJNKh8bLK3/lfa6sDHoxYK5JG2hNvsP6/rjnbTtFAreQJmbKUp+aIdce
4likmDSPyp5SYLKy766ON0sFmCoBjHnxarPNxCyFe4yiSd+ZJGzfyqT9R9LM+HGKh39pMEFD8t/y
4/9s6D9lZq7URmyCGJagaWBadlHoGRHwK4xQyEdRyCgf93Z10oIUiWLPQ79cNoKdb5XKpkisbmfg
mX1b97G0kgFcmU6ewUTyeo5bIBSd775Madox5Qo/Ikta7EJk/+g5Rtpeo8q68nmvLE8iN3S2SQpm
UZrFFYZgRSMEyNtjF6re3TjA/vYRfl05xy6ay0RIcxOPXNAGC0A4dv5GmK5aaTdHHKNpFT9R4+VC
1tBnM9ABva3lJLiTG7+/VVEOdzQdkq/oG2mnFULd5yJPbxItfMOcSzn0Y5HtshjYy8cH3rW7nHrH
zMKaAQoXYbJVRdZYy6l8HO0WkrDZB/dGH3WHsA5fBohce+Bg4W2SpN9UP8vuzRFFh2KgDpwVkfFN
GkGON5UFjqIDJ172BhICWVW5TRZTWloJdK6tD2ZNxxmaMhats/OvaWUlms2qIR/NxoIridXwc2fq
c3rurdGIrtxAc6eSWh14TlABi6FUVGFEYvjKMcGd2THoPTwMVZI9NiKqgQXbyszdwik9UJtfH8/I
tZfkRkCDx0BKE8/L85fsQ7UOom5SIHmgZxSE0z+10RuHJFK67ccjXbT659XJNTv3B1Rg6PJiv1le
MyHSXavHySoeczoBe8VPmx9cDdmnREvEhhpRDQM+Uf5Rhlz9YtTJeNDMcKUVeiXE4Jwj1ZXxFORw
XbzxEIQh3tGdevTVCvWmSX/MegtpXyol7hTRzPJ85dPHr/5+fC7CGnrrXBlIpxlchfMz/XGcF2Yn
xYNnaEfEIKuZcxEk97hI0zCkfZnESPrGt4hlwnmz8rhT0TupDBMFgiQLad+M8TErjd/0F6vAVWmq
bO1Rtr8JWxI/JAJNaReYPlJSVliAhmrNOPsdRf3QI3lVF7GDyBDOC5WE2unWMiUcX6zSVr8rbTo+
jsbQ7zHtlsSDbtTBrVnO2igs8xKlgTS98+Je0JJFU7ihSWEUtRvmHiZJhdR3d9CTOtpVUz3CR5OD
JHVHxZ+KjaFI5egMgSJQO6V19qCYowKQgUQpBwQtocQujLYenGT0ZsE/lsreMAVWKFKW/YQwJtDE
Jdx6qlUBUg0qJXLS1Axzp2ys/Jsm9bLqIlptYdYUFN23YgpTlKW06JdnVHlx07S+MVf7MKTfpH4x
SzHZOQojnuevQcuvLWoQQ4iMzZUTSKWLI3eiEYUFQK0dgec8mVOh3OPkM33BQrH9rY9yf9tAYnRN
en4vmexJA4D4on5UMLA/fLzGrlwxJELAzLi+FVg+i93Vzw61qtdrlFgz/4Y+IkxE0/L3fz3KvIVV
aK/k4qq6uMgys1a9SPK0Y1KG1s5TRbyFXv36l4OoVGoUEEEylteC2u35bhmEinpJ04hj2PTlttSF
7U74mq7cyRcnH6OYKE/PVDoVZsqi3dsqgT7InmIeB5S5N5h3qI9zknMoTX3t6Ls43mlmsfNnZjJh
NxHk+Qv1fayjdRJLx9yMNFR3i+dYHptNEmfSLfYUjSvbweBaer4Gr7oy8IwKJMHg6IWiuohYjWia
lByx9KOgJX0yq6J3kjJtt+GU/rJkJAyieGpclJfWVuP/lAHOjjzw7zPQBe4g5qOct+fvXII+RR06
jE9WbZKkUtUJdjWeOg9tLYWTSxNMokGsVN0DvcDogA9ysS3CCdxxCuFU92UKFwLDmycdeaGfaR6Z
X0NET586OcYa0PbqPP9MYSVE6CgeM2+n+L2od4Q/+RY3pBS9cy8o622lqUg71PWQ35ZCVcuNWQC7
cTlezadYMZt2Y7ciLx0kpDDjqnAzO1RT4ReIdUzD0TZsP0RGMglPQrK7U5KyAZ0R26OjUqb2I8o6
yWuUK5i3WrWNIkqCRc4xlkT8LQpGpUObrO/fRDW1E3I4tfqmmN6A4kpfppumt3EK1vX6gVM0Uva1
Uo7fGqP3NZS9tRSH9dqY5QSjekA/2dB+pZUv/86hAJOVRjXSJzOi1N4i2w/vOTAC9WY0wthwYZzW
b3Ga3EicTBz/vgejR2tYDAcpjntk0G39U2NMqDD7YSIOZY+hTICykzltWxufODMFpLCpA2MM3KrR
2l9dAG3HCfsOCblO1bod+mhZvaVmHh4UKVF91C1biilWSd/ezKikezkqLXgn/dNqSfwt1cFwMDe5
Lb2/VXRLDUA/UiiMvulWWaP+4gUGuk9dUH9v9Br7MJt462i1U7TT7cK/KfFoekEPXwMAWrTaY2DA
e8FqKUHueQAX768cDhdBwrx6qULQNWKOqQucr94epxST0CA8yXXgI+whS1slrHO31YtmWxdoUxUY
b60EnJfVXTogJlxETlhsKe0lUVKWSj0TrRVjdE4jzujL4ivswdEpJak4qGMf7S3MJfa4RxizvZZ6
0OjoTlgA3Zm1CP82BYUTTcpCIYY2Lmzw+fz8I2aJBNNrx1564jmCLZ5ymhsNvb6psQSB3OXZK1fL
ZU5ILG3Qp6QJwZgwIM4HbJMErXdk/U9KFLcbzZSmfRTDOY/ztH6aOmu8k2PEoesiVfYh/h3PCurL
L3979VCv0EntmQeudHtx9cgW+ttWFqkn0/fwdcSL5k6o6bgy0Rd3NfITpD9ECzOJm+7E+Zv6QVeV
og50OpOqQehjCBdM1VqF8PKCYxTuNWqnSA3iRXs+CieXagJN04+GXvkPpo4PYJKhy+QhJPDxV7u8
ZgT1RqICQFPvs3c+khFgVCRXsX6cagghAW2PMRujPSr4EH07XCRKtdU4kIX9l/zwWceD+ILSD91D
yNqL+y0bA8CkYa0fK9WuHCGZ9as/lPrO7u3xNhZ97yJ7k2/xB1mzmr+yV6l0z8h2Kr6QtM3F9qhV
/HzSMjWOXjp+HeNGfDZbEYEhNYJbZRbkysvxhsMlcIWe24+DEt3YItk3UvDj44//fiqc37RcstRt
6K7DOaXCcP71LQUflkorolMwmpKbhYG/8+NU/Y5/nbSXM8l3i8ZSDoVS+XiUesVNrJUmUDVN+sSd
Y229ONIOwoqtQ6i05nZsIQgrXtGezDoLbxttHLcQnY5oFuGxGUZafWvWVn0QQCNucYtR3ChDMwlx
+zWdzGvLivoMuSknsHnRlBSFEIndGsax9rr2yZgoCWyKrlIPciK9sKzg00KOSQli4unLxx91jsjO
vyk1WQhRs723QW98cQ5w7UdFGmrGEULF5FhtmN6H5uDfpGPSP+WVdRcVCeTpiMvBJ9H6ePArJyGj
w/ihnQhwABDk+YxqQYbJ1EAA3IU5aidZWOBlg646JpvWPyYi/JtArzHT5LHKE8CjZIthY/X08VNc
lATZW38+xGKB257Z4gQfCPo8newMts6y6qkRGA3aGagGhNuPx7uyjk2Z0hhTjW0xqfkiSh5gRPRY
gYljJacS0Lkoib9rIkpfDe66Z6MAe+s0spX4TlM02ndCIgXHhyZGyT9Ux1kIP/BwP/URfk52bV+j
1SgA3n4nJgL2h5mCaDYlUNwCF6w6PhCBG+BASOrgfOBi9h03BVWC/Ba3h0RR+hq/h176OVSEbR+/
6SUyRSURoPENbZOhAZyez2+ZD0STlSWO40CHHxNV6cauK/sxSr12R81S3sj0tAJNeGA6uyf8eNFF
4GELXCR2NQ5ua73Vy7nmgchP5mqzjDzAYsHVao79el6KI5i/6pRl9hunV38wg9S663FB+uv7j+FY
3PQhCDDIws7fPwTuWIbGII6KEmr3Ro6lThB2wc3KZ748PzgPgYgjIEJvGhr++TDGjDXnZDaPeikZ
PwD2U58Yg5MSqvaTmqOa6kuN9F0bpfpzh5/HAwZid01kS79gvpEYqKlvbH0V5xRXVlPvaOOs7MqJ
FodOpnTjCgJj3k7nJ878sPDFaa9x7ixjPzORw6K1RnHsTX8C1+kjLwnuErZjvSaTfeW7cLbMifU7
NGq50WJR9CIsNPMY9zgm+bat7KWpQnVUGpIDflOzgnNvu1VnySt7/MrIBkH1HFnC874o+2f4bGG/
HfgnZZyGA3WnYef7qUDQTmqRWoWNUVWwcL2gX8NnXDlTqYcTytIm51AH73O+GGrhxYE5iODU18FJ
Rf11i8FIeUsGW7hhqeqbYeqnTUxce0LB90VDrWLl5S832fwECBUSqFB8RH7sLKDO9cZQ5dwITgBt
yAwRI3BokLU4PoJ+bMFA/3UAz3jkEoCxOWdo7pyPF8up6Y+JFZyitsQIxarTg1+mutNVFhJLTPjK
+13mTDN4CHaP4Ko2wNGfjxcAhk7GijqDbEaIR6QSoi7RTTHYGb7CPtIyAfL3K1v8ypgGdVzoSzPw
Borl+ZgtcG1a7Up4UlFi/jRieltvygDvxgd/lPC09LKk+AwpFLxyrDZYU/ldjlFeAMYRkpPvR9ZG
V7u+32g6IszNJLS3NOh92RVjnT5FWpWtaVZeWQW0moAF09sDxrM8lISNEGmO7/EpZRE0FaWnLgx1
Em9cmQQajh9/oPmbn58qpBhoLYI5QIqEM/78+1RGMBmN5UcnI0F0FrBV5KpGjQkAVeX9vzMUoF8k
6OaMeTEVCUV1/Mes8ARszcJYL4/uczlIMRav65WVfZk/8VZ8PZtWGqflsujaxaXkV1hsnrSp9PeQ
ObAy1xFF/viFrs7UH6Ms4hEJh6LJiBgl0PCpbGUsWj0bg1S5VHbQaib33xiO3sAc9eGtslzK8tB3
ptXJ0ckcDf1T2RaT040jBpmBZN+2fbBWoru2dWDYmpqF/hr9uMVxFFSypSd4H59UMH87OKUN7q4C
rxGVUMqYbWnHsBT/xkvO7WVA8bwkhYXz9WiOqY8JqxedZtLMAVV1fETB022DIPyZa9FaJH0ZxoOw
pohDGQcNHBbC+XABFtyB3vTxKcLYeWNq2V0zSJ/SUv+tdtrJHqJ7/OkfhzL7WwUQLjm6PGT2KuRv
MAmLxDSgSGIoCWeh13K4h76Jzmw6ditfcyE7DIKcYTj8qPij7QPoaLFEm8yrvUCmTIWmCXwOCFXN
twwejbzpYxKyzZRIxg0eU1jtNoLiZwutE/u/Dp2hUEWkHPCULr9hfXcMpqnPHdObamNr9dG0Q418
ajcoP8RrZa4r+wqOB7sWOvws4Lk4kwbcGydPojJs9unc4m/KfSjicB9PkXBGGJsr+/jKGUhUNRPw
aXDiFzQHJX8UsqALJqPlRVTVqu4lpBx+E9XdG7SYNdmnK8cSYHNo6TOMiCHnF/9joHLw7LTozPTk
+yGU6TzSnUY1h5VJv7JvrblPPAuwUNQxFtesSEdFz1s9PSH5Q5dNloTbQ11zcmHH2wwdJ7dSdWv7
8eF0Cb6ckS+kHmQus1Dd8iOmQzV2Uutnp16pLAdM5RyyDBgPdIO8twAY7Ksg70/poIO1z1FsixLb
eC3QfndJoZFS9hC5tm1cjkMNMlTVWuWjPq0WEa/MtUVoOXfBqNzCHTyfgr61Ut8XY3aKkja+s+SJ
GruMQ2gxWM3KPFyZbaaaIiHNKoqVS0xH0yDpZELNP6loPTlVJiHynCCm/fGHv+DTssUhWoJA4FZ4
DxzO30g2ewXtpTg/QWjSAYxrxq1XGen3qezedzWtFHqu91Pkd3sKO/muiNXyAVVSagaGUe6KqYHi
IxVvVZGHO8BT2bbykmGH8VV4I7rkRY0MqN5qMf30odk5iQQH7eN3uPalwCjQHUWCjmhkEXpL/awM
2Vk5gaiscArXAh2MYI1j8o4mW8Q6s1gOGd/M4wENdv6lfCiAgPzs4pQ1esxyjLpwj5w+km9YrWuJ
22pF+COI4Qq7pdpoX6fRL8xNr+veK60J5dQN6vDFU/3iUzYJ8cPLxrre2WYVnXJD9X5CqcPkWRBt
VnABGgUTTMtLV/bZtU81V8Hn8vO7XOL5O0x2qZVhHhcnTc9nIYQGX9GpTu2Xj2fkSgUCxhMKxiA+
YEkSt5+P49uiGAYMFk6a5yGv0GPkTTsl7umG1VT4663eKtuoRI57MmqnHfqbupcf8unv1OnfLzAq
1DRG6bJQRpXn7/HHkamhNcCEZtFJYN7kIDo33ESG1jlaZNd7e+p/j5m5a72m+qINWbKCBLnyFQhU
SYUtsIkCKeJFeKDEeGhDyctOldaZcEiV4asWYL4Ap0jsI7zv4k2hYY9iyHnw0KNGui1EZ+0hrUaO
CCpjm+lavqLTeeVO5/iaeYPwpYAE2YvrEb6cHwQahT1TG/zXqo7xYdRAcb2MGN2mG6lUc8xUsLNH
u04P76Ky0g66Bptu0/qK7G1D/tSPxFQo+w5hBL2kKYffOKdAYI0yT6bRh1/PWkfjPXA733w2yS2g
GlTHVBLOxeaLvHRIYJeSQ9V69ayVgfiS+HMJzqdBgW4UgpO5S/5hezjlmeUNM1LsUaUOJacPkcF3
SsNr412ZtfqP3JOVh4aX26nZULHPBqmbvbfbCDKgJ+GUVnMWQmMUrQp0f1TjYyfpsHPMQqpfMAvm
Z/AErR7N1g6PSgxJnqwxHC230Mq+2CrwomO3saPxActs33Cpcg5we3wL6kBtZ1i5e4UkdloJPHfb
W3XoO22lJYU7yaVJrQq00o3kt4F8K01BvaewoKY4wlrZSSiVDl64mipMa3w0FEEUSC5ZoNNE5iOq
RtOx6AFpTMYkfmJQK8qNp0vV57ZR29hR5aB/lStTjx3Qn3jIFHWc/fS8Ln9pkkngYKJY2aGxUGPB
aMDD1WKgXYw7uIS/7WYaBgmboT4WLVXMvKgchfMd0V7PBHdSpplxamKjVKmQ+uOvGP5R6Yx2TQc1
QkYJu/UEJcpNW9fW71EvaMp+fObYF2fbvNVmfBsVT0HxZ7GwNUk3Qjgy00mUMRAizgNEI8u8kDEy
xJQXBvJkEgC2k53tJTvp5S8RQNddp2aoAIIUUfDZlqah2NR5pb2pw+B9NjrcXem5RL5T4ZLC7kAN
EQMWtHv/KbrJaxxYdP0dvHsZwitT8By2JHXb1tfVl9BqgnQzThVMcV2rsP4bleFOHZoJVm5QlQyd
qNpsVye/hpk6fc3lhI0zmxZrrpfIyVFBYYtmUzPGyRYGb+I5OQZRxTbGjecHhkWd6uaq1ahuz44n
BrLHHopGYpHa4QusvQxhVt80MToYGwQ503FvRN3YbSpdpw8zJA1W4MCx/J1Z4yXt5FpnGzurLTpl
I8GYaCCuzx5oJnbTWwzaUzdSIztxtBIthtI3gl9e4echgEk/SJw0UURwC7dPIgGItOC3PDX+NxQ+
o08KNsTWXVkJFASLmamga7N7Id0Ne9unE/i0PomRipe0dLqLIU1nWy5I/QVdW4/DsvX9V6/0IeH3
agdPrjeD2UUKeLkjSaX3EMRpnD/6Taz2t3ihy93eGsGd7aYqzz99vMYu6os0BGfACafHjO6RF5FG
EHpRErZNfeojK3GMosBqVq1OtexXm85AqdRI+h/1oNkrxdv5dDs7/eArQC6jb03bYhaMPr/GxogY
LJrG6lTEiebkLZLKua8iw+jp5b7pVtlmV95zpq5TQuISJ6NZvGcdZZhu6x7jJd5dm9B+azGlBuyb
3mHIu2dtYTapan+d1RKF8o5EmrQa6X4uhlWFr1iT2tWnYGZEz0Lx20QgzP/xJF7E8LQFzBmKCl6J
MsgyjqunlO0pp91JKc3T0Aaviazb9z2W8iur5cpAhD6C2iGQadbN/PM/gg+vQRbHV9v2lCOM7ZK0
wNGkJbCLy2otjL9cINREwWCxRCjxU/87H6pXQC0QPw6nDOFhhzNh2kKttO7MMTGdYcbAf/wNL8vd
1Hv/HHCR9EZaDmipHYbTpA/K1oYz6NgjVHwtVhG/4Dbc4xxqfjUMruUiwF2Mwnm+Esxe+b4GGiAk
ZOApbHSPzl9ax+Ssrix7ONla9ju3jfghGyfspNm+Kyn+JQyT1yWrnWNm1gzlhfOhRBXFpVFJw2lQ
lXwvpaK7q7DO2lZ6P94BkrCc0u+j5yz3qoPPQzuA01pXKo21J7n2zu8i2xScSEOWDzKMERK5ZdOT
nevVZuhLYyuaIHdjfIfdlTm+NtYMKcTnle64usRJIgUDeiephlNtaPs48f/pLSt8KctyY8128W3g
xpq/H4fyBhTEHcDqzw3LcFOYmvRgVqMMm1gcPn6mK4/EBAB2pJFIEWSZV4StFlpTO0+5GJI9ApL9
U9SDcqxUCkt/f07MYlbkxTZgLerA53Nul0k36tRATpXRgE6LI+tT1JsISGoISH38Wpe9aQpHgh4i
xhgQ08C5nI8lwEFJga8rpx4UL/mfbGbyTif2yjadbcP1C/uokBz8Ngl501nZ8IssKdJ9WA/o5EZ8
MnUzmUZ+LLk4+83YevhdEE9Hs5Yq9IbGS7UtKEDxY4Io+pSEXL5ONfS/hymPf3LrtJgZ9tJ0A/+X
q9kcwKY9TB6ejSs76doE8nRzdvguOzr//I8zUR/yTvNHMZ4MLdegi+CAFVDWeqa5UK6kX1eHsmY5
CPYKVczFnpW6tpPGWBpP9tiNbjYr/wUp7lP+GIxrW2Wut55f0NTkIFTNjUdqZ+Zi/tCCy9VJMJbR
hKaTN7jz6JJA9zxD1lyTggcYMpIbw6w/MB/3vWrnKx92HmHxBBiqc0KxhFCEWV42dDiNgeB7PNUJ
sH+0v2RiNB+9U2niP1GMf0nkPNsQZ6ZrF+qVy2e+remEw/qDTLa4fOhyTUbQJtPJIK/BOZQeYCX6
kuwIB7JxUP5+X9JohfEMQR3s71JrDgfgqjPNUT7ZsHvMUC2/aKnW3Aw9VPSPt+WVY58O58x1Ivoi
/dQWAUmLu+1UJIlxmkBTfPFsevqRjWWqU5ZQuzYdQr43uQQOAX/rBDkXe7IH1fWLGExPWZtfP36c
ywRnRsVTAmZ+qQsu6Y566XcIiJrdKc6zGHJxZTt2r/41VgPtcqCDs+fUXLpZLuVMtcOyVEtqqHoQ
7/qu4p1VPbpRGrwW465RVgoSV97KojhizPEYAoJLtAD1eCQ4/Eo/yYj6bPqMIliV283u4293uUbn
qh1YL5trfG5Zn587bVFXFMxrccoqI7uNIcMcWl8L9uQRw2HsZPlv0U2cB3MdG1D8PFNLjW2vLpNp
1EdxorOiOClx7baV+8jp/MQ+NCV+gB+/3+X2h/wDvIlmDeqX/Pv8/dLMRxNCCcyTYg8wRmGlw4dp
pBu/pOCmTFXtTJll7icp+PXxwO/zc37wcB2/AxWRnNU5BM9HFkGDjEjFl8Upq/+t6wTVvpTgSdZK
X/jE9XNBp9wNawvUvZxAyimwKaXNq28RSRgflcBIHDvSftREiAj9BdnJQs945zWmvglNIzusPO/l
euP2IYnixHqn2S5uoDrG6mtoNfNUJlK2FdCFHLOtoxcvR7ZN7lGPtL0+dEm3xvu8zgqyYz/cKk0h
ubUpik0AC9+Je1A6Hz/Y5XOBogDVMFcu6PAs4RRex+cw/MF/9lTA8MTSqhMhWLl2TVzeVFDQOZEQ
YWEMPF/Opwt8Fq7ENLOfJSqTJ7ssJTLxoQVEoRRN/5oPnn4yS8oHzkRfxdpFPrJCThgqSo70X9Xj
yBub+VPCdQcTCx/uH1hSteqthWnSIYt8ex9EEVgyy4OcvRmKEBPj0a/LyR0NuzmNpYG7mMhItDey
EVX4wxpG+hWZ8elOiKxK0eULbNgQANE3c+9x2ppBFB8i2+7SFxPHBqQu2hJj4MQUyZaiTf7NbuHy
d1UQP3M9p79MP9SbA4pU2Zey0u1omxWh+uxNprkjo0lf5TIPKiQ7vCF1BS/zBt5AnjacQtOLqsXY
d9XNiNaE1lf42xZt5W17pVRugH1Ev8JCiWRutiT2HSvVqxIJO1Hc1W0V/S6JSVE4V/3pW5mr4ikq
2zR28ynWHlMV4cG9aeKBgyb40PmbFtk92jpeEST7pM86JwkSwboqKbSCmxqarYrd+L3kewFIrULH
97eORKysrIc5CDrfvbM4/yzJA2iKApp2vhwQ1mxLM2nC56hBjt4Wvepqqdl8r3UJSReta24rU9K2
eUm7a0JPbiVGuzy2GP69bkeHi8bmInQIJxxqdA9joCzWvqdDAHkliIVj9qGgCGu2RxoneO926Jt+
vNvmX3z23gitEiSBKieHQYl58d4ixLOmBUTwTFunehhys3OrQCi3EWWxneFF/gNBv7SyxS8+tkFk
zu3NzgOhQMZ6/rGlhG3JdlKf0yrwPwuLrxviOrb1q0TGLTv2dgVmZJssLvJfMHXLlTvpPVxZvDTY
CJRmAUeil7CsfDSVqvQ8gf48BQIw2tBahrSNVKN/GqxReVSigGKvl8uFthG63wLJ7owXrdYRD7by
skNFv8rru46cqN91WaY/VnaPklOWTnLvFoRHKE1ipEBV0fayXR/5NYBapHo2qO21/hZEph65eq7b
NzH5DMHohOS+qyhZgTwZJXGclXE/p9gUlugV+mbDtfXxtF+EAXx6zj/+gVUYmjmLnEA0UdVXBDfP
NmVawFp2SnWknnZF1WdbjEBC9+PxLtb3XEB7L6PRXQVMMT/PH+mOj/g2RpGR9lyLKn7A44hSrOFZ
yZdSzj/Hlay+lHlvvGCGWK9QFy6uk3lkFAfnNjXX8rL3VGlSXavSqD331TD7EEuJA/Bm7dK6jJAZ
BhggKr18TArviw+a2unQq0WpPYejn9+GdoJnpoE/dxpTeIqayUf6T40eFSb3H2OMv1uNHt4gVb2m
8XaR7M3PQZJIBk0ERH/2/EMnhd5God9qzzAqxs9yn+UHu6DHFzSS//XjOb32Zf8cahFqEdClus5x
+Zxa1CaHQkodwqI1tOPlWUF6TgBOMQ8BXaAl5y8UmoqM2FIrnoNRU3axHKY3IMc1LDrH7NAWhXLr
qxpWW3I7PYyxoqycj5cFPkBNlLqBH4CZ53su4oRQ77nrhac/F/pgbSMr3YdBlGz0prwDyPrSZfJj
PXU3uV49dWa4Nvr8Dc9PKtA7xOuk0oagq774xl1vSnKTBcbzNA3TQxsr2glV3eChi5vJRYaiv4uT
InuMNTn9B7P2L1kezkK2VbQWLc73wOJBCG5nvhjTQM1/cU/UdmtOZpVKz3JF9rBRzJ5GNvoszVPF
z44ixSV2U2ZDoTkWKne/e789NByyMEr7enSmpggVvKbt6MfHi/Bi4+lzPRKSF5eJCvZsOT917IPA
Bh52UtvR3w+ycW/5o3Yw9VzLsc5Jx1ukfOujEQOdKaNUogoRZ6+1r4Vr22G59WZ/67lGxrWiE1ou
QWKKWYWBoNh8ygq1DNx6lIp4qwZE7nZcxpkD2YRWhYEUynRvF1IAmT8t0XDzdbv5bvF3PXdAn30E
wdYqmjtpVjL3v3o93FYT4kwbWa8FxybIYJRFsym798ykNzdVHkuHKtGNnyVI/HsaC30FJzSsXyyu
0XYDj6ToN4iWdz/0dtK/2XIR3pe5TGtBI1uynTyD+eek1Vwxi/x4+GppYwOkN0rvMBA00NeKMnVD
yFaobkX+IqFiUkwDtd0ki6iu0O3dKEMartlTXeiszFkUgQJsTWCul0JAst9kSl+U8Sdfjyv1ZpiA
3GyawEfkMeysWt1w3sdvXawmn7ENqqnXTXHzSW1a7UDQnfwIlUgHkEyJmGJhZPuBgyAvtQsF953f
K+twPgf+3CA8K0YjAAngugNXWuYTyWTkdRrxrBB00bSMraRxuq5U9qkmt3tdDfKbQMnTvRpV8adx
1q4Ee9G5Sh/HDlXPNVEVZblh8XKh6QLyZKZlcP8tYiyUdsOxKiX1k4SZCKLpB0rSW0X8E1jUMWqx
m+VccvGaKtGjMfHl8u6gD/FfRtU8BDwELFcRyoFw8a7X8ce1j9KK0RqeKn9K8lY4UDGZgWkU+45w
+zat5XJTFEH/T49GNCKeKzHHBVCJqJaq5zu/jFuZE/T86mjaxvBMkZqfJvUYJg+18pTTlLW01kWq
0p2N1XTUeaPoWTQ2Tm7fRwhfml44vvGQmjdlZW31TNnY6rcoi/ZyWm1XlswyBX1/PgCTnO/z8y0t
0QarH6RYScxPwGP36da66bbWZtgGm9PHAy2v0HkchCpoX7A6qeItvoPeFwP+QXyHeKM6qKI43QYS
ymYtxrs4ipfjLIK8UPOKrhe8j+wom9oJXAQh3W20ARryP+vqv86Erep31/ifeYHgio+R3/n//u+H
8CdRdv67+V/zX/t/f2zxp56Kt+xTU729NQ+vxfJPnv1Ffv+/xndfm9ez/9lmTdiMp/atGp/fai61
/+tnP//J/98f/sfb+2/5PBZv//2fP/M2a+bf5od59p//+tHNr//+z7m78l9//vp//ezxNeWvPeZV
E7xV2X88vFbh6/9h7zyWI7e2dP0qJ84cCngz6AmAdCSTSTLLsGqCKJWB9x5Pfz9QOhITySauuqet
KKkiVFHc2H7ttX6TffvXoU6+ZT/q5U/4+a1u/uvflIZ+I2iBAASmFNrq7CHV//zjT9Tf+F9gmmfs
Jsq8TFU2/+z/+rcs/gaJhdIz9S6S+FSi//0vBKHmP5LU317Y+pBP5ucbSiz//s+XPvxxFP4xR29r
ky1envx8XgJUhKlIzFzwZQlL4homyaINyDhUiksV56sRl6oTZSKizFk2OUFVryWyFyErbUJznR+c
cELAxixLWUVtGpnCnfIwdW23DcVscoMyTQ+v5uTPnr6nujY3Q5qcwvBcnrP49/LgkYoo6VNZ6h4q
KcjugijdT0E0uMmkym4kDJ0d1LJ/JHd2GDLzrCfFmnzMEkYMNOMleU2FFCDo/My+/IIcpelxAijx
YCJfu1eL2Nr2qBKS+OnIOtUaMkgp4j5e4IdOWnbyAcUK8lq5lexjqdIQQ6rG2zZQ4qPUSP6t3xX+
7wriJisj9WJD9+rW5Dvna1OeZSiYEAhjl98pohIcgf3N0BPMgq2eRRHOeL6ww2BO20/y1CF6OtXo
kCjlfSgMgStOxRcpCCInVacfDefG9wyM6X0kVuVNCt72GHiRtU9ko90Sfiq7wjejLfdjsVfF9qHX
x/5ZUmpkRDR4OkEtdbBPxeyrHg3nf7oIWNoM/0t0SjC49A3F3EEYO0VNHjQrVm9KkCQYF2rhndiT
DsBKVHRatervVe7+DYw8cZvxaFy5AudL/nJ4uVUgIBKOQFog13s5vHlNVQGDjvgBl0v5lgLOZ+R3
so3S6+12NE7W5EuOolfB2rNlcbOhAE3uHa0ZEdgr+aVlhaYRrRqd5NSHZDkGzmRKnxOwT04wc0O9
qLb2YROcDW+2DoG25EIYEFYij6WhI58w6/9xxsDARJF/aT6RSVaeRXqGWBRctR3uMqpblpPx5Gch
+D4i5500nlU/QvxqpFCMOUgdVsjbtPLk5mGZ3wLyDrYodI+Ps48VAgg7ORMyN2mkZ7SEnEa1K2Oy
/lkRaP5qyt88HnBJ5aW1FDCLG7UgKIA3W+FiBM+u7zbNWHprkcfiWTnXR1C3ZnyoJWALtyS+y0Oe
+7lhTqcwSg+D3wq7ATO4GzOtcYHXoKs01fBNKdTfw9bg2NJHO21Nw3l/hyzjs/kraBqML/PDw+3K
4jDG4LDLJ/mUKZ5477Xe0VAS77lrLPOh8QpwHaUSS3dyGqk6Xhrd7+Ds9cBtC8Nk4ZRx/kXTjkFt
QaiZqh7FDVJMxr3Wp19FOQvkfdCU81WiVl+nFiTj+19/fcT+YXlgwXXlHgMedrm3/JwiXhVb4ilI
tbsKSfovuHP3m4iQfHQqFKh9u2ut6BiVdX4ku2ugoDN03sHoEELYUlPk+TIG0lcNPaUjOSz8uTtl
9KmQr6OU5m+5OAeoS2mzegflDmLxJYJFtoY4xYCjOSlRWj7JoJF2fekZNaRBaSsIPlLlXWbcZmMx
fEzzora9VMrH+ZHFSVtGHRx9FWVIu0ij5iQYSomde2b9aZL7f1HdvzUO5v8+qgOtGr8ZyfG3/ojk
BLRlfnvxRZMhYlKt+juUEzjifpsJwZibsLSoW/0dywnmb/C/ZprozNSBKDdP/J/BnCBLv5GmnMla
PBEV4kP5n0Rzl28M8HZzOEewQWWee4bVdrkbDEAXrV55JHgFebDD2K8cNciNXaPZXuX4LG8cpUiA
T9PKPXsZ0r00DC1vdgCfYX/SspaQjgD8a8rmT0rm5W5uBBYAoGktULm8SGmFQHmWnyGiI7XKLrrs
Hv4pUYtzlfiI1tpRMMqfOL8FuMgMN3H/w8d97IY85copfblpr9tcRJE5AJZiiETxsca1JMU9cifV
6bgtRP/BLNYeo5fR+B+NYQ36IuRAFm0JvMqF1OPcpbEg60XXilt1UwJGdvECms4p5eDtqxX+Vox8
eQW9NIhiBBx9PJNwBV/GyFT9lIratvxY+fGT7Kn1XeUBoIvjgy/0Hyp1FA6h3N6U6t5r77VmClYC
hIUj98sHzIVmUEo8irl15+F/lZvI8SSprCaXH2lKuWtV+T608mJXCr2x74EW24VeW47Y5TJSS1lz
jkHItwjjFFn0OQyzg3Bo0N5bqVZczTn0cXzs0SwBWk0+aRG3+1ySUpGExsOktr4d1qDBmwRDWqMw
pr05lGtr7HoUZr46uRFiDeDUhOCXo1B1eq2b5aQ/ZGjxOKMZnitJuJXSAkZbhN6o0MjThyQbBrj8
AlJpqF32fegIBUYxcqZVrpjmZ7811oKDq/OE7yLjp1h40wMgmQ/Q17MjykOMB+9kPORiuekS7aA2
3tcUhYUNcSfS3Lp4B8Mg2mOIWK3Q6N4cEyA4VGIBr4BCXGz2KvGNGk0e48Hw67vUiH4BnFM+4jy+
5WuHz4bVnoLGznaTVqkbCjH+wZK6XW6QcFagkt9ZgyevBPJvrQsQZRz9HHVvuJrKnK9+KTNNRRU/
YDGERI/f/owF9Us2I0re35zLwYcIyWqAsI5LFy80Yz4sXm2NPvQ8lceT9mRa7TerlA9VIWxB138Y
BvlrMDUfh7BDC3pajUuXhznIQZ7MXGOI8+GhtUQL9WFQQIyYJAAM5xCIaWz6rpoqtn/ja/edcFc2
m67FIyx1E4/MXRi6Svfl/b4veGGM7vwNqIagdsG1ytK77DwQLEWdell66gBvEJE6gfK7Km9b/R44
Cmvhl6Fvh3CvC46fYQvpBAdvsqM1A9+rRbj8jMXxBHgRMQ8u8Sf/l65uq+9Su5eQiewcwbjBVc5r
7QiXmW/UjQ3pRhVW1tsiur0ehcUSaHI/9cSR5vsEB8y9L++7EHVYOzNOvbD3P6qSHVSQgT4mmRs+
Z8kDdnfBWoh9+Yy8/ojFIdBGacbDTpSeWj11tPJLB1GwRTm6G75n4mPBAqms0alHde1lsrwNXwYf
Ai2XPgAc0teXa6ATyUiOYSI/qekmDhxVdCYP2p+jD7tuevL8kSoMFm8s0P6Ibqhd9V+n/D5TbwAE
9MkHw49hOu075Ry0blrgoXJIY8fXj7K8f3+1vsRVf0f2fw4R+wWkK6kUTq3LL000oaX+o0hPcbUd
rN3U2ScdidsBcozbNKT1cdVzPQjrZ4L48nv3qz5Ar+S9R1yWbItsV7b3JbZYFvVpsrXALz7N8puB
0xo2gD2r3cvTys27ePf98c1zQnouI3JULYOpIoDPC6RGfoqzXR/vx2+VfIdujZB9MdRNgt+Jbxv7
UOXjN2UEtMmd/Mep/zgImy5zyfCsnHYvZuPLMXz9PYvZHqQ8yHKh5XtGJ0qBnDnGvdkd/XgzhVsd
hhgVk/hY+weldoNhm5YfEfJDFNM225P/NeUgSh5T8VYT9yKIY40i9eewpyy3kcsbw9h0lXpbqjv8
DnXSB8+x+Zh4e72yxad0Tdtk3hDv9WRxdlli07RCw8iiL487q2Vsk3Tnmd/a8ZOiPLy/9BbpfqZR
5YAEOziLHpOsWGZYVLRwLStTpSercUA9btN9vvP21tH6atysQXZeMhIXPVs0tugZjGXVCMCZPrUg
bBR+oemzCdFMT42Nkd9oqW0BZw12anzbQWv2HEQUkJp6Cvt9Pt4o0alr7xtpI8JyvUNmNc1t7RFb
63gz9HZtOn2CXLQtncNz3DllbtfP6jaX7Fg/RkjtFrlgK/2HWtlP3TGINpHqpuOd4rv85fC7jt2v
8CRnK5Cw6xvgpcsWfCmqioQjizCEaBM/vGyUnsYdKHmxdFJtK31XnnsgYTLu2DvS453hhsFdCY+1
XNmlL5qeVyPOJcxXcCcSIF+eLEKfgBnEpOLJ8uFo25hmWpM7n8BaZntcOpsxus+0XU7KAwz2Hurj
8IM8TW+6jWRn+bEnSeBte6rCcvRJKFB+tj2PxMJjhrMfey3BOgvZXVs9y/swpkS5qX6WhSunz1b+
5AuOlG8DWLvmh0m6FYs9/t+5m/VrJ/3yGfKyiImoeAHPOoxLEH1d1JYx+QxyEuzqyYkHV/4mcnp+
0n07KJxWOpb+Vh5uMoSu71uUpHRU+p2h3gLeFesdWcD3d9VLSfR62P/+oMXF6zWdlNbDID2ZuLuh
ly1/itS7PnaDkwBqOjmWzakLT51+00a3kn5DBaMVbPmsVTZsUAnMJCRbzk/frT2MaHm6uAOTAj/8
hGdckDvt7/Un43vhjk/Bo/YN5UPjzOrypsNW790xsSG9V09Izj/DpFE+SbHt67b6i6vF1Oz+U3pP
DGCdrIdogukMKt6RBQfjaB5JxY3w4/2xUK+u4XkHkL6d/X2pN12lrUSdIpXQS0/C2Tpp36MfluJo
v6fybaMeRGmrC9uW4/quutF+VgBXwSKc6Hv6jUDcegbAnH8TJDe9b55QBfqUfigP2q/qniUnokn2
jNdzw6XzHczlnXdL/ld4rO/qw5o30wLE8OcxOYvXEtfSG3EOtl8F0zDH8maw6ASDW3Xk+ByITem9
ULhVtSs0e1aB1W3jZ4MPKFDAXba2k1+AJ8slNT/ygFAhi0ca8PIL+tqCqIenyVPwA7xG/TEQHFSA
WtdSd15vk5VJ+m1ibTk00QYXn7HFuK0/ZE9MaHtICxd/4ITCeHdsPvaBbU6u8Q9Ffv8YI9Azc7WK
BxevqMsvtFKjKnSTMQK4MiLvYg8fuP+1x02EXfND89FaC29lfuDVkLxqcHG4VUnaCvq8sjIMMT1b
/5kVbiHaY+VWoz0dETbIiOqyldNmIWZ83c/FWsgAIZnpvBa8j9P3Rrb7+/an+UF6jL5136xPyUr8
fPWMY/u8GtVlBUoA+PRHa/4nT4NV7pjf5B9agPOpgxzi+3v17UX294guiRf+1Ojg9nm6jZMjDgel
hV92ypEJxPLYHvLnwEjtQU1s4qk8ofS6VQWnMLchN7D3oTX2OCta077w7kXE+LXqk5odVZZbx8tL
O3nlOV8Fp7wZwLwen3mRvNqZQYSpixJy1JaGqwTuCHpun1duH9oYIIbfqU5lqybFc5zyzsJbwlEz
XO8wAaBNj3mQbDSfBWub1WdiTAGG3EfBcLOnyLfpOpLXxe79WXq7y3B3MS4h73uFURN83L7bKYUG
8Ev85o833hdL2mS/F7eSagvNKUxXYuuXNN5Vf/9ucFmIlv0uq628lJ90ayOb7hA7mrVNxw8Aa0at
tHGWsMNml8m3BnFWLOpbOV/Z629dIqSS/tPlJXetq6waqCxd7j5Umc2zCM8F4vQx/vD+2F7F3nP4
wBYHbTxnNJca6YFf9Yj5eeK5H3gzVjYIp7HcdinawgFgm1VpobX2FqVzkH0ZiEPai8dNYu7bdNN0
u6R0R92ZRAeToCZ15fIxMdyYx/PH7rFGp3kTxiszvPYZi03UU2H0+o7PMKUb6N94o6b1jeR/CTNs
kf75KbMY5EVMjO7oZHoBrQmU8EOnHNy83gadLWq2n9iWuun0U3pE5sYzN/5wEL/AnlH8o65QjXBj
z+aXL27H0BVyuJlOKZHSJI3vFGvavy9JwouFv/hS9fJw0WKITAUKO+ekRRHF8Yu7QNlM3S4iU3gf
1Ac/vwX2gUhBjexQtcPgGuNqGc+S76V6rxbE2EjNGHnqKgXJhOrYmzdTeR9XJMDcUUCRJuEcvQum
lhL6rhXRd+Ti0p0BfLtetk6LxaWwz6XcEXmolsY57X68v94XCENW+ku8DAEVe0FShdYi9YDkY9Ri
syeeu+z0tbB6Rw2dQT9UhqspX5T4YPG0x5ISnKi+do9eJYYWTS/jBTO0xECk6UDdGNYu6hkEp21c
K3BqtoLsyN5ak1cPhUWTi4ghAzbw53wm6K0eUGrvbjprK+o/DBAO4lGxNka9cly/XJrLRSQDxZph
WGD6l5FbIIh4NyKXcyYL15QHVdyVoFYUkjNbtEisdn60jp8w+IktVw5vonhrBDsswIJ+i9Jy13Br
HtJkh3YPWaAIJSc0n42NDPkEftZT/8U6iubBU78LX8cvPmsRTxxGMUhs3seqbHdPFZVqD+yjYx3N
0CbNWEsErHOgGmZ2YIJjBl+sfjZRX/FvzMrBTChf83d+uROvRwFzAmpFgEmWIKHEinBTbQTxPJsQ
tTZkGP+u+6U72bQ1vJOlOmLmsgpQXA5+b7EwC122T/V5uBkcEgTmB+EJbFNiMgBHAjw12IjmXqm3
LUYMX/wP8TFlX9qDtglNN+l2AcCnejuYqATbfusEw0dL2LTqr1a4AbOj5E7fbtEuC01b3pEqmhjM
z4FOOv6nlx1M3mhkhdeQ0FeRHIsPDc+/RmBxyDYWpkdtxHqv5cem4BmxC4W9fvhWpqYtrfl1ylcx
yqK1xSEbCOYoZDrjTZLlUH03mGoz3fQl8SNED79wzMAWfibI+ct2k+1kguYb3pi8q75XXyNc9ji8
fo9XSFtvftR81IBjFIFYL4ZgViEKUS6VzoAFIQ91vsO7ZOVEm8/kq4U2W+Pw42lomXHBiDJBjHiQ
zkZgV7ItWDZP4+ZH8rsv25HnNL07VXZeIGi99z+/3/YCr/THaUoR7q+2F/eFMihWoKa0Hda2+sn4
LP40i3kJap+7zz1wlwhOsG3wHP9CtqeWHP+zR05lHzPWvi2uwJDeutRff8w8Ga8iY98S8z5ESODc
pM6UOvljqjli7WJsslZqun4SzYvtVb8Xt0hmTaOAALR0ruHzmDHJPHaji7iYKd2h5eWjKqlsBfE4
rpk0r7a8uETidAzE0aOTVYlNml0ONhRdhMNqXihgcwq3NG0kO43VV+DaMltcJWkcqQrQLumsf20/
VV9YY/q3yUQ10BY+CT8D3HlLN4EBupbsevPGfj3Wi+enBkHBNGLGWlOeFMlVO9cvd+I9AaRyGr+p
P9thVyjM9LSynBYwz/8s7rncDthsJkhcricrMRql60WJegjURldRHGHcVt4OJrQ7foUAarfBhyp/
zozJVqPvoX8eP07FTaV8KSXJTqWHPqYCQy2WUqCn2Kns6PJoK2HlKHJNhWXz/mZ8e/n//bmLsybw
CqlraPmMiVylOgX3TH3wpE+UH9s1dZbrJ9m8AebkFhA4kJpL+6gmEZK+UAvpnDWbUpds0PqOpFIr
AGpwFxSC7YXbIrhZTX2+cIqvTrtXDS9WQynkZtFqOb0kbE9s7kDKRmXsJvIGHxdRhZrtpp07faYQ
EsvbRnD01o1jNwO+Otmismklt27BrrpBfBhR9KMY3uzUaKvod7rx2KlnP9xG3aHrb7T2OA07b82W
4M1r8e8evBR2Xh1TZhZKQp2WLKtZARrvVdYH2dAx+tLgehEQ78Tu+yvjOiX5MltgRtBOwNJ6CdBI
pElFwpWILDAOCD2gUHtXSy3vD/SXk4PcujUygu2uFJ1K3eNtsB14A0qKM3uKV9sk+6SlxyQ5knTD
jlILT7D6TNnpBFeR7ao4lP3R4NVk5J8r8UvYHutuMyXPiXqosoNs7hMcBuPprkgT9LzLTRaRL5fJ
qUhPgYcG0nmls1f7ACgqKiiggcDoK/AELrftGGqw0hC7PFvFMSe0UxHubBvSzOYu/VRZB6N5jIoT
uxUHWz89GNF2SijLPmq1Xei2FztZgeqoa/1sLEf5JY1osbmx7LbEagRhBA/3grBBVyXIeLfdNrsi
ccptMm4G3HeMQ/8s34r4Q1JmAwTjovr5fvdeqrgXG2DRvcUFIGgYo3Q13VOHjdXyQnTq0sm/mY5w
Yx26eOuXThZsMOohi4xmXTxtfONW1UhIbdVqS0qtoG+qY2quJG88HxGaX4iQVvKmZZgUSHIOMty1
sCsKsMabFIr1Xs3OlWiridPX+8awLdMRA1e7Tw1HihyGpjJdzXfSaavH3/APbeQjKfY6dFvZpWKL
KkSLUGZphwM2G3bzdYBA9ZXnayVvkwLrS89RzW2lfS7WhBev8zjzWMElwbYIKSnSyJdLoZJCCaSN
T2ikbkZ5KwaxPTUPmV/YDZAgdZerTt0++OXNNMfew43e/FyZLRq4mqxXH7AISqtO7hu9JP4zo71Z
fiyae0RMDfm291a2+PUtuejqMhIrNJSzTYJtRH4bnpbj+CzpjzKMsMJu8xvL28fVrRG6ee7W+f79
Xi5UZLgpF40vIi8xVZC3n9ckzs6Uo/XEtVgMw404cyLu6u6gBVtt2HjeTVjt4O751U6vHFRLBq7F
tdTZgvx8/TWLA2CqIMB5USCdUxwdjL1JdaLdqOf8B7g9dFuLervS/XkW35vlxZYE0YOmr0z3AThm
44+yO6Qm3qzKZzF9yka3rB/b9JlRJ3TxhvrwfuvXDx9wH/KsCYPyDIjZK+BXLSdDNqnxOdWKjuDb
zGy1SVF2taYvnpEn7gSFh8dl+9UvreA2np9ftab0COLwGspQcNmNlXffV2mGIPH4y5QBUUuS8LNq
9K/EfONOScfv+AZ2U28cubE+THVVrQRbV9ElnVB4LEL3QjD/ylrzxVtACaX4XGUzqEIvByRupTXd
kOuwhceohIsciuLgbgHeXh4IjTEoQuQbwbk09S9Dnk4bJWwA+OYNJabYkzZAle8sTjXgaVROW4rq
SrfW1+tj6eUrgI/C0YdiYy5KW0OF9IDvjcFZHyhlxrXvmqUeOVlb6wcVgqsJbAq3Chg2upPme0HA
0lc+G6X0se3DaWX1zrvh1eJFIQCQNVz0mQOOXeUykiuHoWwCzM/PWObIbhkm52CoDVts/F99Va0y
XBZ7ZW4O4UeUrmZgP2DRxTMiNjMN34WcvnfKnS6H0lZSGiTZGvmjB8kZKYhw38hKtSmy9FsZ85JS
xFy4rcXpOcc0GotHQ7BVvSg3fpJ+pwDqt622L1F5xjxdVZyQg0XSIKkFurYmCb/EAM0fP6fkIckB
XFKwsbpcPuOYwwgD+fCEvrRvTyXpw0rKEHn24oPXJEdNMKRD5g9YCQpp4Jp+Kmz9ihoSdHDMpfX8
05gjfoSx60EusF9XzFtM6AQ3MgZ05Nt202nK2vzK1xP8ArNCK4d6Lnaxi4i5H+GoyIYvngddug9S
3F9KhFx6M6xvp8j7gNeK8Cink0/VfTD2SVBkm6yWxV1k9vdaVDS3w0CyEHjp3Rim46FVJMxatWMI
rtseRTF48Oin07YTUYCudfeB2PbQ3lDGz9NozUVledoxBUgVKihizkxQSDiLs7ZB590KNbE+d5FV
7iL0vLa+UIcEF5mx0aoQIFb0jCpyu5VrYiPPB0hjpOg96TkxW5W1w40g9GSjqCxnyKTfRyEpOH/S
tyFFbtim5WMjG6hyYpyKzU1h2rlQeS7kI3ktcbMIVIFKAxaF78X+g+kOmvlyNYn9YCFhU1hPUVHl
t0LYf5QJNVMdNhALCcuWonaQ6d1jxk1xb9D6+zQA0II+UHyTSPEGvx68spMIMS10eoE7Yd+lcN2/
3C//x2/593zu/vf8lu3PHz+rb83PH/86N/xW/yv/9a8X9nb2sw6/veYuzz/nT+6yrvwmzqZ6Ckcc
cmQzDPdP7rJi/KYCD0ZJ2mC+kf34i7ssib9Bc1cU4PzYUYkwNv6iu0j8CdciqwRIM35w6IT8L7jL
0uxJrIoEwrMXM0S9y/UWKlGeWkUWH8U6dCSz2fixQC0zs5NUtn3rw6vRevjjBnnNJ7680WdmDa1h
Iakjn0gKfCb4vM7GTeEoCWPUxUesDPdVq2xUcUVX/aoFKJqzaAnHAPeoutSeHHBoLNosVY8Q8WTU
YXsS/rPM/vv9mA+Uv+9H+kGij/t6tpQDPKgs78fUNIROQxfjWGgJOLxWg2NSpe2uR8d9U064OJil
pK6EQ4tA5aVVYELIQECcmtUolsdciK1vblr1sTZa4U7ysl8FauBunFsmr+p+dCsJBL8GEdkdJzgh
lGvJg2Sdvlq8vDyl/vwSlh96rZA8MZ6/nEcw771gNUp1bLLQ3ObIyNmeUknPQmz4e69v/I2VyOpW
RUjBnSzBsP2Uck5vdrlbip10GIY43owYo94aCFvgZygrBMllsfeH7jnPVHC7iO24WdmaOynVOo5y
XcVYXaq8J49qXWBDyWqc0jP1O9HL9ZX39OLt8p/+AVUkV8DGeMmdvErHJGY0Cn421ccysKqtovWf
cwQG4JLLBjL9jb+NkAd6bPPRtFPPCO41VgQEm9I7YZQwP6LDcWOgWuW1Zv5cleqI53fcuIR2RDWE
LCvh/uVtPn8unDGLyJFgn5rC8jZPs3FsU06YIyxVfdcbFNUGEOFOpfQW95+yhsO63mSGhHSuxdEE
ZJaY+XL6cYbM4gnp46MYhqiQhjhar3llLcgLc58u21jEhEqj9yPv1/BYb4Dq4cOw5eJz/Q1WLi7K
lo6ykYHL5a5or63u69E0sGTgXIWKyK8lZL7AH80f4Lcfw2YL/+4uzAxbM8fbUa3+uEYvtD9eH4cK
p/jiHKEpElJzkM15tUSmyk0QV/Eoh8dmq+9QbPxgnbI7/Yb1Lj1Hd6kt7rK74STvjG2xrT/6P4Ek
P94X9/lBPlFDUVtH+9V3tncK3ffPt3n/Xp5vl9+12N+oV2RhGU/hUelvR6KKItM3QtUAspu2UWjY
uDw71CDfb/RqVeG7qBPGAaUnjOYZdLmq1AmjIq8Nh2NTZr/UGG8TL1/jyl3N7UsbL4K6sB8Jfy7b
kNq6EDMFcQUSMCT/KgJsjh/1YYhXkjzXh/WipXnqXx0hUYTViV7REp6KLrDufeR+15zKqU/FymV0
NVm09MJ2RP52liiYX1evWvLHVEz0WTAiUkvw4vA2yLhI47du+hySdU3mipCxUsO8ugBe2uTRRiiC
2ujSuVdNJsXrsmI4WujZRySsPcNE1vVoWuc6AYpSrlzra+0tAwehUaxOoj1epaAq8yNG81tf+qU3
3sEnpyvHKw2+tRjnNCGJAcItfrscVFHujKHU8+EoIe566NFhcYzEXCOQXE0dkhZE+xhQoI6Mfuji
IPURk0p6rS7vja60g6DmqW26FvjGHJ8hH5qOmQeHAb7L+zvtajRfmiUWI+YDP7d8ZCB2puBwVZb3
An5uohBvG8Q5J6Pe4BT21cK9xwfR+X6Tb/SUhCvlbkiI2IUtRcVKQ5BUb+4p8iGbPPUOyLNva83Y
TmLleHL62CLiXVuH91u92u4Wmt1cyrNqGBtjycJLQ3ixfaGP90jSuoh3b7xqZ5DKjors+/stLcDR
JtE6SjwkAAg/KQxe3YlmnqCurkzKUT0KJ/Wmv49vdM2RP3hcVoEj7YpNtlENuwV4sWZrsYxG/2h6
bhSNHtTJ57F/dQAMOWZcFtk7KlNIkxEHahFOb8COaxg9FS2+39U3m+PyB7EOXYsT57I5dHdCfOZg
j/um6ET9A2Rc9I7H21ChuFbySvrrffX/8WJ46durxhZhgB7yRg6Ll8ZuTeGr5D3905+vEt7N/7DJ
UfBYdEY2ikYJRV04lr3Xbtp80smSA8l7v5X5FfX6PsWmUJ0Ddv5FvYZU5uWQqRJVBznN/fustLpt
VtZfkZtO9tEYKtv3W1qeW7REKwTgPB45V5Y4qxyobDoFU3jf1FF4DNTMdLtAWau/L/cVp74u44SI
4Nv8AH3hXL5acb40TqEmjNkpEBR9lwSm8mHqCul3lIEtKobJ1/c7tTyvaA4+i4U4CasbA5e506+a
U6suCqbEqk7RYLloJp16mLTiKLljLZ/7QqK+u7Kd3+ggz9SX6eJdToR22WJRBlMZlV19UnAitRup
P2g+2oIpZbOyM1bW4NXqoHvEmbPYBCxt3AUuG6vznPSgV9Wn2V6TFO8ICde4SS1thQ5+tTa4bF5E
tAjbMdV7SQq+GkYvLrIkVOr61Cb5bdjepqK1e3+i1lpY7KaxiaOYok99Kg0TKOHJzNZcEd4YK0TN
2U6sutn/YbGTirwz5M5v6pNB8IZ5oVwfhLBw3+/GonDGYT6P1N+tLLHeqVRjNBzTivqxOBn41H3G
51ZAwesx/A4sLPlJrS6P/um5umh0EZsaQzLmaU6jYWU30C+ljae4wK+1tfvije3E3kVDhWI4/1ne
ipBoyhox//qUg6XUh/wBEUn0UuMAdlW1ERqpRJ/9x/tDOs/LxQlI53DPwDeL+xiZlnnlvFp7gS8l
GGVOFbaaDtKnxr0S7WvFLpDNp1i9ioh6qzn8iEC/aTxRtSXfSp+8MbY0rWICtX3x4E82rKBbvAiP
/m7axQflxrqZvgo/etMufuaf3+/rW7vgdeOLw0Ot0r6aOhoXgfco+UNsVCsL9K0ZpOBgzqfwrMu3
ODFSL++7LqUF7hMXXd5NnKqu4mshJ8d0743Z1zwLVw7hNzYFeuf4hyMJOAvELt9OJPRMuVMEpOUl
CSmt7kG3ZCAjtStRMqeoTeoQen/8dRBjTDgsu+9hZmeH98f2ev+j+ySSlUFqCzDH0v5XqLJuhCww
ndCYdwyS8M1w0KyVxfpWV7lxIJVgvYem/FW0WplDyNCPJ0mGXG5bkqMqtvzdfB7ue7v8vftUfczW
qmDXVw49e9XmYtXUeAtnXu/Tswxv0mybpqmdZiQ+tIf3h3ABF5xPNw2OKOmVWbRs1pK/3IvlFJLR
LKTplHLQUB0u7dR05R/G147Sb+rWd8rHydi83+j1nrhsc57XV/vfQ7/Jj8VxOgXA9cThcwFJ8P0W
Xt65l0fMZRPzAL9qQpHCLkhUcToppIqU2/I42PDsHd6Lt8JBcMMDak47FPLC3Eawfpf+CnbWBzNb
2ZprHV1cgXVd+DwShulkBeGNPOwxmFl5mr4E2FcdnVMk+BAQsS5R5JNsxK0y1NNpvIFgqO/yT8GP
rjoEuY2iRL9Lzub5XtoIj+J3tDWER+Exuq8+xR9K19qAZbptV8KKq1THy3rChYnaLWJEeH9cDvxE
FtYotVQ8xZ/IOpCawzAZFvpZEWzjy9qT7s29CRbgr9YW0xwXqdwY4tzar+6Hphy0cmfhQA7MfxY3
sDVQc3t8672Vh8iCxP7nrnnV7mJilcBUW6Wn3fRX+KRtg63qxgf9wbgNzuFdcDuVtvh5WNmq1+c8
SxprIyaa6b5K7IpkzUdfoE3xl2rcxd0+PSTKmct6VQJh/vrlmoKqbTCss0aRtTh92lLLubX08TQ8
N9vwm/Fh+m7d5k8x0k234kfIBlD0KxYbaObndv/+zn1ry1APkijZkAbB7e5y/WiCZ1nh6I2nSdbt
QXDkaS1qvEroz0v0dROLyTPUpDCAGIwn8UZzO3fYjr+Ku+xO3tU32SE6qLt4X6ob5T6LDiHYqJXI
bq2Di+t67INUxiBmOiVTItjFIGzLFmug/8EoolQ6h61kPZbMYzNBcCur2ukkqGwHYMZ1+fn9Ft66
e1Ey+quFRTeEtCuFIuHcqatPUxjfJqOxL1NxZTW8cQ+SKUK4ieiGLKO6CIPDsJ1wcucYb617a9y2
/ecq20hrxsT/j73zaI5bybLwX5noPTrgzWI2KEcjVhUpUqK0Qcg9AAnvza+fD3wzIxaqphDq3s5G
UgRDTGTmzcxrzj3ngr1TiISajIqIbVDCO7W50S5EJgZv3Pu+vh/8bSNe0qB+HBA0kPSFt+/cGZ28
JYgFqRVOLLIz+7ZH+p6Ekxp7xLZXShu89M6tHN47nkeBElx2na7HdinlcOGenKhR8V3YsUkWbLZb
CNLVpSgaSHEa5SYfx9sBEhXPlmj/uR2sepPUaDGn6bYtv7f0syJNQaTTbq+bzPlmTtKVyEi+gYmg
/DpdZjPQchuZj34felRQ1AHBLk0uoIOonitbWipbnHs2tNRMusz8CYEj+bDT4fIgqlD/U/2DRyjq
9rW+gSf/to5pZ4q9XUC+avAEnKrBre0/tWWzyR1/wQ05OyRUThSEc6ZkBbX9uYQx0kCUQ33d2YeF
zRnUcyonBswbeuSHCwXhi0M5EA9NjxPh8GyHtbTouxBnfe8ZKNTHMQhPufJov8iq6E9NmEibjBLy
NRTVbYp/pwsb96g+Nb48HLoRwDyVoD74FfYvoyE+oLsN4AkeuYUSw9mpmYac4ny2c6qQza5svdDU
EiDBcKgK9FnQHukdZR3q2pEMympQ69uhGndj1yz4b9OinTyEU9YfLmFlymzRGaqezjQLcyuG5AIN
HLVQV4PUtvdO7I2bHtoJFBbkfQhk6rY1h2zhqFww3gmWTAKZI6sbb+yn7/1XKl6Fb8dFxcjRLgut
GwOtXkkhLPeN4DuFnY0v5G3rrzG8XevZimu25oL1Xpg9a8rzAUUfkeW8byyuyn4IrKI8RKMkt4BA
9GgDa2O+op5c/QSFBVyqzpVjC7X6wvs1A9Jhw6g8we4L+SpAlCnKPF15owUkFsVNeSgNKaQn1JTQ
g7Yi+FKsLH2Aznq4t5xgvB/KIVnlKAO5HQR7a+ZB0sJy+lU3BJ8HSSA4Uw705XitDi7KHLdhJuhu
LJv+NirN3rUQq9ldv+bOHvjp06crDro9CirziMob0zEoY688hJ3TbLoE1bFeMp2FEzEDMf+9QiTu
CHspMjDKbIX0Ih/71CFDJISDm1Qr+cY0mtcoEsp9a9OfoI/jo5/GdK8KbZJ4Kos/rNFOezT17wJ/
oYpz9pSNYeoF0OlVB7PNm9uxjNNt39nxwnKeH30SotMhAMA8JSrn83SALNgIqx2qytTpcR2Tb52H
vI85DN3HKI6alRU04Q2U5t0+K/T46fpuXjoEnEO49Ll2pqLAqSGWelfUTWJWh07oU/tSoa0FIte7
nGKckndia7aA7yRdGhaOwPSLZ3cP1zk6FjDH0EM1z3PbktcHXtSZ+6imgtMgFbBTK2QiPex+JQkZ
MaDI+XF9smdj0oMKXyqMDzyYJufvdLIJVS1EZn2NU/ddkh7CzlspMkLv8afOX5LyOXuwZmNNx+hd
hN6jhSA1uaceHCCZka3fo4hwD9HxwiV2eUpTpVHhzUKG/XSYbPQBS0e6etAN+HB8so1g1x+az9cX
7vJkfo8yfcW7yZhOW9eywGtqi/4my6xV2N4F/rgQXJ/Z4tQizI0IPgQoPCnU01GIjSJY1CP1gBKW
Od4M2l1fcvI3Snas+wXzO3PWSFpO8mOk+HBTef1Ox5KQDpVjq2dGr4m5MuJN/8nXFvJ3Z0d7GgOW
ZAqyIBiBRJ6OoUSdU9Us3CHQka3wqugF/TcIMCx31KuVp2SyWw3qbVr6C+/6+fN6OvIcXkJyqFFG
p5CJjyDUa7LwBj9pJY0/yiR8ymQL0rRqrZrSph6/Oo28HoS2wIM3rd/J8Z6+AB4jED/IuJ15NLzu
duT3uXJwrHhrSf4mcD4Pndg0yWPtawuH4Nz/n0abbmmggvj/83iwxDmFiaZQDnGvrDvL3KHlsqkC
dd3V4pPev3qx+hpkH40uX3cSPVBNeTvAZ3T9kFwyqalPl+miUgOa9XS700TJIhGoygG88rqqvmoJ
VCDVT7n6QyFWNBem1whsAU+TghSDejrQGCHiXpalctA+inbblF+L8B7JVe+p0A9AfP58VkBlFeIZ
XuEzqr1QVoYqQsHwkLb2kzXK910fPdRl8lpG1sJ5uXDLgNH4PdTsTPYi7EMU6DVqNeqTb8IhVfeA
77uF03HJNKegBZDypIg0T+EVSdnoQkHAwhE6/K7CefXaJnRrvfmkRd1NYUJYcX0Nz1MyxKZ4ebAg
oDLO0zPdfO/uzzxJmzBSIAFECNN+jQcF1YgyGe80NUBJMEnKW67DX7EcQYsZ6dmmo2GrDdoPRm7A
8ifzVHlhsh5ROHkY4jF4yKPqR6bE4S40qvbzwseeb8MUZEENQ1PbBH2c2bERQaNMMwcakQYdAbqd
fimcOt8gSYTmbMmVrOOK3reqI7mBXMub2MrbzVDAaQNtFBS0QUdTW5NIbhY7SwQ953sHIR7RGTo1
Cl7DnByt5Hno6KPFW2ptqKlq8UGUgb5ujZ5OJlO6tz2x1FY+ax5mKagaTmTroE0BMBImnW6eE6h1
F054184brK++3QQ/u6iOPw5dgzAdmfjua59oDnImY5J8yZpQM2mvlCLSwtRvPvaFHe5tOEErNwNN
WroDYkcvUSykr3khKwlhjwUuWBqc8CsdYCPyaxiJQ8u8qj6KoIb2UA7U8a4TtfGo56pUrUo/RgzJ
UWN0PmQn8p5tHTkud+jVMV3Rg1LtU1Qs+TYljL6QPR8EnNyS9VUXavcYwYEbuXXedN+HyqSy2yYi
eYbiogCvG5vtJ8Ajyfeua6A9TIvEPyCRCzPydSOb35WUZAFU8ADTLTRR2c+8Izn3K5AjZnHg6l77
Pc2pvqsF9UrpdtcHmhvzfKDp5+9OXifJXaUVDNTY8rqW2pUdHxwIAq6PMn3u+9duPsrMRFLyPFmb
Moohg6GFqRYJvIVba75iJAjI3fHGIb+Dsuw8VajbkoKupmgPcUL/aJDctqEjXKcUtMhFZNf+bEKU
WkE6TmpQ9EsBT54tm0iBsOVx2x7CgMzOINOJU9ng/a+PcuYgkV4lwUJ8RT8i3YCzZWtNs28VKQSk
EbSbspqIA2vrqS66LbT87tCOlCPtdDWE0R9aBXEWA0POq4IiB/U4CwTszuzrrEgILuG+zSCYs4rQ
be2F6U2L9N4q3kYBXkF6g+Xk+Ty1PeI5QGxaSpJDatdqc7CVEB4a5Q9tbz7KfKtCD2IDMyNMFXG6
SRzvM7WHbnt9p2Ytm1yC04pNISLzIYSa55AbY+zkwBbEibW3joV1KLLRretf1HFX0ZhvhKnfwCbG
3YXmBxz0rqb1PT/pbnJp6Sicmw2+D9Vjym98F+Wi03UdkrjJet0LjhNtWuqYd1GWr8cIiJSKAK6h
b4v6sVKdhSNx9vTQ/AKlLeoWdAPAgq6ejqoPjj5QOgqPJoU3Zxv2d8aICvBt8vn6Us/vErqdgKqQ
SKYINiV4Z/upJ2WlqKkUHmOllrbyaFIaN6CouD7KWX6FCIvwB5FeXNU3zOHpdHwUP8PYV3lJNad3
9UhVQPl0A7QXuit3Fkxpha2T3qm+VQMRS5jlS8C6+UT5grfCBx6fPEkvziaadmHRQKAHMzLQ61U2
JB3kBEm24FQujTK7YxCsBN+cyfWhd/yDkQDwt+jIWbCNS4Mg8vG2puSM32ii3r0yfZfEcU8O96D5
Js9mJKf5izQqSzLx8zdgWjEeS5TG4HNAd3FmghZOj52Fb4fQSrdFF5brJJBKmjPtcFtURbG5biRn
08LFUkFqAKHmoqKqc2ojSMkJI9WU4uCbUCDXfxXGy/UBpi1+f0Pybk6KMW+GwH08P8n45mYmt0Zx
iC3fdUL8GEpEwad/b5BZoaQvUyxAYZAQNh5RfO7Gj4VV/qkFzGYy25o0Mkof2r/ioGRfO2CU4Tgs
3PPzW2++VrM3KykCM+8DrThkxQp+QPjGOKiCKrXr1ZtuqZi1tDOTabyz6Mzr0TH3WbREe1ai3M26
exIYC4s2v1LnU5o+4t0gSq4NqZi2P//BfMbbQnd7iwh9YZjLZvzbymZXgJ2gPkNLUnEY2u+wT7nh
UoiwtFjTPN/NQwvpX5V6vTigB+9KydEynhX7r3/PimdnMY4lpNpjxvAH8MD2Ny35BD/TvzfGZILv
5hFmJiJsLSYm6JJvFKBZ8ed4sRy9sB1zwGk3VqLKHWbSwgWrQ9pdQEF6fSJnF+XpaZzD9+KKSeSF
WhwsRdwUVkdbwqFT842Wf78+0EULpj2AlAwNH2QST1dMrr0A8CPHntBiY1OrMbqv1qBtLOfJMxZK
Ihet7N1Ys9Nih7RfptkUypQOXKIflPbFhGTh+oSWBpmdlRLu0rhTp3uszd0YuRwbTYd/JfyjN+D3
ss0OTN1FTlm9jaIGq9yATleCuFEOV0365yYNgJLyBolIiuXabD6mpMIkLclc/ma+0uEhJV6GJX5h
lAt3M8kk0EQEtG96fKdmUDSV8PKyKg6aQ8WY4BrNTVeFFU6jqrqyl8LNC5vEcHjkYOJISpyV4ArN
ox7fYd7Fl5HUVaShsGRtr1vCWVL1Lah9N8rc3noD6eGIUYpkM0Uu+/wYPQqI/nO3at3ix/gQPC4y
9l6cmgGEAu+Uisa8GzmqQ1VSg4b9cuK153W/TPjs9HhJpuXiMO/yD7Pn2rLJkFOJwPEQ33qwXrG0
j5qf1xfwwiV0kuOYPdiqrkS1AZPPQaDZJOuPpfJS1eFuhAbu+kCXd+rdbGbHSatE19YV110HsYFK
Oc8d7f6h7NTXLPbXGty+ZtvsKEg/GVa+gpn3rrW0Xav6f37tnsx49kZZWURatZtuKFHDw6muYbZx
QT3s7PwP6TipFM0ySLO3Cg6QTKFFpThUkGiX69Rz6+fqybqJoNFZacmaOlgGB+rWSxZW+8Lz9X6S
cy7BSJHiqJsGVgT0zshQtMPjwn5OAezMLT4ZYu6xNsg6krcoDpAdOK8N1H3foc+JanrO1o6/TYyF
KS1YqjM7Db6CbLADFOIAyco6Gh7UMAJemkIe+S/dXL8tdQ69DI2IZFPISKFabPTwrojarRJ9ur5+
C4fbmT3KSdL4ZfW2Q2l/YzT3GsTtsli4Hi+8/Cd7NLsdPalS9Uxjj+Sk2yltCY27v1GbzpWifan4
u+tTuvjAvFu3aQffeWZKXoaSMa1bq+D9w4dfZbt8hPRGf7Fqzjydwg1Ch9cHXTKL2bXSjv8zKDh2
rpVD0L3Y/eexWmi2mG6Fc2unZkZj99RhPZsbBMpp2tS453WabSNDdklFuyYgZ8vJt+Tp9s34+frE
Lo9o4bFNXhv4y9PVRNhZFEk88n7mDsr24kOeDqsUUSbZsJ8ix4GNawlsdAYc//u++j3m7DWo/dDp
zIBYOkVCpdNeexj3ba1djV24zTKIF9Rbxdlo1Z222MR6to90e4JMhDKKyhOppdl0EXQ240qVjH2d
f9HQmqjpys2MbA22fvOHCzsbaTZJxxG23iW+uS/lo1fIt1rFBAWhah2+1Dmi9OZSnDpj4OYdmA05
O+zaYHam4jGkvlurd9UndVxRM+thUalcgCRoEvqbZEVF5pNxN5hP8OGL+3C9VM84q/C9fQYAHlpo
FIWeoVlOspDSMW5HPiP8VH3r/oJc/bZ6Kj/6j9ZTvom/NbfNx+zI4JTQ1ovl74sb/G7w2Xsx9N3o
mSqDmw9I4jnwhyiuJlZatWrvIVo+9rv4JYNs8tcSfci5VU+rP2FvAdbgcs5hmZGWaHblBOa+L9dt
6zro8dTrUtqE9cZD8XWtPpgLJnZ2785GnL37cjwMWpQxYjE4j2r6rIwhUo/tuvQ+jdCbXrfns5fk
dLB5uVF20qAIqsme6QKzy41tFevekRcu96VRZtsXS2PqlRFTQhXFFyUviO9myo/rUzm782ZTmV0C
HchkLTEnAw2SnVojKZc6N1rZb8oEsp6iRCKsXAhYL5oliHMMA9IXaqen1ywC1SV1Mc/YxzZS6EiK
GNFaiu+CpSavy+v3e5zZFRDGsdqOo23sQ5+2J22fyzs0PK8v39Jcpm949wB3WTwqVeZwh2bPyJCt
NVgYbRqsUmN7faCzSsvbTfJu1aYveTfS6MlaVlEvQzXGlR+dH/XHVHbDD+pt/L350b1CnmFDKLzk
1S6t4eyt74y+l0vq4Pu0gju5gzZ5Egl8uT63pUFm8YFWKL7IDR4iXXI2dgjPePIL0s3N9VH+j0vp
tz3MrghJBobjqNhdBUO1fkDF0vlm/yTyMT9L8rpBHXZJoeu6dajy7PbPKhDchALGvsh2mnMfW88V
DQfREo5kaZjZRTEOuR7EPptk+PkKSktQwK8p2pdOubCEZ+7m22XxPyt4VuuSacMS2sBGwZWNri/3
0dQYvoOzRJYmOcrrG7Y0rdk9UcuSnEU2q1frPzxTv8uL70T/qw7NkOsDnQfKoJjQciT1ZNI3dNaZ
neiplVZVb+x7+vdEu0qe4M4nWf/Tadem+xHNnW/XR5yunhPfdhpw6t+Hy4FC97zdSx+AkZfUhveO
thlQBZA5u9dHuHCmGGGqE/ICQ7k4M3YHrLgmSYwgB4VHxi6utkMGKZ8VGUtP78JQcx8HOcpWD2gy
2icTWW+xESpKDuFf/9Z85jgH247lsADDspdVhLqrcm1W+QqlyQULX5rL7DlUBbgmrWUuloUEFoUH
OfyWtUsNMpcNDqALJd2p0XCezjKdMUnrQjb2kHHvvU9FD1ME0by+RveL5ruycNXahSrnX1nD36PO
7tlsHORM6xk1m6BJz7Xxai7R8F3yu7G732PM7A4mbmW0stHYg1T7YKC8gli5tUfr/mO8tdfVuv1L
fDN22irZqt/l2nW+ZN+XaNcv7+H/fsIc5ap7wCuUYjD2g9IQnzprQtM4e7m+lpdP8O9BZnduphQe
+p/Ms5M+DcG3sf7yZ78ftm+QiIBXwVaAgzGnSb577qNC9urQL5pjJcZ4TbPgL6mXl/oMz3Zruhwm
3KENBTK803Moig1gUIkrpT1GUipPSvOe9FXrU/O5otB30NW0QBDLbMrPIk5IhyZ6UxEj9n73KYAE
fDWCZU7csFMAmA+x2n1VzNzoVwAx0O/L6Wn9rOVhIVY9KevBTaDZSt1EqmqJnvuiXvBk5xHANJcJ
AYveE24lbDKnK+Y0Wl77elwfAzUen9u0aF1RFgn5TGiaUyW5ncg8F07U3Ht+GxP6EF4NB+a++QOv
xU2SFY5WH7nR219KJ7oVONjQTbtJ3DjXxi+R3L70mnF73TrmJs64MCNPfJegJECdzFxbhjSUQpa7
Y+Yo0X2Wjfkqr+NiBYlZsBCFXFjWaUWxQbgZiedmhj7EICq70eigs4ZzNPDaXxJHStfk51obH7wm
bv/w2Z/m9n7A2RUsDGh4C83qjlRPgk0XS89OYnauOtCMVVXeHwYjjDYlC2AGBSOOntHMyVDs3BS+
3HdHxwtURBpK8WR63acstryfVdkusZbMfZppOBiOwGczHhiKmZHyvKhm7Kfd0bDgBdIGBPp8aOCg
s488ZCwLe2H3zpxemugA0oFTBdNGcWh+wn3DqHI04LRjbP0Vav6TAYNnlOs3kYzn5k1CJPa92iUP
osg/6GIpHX92PsDQwc4AhwgIFZifZ7eYU9qGJOizO2qD+NrrlX87yH696tL6k5NrhQtXsOWKfImD
6azRgVmfjDttw7vbs/PMLh56jVkL5XM/6NvA0O47SaUjNXfHrHYrwLhl5d2KTgEE22u04qQLd8P8
hTAm1hR60MGjTQyqc5RMGduyFI6WeTQi2V5nmpG6XTX8KSLzbRSMhoQlouo0VZzOVGF3y6kt4BhL
XrFLEy3GxaOD4/p9c0btN9HqUvOjFxQcmiHPe3AsO9OarJHCx743mxc1sdFG9DpPPjijl2aox6fm
t1RUtDbEYRYgQh7XNnz4Vpo/+3BkPspl2O/EUN/6VRZtR19GW0ZI4u8n4P852f8xNXP8L2fg+lv9
7T9+pXVYD/tvya///Me2/JX+CP7jSIhxzsLO//ybhV1SNP2fqNZPZFDA6qy3u/xvGnYCAf2fUx2B
IEhGquENc5vC6h/85z8k658g3aE5pGEJYQHSmNyRVda8/Uy1/gl3JxAwMMEaf5Pp+wMm9reG5t9x
0YT1nVQwpsZj7Bmwxsx7rEWv1CFww4cubLxtgXtyX3cCiGzL8YzKrn1o+rrbKEptu1BtjXdNmqUb
VY7idVcipyWMvF8T60B4owfyVjL10G3GOLkrTBnh8iBsnsPERFgiHT+VffNSDOG3TvTNsxc1+k42
CPokiWaFd5sxLbqfpe85jmegSqbFPcA7TRulyerxvp0e0q7wnYyz0D+g62Tfwn8of81J2ECRJe3e
PlQm2vCrMDjqZjgQ6GZLfW0zmmU+gS/QLTireFwpqcz7Zs3QdISWK/LDGLTbV7sY0iO98yK7aSNp
k9plv1V6D/kqX1f910kmKF+1tld/lkclexRdilBmZg4ozdYZyu5JBIjahXA0fW0yQ/yAoic5CC1q
7jqtshQ3lQ1x22sd6I1gFLe0HugfyrLIUG7NnAqxq0b0lVtUiDQoauwYLphWYXEJL6VGZmmzt3lz
C9NkB9fxRL42c1/KImgGpSj7h8RwtKfYr4vRhb5AatxMr4q/lDCAcKWN427L1QfoqO88/a43aOZX
C8dVQCWBQBsS8cUi9dEuPBGzOHD6Os4TxxFeR4QOYLY/NQwRhcKJO0V9EHC3fEvjAOUhC8GdnVEM
OrLLnTFsolLzD8LP+7u4hbZupauUX4l+e+j4CIu5fLvIWwCunL5d03dZaBhiJfQp4tzOQ6gqrBwz
KqvuoQzF13oqfbX2Mjr2tJ79Ngp9C2RdJh+FnurZ29V6hk+fezE+yAQfq7LscIZ0ibNrBB+joqjv
cCvGX0qgSptglMGaJrFUbpO8Tp6TOPNDtEvq2GQtWuGOqH+2a1jw4GFONGmn1WOLh5oWNJA4ltib
cIGuNWWooWhO7cdEgUYNQRzn22BkEGD0wQBoslJC/aPe28lXKym/hgaVm00QQltPl2aw1uu0XHcx
xWoXcD2iQJWFlusYmcVPDC9a8wzHSw7UBfvl2uDqpQFuAoDPi9bl2KmZCHokqZusflWjQUfHdEiN
ko/VpJWUhdXWo3ymVyJHQm1srI9mUCTQblhJ6Ky753SllSL+uXCjTYZ5clFzi1hYBx3/BKd0hZ0a
blVVddTlzvCQ5lAzS96oPkSDmaw9VWtuk04eV6jJdLdj1nafxjErtoMwrJshjpLXhS+ZHPTZl0wt
IrAbgUcGZDVzMZFw9EWaS/KD1GfUML3Y8OEA0NgkUenN2sHT2wo/E0h7ZPLwlSgOMeCsYgGj3sjy
TWRyltxm6M319S87dfUpu2HauH/wSQHzBC09ffg7H7TW4tqPa699tKL0W66yTLYRRCsZrtVV1KsL
EeGMm+ttOAg7J/5jeJjxtWcur9TYpY+sVPuYqMUrr4C8K8uHQJTwoKdttBaFEyLt2fyUGz2/0eTX
wvlOqotinDZCE1NWDpG5vYT8md8jk3wW+VRSXEhbQWYy2xypN3qoBEz5seq14ovex8E2EWV6c32l
z95X0gc4LpBOEObgm86Bb5KkGlFT+MrjIEOo2VaxtKmKBEIyD897aKk0I8X3Nbc85Kzh2foqki5d
CrSmqby3Q75hcpGAb6HUhoM1i+xGBzehSpvhsemdfmdVab7tdLnaWCpnI7DsfetYD3ZlihuLDj5a
RVoPddBon/B73cxzADfIWjuuPN1bInqaBYGTbRCAkB2xbLYD+qr5t4nKaNTYix+dVOlWUY1GbGj3
NCToKER1QaiROKDonwe18RQpcK5DKWp8qPCjluKI+ZX/9iXYAiJVvHv8ltNDoftp3yeyFj8qiRLv
DB/yPhoRlbW93rcGNU60+sS9kegUBVGvWdqj+a01H312RshnNZoq5PiRzozS1fJK3vQyCmmEL8WL
V8A6HKY0YkGWAvGshEZ6qKVbWzj+ksGe3Q1wiGKosG/hM8OyM1uGPlL0Pu2l4NHKS/qicNbXeZ/W
N16jZY+pSLO1HwCrTyUvRf7uS2bUXypKin1p1i9dNVpHQTvpgzn247YL4qUkxfl5mihOJ2umMsG7
/GZP766uRiKl5VkifNT8Jlj3nlU+dtp4Y/Smf6+IjrenlJu9ELVzD4IQWIGfL3EVTCZ5cpz4BFrk
yJVYBBcEBKeGYoepCDR0yx9l3aOmb8hPuj9kG8J+77aqFcXNGi/Y24WVH69fJpe2BlQMSaGJs4tY
6HRgKAMMPxk9Bi6Maqs1mEeQROEKCZ9gS+4mXrAFdf6AqdNMofTGDYGnFyDO6YBDLJJaL4V4NJwY
ZIYnutvCRI/WLxLzNqyLwc0rZGiTBhnAqUFxVY52uOtkNP4aqZDuern7WgjRbIeySDdG2yFXSUJ2
LYtMX3e5N3ytgsRcG339ySxzZeubmr/AwnVxzfBiSW2ppKvPHLmQ/uQybMJHtWnCjRRp4zqMxatQ
YIhVEl1fiKemFTmzDRO2cPJo0zM7WzG7l71GGmPxWATWM+0n7S5P7ICeuOB7JpwPmaMt4RPPX1fI
NmUE9lTiN4cu21lgakThGAcy3OTCKMlueOqrPKWPOho7QHlDHRFaNcS/2ZNj7x0j24ddWH/I6mZX
knncqG4lsfJ/aqg0kBKqTOKLUyvp7ISkvtUGUsYdolS9vdIz65Oqto9jHSjr0cuWdHpmGSDeEFbA
phRBcypRFD7GqZnCbR/VzVCHj6k0GvGqhBgIginDV2UUgsfyJ+KyR3LWW0T5cL1ile7ZkMRjtZKr
YNy1CB/WrmrctP5gvFDUjb+x3MYSe9DbV5yaxkSOTyfmRGkI+fLM6SIeSIqwGwUI9EQ7tL0yvtRt
F9wGTky9IiUjj/B1nMVIi1NRFIR7YbTJLM7aWjGF9rEz2mavOHH8w6b4QsZOQYgoqsxGX6tVqj2k
ABI/+KY0PKaxob5e39E3Su7Z19OOgES3Q7qFms9sSy3bywhBUv8xTofR9Qq72MQUM25SZ1RXYaNo
ayIMdZU0obr2o2jnDZ12P1RoGpue4twMnYrOexbdlAVa0mojgrWsICKaU9oxA8tyVTvq7tTpYeul
elVVyrgKuU+d3vPWemk6btYa+oqI/BcpaunOKJ9sM40+wlycr3U96tdFLH3007R+GMqIIm/U5zcd
urnbIjXj1VA76HfGot7ZDYHRwtqcnXk6GxAtgqOJZmPZmDzNd0+SNESyb/WjdBxyv3HVpMrXqTGG
C3Cet2dlvgPEWZTC6HLHcZ8F5I5fKZnSJ/5jZRXDWjdy61ZN0QqOeIvWJb1Pbh4V9aaSlPEjZFQa
DKNhc6AJ9jnw0vGBxtbsLnZioNl6/k21kpcmcqw17+yzOfRfvC4JNqOfbOSq6HaFWns7TyXnpLds
Cep5xUIIcuZ+gzuEoowQHvlgxN9ns7HlZiixKOmoVUgajqUaH50x+O+s6/8p4XXBXeAemjL8MBFQ
gptfjp6Uk/ySzeQYhhwsr7Xwav2eoF1LD3pV0+gQWFvYy/K1ncgPRmkkC++Pcv4i8AVMEPUn8Bu4
uKfWIdcgMPvBSI4oUzyH+Y4CvuQNrvVdoE1f1NamsqJ7Zdw4dDKXQ/9BK5xd1zcPefCXr4arXjgL
CZQZ8HO6LvkiypEwmU2KNPNwbCxiT6KulBxHv9ZuNGrSrjKE6nYUk158lCb3tOzKz21RJFw6FVrc
tTmuZA95QNmuh43WR+26y0bxU6LodTckEmpIvgFdJ2ApHK7I/mNbmR4TohdabAA/z29O8A56oUR6
cmzBc26GrupWoQPW7PoxPouSWBYyzKTjGAaOh8nte3eMYxlqmMHQkqMdtNUuajp/FStatfaGxl4Y
6twpQZhvcq/pidD458wmgjY05axzxHEME3+tDmC3fQ9C+dBSxSrS5KUdvzC13+MB6J49kKouRNma
YXQUsX0b2i13gFbfV5FzE+jKJteCh9TO72ItX4GYcUMJceZ012mDa7fFnd8veAfT7E4vMvL70ytC
lh9JuXlPuJ/UNTyWZXzMIy9wc4Nkly7Qn8za4EY1I3zE0K5d3HxjJaR+Mc67NDz1dKqcUxKRcPh0
n42yTePC6MUx1PVxZ1pl+dEbCuvB0rq7ABo/uANV7aHTpQaIiNIAOR2Q8U0l/0PaVgDkpDAd7oao
VG58mdRE6kEjL+WD/+DUIvxQK97zdbs8DzdgYYLAAnYTGvYoZZx+b5abnqaR2ztWI3207CDY8FYY
6xSOuJUfp+O2sqRDZmdLvc4XLk9yF2RuJgohkgfadIe/OxFWnHbYB6wV5BWHbQcRW2vr40vbqj9l
2x8/14qTu1opaysEnj2kGIxkwZ0+N1y+YLIUZXLtqNOefoFa9PRftGNwdKrqKc1L9UgTJnRDaZou
rPJZvhuGGh5WojpmO7V0zM7kIERX5E3GUH12Iyy4IyQ70h4aKavuraTa59B27IO2WeewS0KTuPZL
EH/UEfYNGuML876w5woi8wgBcfFBnjNLP6udZY6NNoRHDX1WuuWjam+bkfGo2uNrWFY3pZkmH+Uk
FguNLdOOzo6mgmjxhI7HxQMnf7rekCoUhaVW4qh4hrGTTNouHLV11tct+vz6Yzen9AJpMcBEbxHN
O7sCe+qNkZYGR1H27a0j/G5F+jHfjKb+sVKGBUGGCzbEza6TdyQNS4Zp+vm70fTCjDr6dMRRKpzn
OC2j7TCSViWR0N1en9f5U0+YbFNaB9YIec68NFGqRddX0GQd2075mdU0VSueWn6CNvhHPNTyT+BO
S8IdlybHoHB+KvAeQehxOrmsCBO1E1CvKEKTPpha9cmHmfcmNuVf1+d2Yc9I9FNnhfOCAGbe8hRk
fTtWvM2HIlTbbR7X5o0Z0p6hdvn9AHpq4QBciJamnDm2gYsygRVmx1HJY49ck6ocxiC1HgxVKbd2
EI57il4kPIyQZk3R3gSRNX6geGffFZSwXp0mX5dhYd2WgafelL4xUmIpLf9HU9f9rsn7v7Sgj54A
lFSrZIzCBcDOhf3nqpqMDBfCYVdON0MNoMU1abE7lKWlr/M2F49Spn+oLZzNtJQqGjHgtLy+LxcX
CgQEtXNyluRPZ0d28MI8rZtCPRhRugPCcldXz1Hzlyapv3CobuoAnujBc/UkQQLZqV3hw/GY3ene
rkoTNzLaF3uUHO4Yc6V7yo3omoU75XxVuEzIiEzAIovG9tmqJB4kTbBz+Uc1k49N4zxVnaztC9X+
oMtl8tSlRbDgXp3fYlOcynGYggsyujPbyfMKsdrC848k0oSbOakN/brS7K6v/HnqGgqFd8PM0w4p
Hn+XmZZ/NP+Ls/PqbVvp1vAvIsBebqkuy6bs9NwQqeSw9/brz0N/NxFlmNgHCBBsZAMjkjNrVnlL
uVerZhs7ybkznGjDePGrmUxfJ7s5pIF0qfThJx4ia1Oc1R+weLPGKAJNdE5wZXfspR7ckCEc2aUo
3LeFuu+c+FFKnK+pf/ZheqbOtOaccR8USEvY7UhJELvowdxu+N4vY73TcqJPqSGkhS5lOrZ/lQCH
8LT+8v7rfm023t5Nc6Pn1UKAoc3dXC9ptEgIVQ6uWhm9yApJWFIgeD5mqQrxQ8v3+hhVf6lcgoe5
Gf1NkUv7odHN7KjXhOIYZ0KXNMe51GMg/42awsRPKZHMyC3s8k9R+/TY26n8TH+hrxE3DA6SFSNz
qOtD+iA5YRhvfYQjt0gfRjsRqKjYDcn4GNmhs1eNMX5S7aTY+11q/tSkMtk0xeh/RejMv9h8pJVQ
89a350ThH8F8EVXzZbria2XrxIUQ1xZU1NlMpz/g2cqzr0p7rVPbs2F1NOAnQWfLCvId82zlU6EV
x/c/yn2ewpCVspoSGxscPE5vN0Aj6zR8KyW8GmxDZM3jv85UikNX9fGFKqfcKk37O00a+e9/XpcE
AkiQNdtccvXdrqsinhlkdRdcA+xj3YhE/zlvMY3wR/Uqk8SdBgTCj1nUWCuCz290W5nj0W6kbiOl
YLR7u3IuAS4umSlcZZXZHeDGv42fRttUU5NiUwYwhIqk989OIX2Wh8Z5HtVRPYDIBifRhOHOqAXw
oEL3Itt6fv+dvJHB0lckvtIKRfYWpbLbnyYkZJnpETle5Kg/Cnohm+KLCjoAKD2W0/EQfzCb+NKa
VJu9mp5bK/5TI/H6OMbBGnf4jQg8d1xodeJiBlB83jf/5Fw5ZPbKxOcWs8R4+OHkzHFla4pXdsF9
8sPgkKuF5Ifet7KcBeWJoOmLv5WX5q3XJeFwqSOnOvRdZYqVK+WNSww/S6pVWrgEuiUWV80mTZhq
73sp7bZd7HTRPiiDzC0ts9uWWt5tkkJd00l8o3fEAeftzc5zeE4sv2hWqsKsYIbB2Ecw0NUr3djU
OWp+uS6+AQi23LQzw0PSjoTfKFP9LbTaZ22ywyNqRSWaqZXlbOqmkM74TGMOVdjy37rVP6/svDnO
L0IzyD16M5xEtPnkxYU79VLZTXJqe0FvpsdcLU3gylO0aSq1/UIA+ZEpWnEZmlE+86vsk11iKx21
4a+V3zGvc/s7ZlcMnWEIuSOjgPm++mfbOTG0oqb0i2s7ZcUXEzWYEwVkRCpW9duRAe/WpFg7qqb/
SdLHfteRx2+7cdgU0pBt02LcqUNkXHoJ+dlmSsR+KLBty8ZBekiScE3ka/41N7+W7gPZIrBVdJ1t
REtvf61i0DXPCSZXuRzajTxUdP6b6JMzTc5mmJz/vIVZDrl94jTJGIn14uXElArAYrWAErqNQDFO
6X6Q7HJrV1myN8Os3nLpJivx8i4QzIuCriYIQEWwlhlCxRa20IwMrj2dmA296QSHknRcuYZeZ/OL
VzmfyrlRgBY/HjG3r5K6FVU+uXC8uI4OtEloa2cumglu254cgWxBoG3T4NC3f5LuIZdOQyx7XfdJ
zXPmLMWDNMTbAH2gQfSHvIz2RvEJg1lXFx1/6ys/9g43RerCmSbrJXiZQJQWDZ0qw+usTHPJaxgc
7Ky0Q6S8ig5zHfQRGF18TEQrbcfKebHG2jh3KbrMWeIzu5IHOaPVL1tHAa79tHJ67mIcXkV8Lr4W
9TIq44vfRUUe98M4BteWafo+qHxxDCiSTlAN0HM246NeMA2mZAiebDmKDji79Fu9D9tDA4wqcBvb
bpH35aU1o/gTMI18Bg02Hd7/mXenRud+m0UpaNTODZt5x/1zxvWgqBolVNSXkdH8Ps1+BkinalMG
urtPt++vdX+lzkxwluFjkc3TIFosFk8x2SJ1XCHZplflumeJAY/RqCNtDArrHJq1+jDnu3puRw+o
ZchwneWfWitQyWbeuH//B91Xe4hpctFhJ6WoIGaXEAB7ah1SENW5tnrtHIa2ntAvkAOalICHXlqk
OR6rzvmG6bt66G34/1ZeqtIWKibfsBzSA3KwPoqzZf3RBhL0qyglusEQuqpyp7WB746O/RfQMnLv
7//yu8/GD6eFyAyGLF65K1P1GI8zRfb16xT2u2kQ1kZS82cGdFwXDID++2IgNxnIkYTMC95+NvBY
sK0qQ7+mcTxeTCPLNn7GtLHBVeOI+IO6st5dlOPhaL7oeJpxStkrt+s1GRsw7VseDpc6t1ARArM6
eS3KvbkKuxDDc3YisL3bVdLULEq7MvUrEmvDpitKADiOVq40FF67VDexlAhAB5BrVMb0kc7S7TLA
pSOkGwfrmipqd5Glpv2Ux0G/beveeLG1TJ7FqqgwImtCTp82+06J2snYWmpuh3iwV8YP3QcJtKlD
JX7JyVACdwpH/6/VjNZXe6z9D31boQEXZLLZuHPWuklCejiUcnKfud1Q2TvVyoMnK07jT4C+AfqI
oa4rF8m6ep/5GUwSecxjzHEdIz1F+AG7gcR/b0ByFj+csDsWMm3cjeNXEH6nQA0LtzQR7t5EXaJu
GZD4XIBAMGP836xckZpdEQ/K3tcTsO9FIIbA7awE2hPXVrByhu9OAjcVJEAQgZTlGLIucmOqlils
C0e+6iITuxocMOp7tc6vSuKtxqBhZXO+8qlvPii4emzLZvglyTI+k7cftEmNuGsSPG+VTj7b1jel
0743rX0RYQJMuXKD6Fza3/NwfOmT2FXAeZdRctQQpPGdDQ3Tnao1RxWjI8n6U7d/E/0PQ2FmxSpz
YeEWZbJvmCoLX9om6rPGjAIxg4eCQVJG0y6VPtnd2KDxrzyjArnPlWwnJ9K26Vfm43fFwPyUs54L
UHUah0t+Rkvy3st9gTHl2FHpq1V9GYIy+S2m7uP70eXNlaBK/G8wwmj39n32gRZ2dqhPXhdZ4xeG
3A9s6uw0NU2ye3+l+2qTh6KhPDtdQZG4o1CBCFR80yknLzeGF1Hrv+okebZNgIB5Vx9Fl2uuPjZ/
RYV9olG7SZRcey7lOOy3hU0DXy5XNtM91mb+RVyK5JGIM1ES3T58rKpCHmXMUsPaajZxq+qnXO1C
12p0P3CByxW7Sh3MQ5oo9iXqUmY15rlOYS1og5RtLYVuSWcW9pOlFeo275NqZeB+FyVnfUnIkqTW
/Ebi8u0PzGWKPyu3FE+anOhk2CUZYFxfVz7M/Ji3ZwoUHgeZL8OcBGrk7Spd7zSQMFRsjqn79ora
9zFXZ2KcenJRtwl9+1ubO1ctd9SjmYhh408yGDkIKgdThLBVm6K1HrvQ/92HMyJKiJBPGSux20l6
urKNXhEoi1/L5BAGFFcieGR7kcbEkV4oeii1nmVyC3ZOJA6WLox9ivhhSeVRJ2fHkMZHgUuHW+i1
fKCCR6w+Q9naD7TqmiAfdUi1yiRKgaVThgyBjarCGkSp2nETFuhsTEqbbjoG7C7uiMGhay3JcrUg
45FynbaZnKDQq+fpwdGmvZOl9a9YrXGFBgrin0rDD7ZZMzaHzEky5q49dKDREnvaCOqJfd7vwiaq
tsOoijPDxz/pKNpDV2jNBzH29h5Lwmd7VBw2YqGI7/0gO15T5Pmegf6w8zvjiVv7UmuRc2glZNvf
3w6vpObFC4aUgsbDa/FJhna7HYq4EnKsNYNn5io3m2M0wXOAx2kf+BPA/1LeYmnyuVYi/4npu+UJ
XcdvVTbFtZpK29MKqs42tcShDIf6MGHN8tC0IZSOOhieCvAlD6MfW3+wOdG2NPxlF6vf+ujQfV3Z
2HcVNGY1c/LPH5A/tDtuH6Qzh9gYw7DHSadXdiF+MVu2b3eoMkX+w+76VTYCfcpm7Jp9PFTKGlJh
PjfLFwkqH4FY/O5mxdjb9dOSGUeNZ6mnRpH1WZFqcM/WYJ+HnoyUBGQ8KJEoP7VGUH+vJaqUFhmv
WvF7N2jtNcPa19H64tdAzAJyhRL3DLxdBLsx0NSuLRrLg8UXnWSzBOdqT4Z1MYfxZbJbuePXNWiz
RZ1Gqz2qf6RQUX8pbTK+MHCoP2qdb7opyeFjVMnOcxmX+cOoZdaTVKfpbLIW72GIpa5dyCnEdTPa
N1PU7cwhoLRxRjirRR0yVU/1yjipojG/j5jefMiKonBW9vBdWjKjNUGhk53TS7sb/eZaQMuzsltP
Q7oRmaM68sDcRAcQwMqmKvtqpTNwXwY784yZNiQYY3A3S3+OHoB9gW2E7SkoU+6tIpu+U0AEj8Ip
sFeJK3kbVUq7Z/d3B32YSqS99e53G1r5D1B41Y6Iqm5UXJxWXsTdBUIDgQE4c2lwQPeVythpkZ7h
seUVaCrCQczNU6H2azor8zV0s7WYmszFNrNiyhR9iWnSlCySVTE5nqM2j12uSp8btT/DZVR+vh+b
3l6ISpEGIkiK5SA1SkMj6ULcTtGUzx4Rqsw3lh/Wh6JWo5XS/L46nR1/6L4wbX9tks+v9p/aHE8Z
bbTVxPakbkx/Z1mkPVODyt/MCuMaJ5rCSzKKr5qEouNQ5nOCmDofAnk0XFRn6u+SJEUgcwvzOKZj
ytUiRV/NXOqOkNODztVoKcIEMpw/77+hu7v8lSDMaFt12PgEwNtfPbaJjYFoY3t4YCA5KCu1awp8
zkDgdv0ltkfnUTKy8dNUxmt2QnctF5aeIdtsBPoZHIXbpbvcCCn0MNG12ynayf2LNVjytkd8rmrM
0I1Hf6379NbDWhz1uckDtn8Z0iojEFocS7bH6Yy3UyeZ267Igic+K76LsPPCi81sqXHNcFjrMN2X
ljwuPXQY1KBsZH7F7eMOVeSEcV7bXiNG5YOcodqmhehMTJWdP8Zdq+xF7Tv70a7QIw9se9oaiZJv
Mq0OcK8pSRuCsrv0RsWorhzl7wh1QpMR5oTGy9SmVJBlyKubYES2cSNfJgOPMSMKOwxTubVCf8R6
xKBm3U0QOY9NE1qvjIRgxyZooBuNyb6rq9GTcO8MaObgIRVJTYcHEi73XSrpboFzwuSCkhTHShbi
HE4InBgT7GHd9k9+VhanKOiaxwiTs01e9rrm0uAQm9Qexo3ZytrH9zevcv9B4cTPSCGqfvgoSyNJ
zOQUkbQxFoSSZmBm1MFlxCfqUaQTjlRGo8abhlf7QE7/qWwSZRM1ptiihdOdyBU/iEaNdiE8PHis
LTgBP+3rR8vXxU5W1DWwwn0s4reCUQD7SGNNWWpLKZ3ZSrVImH6h7PPDt7OdNsHpDibx8v5bub/M
GEIgGzR7zpDyLgV3hkkU4H4azVOmK8kqINXeso6NWnwcTWUlZbq/L1hgBo5yZwJWWwZYKx/yUEsM
7Cb7sHtS6sbYpN0gbf/zE3E585FopQPBWQJ9zEHVmSJImleOKvlX1+JimIY/Qx3TA8sHefD+cm88
FFh2RvuEchA4S73hUklbzJSYU05Sz5zTan1Gan7frnyne4ghTVqeC50xTBJBhyzyzTGv+takPvDk
IPhutCEA+tFHur+Wm8iVzeJBjEO0n4ak2iHhoT+rYfzh/Sd9zTNub2JmejNMhAweXNPSVzcZmqlX
yknzmimOd1qa9McpE/a1Mfxn4BTjNxh5XAlGlSeflcIsNyZd+8GB+d1Go/ZYqeEXYYz9IwyG9qEc
+2EvNbJ90JB73zuFX18DJQ/ccNK7k5/0NO66+mFMdLcJKnjatVps7C59iGKoOQmA7XxngaNxKxjM
2yoQ4TnKlHwt95oD7eKZ0WRhDsE9TbW8LJKrcCwrx2l1T6Qt0vuWNVySnBRLixPVCyy7/FJJzpWO
FBGPSQGwBsXqvr3/4u9KDbIB+HukWhTRsFMX7UwjRF2oSjXNsyEnnVrDwEkbeuVDntrtFg26H43R
ZHvQyp5ZjtpKqvJGJMJKbJ67UccDXFlk9rmiRqK3Cs1LQuOido2auHmGC7VeAUl+/znfOEpU3o4J
Rov5F2DO20tPscSI7X1ue3k/ip+Bk30vu1Be2cVvHSQ+I3nkLGjEJp4j4j+pl2QWsiThm+AhLw3B
JuklEI7cfrPQIiOkOrpYUpcjU5VZByP1/5QxvJ33H/SNm4imEHwKNKtINY1F7RZHkma3Wup4eA1c
VH18Usc0fTbpWm/GMk8vTsSVmOK8+v6yb7xfSAxzv4d8ehaIuX3yqamFTrfR8fI0VvaFEyi7oMDm
9P+xCv4axHo2Kxjh21VSJe3CqvUdT4J4ek2EfNGUIXl+f5E3aiLoYZzvmZ4/z0sWr9BoA6duB9P2
ikS7MiXEEBUCz1kLi+JSmHr5ouX6+Khb3ecoGORnI0yNvV9b9T7Rs/4UW0Fzbo1m5YK7P6gqLdXZ
iwYrN8tawnVLZWRmBC4L17vxu9TVzUNUQh/0nbyLNpHcIBZm9tDDI0LQWfJ1e+Uuut9X3K4Oy2vQ
53n/i61d2XKgxApVhY5v5LnP+nxbN7hfavFzWSPdnWVbmpZr0Kb71ByOAInVPG9BJGF5MyWhkO2x
VCzPmvKvSdwBN0PPIu+jF0a3PzSp61ZC0kIZDF4OXfqZb6vyiPNcYPHx4y5WgrqSJo/crD2MlSEO
hTMhWzX61aNiBnvLrpQHPRL5Fq5CurPxg9n24Bg2DO7XjLXusSczMIFMHYrKrNK6rIpkqegpUAnP
bZEZOzniksIIPkq/x0xWHupsLLwms5XfshNgCwy4ZJzirTMMQI0gkGufdRmJHdWf0l2py+G10DRa
SRr3+n8+mCpkdX4fiQqBb0nwjURayaVKTqnowryaTvaYtG24cgReG3i3F6ZKIkkAny8t8M+LbwPo
uI0UpmVekKd4vIYhHi6RaIZ9OjYPYZxmW6OZxl3Wyure0doP9YRxU6H7zt+VCPHGtuS6xE6ajTmn
g4uK0ZfQ5VMLSfH6UYlPQTTlp0I3KIBoIUXI2UuF/t0PR8SBszY+JLU1XoVWnlrog9/qoLAfnQIh
G2q+irJmxC35FKhpenbatar6PmqQWqCxT2MHKPy9jiwD31qKFNObVGn6E9ToJ+WdguuN7o6adQyH
6FOi1NP3HOmrlS3x2jy5/VqsPcsLI+vBwHmJrJHaSYt6ZzA97B1ceiKXptQKN3ZQ1JLO0/SrSn+X
3fArj2wXgNopM9uzTUPCzSbyPOgsmNgM0aPV1G5nP0QmogK4AtUG+pLOf5PLnA89exexBSC0aHDR
N7m9V8IwBxsYhPpTaOt/s04UT2kSFFtH78LT+1vnviaaqwcY8HO6A+9ykYfIQVRLadEjNq+gOlji
g7DvEyvf1QAudnPhvpIO3A+vWAtlK7A3ZJkOzIHbRzPkhoFIk2hPVe/btPlT/SAlAk6vSMxfauYY
Z7PMQref830jnp0m/HBHS0T/mJihhG15ZO2rrhSbPDLXkoY70TF6PRDF6UWwQWbI0Jwg/psvEd3z
UWtML/CfAAUUFXbxY/gr1L9KqbIV6C51sfnQZdkFC/Rhgx6PG6s/G2N6NoP6oZaOpo3k0UcJ0rFU
DK4jP1Xqo7CfzQ7EbZhQiGvbyuk3swrUAAp3qI9Nfugka22zv5H58SRk0RjwqqQMS8FVivspM/lD
gy38HFazY8FU4egWtcVz4Nvxtkar42trKvUGYariUBfSCsPmPiZRSSCTxcDgtVZc7CxEwFQniEzV
M3uhXIpEesZcftf2+qPSlaD9RP/p/a38WhssDzi7CuAzYD/0BRYpQaA0ZhUOAdWwkZ51o9p1DCpC
DGLiut7F7YsN2l+XgKTLYj+N2aYNgUaa+Skt88+BbG7K6WWwi41snEP/kuu+G0mFNw67Jg43dqMe
Ew3LIrzds+bl/V/+xkXCu4I3RRhRwUouvbhKObeyMNZUj7J6eAoRV30JuiHC16dWNtxlXPBWF+wM
XZIPda0bO1+oYltPANHf/yX6GwGaBg/HgANK7bu80gZVZHjKpTpychO4A/0hwjixSNVrLPqdE78o
0XPaRltbCo8l6pgcIpAC404yyh09o6sT7tVQunbF50E6g5w0qs+RdKgMJOvsX0J+MpDVK64Yn3w0
g/JYOtmxt9TPIjuZssT/EnhWVO96/8nvkFZDT9oNQoAQTfzLV41DqU7PcOo/JBk2H0bDHGSSrM9Z
6zzOygGULmsc/let4MWOog5+1XShwwLZ+DYemPlcrBad7FWIM+kSYX/yXTP+Ig39piX1EdZ1jD7S
8KsZNmJvoQmMrS7h8HfSvgyYTQWdRzdt6MN9EcCah0mdZ/KptbXvSPSZrpUlz+g5eBMWZc2nHG0h
2Ti+/0HfKB4Ql4AZQYlJaNOsuej/J6ShG4OoXNVOnh4a0yWUVCQPqBavaeGnezGpySGq8/6xzf3o
IEuVDxg9TkcXPnW7lQw5ebC6pD2FQWevkRXuSzQADGSSRFokwMylDH/fxdpYgAj2hkacIywFXWH2
xlGxE9ud8CWhuZs230lExz1JXPerySaxN6ZIdh0n/5j76fC1q+qVIPJW4GToC7cWFAODi9cD8s/7
6gfV16MEShu5kHKudfUb6W2I7m7uPHdpKA6miS+QVqlg1Og0n61QW1NZnG+Zxa6Da4qOEExkXo25
uP07yYmMXAPfEWjxUUEmAIwAjK2HKQzXEo172v/cZqGpR02D4vIdY8TwjdzpGn/0anvszshtXSa9
TM4GtLXHIEYgr+yhyWA9HX4LANM2oIBSNmwXTg/cwuk2ixJuxUIT7aPTqcoPRwqso1oF5rM8Ttaj
Jnx55V65H6vTSmBLg10izKto+d3u6FaJhV2WzuC1cnqGVjF4omHw7YaySj9QGG5ChHbNwdKfa3kM
H2TB4Nx3MLpvujg4o48oXNUOx6e6SgdPSSP7qTesXVtYzQX7onJHBXUIghr9gqyMr20j/QxMhFlW
Qu1bmRdqF4g2gQ+wAYzcPkbaTjr4tVZ7iqp0i0iCvwXG43WT1m6cQl9Z7P6skXVRJzPHAvJkLRMb
oHt2aJSl9jRIrbIpJc3alnX15/1Yc79vYf0wLiamUPVwod0+URyNUQEUNfF8Pcy80q5fRuEYj1Nc
/Ofaf16IESl9LewA5EWfDua73+lqnXhWIGVHp+x+V4lzjnoRbXolvmTk/m4Vp/9Zxgm4usEwEPIK
UFl23+3zdbkfO5Gc5p6wnOCzNhnf1DH8qBcxYBbHbo9xmPv791/p/Xebl4QHoM1WL3dcOh9WtpVO
Te5JgW1ekP1RL42xBo66z9RmBCD1K9UGfFFLvX0uude6FJUPch2gH7uoGW16rnm0s8xUdQdVHVwp
6eKVY3yfaMzq/CjkQFejGFwCHi07C3zUxgsvG43+wBUsvdSF3j5Vkf3DqfQL43GFHrQ2XnKfFsfK
ebjnBvAt/11+/nn/hHlhRdIUxXXhTXLldumznzxKoLL6Du/CHlss2fjop91RB+6etz9zu6OZhnZQ
lX0o8YQtjE8luXvcHKby0mGhRVv9u11UVycQOJIpL6Gzptf41k6g3kLNjaE9BKr53//5wY6cZYU9
ipKGMQrSje+oO9vJ14zi3toKTFyof7gCCa6LkyXLUKSNUC6QwYmDUyJCXk6cfR7tNHPHqK2u1qSv
5QFvrIl0EexxwrnNwy0+hVqOZj2ZRurN430T9Ktu1C+GlG6FNu6i0t9UaDu33U/EJZ6i4kPq2C95
J224vM8YAVx1LTxk/dqZuI/O4BJmtBFbEyDfsrM7TPnYFrGSeVHef2lMK6cjIpunSU9R1SiL1bL4
/iWAwCM6kw4xgyGw3X7eQq1KwTO3XtLp2Zc4SYJ9VdrTZzGqQK5UATc90aP+Ka5V/9TozkvGgf6U
iZJsyEJnsPLBmLmOGWgvaZOJU1RY04/UMcKP7wekN0qVGUBP4CU/QjzJXASLXBgAwaoCiXOSl2Nt
qf6l6TWz3uhm/HVwmquf1fsqp8XnKpKZfSonbNFz6o2VO+D+A1HYcnOS0YJJoxd5+8IiWwn6pAa9
KFeok2pSL+3b2ikPeWEwLVTyNaW2+34z65F0zKGSGfVyMAXisIxyKFme6LCRV9Oy2BmNHT2mlb5v
7EG55D26Aq0You3KG5/zmdt0EAwKA1EwePMERV+cSdWaNMnurNaLhWzsRFarh240pLNfw/BIm156
DoMBylDRIJEGpfeb4F/BSAjDm4DGb/vUWZPLeWO3Uh8ChAIUxSZYeqzE+C3KKUMbL21U80gm658N
o8y2TOnyb4BtnV2XDN/efw/3AZC7AkzM3Hg2kMxa3L7NGPRlLoaORjglqa3EFnY+aJ69v8p9DgNS
6ZUkgtwp88f53/8Js1GJ/0eVVKWHWEYNfjCtD7ZSyM9T6IiVeetbDzTzh2DnAhDgG98uNfvfjLbt
F94gyBt8MC30hKpp5Z59HUncbp+Z+gu8guDKe1sqWMEHpZzJZP8pqplCm2OSnUigLllqmBsV55pd
kRs/i1EfHjp05P44DZR2zaLCTqo427VMEXZSktYb05h+DGRG+171hQuFXkNLIEGlujDT3Sh1+q//
+iXYV5QlEIbBftIzvH09ldlYIwAK/wmLe/o0Mby93MzqQ1/Rvn1/qTeKPpKQOaGU+faE/MWnqFMk
fYHDlB5Ujx8NVd6LqDp/18cBLuXCdtyEyH3UZInhvT3NWoxNvbLx5iX+/UwatnqkXiZdu9kMafm4
zdBaVWY0zRP9Tmnf2yLYCWe0P3d2Io59nItjZ9S114XaJe8wT1x7BcsjraHkNEcYRI45W/oShSVG
YYnC7q2nFs3nh95Wy5Mog/3gz1JvcrTLIk51qOkTtXn8TbSmf5I66H8N9cZLIXV4ESVluB9D9evg
Z/0xF0q7e/8z3f1EXg2FH+1wtjGX8nyg/jmbThDAGRl1ce2c8nfY9wY9F7s6yUace1oFYFYTWfv1
/TXv5m+znRmNVHJUEk7+WiwaZGixwymPrqmmBx/6wIFfZEQoyCSMPO0B7jVyquFR0tRmM9RSdkFC
Pd3E5lQY8KCKtYJgee29/hyMOf+XnVBt3b6DFigBkDxbXHvJ+RmpzddUMw740mLhVebdyp6cn+1m
T87P/s9iiyNIzSxo11viqrfCfvDR4QYpgFbu+6/4/pEgLs6jXJJbkvK7m1XpAnUcOnFVGyf9aCc+
NQhfeVNh3XNUqChXtvoyxNPmUAAuksZw0lDmWYR4lX6O8DOeqg+Mn5OhxycjbopNOEpr1+SbK83z
G0pUbq5lhM91ifqtHcQV8xDbcDO0u9xk6LTJpXiMNu+/xrtA//pcZL2geucrRV48Vx/D5CTEwx5Q
mk2hRXvNnqdXAgnBfhimzeS3L0UM6oh2OEwca2cE41FOp32Rxo/jNMKvoCmOHdKGxMZFVmUfaMEF
NZmzCOKVpH+ZTc2/dSac6zMgj/t88VuR0bP8yHTENSxGFQJIZr9MjZrtig4dilwW/TYfDX+nF8Na
3fnWN2HQZSDlSDXLHPD2AGWxXVW43YmrSA3dVdpIexCJ77uBrGf/kXQ0PyST4fk5QaJwxd8uJU3m
aFQCGa5QWCket4O5kZy+X/nu94d0PqVA8thmZInLsaYfxlITdUF0LeA1MiyIScNgEu7f311vHVKu
BsozthYCJvO//xN7TUQOoSj24uo7/lMS+J1X0ZM9l1I/PAl01E7/n+Vmni5KFxi7LC5kgDuYnhSc
UWgeCJGaf0kxy50j2T/VRB127y92f6/wBumPMyfDcoBM7PbZkFtVi2iQCXNDZ7hDFP4p5RKprjbq
D0lqXyO1/vX+ivebUENqgRf52mEG9Xq7YjepRdjqPWNw3QRXnAzVHunP1u20sl+JrnedDhI0XHt0
mh0E2BlmfbtW3BkQqjLVALKh7dXa3w90QbeDXUNH7puz1DfS1g7tn0b+QQ3U4yAeE/2aD5/C9FpX
QA71swKGWQ1phybTXkiDuqms7BOuCz52Q83eTjSUpPKVn31XZ/Kz6e/Rq5xl+gD4zNv+nw3XF8Ic
HMpLL8Yox41Srd+iU07uGkb2Ni6N4kuEYqBrNo35pMhdd+4UVF4iy2lWdv4b34oiB1oupYdBKrD4
VkbVVGYUI86NvZnyMI/mj4Mk4LQC3l556PmZbu9ba3YQAKZAcKIMWYybkPE3SieVBi8LAxSbUA3c
D3KVfXl/890f5dtVFg+UB0VhVn4w0sa0waZrKgYOtnKINYZafrBmKf46MVw+1GzDBjUdU0FQ6bcf
UpEQ3rGrevSCTNlLtf+xsFV/E9eQCkM8Ac5l/02KgkurXLLoavbnqHwR0ecx8gz/og6/Atszoqs6
G7GOm7bsNoV5BSbnJcWPOv5ZV+e0/x00AX7ECPDsVfW3Pf2cWqTs8RjAnN223db/1iMvPjpnx0bP
pUH8+2tTXIPhIpyfvaNhUlDBuD5i77dxlA+a8SxNH2V5R2Ur9c+Ng15YdDDKv0536pXPyOZ3tCMx
33Ct8K/kbHIjdbvoaM46Qz+z4EsvxW4W/WKeHodQWOoflviTZX9TGPK2r5NmnMf6rKhfCufJbkFA
qdsMKWEJ/LaVnPA9cd//2ne1zeyjCdAUFWP68rQPlu/fNsQQUkuBHmwZUbaO8hkZfuNX4wzBQ6mG
AfLwqXKCLqFfcmB9Lrq71pqjy2uavNgFlBUzWpDMHYXv+ZT9c5zTeLAhc/m911QYWgr5HBXH0Wh+
YCFBoyhM/jAETLZTYvxScGqUlR/RSKcvc1uAOCVWetq5E9Mlqb/aw+9J+eMox8SGzyE9tfoPCWQF
jrKPcf4wNPso/z/KznO3citd07di+D/7MIfB6QaGYQelLZVU8Q8hV8nMOfPq56G6Z442tyBOwTCM
glxa5OIKX3iD8VUt5ActezZGuscoYziU7TZOhcsABogwuSnNDq7cC6qvJoahMeipcpIj+NdK+CRQ
OXUiSDo7NdfyazT7bcWqtI1hL9q5ymubDjzoYg4HyGEVkktVjsSZNk6nTuUjxUZT7ccZ8ctU89u9
GoPIQ3u4l75Fir9vszx9TDpFu42KtLxPil69bbvOd3Sgsb99YVOWwS4QvVEwzRfAyCJJtDDFmPbU
IEhbIF69U/vcdKiZ2dUCRPt4UV8elJi8cJZQ9lOsBQF6vppwnw/EKSoYDcnb3VR2OQTYcQsMcdEc
ZbK5pTn6FwlNBI9XW8eAnitLpQytPROOPidyewTKjFfoY59lrME+pJWmOYEkBE4cgM6cpb9iP/+p
F6Vi53XziNbovk5Spx/h3Cvzpvv7ZeSyMOu41albkDits8Eo5sfthLxBo7XDA0zY6J7YV3d60/jk
Y2r0SJtF+fvjub+8D/mlTD9ypqCRgXafzz26G5VOeVw8yQLs7NYKm10fFKOn6Fvx8zt7DKY+l5VG
M3GhuJyPNGfqHAoB0AUDyTM3iIA2Qv3tbD+cb4JwT2HN/zlo3eeP3+8C47p8deIOkEQArgGBLffn
m6NKyQrwRWE6nwYY4l8ygIrXtL8KRPel6ZRT1D6FeTVgfEOerwrCz6IV0K+KptJplQA4BbnevoeV
etRhwdtiWvf4Rg3Jj48f851Pz53KaUA9ZMH2r2KFCIePeGp09DsUv4Dc1UgPedXod6U6R84QabGn
9N1WB/Sdb08hBBQy2GsymrW+ZI6cW+0PEl+ErHkeJZOKN54QwAH6jVV2gRPkK8A2BwUJ/YYUai3m
OAkTUC3TArcix7or9SKOwfX8OS2TGdSl1aovU4NOl1WmD3QBbB3LzO+lpY17FW3F7/WYPClBX+/6
VlF+O0qDm6KTz/F4VCzWNDIZZ/mwGcv6RHsjQB9JE+xyLLONI+69Zbh0+17vl+U7r5ZhWpWAZ7Sq
PkXNDLIoDadrExE/W6qA0LWKoO7isfJEuY12BCO6GxkDcuB5fUIvQvEAZuW7ohO/Qz2bnXRxYZmS
cdx6yOW6Ob/WUcEif6djyExQmzvfK2bbgcPWu+LUdt8iRL+uZL+ur9RUG77lObCZPLAgQvqTdjNj
yHPf4sDiiVkZfuvE4WrIftt9Ullk88A3UFmgi0aGf/48RisjF67V5SmEmvZZ1Ybybjbjb9kYWd+E
JjYe+wnsvhCZN0IdpidTD/VnGc1QTAiHr3FU0zepxPT3r6tF1AdYIj0TcvT1ddW1GOB0DV3VNAjL
p6gpwl2fJ7P38YlweSnSGuEKBpOO9gOYz/N378BxtxVQ+5NhZuFNN0co/+qTubH6l2W3/uJ4wAIW
oAqAfMjq3ElTkA5iVVSQ8cmJIFRWXmVqs6sLIUD7Mf7NJsnyQRmLejTBowKY9fylBs0s57GUixMO
Y+212IkEgYOx0Uu8PNY4Z2j0ErssdizrrSa3YkD2rZcIdQQB5PLmoRil9KeFCuPHn+hCOo7XofS0
tLG4thfps/PXkaU5NFLBak5cZAh5dJJ/kI14r8fNtC/QhfhV1vIhatvpRz9OkQPUtXM6WUlQi1ae
YiPf0ii7wMwuD7QUqJYQBzEocxXilC04jBhv2VMTDodO1WwzLiULxkDnQ2jOEtEpskF5DNnIbmGJ
ntgOljuLXfcV88WF/alaBQ37YrCtEO0aCwXeG/6uaSdZ23vxgCgud6PW/zCzuLORl5ye+tYSj00R
1Y6YtvVsh0oEhC7NlL8+nuwlPDhbqXR0CE8WSDd9Uz7u+VyX3Tij+DmJJ7EBwqKGc4QcYGFddRJa
IVlmRsceROZTIZXRMRKF2fl4+MtvTYsUyTSa5epCflsX5sw0rK05TqVTOmbJk29ahzKex4OfKjvQ
liDe+8bfI/n1Iy/jxNGKXncNLB3kGcu8aR7yjUbgxSLncRbWEq127AgunGwCSW9pMGXSiQZ+epXK
QXgzQQF8rjJ/K+e8OImWoeg5QrxjfSGBcz7zfhe2k2YVEhWGYr4XNKNxRpk++ccTfBEeMoqJVSt1
GdgSsEnOR4FekIZI3IunhSDspHKbHZRCGtAcm8YTW6t+rDSt9ypE1zeuvQueAM0gCrtksdTWoAqs
y9cAxqvetNrmhKsz1nJZ0nwTcApxx2yQr6tWmg5GqH3NRcCIcRGAn8Tu7zR1ofk4GfjK0lDusQ8J
/McUwfFD2WP5W9TVD3Dr92Tqoi0lVns1WWN2EsKGe5zSzN9qunBOEEmUDyXSWTtlxJp1KIVdCUrC
TXNN+E7rRN5NvbVlPHIRa/K6VGIhrPIvDZNVIJ4WkdVjfE33saqRRqWG5Roznp/xJGEWoFgd2lZG
st/4vMvRfr5/GXVp0wAnxBnowlHTmM0k69XmhMjfHmSH0XzRqAIKZQ9M2uuIrSs1ceRin9VPaOPY
w3DVQsgQ8m9BDD48ewiaxl2O2VJVqXc++AOiEXK5aKAdhBg/K+u5HORd0sZuWty1oYALwg4J57Cj
AyJlh9JXsLNEbCdqHVNNvEBm+kO0D2/hnQeJ5ght4Yb9sIuNeAcb72CkgwcX10URLwOiENbIfubh
YVRzr4lTdwkU02RwUv6ar3nJeGjVANAnkBUwxqanaPUuN/HE5r/BIOIEbe7UNHJ94QiCe58akpME
f4k8zajuO1neN/60z6iTICJV92HMxQg9/uOPcJkCU+SgR2aQWy6143VbOtcbkX5VLZ78brZLYcaD
F6NB9NusG0GZgtPEbO1HYjFX1tMa/gsSjzgvVleTbvwtKFVxTLXccH3aFA6e1YEnwDpwm9pUbknf
toSFL3QvQJQj/UW5izXD0b8227AS05eEVKbMpLXFIS+j6galVonC4SBcq3Mg3YViGtkhsG5pMFVP
rFvfa1JFusb++jswh1Nu0CZfBGUqZ07iYecrVn6vZPPWzXt5RoIzoM1PqZfOA73I89NLn9VWaSbw
UiUVA3fKxmA3yUb18PH3e2+UhbhAw4bAk/b1+ShWKWo95MAOup+JnViBGK4uotL28SjvXHVEM6DW
kEdaymLroLDu8tAXlaa7xwrJuKIb9l3GD8GuM/llFOH0KWqG92O/pzbnJHWDiI0Rzxh4B0l0zfxK
GzHqZfOA5BSUAG1l0if42auopshqrQ6EpLyvrVxxlCIZTmaOcnceBdouqsJnfIp7bwDk5+QFoZeA
/LITJe3jx/NyOfsLlIP5oOYCBX09LVoUjDHeL/n9bBnPlopJcxmIxcY1eDGIChweBwyknOgzXzRK
cqsJMPyIhdOM8OYNnEQqgM1YbJzGF8HUMgrShix+SEokAOcLKY5Ypoo0CSdBLWavTfvS6/SiP1gl
WAjTDONdFw36UZhMYw9GUNiI0F/1EM4uA3zLAIcuEuWUZ6h9no+vyHOuxNqg3WlDhCA7Fq22NOJY
UxVh4JJ5qrC0qBXaVkQV35xQUIuyX5PVK3aUpNhJIlfWyMnkIIrzNe57wESB0GOxWBvy/WjFxsGk
9XydNP1gT7i+ex8vhIsLlOwPXhfiXvjOLFrA509fjFnWtq2WnJKsklyqTzmcqpiC0dDuayk66lEn
bu3Ji+sT0Rnu6kVPlk/Glzsfs1bHmmmkzZPhpOS0WJrcDzHyIcZYqD+NSImOY0F9Wppn7RZPDLwu
fb08NnNk7ickHp2PZ+Ai+qQ+ySbgYYgK6SGvqhkWOvt+Gc0lfAv0gLFqUr5WiAr/LUyCurH7LzcE
zTNo87ChuUsuMtRw1FQ/EYAsVEKe7Ix+gSwhpbgxykX0yayB1IWJsnxVWivn09vBcZioFcQn3+jy
XRzihZogYbZD6jz4UmVD9DUp/HBX0/raGPnydEMUDPNQnLfgOi5Z5PnQyTj4aqe35akbWs0dQ7G7
xYUhxoMw3hXqmOwCuJ12nYbF0cDnoEew0Ylztf/r4096eSQsAkdcuIBoKMSvEWO+Maj0a5rspGlg
RZAVafetZjhSPA0PZTxNSKHT5CnUAZllv5E3ZuFyS5FUIZMPgPJV6GMVkw4yThGzOGQn6DWhnUOa
2qud1rvswE9xn5heLsVbvmqXNTkAEJw/pkhWQ41lXZFGEnVG6MuU77i4VI8AtfSI9MrMbRM1+B4I
YnYIxRmSf4HsqU3ZJ7SLsUOSPdCT27xMZKdo55IGpCL+0MqOTZ+UiXKtpKL1u/ttYVcjiwHDmqYr
0PLzNRLPeW+W4yjeqYL8mU55T8VJRb/H7zeun4vvAEaDJAiIC2VaeN3LbnxTLRcyMBNlwUCzcDKy
7LuB9WReID9R18kXP/O3+snL7zu7CJbx6DwsBahFgX+1+OdazWva/eId9NPWDo0xcvQgTTfe6uK4
WkZBNppch/Iz1dfzt8qT1EcwbhDvBCFDCxt/uKPMiW1TZp83KlyXwRNjqdBZXvlsHCSro7EcIynL
5ka8C3X5UVnAtRi8JI4KKupF7cZ+3zfirV/Kj5He2DJY+8pO6sDaBxkd03w0f328rV+VqtczjIvA
goaluUDoeP7uSmfW0WhV4p0ZlJOb66HvIQcSX0mF0tmp6Fv7WAyTw+yL8d+ljjumDS85/GHJs4Jw
e5tZHqZazb4OjNbGfjzf+bQq9rqZVgfUJn+NehoegFAKezHRXvwkKd2qlieOKUG51oYku4vmInyu
dH/6VqPffkgLWbvuIlU/VXkrOZznWLCqfXXDRWY9SXm36bCznN3nM0AjE4AO8QYsNjzkz2fAMIo4
7uQShqHU6a4+QB8feukhiWXHKgbNZUzdbYYa7T7FDJyqFqqNgOGyX05ZAb8moi7QQUu59fwRfN2I
5SCHDyLnwpWiCTedEjReVRvjdYZe31UTps/D3MfXuYiOICaTJdyDWMFvI8mimzRlQpVglva40/Z/
622qun5TY9KcQsGPy+BQE+TsY65sryL68QZpFG8aMyuvqkhpHVFAed+ZJ1iV86Tot7kfqbZZZMKN
pEgVnos5Z72BblOU33+8+t45YhEHoU6+aPog3L4+T6pRKOOuSmDZTIqwU1Gj93WlQWwjkiqOy6jt
bjLBqt06mQ/pMD+2VeqmCva3Yt9oxyymD0sQ2PqP9D8tl6LGqTMHZeN0vTz0eEh4IKRVxBhcBOdf
xwzAUtVmI4AXV6urZgqRTUxhL8UmOJWojke76RVx48a7PPmo1NJ0ouRlcfGt1ffiUhjLhZNxqoJg
fkQ3rL4Vw3irxbes7bO1vxCQFHCZiyYIImirexUN54qXQERBZP3Lkzp4xTgkXjvEFaDSTR+Cy9OP
ogIiXYRR1PeBNSxv/eb+MHVOWi2dpFOclGh8l41OTaQbm2/FoApe5de4EyjR3dRI8jFWQs1JCrTj
ZWFsXDlOx0egb1uh3cXXXR4JQS9iCw42Girnj5Q3QiQaE2o6SNB949/MSbMy+5kVQFUCVYw+T/6W
GPvFt30dElQ7Aj7kOa8aum9mAZPoUZ8KXzpNkRY4LdKnbjwWw++WgFFCome5CL3SJKIofv5iooh0
dUJD9KTWUrAz59T81iHffsiEQnn8eB9fBIdEZgxDJ4oJhC222iFxOcRIDyOlJ9ZJdxcl151VYwZo
WULqIDCkiA4tdk9G8f0KovDG4JcoGYy+XgUkqQbRblnjIubELM1Ib7PTgATeHvlF/5BoRk1BQpIg
b2JxJXpDJT6JZlh6fZNKOBUUvZdRFLfLQfOdINCnjSP9MmxfHmqBX0BdJrZY89bNpBe42MPsFClq
c6SoLbpFUVj7BHMUO6FpdOxF+VOojU4ixig3RcnBl9OtsuolHozHoDqySNyQRpBInC8CBVglJj9D
esor6XYSo+AWvU3FI8oGzCRVhZvC63CtTkzcMcfgO03yjeDqcn8RVZA6kDxQTbiwysjmIOFq6eGJ
d+qjqgrBsY1RzhLCsnXR8/JSpdra0u+8NVgtQNLwdESMctQl4HuzwVIkO9smK9LTVOY1Uqyl9aMO
BRzp2oTS5WCKwDuoHMRUzFikTeU1o0WR4ONNcbnLzx9iFVdk1IiSuu7Sk5BEwq7ShdhLizj4/Nuj
QPCnx0ODFiL+GiKWtZYkJFkcnuQhBGcnSoI75BCZPh7llZF6flFQhqFlCHUbIUBqruczGk2iWrVT
Hp4Ca3C5zO0s+ZIqkQtfaTdq3yz5PtauWuWLOuSOEas2QFrbSjt3ErAb7u4Mf0KTOcKrULTb6Fme
kzslv9LUly5QMY1/lMPP/oizRAL8shscswFqUqUHIvOdmQ+fIUPdmEH/pax/FPikeXX5F4rHv/+9
IAFyB4Jt4CJYM5Mh/nRBF8nBCV+VazMTZPwims2IZ8lY1hNpAiRETnAhCqzjbXRmRyKUKjwliNcf
Sm0yHB+W3mGyil0oGIGHTUftDGZsOQZ4ukOeypIN7qLZ+KLvrM6F+QXGGfwsydzqdmgQ9rA6NEZO
Qx8rNDcwHBSXCunH6+Zy88MvY90sJwCStetTsOysPoiMPDjlc/00iLP1WDVG+yRwUOGEEhmkOCzg
T789KOE0KBXiesBb64A+bABRhSbyQrPYpMcZs4hrwOV4sPjjLk2E3iUS3XI7vXxRUmImklQVS20I
7uf7o1HHkK5wm6OsAkZQ02Pti2jOrWvmo+SyjILrqMrS/ccv+mrFcb6YGBVwEkATEHMoVZyPamX0
0aqpzk+tdZoL35FCPA61FNWxzC5gGczDroOnnT+N4HDF4SkVyOZUzx+OpX8oqVXpyV3bHRFvsQ3z
oY9+qJXl6NN0SKaDpOBQAwUMflZW7JQhtGPlUcpulfDOsCgDB1rzoM/SbhLBrTcpOo+NHXGtWlG2
89ts3yCX2Uut2yKZaTTJcwb42ZtScLNmLURO2OIYNNTD4eMpWTKltzNCSYIKHY6zxoK8ASR5PiPG
zN4Wh2j4lHM5HCoRb7QKQ8iDUIgKvTl0FFqjN7ysU7eOyNeo7Wxo9G4BIxG0L54OlBLOhzatLJy5
lNJPiGXKdosI7WOXave13AZHPFxooQXMtW9mvqfEbG+9G9RD3IImz/QJyaw+k3Hm1aOrAtCAkyeZ
tas4Mg0MXB/nDOut0f/y8WRd9PuQlyDzNxfpQVbRhd3jOAZJqNa68EDqfUBIpbwqgEudyjBtPKHU
6oPQNW6qiaUrDAQw0yianq8K0n1sRtZhbHE57iip65OM5XgvKY+T2dduWwTJfSbH8sZyvwj0FsQO
pHwMSjhBaX6sNlkhWFVn9LXy4EsBiYKsNjvIBMU3UOY/BL9DiQwhA0eU/eI2mE3NrnSrc1Ag9ncV
VlUO9xVliHFUN9oV66MU2B6dvSWNXVgcVIrPP3xSzEJhFaP84BdB6MW60LhdEPoblaN3R4Emg8UZ
PHy6tOejjGUa5sO82GlMUbnDgo9tV1Xt8eMl8arE8nYVU2QDeAW8W3nNHNb3Qp9JqdSmgvYQS1a1
02t1ckrUXuFEi8+oA1wNiZJ4iZk+6YtOx9R0Xt7HpTeNCP9aZlt7RTYmByu3pCsEV77WOPnYXfgY
hlGIXLL5OdbE0e2VvLiizq5zOpABoa5SOXIghV6uGtWN5WfaIQzL3JFmIdlRnNUcVcwM1DtblN/w
qnbySlWfzERPHTUxKi8WzXTj5rrYzkwEs0BHgcOVOPR1Mb6JIaNymK0Wq8AHYh1P26H57kxOf4w8
yvzXo1Pchi40v1P5o32JHv2NK2xZMquvsCDsAe4s5UiyxPOPjdhyK4d1Kz8A+DzA5FRrw9XVvUS6
8PH3viCMvb4mqAtEqSCjg/Q+HwnnRTNj98sP5Y251/fJ3bgrj9IOtrUdeJIt7jJH2Zdfes940PbG
lejm+8ANbWH38XOs78/1Y8jnjzHqXRf1YiU/oBRsa8jBpdoPpdzXsg6qdGONr3cSsTK4liX2IjJB
TmT1yqqyVFNCFNdGKdduDTP40uSWtZF9vz8I2GnKelzMa58LAqqq9tMM8HSEo2IRxZEHijXaeJXl
gj9bJ2iTAIGg17/I13H9nE+bNoTIuc5lftK7AAdn+NZIQhfBws73XQQzftAayO4rMHOOkMxbi+fy
HRcs4b+rOZS116w9isMTXFRGr8REh0E5FUuGtWVeuRoFsNeCMsCDd2mvU8JTzt8xS6n8ZIhPnKjg
Zp09A/M9pCTUDx+vwFdpjDdz+e9xqIGjA0ItjD1/Po5RI48Bti9DoBH8Udqa3X4oygc5136Jsyah
TKlHkx1OCEbBp/PdadD7W62MSg9DJf2AXmHjVlI42GIvRRyRrYuMIIDOQQl3qpjuSf52WRy5Ih7L
jhUYT5KR3MZiYrlW1e4mhVJ7YQnaRlazCoj+/Vb0huhjLeDstYzCBHvcb3PeqrKCh0ml5FvzrTQI
oTZqPpGtBmhVlpJo/t6Gfh1XpUvEKU5URYv2fDYnwJAGWuYUZRpJ+5xmaXRVdqR1rZoFdloZX5ty
yxb6nYUCKgWUMkU1XneNWkhULpOhitJTa6jhwZ9mkysfitTrOvmvn+P/Cl6K+3+viOZf/82ffxbl
RAM3bFd//NepfMkf2/rlpb19Lv97+av/73/91/kf+Zv/+c3uc/t89gcvh0M6PXQv9fTppcFc6HVM
nmH5P/9/f/jHy+tveZrKl3/++bPo8nb5beiO5X/+50fHX//8czH3+K+3v/4/P7t7zvhru/ol/xn+
8Vh0bfhS538857/++N+Ya9Q/2+jnHzf8sVn/spfnpv3nn4bxDzpHhLvEkMw8wKY//xhelp8o1j+W
OuBywi6E7tdGYV7UbfjPP8nt/kG9gq3M3+PwfTWWaZax+Zlq/QPcAJwyuvm04/78v8989ln+5zP9
kXfZfRHlbcPDsMD+Zzsv+mJcnAs7DTIXZ9QaFRTjGtMWcxA6ihY2T4liJLi7SPpzL6r+LlV64H2Y
r3tvJu4/D/F20FeE3NmoNG8odXFtMzwnySoWpFDtp6QZsZMmnVt1d5J2kxp/1dbNHH9S49zp64dG
/lS1sZcttrtW6krxU5U/qlHi9sP3ThvswhCPWf0XXZ4ddsV20h8QAUuN8ZjReNC7BwgMu95H/FAN
nCi+ka2nSqIB3iQ2wbBtwTRQm9GZunzfh5JdioRH5V7Gx7elJvrx664QeEzy6nVX949Sc/KhhBE7
xqN5G91Vdmdn9uwKu8KpT6WnPKRf6tSWHNm2Nm6+83PtcuRVtjWMsyD6YHloGHWdDWT25NffAin2
qjz6uxu1o9r8vfGyy7f76Nsul/GbiLDQdJA9CkMCnPF2lbdrXZqzdrrT9v6hOOLyuHv8eMiLNXw+
vWtK4lQUA60ERgyJO9PT7Ki7YSOteHcIAveFc0ERYZ1TSV0/S61MMXQ0fs4mQYp2H1RouBVfsvj7
x2+zgnX955u9GWu1WlKtNqp+KbwGdznNn1/mvvpcH8brYg+B6C54Ca7kk8qVdJ0/hPugtZWnMbaH
rx8/xaoy//oUi/kYTCaqI0t8dv4Z1bTp6jhOE6dB2VdyEV0KkZ60+8krdTsM7Eiy5S3M5DtL52zM
1WrNpFoXsWFjTLKnHtvavMVnIBjpNhXJvNt4w8vRCDipe2kUaonO1u7UlKCETEAX1zEKQXUCOR0f
AguucjKFupsXinIgcWt3+VxmtypWmy4QDPMZP6ju0FRKhXF3051IxeUT3KnkZUp09fdWHccjoQjt
Pw5LNH1Rqj3/BpImSJx/EVKaWrg0tEV6EFbkXyvCBKDPF8BB0yfZODLO4wNkHRe3Q4DC8Ir4BxjL
+aCilFmpJGc6UvBaY2dmUO+Ie6LDx7O/nAJvTgmw67wTZVUqFcvNuK4GpBMF1chsJtDR2HOAWNc7
SuB6rj3VIqSwsZiMazpT4P6TWjciqq76Vva4arNy7y2BMr1qYi9Qxxi4nL+pVAKFlGNo8zKtMU+T
UotyIGGzisSTratZgXV7+SPU69yJKqu+jkNKCkkkTY4ltP5V31EX/HhWVscM5QQa8EC0wbCBZKNO
ev5Ec2G1eYD5yK5V9Bns2lxdx2VVHdXafFEgMx5AssYbl/FKzWupYTCeuKRG0J74ZzUNhVLErZCH
DDqN2WOZdeIu6qzksyHHySFUlDrDp2GaXRWPBGJirNxGOwJ+MDkm/EXVRnx6i+W8ak0tzwRGmbVI
WgiYTVpLjfayGBZDNVe7EKkkBHym5No3eoUqZe3vRN/8lQwUUgp0maQAC5fWqvSNROdyWgC10es3
IbNibEyl8vxbaLNfwQGrkAdkiYQOLRuJVZH2YgHCqgg/5XosD7tZg1h4KMsZcEVYV88GWsg6pt3D
zCk5Vv5fHy+QFQWYiXll5EECQayLf9aprBoMjdBXco+Pt4J0IYXc+VMMjPuQgzr8ZGhtVNmi2peU
04Np/IkhgGa6qaFMCAfXdXxvZlkm2YNsCNjnVfP8OZKVIHI3nnJ1tC7XJCqO5qJlRf0ASYLzuUOx
rjUGI9cPnAH+DZ6E2TdpSHwbMUX0nvpJ2iUKToGmEVDGgGp3pB2Nv4rZWg7irp2j4o3lzK2GSlSZ
gBRsu41i5Hrvvz4h9TsoHATRoKdX6XIyKY3R0TU45P5kpPgXIIrSRiEO9XUp235blp5fpyWgRV9B
tw++Ov68mRcHpuSEKlw+0BDDxo20Onlfn4kvDOmQGjn6VasVV1ZK2wKG1w9tPLcOKiC6U47SFhR4
OUPenLzLKAs2lcOdFJAS6aquI7ZaF2UtivTwEl/Emu7LoNTU+ikwbMW9yySeDwXnlrojPEqEVi5k
NqWmqsZKS/zDVMc/JyuKkd+QQhpLWN1Haa4+UcatnjulKWy9TWrcwevaQVPWdIYRfxEDcdONXb2q
Vy7iWTQ94D4uKAzsetZk6EHhEIOH5h/8to1/jamiPliddhSDVHBiPDj2HPLFdRq21i4XavmzRCHD
Hvgeu3GI0KT3he660fuFrdGbrVcPbX6VzE22b8HHfaq4jj2pn+vjxxvq8pvx1CCBSPbIm8R1gzDl
+jLRJfUPXW/MN1GECMzYVeIh9cVpY+8ui2z1zSiBoO64uD4CClgW6ZvwXUsCSx8jzToUpdo9mXUc
xLsKtOG3qfTbGJkrI9vLsZQciomK2q7OY21L+HnlZvD6kUiKqa0vbeZFqfX8GSa9S5KmkP1D3gzV
12Lwkwd1pJFWhqOSuCkwc+zkNfy9nBYqz6+crQQlTS1VbzZFLNKxhm8/G5gmB55axEVoKwZyMP0g
oAwTV+GIsKGS4ijft71y0/V1/JxpsVYcjIwmzr4wNAi6EhpGG3nKxa3G4uOWXTBy1BgX7tH5e7Vo
ZCCUzHv5cAN3Wbd0tQe/PQDu6zwtS/NdVhqx19Cf82ABp24gG93+t5cSCTdQPchA4BTWG0CH8D+b
DRvAGo1+F5XpvPf7VL/O5GQLEbiEp6ultMgAUdxaDlo0ac5fNxZ7HX1yUTiEqa+5ndKHLqWGBiXL
0XRH9ERQXcTHoy2M0vn4Jd9ZxAskcCmgAJwESHw+cgoaYoqTSjg0Yl27cgcavcCwx8FARPKkpMxd
IctFL6sgDOBYXWwcfO9s1yV8Q6qCGilmJav1G9VlmphzHBzLItBu/G4S73MWny3ABdl403XEyJI6
G2p5lDfbdWzDTDSR5D2yaU06ubihdKKe7ibCOrfX/M4tpDTZOCPefT+4FgtF79XM6nzQTOm5PzrE
8NvA7L22Eb4aHAO4gw3lxkjvvh4Iz0UqwiIPks9H6kNZbs1C4vVIS1xILDa3W/TdmHv/Ssl89VET
5x8fr53L2IXDD9QRzkZAD5W1nkuiTubgV7wcgiowuAzhh5FasFDjhESISHTjDd85FJbx2Im4C8Cg
XhPD4UvoSRhHwXEYmquokb+Mc9I9AzWTvVHpiSLlOnpK/DzfTVpR7iJusI1HuJxktB4X490FWK3x
COeTPM5pbMHBCo5KaOZHwQQzlMr9eFcbSxgZlb4rjnO2FYEte/D8dGBzoFi1xPhs1nXlcRibMtXx
eDkGoz78aKUAQITe56geyDKwqLnGDsqu5iE7SqKghXZVSMJ4RCdPukonS6g2JmHFX18uHSqwGKQR
9APCA+tzPguc12M+J5Z1qEyUGwe1gbdSE4vqYYWQP8eJ0+S15sp0fY9WE09XSUiipgcCBq+GWIFM
SP2HLEEdog2lAhZ6011V8TB9y4wYLb1cbLxsVPTryI/L+1Q1u6ORJ8kxzacRrnXcHlFzz+6l0Vdu
20lJr0QlAlQy9NXVONG3jczW2IgqLr87ZyNUoCW/oh+gqedvPKhRUYPFAKLQhW4t3801gAztW17d
Rf0WtfedsZbIheCWpIB+4uouGGG51llNkzKKjPC26qxv9D3Ea4TSUcko06dm3iQYvrOzAGyBoMY3
SidwWpdPIuQP5gCECeafiIhISnDQ23DEThynbOQ6mgOCu8iYW1bimq1i3PjF5G9M8eVhwiNwC5C1
wQciojqf4iLCGWWWQXMmJpbSkm49C10VuPo0y54+JFt6x5cHM1oWTC5NcRDTgHvOh8tzGKElJplH
M5+6K0mIqtt5lPubdJraDbXiyyt2aR3o9AAJpC10586Hmtqpm4YwD4+jqV8FhV8jvJcZrqpC3m+Y
TYJ5338EZaS7lTrEG6nSujzJbl1qVBxbIHJI4LTVxMKEUoR+FiKuWFgZ+RSZxypQQq+wlNphvc+H
ZsqEv5o+lTwT541TXghfUec1rI27/nJhA2bh/CZvg12N1t/5PJhprGUjRgjHHCkEPa1GV8qE+XuX
DsptHSpi78TTlhnasjHPj85lTAQ+dHCJ1CaWb/Pm0vfreMAdxoAjq6SR50txeEv8Omys3cvFhPav
REMZoBatwjX+vkPUSMgrJGGGHG2JVK7kg1Ij9A/FsN0odL6zmJYZXKgjeJNzQpy/kFUrgzoYaXxM
iwbVWl97SkU9uUYRRjxI5FSO2hfpTVyKCGHn+Hr/7o3PixIoyuSFFD9fC/JvprOUii7xzTI+whFP
vdGvil3la5U9Fspx7o1mY+e8hvnrz0doutCoVMZcn0tq2w7IPqAPHYtK6A66MXqsG8Gt8z4PbL+L
misxqOMdN1XiSGYbHsK27e2qq/FEFDuUf7so+kvs6glmU2EcplbzXUJbzBkiqzwWAhaYc1iZ+1aM
gz20/vHWnwUMrCjEPmt9+6DoTft/uDuv5baxdG3fSt8AXMjhcAMEgyQqkbKtPkFZso2cM67+f6B2
z4iQRiz3Pvn3VLVd7cRFLKzwhTc8fDyH7xy2s1K0BB+dEwEE2mIf+LEU1G1WRzv6nxFmEBhgmNgY
2YGX+UgQV5eAy8SLfmjalTnwhwNg6TNX+EuBZDmxmEVwp5E9Ir62OJOImdIRl4h417RojQyUuVeF
PCimndfSZzCp0Y1QQlCmMJerW+AzzRWwBfOrJHXjRuzMYCvn5WPbp5NbB+g41breQ6TUtK0pKAAT
VeyGDeLsi0wiATWqsL3zOhOpdkFQM1vt+h/R8DjUYUW+6aOnolrn0JPvHTaoyhH0c+QQfy/O9zIt
wijAEBrRXTVaN4WUuVM5BpiR+MoKHWscSops/Pbxq33vHAA0w9EG8xHW/Pznr7aHKkVChwlHtCv1
VrPFfMgp/PbKyqq0/Ew28/a6VKnHzzRd6r4GIMbToUK/bqWoqVhEQi4hWiT6l60PclZWhmGD8sg5
+No7BymCGOxAbl7E8ZaEdSuvZo0dFq1US/pKUStkUJAXPLMu3+bBPBViIxzaM05teb4IEzZEgj9F
Ow8szJZ6SeAA9+2dOiEDb8TMuhbkPl+xgbwzQfa7zzdT41gyOl3+xXw2ftQVkWxGu1oyIcRLQv4Z
z87qDD/xvbdGd+pFfXY+0Bax3Yj8KeUOgfNssCQ390VvP46dsBUMIb7TvfqccPL74wEcIGWZs/zF
UYO2SVr1LfPZhZELRidfywC7HFplEDKbc03J994ekQYtUOKq2ZrvdE3GAEF9y2A0o5bSS3QD4hUE
3mk7xJNTSeNeL4evvuDn7se77t2HpC/GLqdT9UaqwqIDVHmZFu2CQoaVGhnl2peS1va9Udgboajd
/YPxYIbNw2FhtWzINWWmWmkXYPxRSMDUpyS78iJeXW9R3Ozy/hwZ/50rH7DajAWeb16C5NNpVbIk
N8OSBIjKp+D0mE5sh5rYsYF0shNENXctHMuoulrBtheF4EzE8c6hRlA+8/PnIrC0DMzRF9K5g/V4
V/Bs3LnacD1E1Z8DGhLbjyf2/ZFYOrP2CJH5YncE9LKtuAySndRFnuuHVrWtQrrnFFLjM9v9vUv4
xRpgVvhArHd5P4AzHKSaSvQuEJvgKVamcjeOpQFCPsK6SG8Lku3M3Pf55DlERPVXravP6bq8aZzN
wB4iAMTg5vItnOXTN1vAwsg8aYx2pO2eI+poCRGsA+dPrWkdGB1kNiOVtqx9FKKzIHd8XQlYBl6x
Rei/23w8/SicMN5pVADvkk4vuggw64A8nn4fVYAfLJeTsA2jUpLsxgjyn2mjSjdGbgTTBqDTqG6b
Ila/J1XilRtd9fqroey1x7opBirPunTQs6HaN0MFBURqB/lLJBjdhdZ3ymfYwLFojziX3U7mgDu3
GAdjYMud3+3M+LFrsnvqGS1OE1Nrrml5pj+8MOsHFy699ogze21yjEQrskc034vpXm6l5Dpr4BaA
1RfuU1UtbgUliCI769NmtGNNHBNk3ohOV6VH7cgOfRxekdLOmlWHV2R0pQY+Pgy9AKNmXdGwTWwP
a4FNG5UFwY8GEc6Oo9pkUK1JnnMUdD+naciNmw5t/2QWY7I3ERL8omLXEqDKE9CG1nvFs9vWoFmP
vFkqrzAC1q/ESir2QymjF6dEQ/pVrjkNq4qSzob2I98NebM2tkc1qF0sM6xv5ZjXn9MJ/cOVpKVY
i4R1IxwavjYKxrGfSqspTKXHVMz8QzvkIS4AjR4bdik24UGgAAY3wRjNwZ5aEJmJFGlXvVn8wOb2
s28IhuYOSSZ9LZswG7bySBf2mpJ7/1QCfXdjEdq8Tbk4klZ+ZCjbeb6NG4Rw69HuEUy8NCnuZE7a
EoM54aAatasgYv0Fmmr8ZARy17g6N82jmhu9j2uCPj5aUqMbF7TAVcTsutC4LqYx+KbFoWftKsGQ
dkJVKRleHV17jWdtjRpT2mepjbVl5W0yLccCfuYCIGacA/kR9NbbW4NeHby4lzS7AgghuYPgTaYd
tpnBVSegMLgSQms6pGpIE7X1chOuAYQdNI2DLntIlQKpKxCgzVYN8vy+B8q6m+DQrlBLFPe4Bxf3
uMdS9fbakhaE0XXdXZFNJd2d2oobO5la6Sh6nCbbKmmjq0msxFsEjVPVjr0BNr8uCPFgj3ovBpsi
FP1tq5fK6Hjp2Jorqdb3+agPz1mJ7JPTqIbX2X5fNuUql8UEcUQtFb8HkxeDYZom0aQ+7xdf5b7o
nvw6jizAeHD67LoSi0dFC/Mflpo0B0Wb2m+TGEoDi3lQVioa73wTv49uosYfNaceNe1Ja/pKdLyh
FAuM/EyhZxkGgAEHrTqgoGCGtulxfDlZq+nf6joYU5jXQf4tjuI+cgUg6l/lGPHZkLqjYitmWKSO
H86fk0QJngnAhdSd2OfSk0bFNN54/WDe0nnyZTuLczVyYnKbFQQM9XOIDttFVo4R6oahhMOA4Gcd
fu6ymv1p9RRYEY8IsbYowtEPXUXGMibg+sjBU5SjwgKJFc1VuZW/GmMaBHZgFewkNaRp5bRiUPnr
NmvH0U2CsMWvY5wSmmKRnmDKltW3UGjHzFYGw19xDFTPeT2kXwQlUndpbsmRLQagPGdbhHpn9YPy
eYqz7jtaWMCOw9DvfEcKY6926lgyQ1yyBAGIWZC0j1UvWrGDOm39px8hwWjL/WSWa6QM0J2P2uZz
Pyb66EA5K1XbVxJsTfjeQboKgJ+qVJPVsdxZbdTAJgjS66QvvdQ2y2oA5pk22n0kTgqZdwGpxC6z
argN0EpCHrroeaEtS3fdzgp6QTWBN/dIftCx8sfbKoK5DLIgajKEFDuNpR4W4S0HuN85k6ag0ahO
o/+tp+Y2OSy9jsZI18RXXRQPT52XBU/GKPUyqHRQJzYKCxaySfFk3Y81diirOqeldDnLwB2TFn0d
e+x9yuS9XouSy84bYOmNbexEqpHcpWLZPGtFdNlM4RdA8Wq7LpCPgPjnQeTdxUZViKtCQBs1BYfa
rzxwb72ddENRrVgLeXBbBCqUEqk0sm0uT51/UQuBYaxoYQl37aTokRtGU3Vfh21wb5kdli1M5hFj
zqtUs76QOkbRSm+5bJDf5+SIu6y9QthiwjuYBfxYtF0RIqjK2hITH5Vf3UfVwkmz1JtcM27l0G3j
MDxGieI/xlIZfObj8T2iJMV7muLRu5h8JFXtUGCz2NR18p+56smtLTVC+pCCkHxo66Sseahk0G1p
RMFkZQnCXN7IiEXsoNZG/AInRbs3R9QyE/Ssr5IyVlnbg4B7TNY2QuWavVX5mGV4HospiFGpRO4G
q0srx78NU87YhdZZNFBhiK+mtO4MeyiDJnDo+KHBE1s94gWiOVi7ps6lx67z8cr0+860dalIJSf3
hf6SxQyJ01AKo8N2pi+KlZ43GGckSt7A+7SADI+Znj+mZVnfFASIsOUUa8DzMKDq7MgQy0W7LzAg
dOWyk74KgWbukei2fvk//Vdj6i3i+v+Mqd+039LXoPn5b/8Fmkel7hPFXXDz/Dxr6ZM//AWan/+E
tI+UiNrzS7vsF2ReUj6RY1P+RtwPZqk263r/QszzR0T7GHmCpJx1FlT5dzDzS/j67DQ5l5fmLwfj
jU8+jSj9F1XG3oe1oRXN0UzbdutVSvQkdVVlcup1GaVmI7C2IHGSXT/1pWvkg+K77EutYeWO1TaU
9+EY4BFSNrF/nyICcq/g33ITpZb8hf0SHiWt9v5EnlRx86K3C66vaykXx249+JmjjbH64AtDe9kI
nXAvyKWyCgdveJBAaUy2CVDiKgBI/OyJw5r4pbkLhzgubSSnIfbK1FMDp9cm8yIlDq3X+HVw8Pd9
eQVaVv4nZJB9+Fzldf6zOWV+nDJI/s9RRma5h7kmNutKUIlQX9rF/3m9Yz7e/Pj+x6H51vyo/9hj
Alj9cdM2yRhm/h+7OlmSSN79+L82CLHsJ5BAEv3aubYEVJK85tcO0fVPMN7nRhAc/pM9IpufKEXN
0rfWbCaHGvy/9oggfkK1AmQYBVwaVeRJ7MbfYJYseMhsDaoz8AdnJvKMNWPPndQN5bZO/S7U/cey
I1LrqkC7l+rouqinS6Esf/RF6ubTdECZfNzEpsrdmboNoQBRjNS7VaZ8f3W03P6V8b1mnbD9X+WB
v76PyeODb0JNaKkp0VeNKlCX8h/TuCjXgq8n9stPVK7DFReZaQN9/fLxmIuMnCmca6bEuRSjmXX0
004noVbQKhvBah5HXbjUpMpN0776TFAKUQ63DReAqQpPN02dMgs+67V0pqJ6WmbBjWXGEgK+kedG
2dyvOx0/DTBSI7rCSlQb0QDr7IBIfa0Se+vCDuwKDqyhcg0zfdp9/ORvB9bAE7DIEFqcUYbz23hV
Na5qP5BkS1HuZV0ARWDEnd3Dx7IVrztYdb+uVf2gScW2zNXHj0dGTenkTbOCecFzB59m0kxMXoJk
o07VMgxp0rsY4onCj/3+z90udQzH33S2d6VdW6523WzNlb7Td+FG31WX+s64FtxgZa4sx3IFZ/79
+e8V22qbbRv7tto2/K/lyjv5trEbGyy+89w5z7eQBbbiY3VpueqKo3UXPfWP421yOW2Gu+Fe2wMD
cqXr6dq/sh6Gu57Q3B5v5V1nC05jGw6dBLdyn2/50OdnEIXu4LQr5skJV3egphzTFdae4znovbiK
LWx1t1qJG3GTu+KmW1fr9CeVeRcUp2Ntra22ijb5FgahkdnTd/Fa2o33w81wI1yml7prXMl7YStu
xoveKd3Wyfk0aVe9fD4I+B12Xra1nW7Va2U3fxK+Us7P7SU5iW06KJbzNaxVuS0v623iHNB2c0xH
2QUbqkk7/TrYWMd629vnHGxeXCn+XcH59T6BqKPTNTcHlj3W0MJQCRP65G69ujkSuF7CvNn4d91T
ODgKgpcmEAKX7HS4nLa+O9khlGwJxtG0Dd18w191Syda/9hcX9CPsivnQLq/9VeZM9r8hhu58Wrk
WwOy4Pf4sR8lp7fv4G+T9SDY+GDdZqpNhQLVoK2w8teZM//b7ZlK4QulevGcaKpg7CXNdBSO9NM9
U6hp33idkt4hSejDyOvNi6Ero52VZ5s+DOpVPkZIyPrmUyM25dVfP6XBRdBiK/Tyq3rsHzO/qzdl
GjZ2YeStG2Zj50hDoTpml1sFkW8p7jwJMVJ5yC9efqLn8hzIhe8YLTsUZTrdrsAQQzvJ1MtGgjSW
ReKFx4u6sHy6eC8/ZbmOa6HnG6t//97L3yuH9hzK7QVsv5iZGZoEUxAIJaYsi5nxpmyIRkQE77BF
vRBU4UrNgvuoCa7M9IfQNAcJgKERIpckSHtZmw51aK4pfna+5U6zasKE5tN3H5/4TO2PRpR9Q2Ts
rjTCC1wlLtu0+dLmg+PVfWJnT6HaU/lLt/kQrLSxWodVe23l+iaUPpvSZLqSYt0CLd6UxTDZ3hRs
dBSevHa4Gpp4Hamh26uemwc3Wty6ALpdz1fd3EBumuZP4lkuUnTAJJrLSAtvsLDCvCq5V7Ls0Df5
Ra+c02ta3EAvmwcILT11MBqYdC3FYdPIbAFQpMGdGHPVNJHR2fTB7V78KTZGfRk2G0m7HRudsBIf
94+P4tPeyfzGeGHcgOjqEYq86XyZXq/BL5U8V9OywSmtPnSiqS9stVImV6ub5r5QA1cBk/pb195L
2MTdN+P4XmRklztJ61GiHIhvb6Ja/oFGTGUHXZmuJ1++8fwaB5JG0ezJIgu2olrafPzUC8EYoCc4
0GE6DzwSnjyx4bICrraeT4VJhHIay9tR9e+j1ERYHb8rW/SEZI2qSAfUKt/nRb4Lp7Ddx1oOj5X+
Eii9PfL431R1ylZ+MyXw34pnVKPrY2pU0ZmOwekt/fc3hVuGXgrg02UbJDNFbDCJH44YAD2CN9Cc
VBSR61SMy6wOH9tYQ5ShzFYJqtZn1saLUsC/9zTyErPkHAQ8TnWAM1CkT087qU8rU27a/C7J2lXS
955bdNNujWlbkW4CmssIelEuSYHXX6dhUNipkT2MWdJeUnoO7R4Q2RVeOlu/CprLTpW+mmPW3zW9
XG3QWa5RvOeXeh6Urqb2mBqMRggiYnxo/TS5ptJ2Y5ZqdGc0hfegNtdT2o9XkX9hGUF3yKWgcoLC
H+xIBaaAfHrk1H3WXUxZJq6mrG7uDd+7FnUqTf6oPLysn9/K8495yn//VbkSMuGv9tFM3z/h129/
fKu+/0qCXsj1++dVnn1L/v69+nWh4OWzftHrlU/ANmmRYqpEyIdQ6N95kCF/gi4BTpmwVxFp73M8
/U2v1+RP9MhoPBq0oyDazYHx3/R6TfnExkUphNyeFhYlg9/Jg07PQHClM4TAmtkb0AxnL7rTZa5D
2fKwRhV2gtbOml8FAZzR/SnEWeX2XpJvWm18QALjr0V0or/wOttZBBOMO1u9ICsA0h/OCwnd6bhW
A7I4t7zooovr6rYQayung+TlX6i6pN+SLBDusfnK3c6ACrNr1IEwAXgs/Z1Oj90gyztMzArpMqIb
4jvzMXsZBlkiratEzL/ir+4HK1yWix9K26qIHBVDtB+Rp/kZ0Bc4jgCQfgpRu1GTaWgdT2rn2mPc
7mfI73NWpQ+VKhWtQ61QMDE/loWvo5CFt4kVbrKsxZVMV5Ax6eQeRXNNLJEPDgRPvDGSMPoH2+2/
szqBzMdHOw63Jbpr6bf616472WDzP/1VihO1T0R7M6qLHUPw9a8Nxi78hGwrxTBodHNx7dUGk8RP
IDQV4jUawcg4zkzGvzcYfzZ/1kx1nVEc8yf+RqFhiafToVrgiYvtKHVCFV4XI71ONS0F8VQU2qRt
WdTKBfKwVW+XQmoEq6LQVhh1lROdjjQEvx8p5Vq10FqoRLT2OqW/SinZ5bZUi09YVhW7QPdvacpC
8e3keytR6cl1TVRdlwEKEp3vTc9dOUgOIIkxtIEiZjvVq/d51/+iAv/WJfA/bd1U35LwW/aH3VY/
vrV/5D9fike8tvC5Xt4O82f/S2Hl/w9JFQpAH63A6x/9H8635Mf3PAtBpf2l0jJLsbz8u1/Lj2Oc
UxhIPmR4aq5zAPurzqVRzWKFceqDd555Vf8+3yXzE5UHxPrxGAQATuXj38tPlj/NDmpIboI1BfIJ
8fs3lt+8ul6FMYjngn6m4Iwzwny8v5DZXhU6ctNofJCB3n1aPPW0XcQvQX5GJeu0nmH+NQTPyTcG
qvJGe19AHncM1MG7V0IRmZKvjRW6qvVN8o9Np54Jy5bI6pfB5hohm3beTEs+ihdaPbtWEu57cmNn
vLZKdyg3pmTDwk/VbbaRjTNDvvd4M0R+1hYHrb9kgohRIxVqrgr37c/8z/xBPSAvcXaQBZ7q5bFm
BtGcEkBbUhcxOe243lQyzbsvItPuDB+jrcpRtYicIPz956G1BvMLgObcw1gM5UH28SHde/dg+xxB
fSiSr3pR2LJV2zrAn1cb5p2q5pz5LpYfciSQ1IFQcdSKc/jxavkZIASKHLzDIYCKpVc3SnUOlLlc
4KSQrG4UsmcgGntpEcD0TRxkQzD6h8ITr/B5EX1tJbS9+/FzLMIkeM+no8yL5NVzqKVsdqM/+Qev
cz3B1pUv3o2+7syKStaZ5HA5ZfNQcI5QGGDnoum/eCCp9jFjtfzgUBdd5cTxutTk+MwYL7Py+r28
DDJX4Wd9I7zo5dPnGXpFySKgM4fqu0l5CamhArLsbnjKd/IT1V9wT8Fgy19QjIUI2Vvrj6dzudxf
hod1TQVamVthi4KJjC1B1sh5cOiSh1EtD0Gfb3Mpfu7L4syLWxQYQHbO0/lqqHn9vHpzXFVomPVl
cCCnxYfcuKd1fVOu5athn55B7b375l4NtXhzc2ffSPGqO0h6t6uCyfGb3yQqzU9DsEM+QGOHtPgF
3fbqaUS9lVorqXgaERO3UbvUQiqEeGk0krQNsnNn39vNNb8fWMEctPRjlnLada0pxajI/mEIZDe2
OFybFXiDjxfDe4PMMEfqZxBy0RY4fUOYQgFNrDgj8iD+KcjbSYseaPadWfJvXw5JzmydzMRBA1h6
+0ZmRrsqkIND2WjRUZVwtwwMTwh+88CDr0YtaXabYrZmFPzpw4jDWCnYlQYHMwWGMZWmI9FcPfMs
783YrNlGaIFdGrHq6SC1lWCIp/ucqn3ltsl1kIS32ImeKRS9M2OkTTDsyE5B9C/dwtJy0icN876D
lDhSF0tORYfqzJMso2MWNBjMV4MsHqWBNIC7AYOs9jdHZUvpz/rS3QCgcvzt0/3t5IwrTBdWxYV6
WQ12fpAvR/vu4/X37nPOoguoLdEJXNKx44oqTCDU4UEBKD1zVq79rHH/d2MsztugTkLLE0vemJps
zXFAmuFMrezcUyina4LSu9AETRFSqDUrN9DaVYOiyuqfPAayWzRo4SMsqwV9DRwZQEF4yOJqGwG9
CrLt/26ExUXbQMVMyfUZgQOuFn0nyM5M1EItd74RWHKQcP5+iGVMYrRW1IdDeKjW8gYBnc20Cu1j
6pir8IdXcEOED7fPxqZfXdOAeepF27s3HfWMltK7rwsFLRq9VHAw9jh9XVrQd00lTuGhjdudP8Ur
XzjH8z8zxBLp7IdlLgThGB6sG9MMN3V2Tu93obb6ayaRzUbhTuT4Xqa2aokehNcrbN4n8KUbDJjX
9Sbfx3vt2jsa7vPjxdZY8R71+2Qfr+Vtvq42gTva3//Bmnn1NRZnbpBGtR/GUngw9UPWzmHsOTMS
eT6GTuMl1syrIRbLMpEk7N1jIzyAI914F+OPOsamHBEgBJYNR7dxXXMTt9jglgECNYXTdeOvz/Fn
332hlCag4r9EbovnnJpICGkbhAdfLzd9W6bfANZ4Pz6ezPlD3jwpci4A9FVsZ5Z49AY4JHG8Hh7C
/NpT0MAULsdWcfLhHHPl3ad5NdB8yb0KZaRMsPq8Y0rRQneo1AHvPjfEuwsUyg86MfyYESWnYwxU
BCeEPaLD/im9SNbSpfSFqnm3NdxyNTmKk9JRTehcU7RfJU5LI/mu3wYX4uX2H9wxBPR0Xmj78G0W
D9tmITHBlEYHNa+vlSi9HqRzlBxt/ozTNwd7i/YeghTUjIlyTh9Wz9sQvd64PoDkNX7Uk9AdpGho
KhuxQPhctBmGx67Upp/F0Cdfx0lrvtWxkjwUahftdWWQ70NMMi8qTMJ9uxoFgOF51HnPJhL1nI7T
jLBOo6bct14k/hx8aXzu9FQEq4Gs/b4XkfMg4pEUiEcm54IdVJ2QopdQq8eklHNENhMhu0NET9zL
usevNfi6llOnuNracVKYMTj6UR1mN5+hBg4iZdcernfYciqTej+VabDHwU1HK2wAQeYO2PPmtplU
RgPOtwOpG1ZyH67UOCgT20I/1LMb1ZsQiNOk/Otoikjgg0QxRADvaBQCQ6vNnx/vnrfpBluG+I8j
nYrIXLw/fQkd0rHFMETWMdbHZo3EFBaArZgAjSgtYd9WhnrDngXvEETTvlb4RkWdWl8+/hbzaXSy
EiTGltC0EtnE9DgXB0WaqUUWhlF3QN/seizuc1X7aSUzi+CaG+l3bzJUVkhJkFqR54hgCX+YwjAO
+sEXGUy0DQlDyerHx4/zgsU6eR40SNg7rG7yA5XZPZ1UsVBlP83V8GjiGwjetUmKRx0Hnu9IIjS0
0tRMvBeUSuhsbVAqCaK7ZlxUURD9TMPYv22tksBObmI48OCdkoomW1dHLxyKz17jke+Kspl/90w5
vRWGofjZtLr4Xa6n9s8xlXvL9sA9hLREB0R509YsSlec2qyw0ZWJ7/XSgrWL16Y02rU0+Je+Jqd3
ZmwND2ZgKiiFRWWY2VoAq8yF7yxndoXIz96v4NHYSSrF2mYAyh/YoJLRdvx48l5SwtPJo/5IERrs
BpUl6oqnk2cIZR00ZRceBagze9FEE1GU2spBbD7PQVUmzZ+6UQsXppcjDuL5yr2f+c9QInqXdu85
V/IlC9pE6J5e2FzAo+UElW/5dej6tGWZx8dYjPHVTSV/NXieuRVGsXBzhFYuwU1BLEea5VAVhWG3
o5I/KCLsKHtQ29qtS7O7rjRvuIC7KTpTnggHq/CDtYULIsXA3jh4XrIW+jHfK6C+1+JQSutk1MYL
zsUcF9B22neJYa2CXgV4T7Pd/XjKXzrop1MOrouaIYAGMk1S9dMp7xsI8lYjiUfLSOajKFebn52J
uJZd5JJ8GaLo+pjO7WRFqgTEopNGveuVF0aLiP0QPVv5mJlj9a3Vp/EW8kPwmdtNOtZjoaT26Etw
GMa8L26bNOVuHglMlM6BKygdIXSUd1oYE00aaRvvdThQoT2VaBU4reWbPwBmDl+Dqq4MmyJM+AOo
rV84uhm0ohOAfMTqTI+70glFYYBpWSPDV3i59UWA+3ILiV6PbTHq5MbuUiP+Kndh+Qwe2OttqSjE
zyV11EMvRM1ejmm82Z1uCSsviQ31XBnzTSWYBW0ZlI7gvsogsJeV7dHQw9LreuvY1pZvrRo9yut9
beFZbtdJ2x3bMR7DVRnURQQdiyqh05a1qW4mGEe0/Eav/fzxa38T0NBjAk9KM4mKE+plixhxitUC
e7wuPtZtBEytTLVVkxnG7cejLICrBN2zXiEYcfoHlDLe5GCiL4WCFqbZ0fMKyS77VocKiyEW2ozb
mKvGwc43HX1948lhw7XdDDd96oEcq0esAoJeu63Zg+uPv9U7z45a7szjNjQK2Es1jrzxAy1V+uyY
9aa5rppcc6cpnc6cZW/juVn9CNEc5OWpJjPS6cZK41oK4EbkxySt6stAF71rE5Ts1pyT9mKMD01e
pleSb6hunwCPm8C2uqmvpU6Ly7qLJt9gl1ARnQHBELv3xHSLfJOymtL43qwhHrX9kG513dO2LQyg
bSd0xWWjoaVtRmA2JpQJXSKN0Kk95Rzb/034Nj/bjK6jjE2x5QU2+ioe9k1fK426zI89brGrWod3
XKsiBeZYCzYfv60FroZu5IykptBvsIroaSzO4GZimarllB9NvYku6cKDvSzwAxwihaJ2khnYLSbx
0ZIQnC+wV9h9PPybxTIPD4DBQHKIStmSoKDrSe6NelMcCUxnIYwBrAo0sTNtqRfhgpNTmGFmKgQ7
EQUcunOni6WA+1fD1CqPxdRCJ2iQwbHjqZncuNSDjQwEca1SLLj3U0/nhpf2kCQwq5ZUYSsnyXiB
AmJqF0OMolczyBCLQuNnKCDkHk/lYGdE0QG3dxo6pujL66HIhtXH8/QmjCOzZqFT45tVQSV5caAg
AJ4BOujKozW0kyNpFQICItBLrdYOTYHomIxGyMdDvulzvAwJNGwe1jSWLuqB4gXc21N5jAVNwdVc
8rZmMykujofMkdAaNucr6W6cnIOCv/ewBkPOeHCFMtzibTUyLW2/nKqjFSMBbHqNiW/dNCWuCodq
FYtqe8hN+ZwU4ztLkbml6EfzjaddhutilapiLSnVMarzxhmH0HPUMTgHJnu7tUmnST8tdt6MJlsc
WxK8uqZgcR39AeqbMQRPDWqbTovo8G8vGQXMEFBKLiHywKVoWuvXXaEHmnL0M7aWZcHp566fNqOA
ZLoO1GGlCYp/ZtEs5Yp5KpYo5RG631j3wq8/3Wmyb6Lq2OfCMQoHYDlI0NUdLG7Lw5yw6S8ay7yU
gvY4u2E0ngmBstPuG08tbC8+x+9/+0LJrimKy/PWIcpcFForpVZDDHOFY9DQ2JIi4+cQtr+obv8R
vTSvxdOTBbYEovwIs88qH8v2VaKIad0E2MBCYbJcXc5bO5fRqVZyM3XRUfA3H+/KtzE8sc4LJIC8
DoT5EjBqjqopiFpjHOtQ/zMvlY3vVTHov+Bu8A5aH0NOz4BPtXaYxRIcenkNm+pMqf7tQ88+MSZC
EUAJ2C7zzL+6nyhLkXLCZjgqmaU5mTxOFxAzDLoC+bhBQE88c0u8G+AhMDJnfLN3+lLzI824vrgt
zWMQipDKMWaUHzOwFLe1PEWdXdHSuVfHyWrhQg7a5Ahy3gdrL0zU7w33/m+XU2e00AvQCE1IVFwW
izwtk6FDe9c6orFk2aIvCDPh+ufHb1qb1+fp0prxgIApZn0Mjbv5dJbHSqyS0FPTh9ArOjL2LmVd
mVGzLapJmhwt6ZqdOAaSumnUVu2duDTG2E7rLKeXCsEaw2yzexILeFmOihiTvzLV3kqcAgwbCaZZ
3IhJjjGcUsVfp9QwcltrC2rcgaT5uMXpnnlLcpZ9KYKqH2Z3g8pa9TLW7aM2xFhGjtWNPGWVuII2
1pIAC2G3k9sogEwbe8JnUmg5c6Kwth5DpC1QT5QMPACxXUHkVkDzFhe8SX7IrQkqd2VlomDXaHDx
zbyihfMgRlq9rqNQGe0CtcubUQZb57AHMX4Oivw+EUvx+8dT/s46w/zRZDGBxYR9uRTrC5Axrbuy
KR58S2vXpQU535oUIbHhDimOCuvc0UBCbo0outA6GI5+VMQPpdeca+u9PbvgBIEKmvuUoJmXhoF5
WaRGIRXRAwak/uWo+/i9qnp17jCZAR6nS2ymmJE8EFMAM1jGRaJWi1IVe9FD7xvRtgxF89I39JTa
DSqiiNhiYm6GtRu2QnAvtb1hs9Dq1ceT/vYwmXF1oGmAJoG0WzpU4o6qq1Ouhw8iJvN7mtnDQz9U
4jX0/6MyDtU5k6N3xqNmDm0FO0YuhmXIWcimjMXnED6kMebaQuB320mebyINAqrmB+e6cW8BFtzD
QHTRkJ27waRGp/uYFB8bqZB3iT1Msx3rWRahVn13VtpFqrUsKZX2bD6oG/agW8k690xlJXidbKsm
7NfBCP8fe+fVGzeWruu/MpjrQ4M53GzgkKygXJalsts3hOTAnDN//XmW2u5WVXlU2xvYwBxggEaj
0bK1yMUVvvAGOBdT115EKGb6CUnDmT7YaagnnpBznEyKvO14SnDpjHoqY8mjrfAJjMYBTsXwiB1N
CM4Io8Fp6Gs4o2fL8r9Y5wJeCdKJZBnknPhYr24SuUZEH+J/8kjJCvkkgsw1lcVzDf9fXJpQ+/Bx
sckAiLuOu1NmJE/6YJuACSzKWKbc4XOczPPaoFSwwSVcW1eDBf8uNZvr2ejTSwPZFb+IZM0fQW6c
WfHigx/tOqoVgDco/4O5sY4O9lqZ6kYqivQxzp27KZ2/m3b5YAbhH4GV3Lbl8Pz2BjsNOYkDITGg
KERJ+6R5j60qhIKyTB/HxaiuTCk07iV7+UQJUznzYqfJJPBHUleIq8DXuKwPv2YXBkaet2rxaCzO
5zSUu52DWOZtMuI62yjtuMKjYrzIO6X1Yzs2z9XaTqeVjIFagA2jF1Gmo7Vk98iUpHQ6H63Fki/z
hhJgJZsw2nPjHPYQ/a+TwRwZX3H9xZUDk4aj4NKs1DJZnKB5rNii1VYeYs2X4Wm4mNS0+arSpbTy
ykIbP8Nn1eRNIFGSdOs+KZ+KMkv6KyvIshyy3KBi1oBzU+qqVWl8UOw63M2KtIQrU1vUtWaWGa2K
eMRvHa3B1SD3kbZCxjG7NWO+hK82Jk6+w6h/TxCv3w5K1eiXJkp3T1MKht+NZYuc1sKTGn6g1RcB
e5mIwA8bO/7DKfu531gj2L+RrPjZVnudZkgf67upn/XnIkyd2MN5EX87U8Pzosus8VqrCmcUgcZ8
H0T8OXcgxb93igTNEdKM3nVQp3psQxmuItvRjwSO7VKuCgmEPK/WIgplDLi8GVVn4naQWR/a0qhv
LKM37HWUtIhWTr2KvrRZF7nkIr+UbecK2Ab4ez4xSuN1cGH1vXoZUul8KGsp+E4CjA9nPPUyxsK1
NHxalJ6e02Kk2aove3kBP2dNuQfVnf8jA5lBqkAW0AK5XyJ5kypCuSUsu6j3ZLw0oAx2c0SAWY7W
xpFoNvEVaA/ADZiXuyZMpT9qu5M7r9CVoQdAVGuOS6Nptv2xTFQ6LYZWGz79tkh1iRjx26YEla7M
Iqg+LkZg4p4+kGB6E9/N3EmohsODbBMVgR5H7hHdcdBi8VstMgM/jcwMOaGhKT5yUnel36tTZrk2
hoId3HTaMW431vMVEqbOc0xB9zkY9BxxwzCS+UVNaa4MVH1qTOPzBXGkAqtQv9eN+ALKKrSGAYWm
R+4INXeHzIb361iDdusQXBaulZXkpiyM4g/0lhDzLKlWy9PUrjgCjMsQ9/eHBXUpLzTiyVcXHRLG
FAXL7KvjdMvmwyXLbNNGcy06AYUfl1baeEvexPcOLb0POCglnV+YS3gZ4W57A9RpfkoooZqwIafc
RoeyX2S3lSwtccMeS55WKfJvtpEHiTtRX39onMDhM9ph9L5j40EGCyykY+x6J3Vz9q3vs+y60V/c
XkO9vJrwJXZ8yWzD57prw4+0LCXTt6tC3i2Amku3beNHfdTTjZLVZeY3GlA+j7wr31ul3l/V5hxt
7LqKeldXRzi9LWpP0OLbat6XM9k8U5QuptdEOoosoVqYl7ODMpI7Edd8RKqwvi9TVf5ctw10v3mJ
m/u6aazWbVqCdJiqg3HjdHHTeYm9ROtKN6VilXT6qpm79HFGEuO2UuJRclGpwRYiVhZ0bA2gZYxg
jvHnQrLNu3ApwucCJT32voT68mWWxuJDO3dDYZufArrhDSGPhKCbJS3TZ7qo5OwIwyGkaIZa4jdZ
ZjqUspSy9gMpHUxhbzd/rW0HDtuUqFu7HZmGuY68FD00fxxi+TodZfNr1NjYAUZlr32UtWW843Ow
8kKKboieSej4uWVYavuYn7W+I5dYTcSZ2T8sE2H+QzouUH7bzlm+Tkqq3PW2k30NVaeUYNpU1Qcn
zCw0v9rl2TImnY4bhA6vK4ZsM4dWuAp1raBEW1fL98Ew3TaXbofEuXDkfN6mMCC+mvQtfD1P6QKC
BvgY6qlZeyxstXS1ztZupJDMBvx4UF/mWNDCgwxj1FY7W5lLdwoHrfNUe5a/q0Md7IjWxg9hIM17
NJDmS6cgWnelMTAJJ6nPUUaK6vlbYjsL01f3uEJMBqd+VaqT5AnWF58syGI0g8q6ll3ilyT09YW1
xxkXqyHE5iF5X9hpfC2PSan4fLsCgTW70z82ihHMZ8o3p4Ggg0c6lyhltxdGwtEFjr+aUqdz/RiY
bX4Ztobqlbad+Xw6xJwzyfH7cZi3fWici8qPXQ0oHDkO4EKSHW5upO2OsOjNZGppOGf9Y0pyjQ0o
VOBtpBfhCpUnY/Tl0rJzSrMd7tvTPHOlVWMyj56k5ZWXFW171wZyeqPqiYraFepql3JqLU/cde3F
bLXo1xajEuoutdUGFafc6O4cjmk44YbcAysYm/gxC7sCRTCV+LNV8Pl2KXpn0SZCBho+/dDiMalO
VJHdLlDC972ZmcOZwsopII1ZpzxNRgSglwT0KFfQ9TRRnV5pHlW1QsUwmc33Y6c/5YjF3xpOLa/K
pixwhyniTaKNnd/k+eSNuZWtiEfYB6bV0dvqtGt9HLg+sznbVq3luPAI1Fu4LMOmAji/GfpEhf29
2BfdFFb31G3CS5368pl48DTyFLUaQLB8Wkuw4g+XU8ItN82O0TwOC7OZziWuaZGEh3ZuGmdmToSW
hzH166FOglxHLWUwm1bzOPdRuNLi0fCdZTmnof+LF9JEJZGmG5aMIGsOX2iS9WhGY754DKTqaRyc
/i607drTJMn4/nbQ/ov3YUPAYqDHJ+TzjxZCBSy+D2OzfGyEwtdEedc1kG7c/PYoRLAiISKYpeZ7
lIng8GHXJpbvj9HEFddl6LGnJkajvzcKSuemAfSECgUnGDv8cNZmWQroVg/1HrOs1Ct7PfaqDgDG
26O8JHGvlwAjMFm6RsGMjhJ9g8NhlrIzulkNhn3pfvZrt3UXt0RJpXK/R6vCOwumOF4Lx8MdzZ1p
VnEwmQwne4aLUKPfevFKWnGWM1ayupTdeP32G4oE5vgFKegDmjBZFxyWhy9IIACuBpbu3qycu04j
Mteq5Bln6m9SW54puR6vP/F2r8c6ym+CBFc/VZeG/ZBf68aXOHl4+11eevJvvYxIsF5l/qoyUkWc
mL4rx61dx+38fjX4F8+6l7m2q3j3kbfhaPPVNe5bvuyeIWgclwTI3oSLETw4MZ+Yih6tFqggpVmo
2vSY1oWsoLRYzpT5ZqSRvCpVW/Q2KiBlVZF08iotY7UCTDZbEbAiOdNX5AzGXSa3S3EmiX1R6X41
Ly/PxflCLEyjElryURYrN3EUSGU9P8IDnT71StejQ0oqa0nRctHXeuDh+BvcW2Ws0cVxIETjP+eG
UjvezUVlrnunae7qeng/Km12jYBb58+1HPqxnqb3b3/DozXy8qiCs02HCdViYDiHn3AhvySqM6dH
Z7Ekv5/ROlgmUsu3Rzla9WxlhcIkhyHaIAiIvagmv1oorT5oEqK01iMuLvb7OJdkL63a3kspu20D
c/wh2v5bfNa76lvxoWu+fetunqpj9upr8up//Us+9r8lx5UT419rvt3G/bdDait//IeGG6C7dxSQ
EGR7oUHT6/rJbZXEj4QEG1JsIFAUNtUBudVBDxpWrPiCCKxxjPzFrXbeCTMTGhyUuYXyym+JuB3B
sglZyQspO8H9JnYSaOWjxWhkVpg5UvUoS6KYMkRyE60mTbvMkH2lvbhY9W0XA7lzc3WmFNMPJkLV
japs6AUsozvHUwLUKV/C67FxQrRnhnz8inihhbNZwg0p12MDnLVqb6pWjp7BtKR/2rv81sr7l+vp
YNW9uT7/HVeeMKx4Y+U99U1/sPTEn//BqkYjkGOaGjH9IZj7QnPrb/VA/i8NDCo/aFCJBtlP1Qx4
+6wrdLj4GxAbuTQ5nH6uPH5ItiHiKh3S64tw5+/wqo+WHqsOuhoPQfABfwM5+aOlR9CDtHFdBjtA
DbqvRnQk2/YZ//V5W9l4EaWqBGBUuDDYWOKl3xqpfpDkBTdoC7JAl5OmSpO1VzC+ieLpIsblx5MD
K/T64Yu0qM8vU/ufVfZPrqC3VtmHp7jo/rH9ln0rnv7PP/5v++UbykBl8SLh8iAEJlAv+Pr0D68v
oqfXi/Hl1/44B/V3SCOyYkT4RRBG4+rnapQU/R24Z2JPWhnQ+V+ItD+Xo/UOg2na10BaDNCgqqhN
/1yNOstReK5g8iygScbvLMUjzDnxL/mCIBsioEXWgD3N0Sk4oRGfl9AW0mjI1q1VymrmFziEF9um
UIb8EeWXqnwOU30iv4zo/Q7PmkLxY0UuHEWa+2qCd3+GLa+1XY6iLBJ5AcdEXksDpQga0mTzHkR5
Jmet7RRItUcWQCm77pvAG6AbN0Qv2lzGXygIYRy1xsR26DVKaYbT4q8hmq7oK5VBIa0mc1FBHDWO
dabacdTuRY4DcAi9J8AhYETEaXD4dKGTZ6LQCWSjS9RpwUCgr9VLFOojqkkdzjC9W0SNHlGOQDVU
X7zOyKgqYmM+OWssWCTrvYLInXzuuUTq8HcMiCIwiwtsFeBOcXKhWHL4XKpWa4Vkwr8ojKycV1gA
6tO1lDq9CYUANKNtuY2pLjKW9nJa1Hs43PpwkSpObEEyBXVionY4SvNiIcZe1Iqvm3ObPORKZn2E
vkmBxU+bJI50rxkMWFIVLhigRf+3zpn/hoTUv7wW/w0vO2EvBJDMFvQP0Vun8/Zq15zISSGqX1Xf
wMEWv1C3+eXv+hmTyURQXHDssR9nx99nET/iRhS6phQRRE/3r6sRSRvgSsgJ4KkOSQjZ27+OIn5E
ACXYr5g/2YBP7d86i164x38v45NHP06xUFuM+5iG0kWPXBx9JUv5lg+5qxezK0UFYuu3qUWTgPyE
FtNjHa7lYuU0fmKsMJ4ygksaX1Hp6pZH7btMt9aX1HR1+cIx7+t6Zwa3i7PhEINFay0f7f46sb7G
Q4l8GoZc3Zdaf6/o10H4MAT0zf3Q8hCMUoynGD52eiv1t1Z1WatYpO9K+1pPdkN7lfLvKym4WuK7
dtrYNoSw4EpRGk+NbxuBop8XaH63lr4JAdDIOG0U2yC4H509Aoml9C1tCCv122aB/EFlvxjWVXaT
Jzv2pqmsh+DKKGn/PEyGi4O1WvtSslWbi2h8opbsNrh/KxgZJP19Pn+ItIdFvpDSj8ryeUgvcCIN
2m3eXZjzVThuGn7PuDarbZJtDOfaVAJ3yfYOnq+pB6y5TO9QKjbjtW7cRc41GsVJdtVW2ym61Mab
edjNtFMCP4oul+EPqVxnLVqaw1pLdpbkBtrWwk5j+eQb4VaaLsU/5XrRP0bT+z59EAAhKbnK85vC
uG30D3X7IchukmgrGV6CGpeNjKdLuT9d/C7ZzOZlI20tJEXSm0pZq9Wmjv40KfytcObXB8i/4dEA
M+Oto+ChLMLD0EP8+Z/b3UI/TuNoMWDYmiKe+Hu7W847UWUV6gzA7l6ys5+hh4LyFX+aDAwFgkOx
eUnV3ynIAcETBH2Dkd3v6Qsd0REATukvbENK+eAMkCQ4qgdYaZwYBLDG42SXzrWOicyFA73OLxIz
vDe4dbZqKhcPoDKR/S1Tp9zqhTpdzI3UeLU8NH7fLUoI/qxZVq+m8RdxyGENgScDkEiKQFdDpBE4
oB5eqPlUyWEYS91jgB+JH3Q0n2uzVnYUP9N1I+nZ+u3xDisjP8bjc8DBBEiM5sjheNFA+R0Xj+Ex
bIt+leEYA12yPaeocxTt/TmMIrIO3ohYQdwzr6OrKKhSBcTc8FhZOEzAoi2xY4lsaRNEznhv94vt
RYndXedk5yQb7eBJddPv3n5XMXevTnmLihhUP6iFQEFBpL5oIr+qz8RporeBY5d7yZDmbasKgbx6
znw7t/uPgBhpUKMTsFPrUn7f6ME5yZDTSUDCCO0Y9AqRdUMM8SiIk3SjXZRSmfYYboxeUKJQTnfc
3mmgfG5LA6+M3kjUK61up9tk0j/1hD5nwtyTz02nBpAxMhwQLblSxc9fTUHRpYAa6B7tG1XYyORq
i+ICdYO3J1q8yOFEMwoKOdzQFjvspXf0ahSopGOtRFO3r4FiXKhxOiLI0xubJuE2enuoIxg3K4v8
Af4wsQDCjIhPcgy9fqOlGkal1Od5Pyut4bdJx5VZBtqFTDR/OagGNj9lFSmfnE76ZI6NuckAd2xj
OAofgzBQgVlomXkGpSZW8+H7vzREiK4QYBIqNIfPpFt5neR9Q/lbkz731J1W+A5uk8lAhVpyo7jS
zvQtTiecJAoRGgPTBKBax/VN1V70AUIzXf0p6Va9Yzp+qAKCjPLYOlPkPBlKQOBAqNHEokNCF+Pw
3bramFti/WGf9Tn0dyyZ/MUZKGDprXrmrQ6TCz4tQ2mi0cp4kG6OZWmKqk6qKBj7PabJ+XqyHOky
6M3GCxrDuMcPS14pFoxAqczPkiGPP6AYmfYPBRHKJYSfhy+ZdH1U6Wkz7XNV0bdUtiXfbMuMMAVn
2LcX8MmBz1BoWYHmJcNDEPJoPqcwKjAeU6d9oAfXVpt+UoYwo40W4wrdas9vD3ayMBmM+xOe54v7
7AuQ+9XGtCrVyoYBEmGKHVQMFAMhsDSx2m0159X1Ekv5VV/Y55gHvxhVuF4LeTDucPDvh7PZLNgb
FVYk44iVB8/pWHzRACpsNNDdW6lvNd+Ct//97TcV03awBQkwaAvRKBSKtIDfD8fkKfRhoA29H0Ls
qpwxSL2FX7D97VGokRCQUC4jSzmWpStgctpGFyy4TEQO+jVt59raFJy5o49wuS8bgXmjOE20YjCF
R2dcMJfaUBmDuU8q+ybvExfapCd31S6DgDY0K0X7o7MMdLe3Ubaf5HCVyPN2wtgQdJ1bT/u3X/oX
J4CIFKCREI/pxHCHU1trUSVlZW7ubZBSbZy6SynQVMX/5K0xneaqVDWgt8e8SQjC4zKgor6PIl/F
Mj1ztav4xv4w6ivtPZOgXtRfSGDCr07hwvn7/Zd8Pbh6+JKlYmUOdE1zXzg3en9tWbfh7/mliq9K
eU0oaZJ+Q0Z6oQK+2owDTGYZvmf3UaNRtwHllK/z1BpArxjpb69TFikbn7hSgQtzTIORRiwvo7R3
9vVojqtUpcJl1uU5XpoI+Y82nQo8n0oQK4MIXj+69xQraWKwec7exhcBYFBWdt/CMQPJGaAEW/pB
qbaNa5ZLfTkKTGkFo+x7XWQyijTKhGJ9Wev6H6BcHIFoMaPUh3RefM2NAn500SmoYgR6VIPaA2fU
bSI6KeSTdZph5KF185Ve1cOu6U3SdkiifjwDF/HHXirlLcJCItnVu0B2EVdxvgPBzc8ddKeHDu8P
oYhyHfUKHMUPF42hpHW4aKO1L9qsXFV5oHlNBZj47aV5EsZSwzeZYcHSJ6A+FoUrUGBtVLt19nPA
2ZkGSjG4QVda6qXqxONFVOtzd92P8rJLAhhVK7qr+Rn5DPPkQ0OBeCkQ8xgoDB1lKQt1vXaKpXBv
jKpzMU1966tymm6lsSxWKa5yZ86C04nFupzqp+iEw07QxfO82iqlDjFdabp0LwNn9a1Flz0zT1P/
dyeWUfj18DuEIJ5oAb4eRZ2UALhgm+4jbuoQ07HKWCdzHWzTcTB2eIA0yOQXwYVWw6xFb6Y60+k/
/bCMD1QHmh69Sejih+M3s4Gyt1Wkezh88W3VUfKoC6G8QJBj5kDaxmmir6+V0qc6UsIzJ95RjVmc
R2J4FMaotNGMOpHXzEZbiiIz2WeR8LKQNlyvzZUVyqjVanP1kETIuppzkFz3GnGDWS/Ztp4V/cza
+sW3RirgRRyVqxUF+sNZUINKNyqJr4BWDH4/cde6al+2m7e/9S9HwXwBnvWLicfRCh6X0KlrixWF
0Gu+arNpuqzkRD1TH//lKJy3CKJq8HiOoYIZeLfCsNN0bwJXdMcxqvwkt9ozX+4IofLy5QiQgRxQ
DxUR3tGN3AcDHjeDnOxnKUXdNUVTQjKQlGnBRXp9nO+WqMKI05l152OJrOhNljv5o5mP8hfZaWOv
DIJphcP0d8uahu+W3EugQkcLZxtpKebvSiqpG33SFtSPugZ71Dg1PrcB4orBoNCxfvvL/GIX8DK0
KMXbiHT96PvjmWJrQZ9gaVxnmx75Bm8CxUjnUVHQVVF1TwrK57xQ31fD3J85Ao7aQD+mElt6CtVg
bk4IRmWOmk1F3r0vssZYMXeJ20kVhk6y0q3TSqFSqE3WdkQfCY3b0bgthwA7qECO12EaRP+DvUDj
V9gt0JxCFelwLkwqP86YF8neyWTrosVZZD0CNT2zF8RvOYyVuU6IDV7GEVJch6PgOjo1HcDH/WKP
KfiiKVrHTphfxHm+XCylMZ0Z7xeTbIl7g2oTKp3s8aOiE2CihuXatHtnHP6oLCC6ZaQa7ohEzMUy
aeYnpRs+DXob+kg3JhdKL8vuJFP3Rok5PXObnlRlhNQ+ERhhJuQjmmNHbx/FYFKTuej2oa4qNWYy
XXtJopSvQqeNNqz69iMTV6zNUIf+WUXhnhb6WYze8UkhnoK7nLYo1Rny3aMvXaMrl6ea1YmSge31
Wd19JDwNL0YZv6lR7ms3L0Jpozd5sZ5hijx3vTY/BJL6rXDyHWD++xk23JmCmSUCtlcrg7tA1Fdo
8AFmAujsHAd0CGcWuR0Mn/Dnla7Dvko+mW3bjW5gYLblNiCdQRA00Bxw753xZbOz+pNZz3rnKglG
5+6cadltXfTB50jp5JaMMzNu8PHUWncAp4w2G9hkCCzhoDzk+GUgxIWD511nLrRUCMHlT2qIKBoM
F2RaaqdUqOlrRrZrx1Z5T7ktRxALA+QHta20CZpOLUteU4b1Z6yEoy8lNyqqK2WiufXSFpAwSNNm
V66WBPU1I6jvh1EqPmNsp+xn26HdYfRlhIc2ihKJp5hJ9KTK3YIlW4SnVTmZxU1TNuGXQfhB8wvU
8llbZmg9SqR97SxJ09wkzdVnbbBjejHmpD8rTli/1xcZRbuqMELZrSqZYHZhLV3HnRZ9qRwrx5t3
JDjXoI9g0ew4zQMwyXmiEls50KejRYo8uFvJHzJ2wn+mBr/VlfiXPcv/r6E8xBCvbp6TbuZDPzxl
/QF8QvyFv3oYYMVAtaO7KhABr2BkhPfvQAiTihMsHVkkGKAn6II7wBtQQadLwTb/iZ6gZwnlT8QB
wM+4p7XfaVm+lFBf7UyCFugHwlBHwBWEksXhmd1aetUZldE99lmAetLcm1eTFkwfjLzXt3Hf2hcF
9uQbM2zKnTpoSBFXQYWgmLnsEPAbrvo0zfC2LzYQdSPPLuv02hGyM4oyFddWQcxnogq31dHhuIK3
I2d+hXfudR1tU7UzguZMCHNYUxApPvEu/WcK45TnuRcOX0fWG8MMIF19wOGNFmhe2AiE21+gkkgX
rz7y7s8peg30ELHQ3xP3YyQBVqAJQMVNPRqpz1uEdKve+KDmmbFCbMDmyhlwyDGq/Kp2IvOm6ivO
ISdTzilB/eIlGZG8ieAamKFzFKZFmAdNdi4jfhE7w6pY2vAqC3T9OjTM+cytdjIUiwzdzheBW3HL
Hr1lwroZnCEHvTWa3TqazaccarEnTVCQ3p7PEzoMqS5cbOHZTH8fcvbRzQVwxwzhbKK+Y6FSH7YX
1I3XKHhdF5BA6ilfo4jmGtoFDE1v0D9yQr9XStVLkqsweMqtb9TWvEZqt9HYXc75DjCkPwz6Ra5T
Dsk+GH30OCGFpeXWNqvaqySPr5oh3HWwjjAzU87ceOJhD1YHKGGmi8DTEnKYx+0we5oTM8Lu5kFJ
R2ltyW1J8CmQmHNXeohDnCtynaxGzQIKCoDG0OiWsDIO1301TlaaUKZ4AF+DpnMwLVsHCbsrIX52
gViT8z6VLMNTm7Mr5DDgYB8wslBcZefJ9ByPRZPQhZhMJ+Tq7C1KQmFVBH6rBvmZ3XZCdQDrqILv
IHSgkg+3RjzGq8xdgZWXoCqgPvSBUm7p/6RbnR7UJs0tb1YgbKlG2roBKhZu2Jjxqg0i5EB0DCYT
eJe3VV/AIZ43al8/vb1uT2YeRTak+AQYXEHA6aWW9erBqqnO+hLVGzRLwtILsq6/sxRJ91AwaVxF
m9TVoET3kgVy6u2Bj7I1Zl4khFBMIJoguEr15GhKusWUIxOuEWCRpSlanx4VHg9j8b5u54+NNjwk
2Tx7VujIIn7CmBTOotb4FlQ/N6z6XTQSPs2z8lR21Sbt1W+honUutdrn0lx8XWTNFTk7QIm3n/wo
VObJBVwQgS2IX7TpAbQePrlU0eANqck+4u5xEyzmZswqv7Sd29YZr5JC94wOo0NJ/6j0f66j/0Qp
/+TYfPUVTqKUj09ZFrcvyM913/UFq/xvS6eXv/tXwGICkRAVZQwB+DiifPMn+liiUPJOwawCIIaI
I/7CW2jCuBx8KAVo7gi26atgRX+Hog8wZlDq/EWUcn8nWjk6BciqyQYscgm4OuQUJwlfOFp9HCty
95j0CWF4o2EXORWxBSGJ4uHGGZEMTKYwTFfLrA7PYC/7CNk4BKA7zUwfg7qrb7NJy+9B/y2blvzx
zH15eO6/PCCoEuHmjWSVThnscGWPE4/eUDN+rJNuVylqf4msjL34aV7rZ47Ew4P3x1C0T+hsUPw/
0VXrBmsMQmPpHmdpLpFTa6ACQyw/04I+CRDF7Y9Fo+h9sV3pkB+90VKbUtPl0Z4Uut8oZk2uFY27
CXCDl7VtvZZHNJTcrgu47LLZvl1q6SZtsqsmCgzXVMKCvDtdUMSMjA+5zYxLipP6aJGkayu4T626
ukrBx26TkHZ2hSDSJuqREXAGRz5XLxAp+N+3spgyOBPCAoUlTIHyBb736qyeiQybOW+jvQW36CvS
ENqOUlrrEWSRl8eV48a9cjnpuYVUwFxthgwbmzmV/bzDjL2plk3W5o1X9A8GsuGrIQ3j/5xPcTcL
2zgE4N86nz485eXRmcSf/+tMUnAstOA2EE/xGUUh6K8zSX2Hjy/wU+rdxCKH5xJy2YSuYCeAm794
dv+VROnkXgBoqICLqgQS3r9zLr00pA4WFmEXfRR67zwEKdlRRB7WCG/k9qI8qEWMIllTNEnmWcFS
fYUyGa2izjBcKVTCySNnyEoPs2pEaedYTa2LYoBns45LxEK83HLaVTgiWYGMr2nudHJ2yytkDRZp
mM6QtxN1Lj8ki/S5GVoZOo86ls9oDqQIj5QI3a8CcOT39Htwe6LFBfZUzYa5WvWyEX3NzcqmOlaA
sXaTqFnsdY6Y+C7WCJHrbkT3eFSHqV9VcV1Lf0iR4dyhf0TFIacsfJFmAwCfsIAjWM/TciZgPjnN
BC8KhAZ9YKhMeBQdHjMNXzamTqs8ZDIylK2KRnee6+fo2SfHM6MogIPpHQqS3UsO8uoAyBrCs7qK
qREVersqorJZT1rbryU1wut6yM+ZhPxiYfAqZKLAklFXQ2bt8LV6NS8WrTHmB1OuALLi3PrHpNmS
th4Dp4bRDzQLnWklcTY1hzeLQbHG3G21qvaGqaRBXXVofiR6oX/JC7n7FiAegfSFk5ZghK2xy91w
LvUPemyz4NRKnx97azZQvNGgGqziqqAkNI9Nu6IXavaY6uEa4C+LMptu2o9Lh66cVYAxzvXkrlVa
p/Z1rZpVqpfBreQsveKbelVdqYFV35tRMH2OEKNIPanttScjNpvv6EpAIkv0ygLmDCIkd1+dAr9I
s0++mAAqIEuHaQ08Z2bxcALHqQU1g0ruQxcW34OlvAol5mZRna2UBj/oxv+JDv8JRO/VvJ9Eh/c9
Ci+Hx6/4Cz+PX9N+h5MmIdzflaofhDTnneAEAU4B20QgIs74H2GhrbwjNgF2L3S6/3Rq/lnC0hXC
SJpYnLoGyRzwhd85fDmqX9/qAvJPIMjGpmKmo+N0gmrRykieE2cBzgJXfN0Xcmx6YZ80/acJ6dnM
HRY0C7t1WYON2MkUYs37wLaTZOskjTPvGmWqNFAGVNzsnAwpzYctSWNXutncAWKqgkZ+n5ZOuadx
aeuITFLnp9KaxsaqRKvIfK9HRhCswY9JUeUqRWE3ulcYUjkh54i2SJR7cgJmcFXXan9vLINMD02V
5J1dNO0XR+6keVehrXypVhMylxzsxFYwhUx9Q9V3lL1A741PSq+JFmZCR8WXR+41F/BVdmOMwYi0
cxxTJR/1DigNFs2JjA+QFbXrJMajQaIj0fIIQ5WtZXVQzAuZqnqmr812ZqoQOakLxe2cJpz7M9v3
V9+GSEsk73xoaNOH27eWikFlzqwEdF2YoP0zNg0l+6VyrhAjbGL/1ar9xWlx1HsWa0H0LyljvvwD
4OdwvCCmU6krHdSLRErQfVKHEGgqaGx9fEbrCQmGpcOk8KosIL9/WZxWeRiqsf00jy1LYI7baTwz
A+yAVzEnT2TAPSHuJFPnP0zt6InaUFqSMCzwIWgT6Ju+LpWq35eLpHoGgibLxkrGqF3ZmdOavloX
aAgXuRWeewxVXKB/hyj4nQoXdtrgClkaAOpjoU/TLPpFyoI5ciMkZUy8l0HR3KVFip5rGnWjvNYD
KahR5FHk9GoKTe2bjBqUr0ySymWRVurypIUDcBGWPOn7BnR7VBduavfV8lXptMC61zttjD6MKGEF
X4xhaivDk9VuNH5PXkO8Cxud0jjpKVcqkK7DrywndjTHlK0jN47t8vNCPy5fmZGWnbN8O7x9xECC
yc3dAygP5NPLcnsVLxiFFrA6ApSsImtCua1Oldm6xaXNJiqDeDh7o5Fnvff2Kj7eNIzKlkGLAi8B
SqLHQUNuj3VVcNticqniRhSl1SxU8QK/SZxm+/ZYJ2+ImC+5O9sF8R1RRzqcyhBMTqamGWlyYGZT
5Stwd4NtNxeDfTnXnaFedT1wkXOyMoeZGBNLT4NaHnqCClQNWKCHwxJP2lrehiZ6TyHCYZPSpjvU
zWrohwhn75W5adfQhCvurL9I1r84H05mlmFNmuDE/oIbcVysXNQcYxSUbhhWXpYadtQ43fS2XSEe
Dfr7y9ujHZYGxUsKrWTyAXBA4HGOnYhAhajDslgJCmdS2m+bprI2Qa9pGynInF0Lrl5oDC6XOAid
U9NVj7CeYnAyHlQIFTIjlK2OP2wQpLUa1xrrpw2Q5w+91NHb4r5tiiV9ygi4WgdYJ8+9sY3F6lhl
oYhFlUHKIK+mFbBYmGZtZyr0DNP/x9l5NLeNrGv4F6EKOWwZQFGSk2zZkjcoS2MjNXJq4NffB5pT
dUyQhyhd1yy8GTc7oPsLb6Bu/NmRSZ9DpjIae6vmndA/VVJB+RzxY71NJKZTUzF9GYpGFgc8g9zs
S4FYcuvbgzZSmOyCoRofyla1p40e2Ir9Bd23ePpjxFVpDTdqY6fw2PrBUWHGxZhP/AYxNIWPgzn0
rrdJRlwoPphDrJsfY/RLqi80rG25DfWwsJPtIIzQuUtVZxxnFdfBDbbjAJX0YxMWZrbHM6uqRz+c
Yn1CjUnLY/1HohQtXrWeGWaosXeJ44nHaBJ4HSFKN2lyVzqRST3JmOT01Ll6LHZhb+XWxkzL0Da3
qtNFinsshRiSuzZUjehj3bt5crBH3MJu+DdCb/IjRRZBj21CrKNck0dtcK+HZi12yA55XB2Naitu
8TFyEjfJjpxcRw67UloSV5epzzA6GCJFIenqHD2w9piJZdL4nKGoOpp/csPOh/oG7WShxLsCcfJR
hxVjVpGz7YxgNHXyg37MjyEqIu5vT8m87lGvBxRYU9sqnXAji8gpXxSrLHWUqpDmpQ9Od7vde9qg
NL+JbHC9hQYYJb89T4j8VjECYpJNniWVfq9IBFiqTRxOUbFDdlkCCjXbJE035tB0xVZHplz8MHUE
7uDvasVwq3d25t0M4ZBRswvBph2jvFeUj7Y6hrw+Su5FzVeg7GP+mdil/EPr2vUekFwcInvblUAj
nxrTmUWBbaH2YmOnclQ/EBXG+sOYe56BVN/YFL7R6aPLwcUO8dZtLcKjXUzfXD6OZS1vQs8JUr+E
78Hv0lLhbLGgSgbrNnLy+lusZpqHHdOQuwrRUYgR0YubK4D6NiVbVoCsdQvEEtGbMfL2vqn0SLMP
uI5plLG9IY1AiGJoou0npW2Mrdrk091gu71xkE2WiuNQ8q7IrXDauHPDWzdULAfR1sQzk2/Y22Xd
d6xFp7HbVnWiRkcyVCXi6LpaJv1UNwQmVo2qxnCdW2swqh9625nqbdGHONJtei+wpwJZGmEVA+TM
HEepTTe0tr0LTSUbEHccIajSuy2VbVuWtg0MVklV/bNrj6wsLJdqMl/0GqudI5sblXszAHOxw5Q9
BRqaWgSk6jDI5KfU6Q/6VlVU3UfUYcv8fhpdbfxgZ90Qb7XYUCgppPpQgXMK1F7ej4WjoaA4OFr4
AVHbMP7uCGz3ug99kpVuswfYVrTjlsNhyiMOJvglvIg6DJrHIG7TGBsS6ipy5DEe0D/Ewi7wosem
N+P4xjabcuhuM6qz9rFPndQIfVfmba1/qkehBPVGzVqn+IK4n2yUnWgMbgqUJzVTPI/DoLc/KOG4
8SaeFE39njmdimCtmhXyqNRGG3xQgqh9MOVgmq9jC/pk7UE8fYfJoKiec9mSv1CZIE5cVJCC3IpS
xQ0cvxqVChndtDk2GUKU0gEjVEpnTXfvfLwZYAzCmteB+HvZoExmwkzXj56fBkN0QyWkucHFAEdB
g0t6moy19u7pWzjPb3ZyoRw321bNcP/TB18J7L5vB9fz0ZhyUe2zpS+jftoCpG7u3c7VNkUWuGiU
Gmtg6kVO8DY0SDC6yzqX5+yWdTp0VxBXCH0iQeuiJrpNuSqwfJcwnVU1qn6odj8eBTgMa1vWtbUN
k2zI/KRKmnRnF7m2UlA/LXTN7zIAMZX4FdFHOsRLBQYtNJTYHZLgTzSGxm3SafrRmkk610OP0+1l
lBnXge431dI3HcI5EPorcHWiMDEsRDD+1EUmNOSBm2jcFYK48lAZoqPaHSSBsxK3LlMdmIC0PmDj
ssVzHrbYYzsYZVk4bfCn4ivrt8JE8ftQ62oifXL0gRJinLbBtq3bifw0GNuji5nm+PTeqSNNYyA7
QteC8HLJyZWWXaEmj3D8bK5AQnYoZVhn3TYXNB8+VOSHYbZBb8JY8whZHnE0+EykoRxuLsQ1jCUD
SzfCUdchHtwYfYzSEkLRY3tAX1p7yLkdo0PRWNzL+tTb2za2YuPm+rxPY9v5mKOhQZ7igHdFocde
JJqKHtodeG/HH9FouBGGXt3C3Ys+BjmB0srxujAWhR0q6nMdBzGGxU4LHVukhDTVJ8b27kMirY2k
tPi5tBO5f++0qPnPx4mzPFtGLwqAolN7EIGVAmA1dKKdi3j0XVgoKK+pRluu4KxP05K3q4IHloY+
RauZda6ffjYjCrSWlYfhoUlq95jUqbcFJlsjVN4FW8PNVRtXWGXNjODCqEA3SEuofWs6+cnpqKHb
EPwapuILS7RfCl0fjrYNJFmXqv4V7RNUHJQecOv1hV104ZnszEpExQ7oAHQFeK+nw7q5QxgC1eNQ
OFOqHrKkHwjs6S/MFenM9jGmUIJwq01FN+2FKLNi24xYFWw8tU7CduXnnB0pSiN0GPlNWJzyKi2O
VNj1QVjaRFVdoinDtuwo1n/vuwpbU2T22pVb+GzJ3y4qEl5EBxHYmsXd/r4fkxoYqd411cF16772
Y/qzW2jfAwZYabZznaz5p7Njd83m7vRaZsnBNZGAcivxFpGbLYY1+wrN6ipoDkMq1a+JoQ8Pat4M
tG+7TtlQu7HXRjy9k99GnDn5FEpItrkMFydaxfHD6Aj/DuGg7fU6Cz/lSuIccr0tf3Con5APzh+y
NpT3IeHcl+tHbHkjso0UvficKMlxOS2Jt7I0VVHZQXsYC5JObNMoF8VF802Yek8fqtH8QSmdnUxS
ubK/C2WGed46qAbybryE5gR8Pm5/PYBBmCth1Mv+0HfhdEA+etp4MvNe66lHfyE2s+00tOnW08p4
L/puuLFT2z6kdBN3TuwqUEV6aPSBTnf4+pqcnXOOEdR9thI6MlfN4pwXpc3j0NbjQakkhFKrKw9K
M/3qs37t5jxbfUai1w0FgeI9ILTF923FVQbfZRoPAmvorcx19XaKmvaYJpby3CpRc4/Pk71RnLBt
3ntpM7QNUmNWOSTnWlY+CjPMa3PyxgNVNWI8q2/TjSHCXx5r+8/19VzIh7LTLrZcxM4wfEAqUPY4
3WlTgUGWaIN2YAXocwlNbkBJFwcA5+mxEnazRS6U5hg2Ex+lN2qHtklsbAtr9Ws5jbY/ieqHmWGu
F5Kobb1Uyz5ACYt+o0e1duuc7sibBw9PNF0K1CuonyzBthjWVgzkJjsrhtdwKxRpTj8VRShcAGGQ
fnJKp3nIetUurK03DurKriyH52ql3w10dH5OURRYrFQ6uBLrX2vyh8Lpj7lS5l+sqv+VahEi2ZkQ
2yYavFtcrVr/+h6d3ra8MfPADsEu5G14Nmd8xqyRqS0j1cfQNv9HKOmQ7SKnVvGTNvDe3FSm3X+P
aRc9Xh/39Lqdx50TqpmBA2KQozFfjn9dAhq2R6FTj6rfxa5+oOiu7/JC6gcRISnuNYM4/j/Gg/PD
h01yRdXvdLxyNCTFHkrpVuA0dw40mA9KQhennpKXSJPqyvV6aXr6XAX3kEzj7VxcJYpR1gLPB9W3
zcL7lFs1WRtmHhZ41qKk7AYSeuWRvjgi5VoNxT2O7xLnULRIMGtE7/5gAiZUvUrHgyCt90bQJ5tM
YjVxfUHnE/nfpsW/G8i+obcL4gyz1Pn3/LWBAjnmRpY6C2rGECmjsX+A7SF3vT26/4+hMIMFR8Vb
hdj04uOYmcidqQeTDzIj2jfjqFibApz1Pg1koLzrEfh3XtyOICC5vmYOwOm8Wm0IcdeINT8ZpHXf
WJF7b1c1jnJU6x7eu4RzIZhPj7iWh3Dpq5YNtj0NiaX6OvysvRd5WFjDWHlMm2pNXfD8M4fnNlPQ
ofiQgi1jjdazsjJBEtdP7abcW2Zn7mq8JbbRQLYPAKXYc7+k/vvnR0Y97xxbhNLR6VJ2djSovduq
PkRsZP9x1iy+SXMwxJG4KFt72M6vUBtiFbzWuSnEhbT45HAqSPuoj3U/dpSu+qQVTjXiO9liUriR
dWNUOxHpATwjI7eCr9VQt2JNE/3CKnOdUtFkvrP8zmLCFtqq49R3aItNSkN7DjuEvBS4yVMI2JaJ
Y+/NKRHvSozmAwu1763lZvB2AW48XWVnEhmeFAxa2U68n0sAx5C2w90YO9q+MkZrh2Fw/e5PcoZo
ARzDqG0WGVp8/SxuZ7qaNHysHZ96VQy+Ns7g4Mxt/pVU+5+eppfWdA6UOL70S+Den05PaXBRMpTC
8FWDYFzPRXckbyJGFOl06BWv2RhKaa00q88vNzpvyDYAjpiFopeZLbZOVmJNjcHrNEa71i6Qcaqm
9KYRlbW//pGc39tsGe7a4DfmhubyzMQGhVzFxkgIKqa+jWLF+Dg48XAfSGwOhZ6tkSEvTI0TOsum
oAoJ+Wmxnpld9ApmJZzRIjR2Gjbsn80o+yetZHtzfWan5bS3g8nxAG/L5AAsL0MLekdDmnbj5KND
0z6pXZ61G1XkycrLfj4MlQeqdnTSkJoF5nd6QLypyWSdhzgxqZE50jWhxLTVC934cX065/cLdZXZ
GZLckJd92bVzIW0oTWJqvipczgQXkT9RBv5HjTB96bHD2lPf6v3Eq9YKtOdHZIbqANDGDwasz5K1
P7lKi8zGhGqjCWMlr4w/Lr2Be6XXn6kj2itn/9JoVCZpUGL1CvdscZ/k5A0aPA0N+F1ekXE5Xbhv
ccjaGkI4t1U8Ou8z3ZzLoeheI6JFUYcKHQHh6Q4GSoVQWji1s2hctO097XenO7fSRk+TNvSa/+Ly
A2A0nnUKY4BegEUtxQdyLeu9Ajukfaf06rEiJjwoGcafm0y4Sf7OqOxtMCJdROGws+SAnk7NIlUt
opbByk7H2730VPDmXXU79QBO1bKwV76505rC21LSh5xJjTa5HYj80/HcGHQg1Kp2L7XWgo9Vjl86
DPCs3dhlyR3jNZA66uCoN7b1xN+qldvs0uJqxGicH9Q8zo5qkxI6Qehr920o5JZ6auKP9Hc3aVtP
K+f0bCggGEBGZ+wHeAxgGadTlV4fgH8wyv3Q2ONzn4gy+lxWXZPcAhdPP1//+C8Nhp8jDx4VML7E
xXtngFgztNgkTMKE4y7APnHvFXRIW68p3z+vN042ZWoOJ5a4i3khjGBWQDv3kxZV9UYg/w8jOihm
mcqhyn++e2I81Hx8vD2M5i6KUGlnBwDB+PZCWuo+WZL7Pa28ZIdznPn1+lDLl5yiCq8B4BnOBXLA
SzAgGmRw3gOn3WdB297ajX2cSUh7lBRJi0Yj2ZblVKycx4V2IB8E1Zy5Gk4xcSb5Lu+W0NUTDOOK
BomcavysWByTTWTX7c000N9F4EK7c/QuwDu5VoMtpbpxnykaxml9K/OvAizysUo8bVy5Fy6sBfzQ
GXWMStsshrrYZC9twRPTy9dN+A25nLDCrjAs34d0qW5seHF+XZqoxL1zC/jn0KMiPDbmtG3JiGsT
Eze9PocM2Fs4ZdLI3pi1ZWzBbGGj2NYUHbR25X0++3TmMWeYITtBJqAub/dQKjJKi2FvjiL9Exud
5zfEC8eiVJv3HuZ5KChQUP3mBuoy4jASqP3WGA+4iVk49GXC2Ca9qI756KQrYekcVfyd/nKYiNso
36KCCdN42SuMp6maKhtaZWMq5sfEqcutqgbDyidzae3I2gih5hTxDHofGWOr650z7B2j6m+lnlZ+
HzVYgDdKtZatnR3JeUZzp4NPE2DS0rPEsNrOqMpQ7vVKN3aeNVWbCrDOlwiexAaurO2Lrsvfe9nN
1/eMppunR5o4B11/VRFilEg0LenkHqt2zAbbQtxy/Yx7Tc8q/91nnyYOVwFnn97uMq7RYXznnUsp
d9BH4x+UIfFfTVDE2coybr8VpioPAWnpy/VRL+zgGwwSvNlcXjvrPEZo/Bo1qtex1f8xukJDtit3
Ka6Z40rJ6fJIoCJh4FISeUOZ/rWUZpZT1rYMvrNYDW8mW+FG8Rpvl9E/X7lGlqEwh59J/XeoRVTj
BJESIJw+7F03LZE6T/Ny05fohdspLNVkDKLPSh8mW6UuhpUAZwGe40KfxwaaDjKSWj3H5vTE1Ikb
O2U3DfsWhd2NSkh89BA4+CwcKQEVZ2lfbPK4QT0UQ6ppY7uj91ntA/lJRcTkjociOY5eUO5SdIDo
BJd0wEllVWVliS7cD7P/xkwtgRXJS376MwOSRw9LQ1ym2/aPlovxW4/39sr1sAzV57XgOQW6AWCT
hHwRAk22SCnbsOVN76S3Jbev79aBce/22DJrctRWSg1n0eU8HqwPuJ4kByjpnE4KSFXJpdozXmXq
ftPS0TYw0POp/Gs71+0an/sj3DYDgH9RyjURows3FMOTvRKJUXJ4Y13/dcI7c0q7IAbIVtlSfNAq
rVcPje3KD04BY2rjFqL71FqtZf5rhfQ/SxAXl5nEEujE3C5bMkcnTQyyVzlyKN10OzJa965pHX1n
Z6Le9am71gy4cMZRkIB/PT/TSDYtZTExIdHjydb6fVlVAmeUxk5+U+m0vsGGkC2uyLXpj2Bw/+mT
od+VdRyi36+a1e9i1NIGIeayhVoB4R2HbhnjFEsFYxe60v313suNw0CSCImK/ThTNMIdHu9MRFj3
ek9SWk5pqe2tGv3rLaRkI1iJwc+3YY4j6B1SCELAb+YT/v1W8LEZdgm8bW+kar8BtjI9w8/glgna
iNkq2sqFemk8ePycNQJWOhWLr0srxST6ye33fZj20JTRxROPBXqs+abpEg9AFvtUrAx6fotTT5uT
fArQ6EUsOb2tSUu9U5Nu35Rxephor/1QQ8DWgR4myfb69p3fURDtqCqQLTJNztrpgoKgGzEPFiMS
KV3zW+9NA7ywM/y4PspCCmy+sU+HWaxjYw71YMfTuO/RyNg1Ths9abWaVKQ2uv6nMhpH+aAZBb4R
9BS6H8BDjV0OABebjcY4sNA0xa//pLNFJtJBW2deZsrhlERPJy7I74yCOMHH4yKCQUw6UESoho5k
mvvrQ50dIsr6MORIVClLo764uDJD1EJR6Kwtv4j77jOYMnMfZmqJuWOFMcWYdnLlgbww4Mx2pfUK
2dWhDn46t2hIuzZCYtN3Gyu/x1jT+m64cHpcL7I+RJ2jyJWX7uxRIIKbFWcJt2llsLKnA5K5CZyK
E91HIa/4pMeh/aAaqfEnNGGhbDJwoRTlVNont2GH8/VNEytrqjtn8cg8+qxdQSNqbuAuThjBnmeI
tNf9MI+q55wm5kc03rontWmLcZtKfKybTrUhaejVyuk+P0qsJYo/b0w7vqFFduNEA0ba9qj7tFRm
ThOOUXuE07pjmCHFuHKYzh5A5omvAfqP1D1ohy3ObWkgrWZOpe73UsG7HvDxAyv6JxvDGIOULrkR
g7Yml3hpgvQM+DRBeEGlXqythZbZwFOk+0U5KnfpiLfnrhKNYz0VYaC6K0/thcM0iyDqYNPIrs4K
79LwFMscWsMne413pj7Ku6lyUSDRjPKrUQ61r4ap+NBDXNsIVS9+X/9az25EDgpYVChY9DSI2ubF
+CvCCJMpmLpSaP5kpxlK9E5wnDzk9q+PsoB3sYzEEBxWtpE+EYC2xaWANJGZ1Xlv+opUgx+VzIdj
E5vBU5OJ0N61XUCGl0aNiPZismS5LVDM+EnV2TFXfsmF+aKQMyu+cBGSNSx+iAUmoSnpjfkyDa3v
FWizYy+aaiVXPr+SZqARtwPUFYKF5cNt19JtczIzX9TxH1OHXLRRPXYWxHh2H7gg46+v74VZ8XzO
Er8I/BN6Lj4TI7XDnuzE9IkWXiN8p3aW4q71beajcFIAYOOICVAV4PIjGF1ce43CizG1jemboxWi
al2UULXz5sbT23TluTpbPyoMMHKZCxDH2V/k9FS2eU1qB0/Rjwew2pswBBpk527+WWuKL0GS9rvr
63c2NcbjUKJBjYspedZyPEePW2dqNY5nFDyq4OJ2wP5RMTLr2ghWNuvsTmMwLBGQHJrLqsCvTyen
IHlUNEmi+aOej18nr20eMzEBSzam6JbsjEZ8MU0rkc+FQefaMWp0BHgqBNjTQbNOqWEyMEPAneV9
iZ7JnV041oHr1d7bXjPuWgtK7PVlXQxK4Q2aJ0eS0hSbSNHjdNCmVFRlkqr9XMbxn2QAkaGagO+2
GWS8nSP79rug5P2+oPnfQdEfM1EB03GLXAzaa6Mw1ayzn3s5qDemGunpZpgm+UBV3dy4Vhq+Mx74
d0QqcJxUvgv6VqfT9MIiFD1CmM8wqKd6n4/1dEehzJk2qaMFH0G+AO4zEouQunScYqvCelnR1F3E
A28/gamC26WhCt5t8ShTx2pV0TBpNW/FoRV9g246Q0mnAhqTphqmJka+G6WVr0Rfbyfnr2vhbWhy
BYo9nC7AjfO3/NcLgmJr76ZB6D7HMkiHDyhmqcZDJExr2rippXd7mcu0/thoCMePduca+74cowHx
ES3CIEjq0RG2k3LT20E3/anDXO+AU7d2HvtN42jyFQBFizNC3kbaw9RhTrEtB9W5H7B0Kldeh8W9
w1yIjlF3g7Og81Sp8zL/NZeqLjrFKQTLWOrdJrG6NoF/Z4pm03lp+lHrEEq5/oksnv9/R+SbJG6d
mS/LZj9ccPhMimU9I9rabSdTaZ+k0o5+G2XZLWxY7aYx1PFAG41vta3fZ9fgvA0Px4e0i/yS72UR
66iF0pqDCOxn3G66g+4W7S6MPOmHkZz86zNdUF/exsIFDKgCiid0zJa1G8xnoGLL0n62h1qgc2h1
km6SBtu3oPvT7nq3E9tW7bQPjlfk3k3L57bXB2PwNshXF+Hh+u85v5zmzSZhoBtL+LM8t5A/zF6M
mv1cEWt8gUde0eoahe9EpbaZnFg9OALG5fVBFw/NvN7cifTSZyosxKrFxyJdBXGEsrWfA4rcB7tQ
h5fEcRJt2wSF+b7ewH/GQimD0BlONXaSJ4d5DGyjqZPUfkaZMvk+jGQluT4mx6Yo3qf4+O/WzkVt
5oWCBpM7HaryrFxR2PlnYfeojKqms0HroN6OaXGMrVDZhlOX+boVxiuonPN7b15QTG4BHxk0JRZz
jIy6183esp+VgcKvjPv8xvEyZwPNRG7Krtj3Q/0rsLQ1r4gFpHueMQE7g8LNoH9Pr+10xlbfxRau
HeKnKS2n/NZnkadtDDfUHg21U8WmsBIUQ8fMICirMrNydpytVIMpWg7ZnQninwM/lFp2aHoj2RtK
26/5Z1344KgXI2gItI/eP3nv6W+Mi7ag5iuNn1THfgaBSH2rT6IZ1aDviH7HzZCiDWk2U7mpQgni
FpX6Q1Ii/fDeQ08RFTYFcQetentZp29jtemiqHefqVVHt1rby89N1Su/xsFSspX79PyrBtQ7A145
8aAelvQVUvMSwE8cPKe5aO8CDau2ILJwEB5V5fukAf1uZL32VZ8/GwRV1FZIu+mOEQScLnQyhY6Y
7D7+WesIXjVJ6j13gUNdMojMjmplJ/+5vqKXBqQmOLdYkAs7A1m4WQEByVSTn31jjT/0QG9wbtWB
dSAJ8dS16sv14RZSh/Npn+UDWVJgaTq6ovOq//UuliKhA+E44c8qBojztchSIOoaUAD1TkRqvFFK
XGMVof/TED/foYQYtZvRabVDGbnBvrebNIFpG3fCt4Y26Z/KvJlWluTCxpPNkdYho0aNdhkBjZ4c
jTho3OegNsmeLQKvRLaw5Mt0eDWzzsWaMeGBub4y5/c5+R3xwgz7J29Y2h0pwOMmY7QZ1ZjiY1ak
+v2E5PqTqiT0Wq6PdX7XcbaI7YBEkanQhT3dBEXQyo+MKfmpOnGyrahFHzBzEti9OuEdQsjdw6h1
MAfSRq483eeznHu+aBRSI8CvdMmwK9soaIYuEj+nqYDArSVpvh2aPFI3aWZGK7fFhcPGaJTWgSvN
VtxLfKCSJ06HBE76s5g5Ftu8rSgIlGaeVZ9hC+XtnqapNe5CEYTaXkAkcH7JPpWfSrOWwcbSA/WP
2tWuczeWfUWpV3hu8i1tMZpY2ZCzZaE1Q8EWjxmaATRpFm9ATIcKgmkbvYAQ87Jt0SGkQJQ8BnsX
vMe3d+7+HKnQd5jxzPS/lpxsXOZqa0i86CXTg/S+t1NxcLPMOigsz6YvFOMRpeF7o8HP5/rAZ3cN
CEDQmhbxKc1UWg6nxy7KpcgypEV+JbwPv3JdTHd9X8ovpajkr8RO14i7l8cD3UgcTmVqSUtrc4dK
tUz1X0GT5Te68JQfvczFPu+6tMJSSxUr9KxLAyJCCBIAtAxP5WKCTiCGOA6k+WtUS/fX1Ev7c44V
3E5t4nxn9OYaAmDZHoDrgvws8sx0IsABUrk+XdFJo0PeWbry6mb4eu3AOLVkPHoUH+vAi3MMQSLR
vwjUfSwFRYqyLR7ixm7br7kxYtMNb6/gas1TgD4ruTPxOGOfZHMzQ+2N5Ioi6Xlc06jAglqZ9a9I
CUUKIlD4hRBJNaKJne0gc9cK7t2Wgk+ouGL6ZNZUp5GHbEjuFOyHvY9lqGeUTSB07tBlz4aPbdkh
ZZA7ptrc1DmK0EcJGw6YVy5z9ZYMWbNuJoqB8U09asg7g6DPlKc26KSxjbvSEHuX+v6rQayAxFLZ
Ep0PvRbnD6nIGjvaKgiYj8neLo26qjYQq5NHFxWL8cmLWucZkIdK59SMzWdi8wSZLbMPu33i5SLa
NtkoXqK2dWJ8LBz3B1rQUTPLnIWUDJDuiD5Xek2poi0N/tetpZKMBDu3QWTlWIS2FT+gON49BG0d
yBslD7KvoI0i7NUn24x3Y+JQR1IQRrsb9Vb/hsBXq/0cswlz8iJNs+RT3yfyznbCEe8MKqRibwM6
yR4bU6rqEWmIwh02E82iYUfVJrn3Shm4t2boGt3GCRHC3dOOTSHIIhYLfR0bz+p3kwUq2USl1XJn
T3rxkKQD0mODFqfi3p3bPWyfFzxaTtfkfqPhOLqx7NT8MbpIu+xQ/kybQzCGyn2QZdLbxgOt5m92
NUbqsAemV4IDtAPgNNFNkYaR60sosk+TkqjmaxrRnQXVjdac71W4X5oxIokZ3niu1xU7exhjaw3b
evYo0h0HCDAHe1CkuaZOvyWcSNQ4K9XxlSsC8zwxdH5stqE/Z9WovBjODnZ2tVPjIX1vyQWVQXAB
sOyBlSMpt4iJCtvo6mzszX/sQc1qX+8aJdyhAaB9ab2+eKx7inrhxgHI7B3aCGGRNaTtWemAwIOC
OuAvulGoKyyukRHJLyvDQOdPO0o7/GK4rfukDNpEIJbVn4Yox41gqoJ6n0Rd9sjrNK681GchF/IZ
1A7eUNqkYMu1F1Ol5SQu6QvhvQatNTPDXZmPubHpFeejkk+lu7Uar1yzsVxe2DPQfo7zEPLmj7ms
8Am3amVZq/bLqCi2jwVidSx1tzyg8SAfPKtC7+D6E2guLkX6BQh+zoZnFLiwgly8EJ1A7yZwpPcS
lrEz3TkjWj/K/EavoE2WAQVFILpctDFnhxYUxRfjqIqCiU/DOFSKMOyRTf/NKsLst152lra9Pqfz
RYT4PceTRC+gI5cuXPpoBkj+DsGLWhTTTdJM7W2DBdSW8GncVn1drIy3bAHhPcGAM+ubdj+4kiUa
TbgxovBe4b14woq+ODh5fArcctz16tAeRzV2QrBJ1AwyYKBHcHm/YIUrN9cnfZYSv/0IlEGIozi5
8LJPr4u610owz8J7yapOx4reBkUTE+E9Rm0/3g6ja+4xC0xfBxkGv/VoGj4JK1ezjZUhLnT9tyxv
rn9/Ct0UhEGoGS89vkXeqXJqe+8FA4LOPnp9j7ZD301uuMFBTOcu0arptsDo6YvWjeGX66OfH+lZ
jeS/oy8WwkLPF2MmLXiphjze2Y07hlsjcle3/eIxA3fADTnXIJZcrdHQ5UCHgwVH2e+r6dWab0+t
deBpHO5sTKLf13l7O2X2nIbPoiMgiRbvQdG79uh5o/siB8v4hjyZu/PGcdjCmzJ/tlUdrxzrS58s
IF8i4zdXgWVjsweYBawy9F5EWFufdVmHz3nkyuNkJiJduYYurSW9d0oN8LTojC3yjbQmIqz1mLGi
3pGHorPFXWHE7rSBte3lh1xYxuO7j8ns+Up2Q9kGOsdiOWFI45+ZFMGLEmgdODebCfpqylO+MrcL
XwMDzZsG2A7OwaKBUWYUMsxyCl4atSyQnAq8X5NRKns77oIbHdWsbVUE9bckqddMMy/s4JxlWEBl
aVFRvTm9EpAEnWKzqr0XDb1Q7zCpU5Ju0I+a9qrss2klali+mXz1YHFn9zlqsmQci6jBjvVWEVqo
vEAnNpu5IDuCbdbt6DUoFUEUMatoG17wdH0fLxwdLnnoP1TGKOac1Z0j06bCbLG8AVZvaVv0N6SK
6IlhgbfHnqpa2c5L40EDB9hFCseYi14xzcBaaOqovCh2rdwqstdwPdRHsVfcOLk3WYU1s8FL24jG
JH0F8lQ63IttpO2UeEGgKS9hNQGsdu002CIWm+TbPErWWrgXbk/GIlOa8f0kcYtdFBYquWXUBy+5
Cc1pjwBf9aRpclJXbpdLp4W4g3wfMgHHZfHFe31dGenkBC9OFnbHSR/GfSrS+BbAXHDv4FV7rMfp
P+Z5/xP8eWlQII5z8geU64zEDJ2w8NKmC18VMoWtKWpgoEFu30SRVt10ZWd+KPU4OVw/oOeDwpmc
O9M0UJHTXaIAh6BHal+1w9cujpApzCy0djoQPi3CeWF1n+s1xq2wmc3d9XHPd3LmahIBUdeCqrPE
clGxrmUYOXwTaWvUm4qNICShZPTn+jjnx5MLlHY/y+lxcpZ1abtL7Aw/iOh1tqC9N8Zs3CSDYz+Y
urKGmbo0FIKy4NUhUdJrWjztWRinidpFMUMN2f2o6Mm3KOsr4slCvPtasfnKuVgAnRDCLAPjECW3
BoADs/KM/EOmNMoRDDafQh/duxHKl9cX8cIhmY0IQYbwGIEVXtwqZoCwfxd38SsaVdYuRgX5yVMg
12deEt8NiqFvkClcEydcplksIh0UqDy0LijzLedoWV6dm3kRv6ogcQ8GRZcdHhXGBm8N4yMV5nZf
YAX2PaJQtvdSRLmuz/nSbhJazKUwjg1FuNPnKYir0amQ6XulOtcfeSaTrenk4sGZ+v/4vfzPD//8
0iZ8opIN7o1vgdN6OpRVuL012VX22khhVHs1i4v0M0AmRX+kQtV+CUvddqOV+V0alFoYHxrJJKHN
Yk+zMk0xHSmKVw3ToIMaFt4X6kLG/Sjz6Aam3DvRoswQyA3/cYaIouARnE4y9+ypNklvXv+Ps/PY
jRtp1/AVESCLeUt2kLqVnMbybAjbkos556s/D/Vv3GxBxBxgEmBgqqtY4Qtv0Gsba1RVRINXDk27
G8BP/YkpE2+8+NcfcHkFaUhR6FuUGpbI56/eCWC0OJfdmP5WJzEjDCHtb32EOEqj9bPYWMx3xiKn
Q8cDRMHy2q/GIoxA2nAok98ohOrz1ympSf8DN8iUW8wBiq//cWsuedziwfVW/L5aSqcWshz0qP09
otb5b5vCrdMIUHl8Fb3/f4xFZgZCYil1UAy7XEUsC0pLnaPut66iR9SqVhrseRP13dAo0VYL4uqe
IQmnNrtkZtRWyBMvB0PDdaqrQIy/3bFp7vQAXwKo/ebj2Me3vRvvI5Entx+v5fL7/667IvNA+wo4
MQUAlV7ban5F6QR5KmPxW01UwpfWXowmBbXCjbzvaocwDkoPsIcpPS/ygpdTc5Me5gzaBb9behSD
NwpLnsIRr3U/RUFnYzsu63Q5qSXFRpwEagev0RpurzWmEmqwsV9SswNpH+bmN5gHsY8eMMqQSpT7
+hS4e5mI/OXj5byqNqAhiFULtQaeW075OkLTRwvpYtT0/lAytX5GdVaeyaymz1VsBCdkfIeXEkf4
r6gbjCcYUs4/IpuGjbVeU3GpUOFAjtEBhXTiGv6+XOwoV8agmM32FYpwjQKzFSP9a0adrKiLTV1z
SiNVe1ZcfTa+KUYWAoqbdO0mG8w6oWaciZ+otgfxbapqhbrxll4hGIi2yOuAqHLn8qysf5weAfZs
U1O8Vk6if+6NQP+pgLR6puJdZ366qP+NVI+gHgnzXMV5byMQp2hPsyaLJZgw+n/qORm/4zgEm3Hj
84nVzll+HEcCZuYSVoDwuFw5rXbSttdm8arWrXuPE4Z81kwlxRGicfTHAc8plB/bChPWgXI9JkUY
jGCxWpfDTWuEQ7gLkR03N77n+qlafhSJMJEAWc2imnf5o+yeOLFHKf11ntLx1ay04o+ZUlU1+Gqf
RZJYW6uw7I+/zw/1TcLhN1g2hhmwDS4HHB0zykJttF/jolZDTw55iySwjapIFTbysWjKXL2zw0n1
jDTunF3BU/05yI3eK3Qte8kn4plDKNrsv1lRLFgHSr9Lsk4CZC5Oq5c/zEmLBfGvBS9JZ/5UElQV
PUwakHCx8/Imi+vXj7fD+j5mOHrr+P6x1UhI1rXKwO2aqiuEfJU8At6sJjRElEo51yUKgoOe9ydj
cMKN1V9fXm+DQt6nwm/DqF8Hm+7UhmWPkO0rYNwEy8bQONLycn1pFtpT55bacTQb7baRGG98PN3r
fQaMAW7HApsFKrXGywxzWJlmp8jXSYuHH+Vi+xPGkX42ujHZjU548/FwV6sLzBq/Y25pXju4+asI
jEhJjaI4jtHXHxrUiPsi/z3q3YQVYZ8NONiauNBDetvKM8317l6g6oQ/fFkdWPK6IKxpMy5CTpS8
1ilHp8oXxp5bB9i0WLx7u48nebWmDEZrUwW9wuckhLjcsWVtC+wQuuQVaEU0eVXaFgrsRqofedQq
+8GaUDz7eMh35kcdfxEfAxdELLG6w7CBiWmU99mrieXOTR04zjmbc/gVERDW/89QAHAXRYvlwric
3YwRYJmoZfYapiLaZ66mIGguRO7ZCQWCjXm9s5SIKBH1kWGiL+is9gtVSERxlTp/Bb0Y+lEy6jcd
zajjNPXKU1bMW8WWd8eDmwbyhRrIlaYmjMdEi7WoeI1iUzaeXRZVe6uK0TzLOi8UrywNfQM6eXX2
wbosp2G5bsCHrj9dEtKTVxI7e7VwlIZwUJX7uojxcO4SADdqI9q7yjCTw6L4tBU0vbNteF50SCNL
2IJG1uW3nGBnxvCM8tewG4vcA8NS3DTVEEd0ujNro+H/ztoyGGkJ9zix/FpKKs/1CM2Ipnid80Tf
F4bV7YEUjsc+0KU/TLjvfLxR3x2Pl3Mhq1D8XC9sJkQXltlYvHZ1bN1QkEgwAKyzJx6u/Kbhmd9o
B1wvJoZvuBjwF6mctlYZrcbFvSrTktfZHtTPleyqHQXm6QnLri3s+HXISRCF3xeJM8RSSlmrcwF7
NtEIltJX6VSl4+WzSA9W6ljf3QYxY2eai10Vq/hagvh8tAZsNJp+rjZaiNcLzI+gQcDrYah82FXI
SVVyUuOp4HDac3zEYDH2CyPXX+yxRMzNxanxv35QAyErAIILWQ7trNW9GuhdX7bKnL82k/Gz6ar2
Ruo8XOVs7yJSpcPHo11/TqBhdGIpS2KAp66VrDrRd4keKN2rnhjBQ6TOyiGJ3ejW0PvX/z4SSELC
Dpr7AItXEU6ENu/UKnX/GgyivJuFG+6HXkaHDIWi48dDLfvirygPWBdyCaBjgTBoMJDc5TL6q0Aw
zU1qx0om/uDIaRxLrRH7RnMGX8uU4LaUqAZljil34RDF31QH1N/Hw6/hSP8bfwGXcePhG7u2pBiA
bA5t2Gp/oD4Yxr51KvFPa7TdMZcD7OWpVO9UGfxQA+HcgOAGhGPN88Gwm/lRbbOt62919S6/hmoJ
PSCyfeKDdYJK6xbINHrof4TS27tGBlAwrDzQPyeB7hybwHC8MGsCzYuTeosGtrzIqy+BOjVHmM44
18W6cmqNup0Lmet/cEtIcW0s5n9EbCsbBaF1Wvi/KS4TJB5BRWAN5ctaiph5rul/WjA/t1qqYJPY
uBl+inUdHtTJFF4eY+Y04Wx7HzfKgz4m3W1kt7dpMZRfwE/XciM8WjfG+U1vpX7eO/JVgvfVq+OM
3Yghk6H/sUTxs8H+5CYE4X7gjfzR4QZVo4djhfPOxSXrc4Xf3U7iTg2viqDm4+24OuL/+yG8EPAj
qESSP1+ehrLKgSOL1PgDzDHaN25s3UZh1x+U3lD2Hw+1vrGXsQB9MVsKFLAk1qXdbnAjKOVGKD1F
d9BOdR0cm4ZW/jumsrmdmxmScYPVHfp5mN8oAQVtUD+/Pv4Vyw15uemwAqfjyXsIZIS/LyesSacY
TBA72MDFjXvqHPdTWQ9OjxZRV32Ja8SNAap1ydYXXxZyPS5bkH4ESMRrbZEpiAslMXqoqaMePZQ2
PnD3HVQYX1TK9KdJURs2lUj+RBQxh8+QoipljpghdPgRYMzVq+VpaGi2bUSX71xHiwEEwCIybIQK
1jBnNzFDy8VvQXpgUtV7OXbhrTkpjtcl9uiHeTCexrFqfBs59UMvRhuWXWOcpzkXe5129T8ff57r
/YiTN7wsXvVFMmIdWrfC7a1WLfDNS2Ci3+CLFTzyUSJ8kIstNsvV/fOm5wuJhnEo0emrQ1jmxaAo
jd1LekNThrFxivFaX2ZyS3Hvas8xEIQg9hyUL4778ud/PTn2UI1TjVIKtOQgm5M9NoeG2KVtNJc4
2fHce6D/WnnqxFAWG9ffG2D4YuMxODHnUuWkp8JFezk4+p3hUM46Gy+AajUd8PsIxTlMS/kUZbo5
eqljtyo4doCROwyoVPekBUH0DGNqLvwqllbuVVimtp5Au52MddSIqzB1hYlgPOF7GxU+jkmt4YHq
tYp9PbhB9NNEKk35ZNVlmJ/MGCFMr+gikJH4M07E8NqY11XpBfBYo9E3dOn86qMhfw6z0MB6abZr
vcPPvHawhKJgNcNtqvU0ev54s73zXdACoGkHawc29/ryo/qNIdKoa9KzeA9uc9w+73WjyvwQFcZ/
SVrH5waTkC0Ww9WbS6QDk2QBQVAKIOW5/CK9WaSB0WQCe0/oTs3tUBVT7Q99o2vntOzt9ASvazhj
RlVm+4qGzdajv4paEV9FnYym09JFhEe7RglZUNKgIg166LWg47BCM/rF4BTegeoXbt79sgy5RWe/
mjRjIiWF8B5R3lKivpw0qPZRa3qFMQ2zeCn6GjeSxdsxFPgOCKS1jiZMhIM1ztbGCXhntmQIKCvx
9C/UkeUa+Ov0kcolmKYLWmlTHd3YraySGynELD+3KFwYdwURe7aRF1ztLPr5FM4oxLPMXGTLb/pr
TE0aXdxR1IxBCxuG19qJ1fpabWqZlw2y9BU8n+9rwDbBxjvzVgu8OO5kX+A1FxYiqBfoyZcjT3Zf
uJmuQ4dp1b7NTyOpb1P7JfKi6fe2Sum6F0antTfOmBhR69sOUKO70Yry7t7OB0KBA9n/LA514iSP
HcbBoafVAsh8pmRduXPc1jiGBNZwDstmXrDdUSZjD9qxtF/CJLW6nUEor97aOol16Jv0F4Oz23Ka
BR6PNm7ISYvtyd7IMjV6sBIKQrvUbOpylwLIlBsP3PpBAbpFa5Vdxz8ALK9xwwmxvkqOJr4Pbrcz
xTc3RTNm+vLxRbIObehcQWuFCAfPgBadvc6UWqDs9pwjMqAltXzShFL7RqTXO1Jknq5QUfdFNkMc
0Yzi0NFSO9U5OLKPf8Rqpm+/ATEKYnggMgtF8/LLq/kgAeiWqCpkobmv1L7HXWBOaQQFWxrfq5fz
baglX1gKmISwa8OmslNEUOMSeRCBm9wP4yTPc4x56scTWh2i/41C1L5IrMLYXvP8lNHNHatBLKUq
QuMQRkHsJ7g3HRQenrO0MuOMdeKWxP57q/imE40tF6jVNbDJ4tWLbIcvOfKl/S7N0xPOEBFOVPhn
fjy/1cX0Nj/eAF4DADgOALXLD+YEmeo2nEtUomJ1B4Jf8TU7bnZRWUV3ihRbovPvrSc6LEu2BYif
2+dyPD3A2xG2tHaoIc49irZYWCFasB8SmAd6UIxeZyX/sYbwv0ly+ki4ORfIplwOmonJiqvJxe7J
IWio2qTmygeEo+Ibe/jP62ksCH1qFvRv4NVcDoVV2Cj6OhQHM1WmwqNANGHmBDjwBybHxk6adr1R
73pnRRmR4TBvQ4hxrRWZWfE8VMCoD4OU407W8YypmLCPWPfWd2IK/524qG8+nuU7G5RtyVhc80u3
c3XMQ3BoVsdXRjwllb7VG/FhsHncrDjbwmqu3uzl2zEv+k0LV2thNl8uaKmOhkjcQD3oOCgfEr0s
dtzyxU4v03pxzZ0PjTOX+yAYtiLm9ybJPboU8sGN0Jm5HBlC05RHXYadSBRku3pSW68xCqTNXGdL
KOGdU7iQyhfRpIVhsq6vu53TWnqCSUpcSpxEqnH2467PHkXY0P9U2i2B0femBip/iQ7wfmDMy6kt
3TvZUdM/yGXjWBPtxcAIshu8BV7++05ZUHZ083iYwNxdjhQj4WurSc6kwikXL+Q4nfVJI27XvEnI
+fnj0a7XERE6nh8eICprKBdfjkZdWeiJy0VdAnM8KIabANyIsFOcovSkpiiAfzze9TqSU3GX8ahz
twDZvByvRb5/poxtHLpQNW+MFEOBUMzVv5YThJ8/HmpdruEgLGOB82Evgq9Y847hceHTHHUG5k6g
wR5KIwjr39Zgp0iVyMiuq2M/NrE8mC3G0Q9WTXc688dOZP3X0sGp/EYMtvmf1UpZ6jdMLBUa5K/X
UK4SUfWKmgKSrDIIzMrjVUzkr9Ey5mxnTr3M9ijZYp1k91Gi3X68Iu98bFpDwHZQwVnsxJY//yu+
pZdaasBYzINMSFx5RhxxykPhHPDfrnwbwy//4wGvr6K3WxYMBY0T6Dqrr51G80AYkruHrimSQzf1
0XPg9PktfGB1H1dKc5/pQeABbC027vh1/ZCPTygAJJGOGNcg0iWXcw3tVs/ybsRFKSxVGM/SbP2+
wnonJh6GwKqP5yzHFDoyc+tOHUf1U9WXxbGYx+GrYVcjDcJZbOzI6/WH5EFratE8g+2xxg72eK6D
KCkIjYwiPJui6fbJVOfnEHbRQ2k6nz5e/feGA75HjWiRO4L7d7kE0PJ46jokeRVEeL9UIk2EHzt9
UoJA6+d9lRpuevx4yOvjvQBP0fyg10E8vdY95GM6VCukftCTMG880Lw4mzeg6g49LMQtr4d1GYyP
DNR06ViT9HMtr3GKkISJzySvatNE9c5wytGzmk58Hts5h6/TtztzhntN+y77xQ36TAnH9rMRNXOz
sIqNuV+H10uqQukdpN8iIroK1LLE0caOpAu146xFh8idEh/X1XCLJHb9WRmHXY3AHJ00Cm+Xn5XG
at+nIdqSUT6FXzOEDs5WqmVnUL2KZ6bOr48/6TvTQpfkjTy5eHKvPS6axMplaODplIyscYhk3oMT
FurTx6O8s3GYDc/ComWHk+9qr5ZOK8s5V9GTTGPjazuGaea5yTCcuxwSmvfxYNcBIBAAXlZOIok+
i3m5glOVTNT4A9Q5mzD8GSqu+ZM6q5xvEWNVmn1ptqNyjGojKTfuw3dmiRYo1yHv+mJ9JC4HbjW7
XSK2JS2au7MZGjWyIDQEselV1G8fT/KdbcJYbx3rBci7bjo6GgJ94M94/aYwO4VclrtYLxF302jT
hXaypZL17niLADufkcO/ftkbxxqdDsLmwUpgW6Sxk55sApZbp0qMnQA3vP9/zI/cfZEWWti9q49I
WFtbdTsZBz2Lrb0r8K4qksD2qR00O3Sd2q0XZfk4f9VouGhAIC7kTNCSIEiMVetaT6aQBoiDVFFN
pfNQ5q39RYlG+PTwh5u96jQ2DTe7NuiUlLB9d3baQJWaEGJXcw2jpHLzyrnaT/wkejNcuOyqpSp5
uZ9mTJ9qE5+zQ04KiIq9mPb5iEVCak9brZCrz8tQzBoEOpIMi/bI5VBhXAPJoUFzQPe8fJBlNx7D
eQz37SIw11M13WhxXV07jLeQ3EA/gVEF9345nhkFgVLgh3BoRY27b5OhMu/Nk9b+R+7A2y1AngR/
gZY5wK7VxBIjG+2yT8SRoxkf2tGIjxM6QXtu8u8f79irKQEHXIAHC6KLiHttYY2uWWNJhJeOOm6S
X9g05glvwHBDqeN6FP7X1E2XC0ZdjFQvFy6abYGlWmMeNfROsj08F0HNOhjTsXE27tGr7Uf3kVYo
x2/pRyN5dDnUrKdGOxats2ghJL9Rd7Zugnwqd1qiDltE/qv9t6CkgcEt7IcFwrWaVmpThy30yjlG
iYF4M5BXiMmKfhfo7TlVlWCj/Hy9igvFg4t6YZPQ/lvtij7pgKrWpXM0rGncozo6n4PK2KJavxn6
/H2nYOS+uAkuXrdUzFCtuVzB3rJx4EKCbDcgSmB5ulaneX2LvziSJ25cCtnDdjbt4Z4TwpIK7BSD
IyrloX7CEtBKvZYaucsb0tipN9TIO/hpAovLk2Mz1QcNA7x/q84E81bK+gsdJecRmJP+ZAaJkRIP
p9M3nKu6c5BY4sswoorlyS53NB+gtoi8IZbmbxSiys7HbFu9Hx11/BkOwsl2Fbqs5xbClrGzxZRQ
nq2FO5+oY3H/JUbZ0p+3p0D3LLtWP8lBYJboCoyTH9Sib/s7aEr6uAfbZL241PMzX4RG+DWo0+Fn
JuYQowKbAsmdbIyg8rh8AM0EZisfiobm86HLbKU/WGYVzTva5FlxsA0JzEImamzvrUFI7ckB+foy
dEWWH9FXd2hMBZrm9eY4Dy+6xMd4J0dO434w9GjoaFWZCDX5dUo1fJca8ZiVp45WKUGcBYg1udHo
juk6zRdZBzmaL0mXPeZNKsO9rKUZvOoGMh97Qo7a8CM10rPbthxnx3fCrNIaPzKUumLxjI7aAYFo
VB0QvnMz1wOvEgbKARGZeLwt8nYcX7OyMiuKb7rbcxF10/S9D2xYjh70mdo9Nijib5H8lgN0sRWp
bnDGlr4qfU8qnJdbETnhWYOuKfeRjAsU7hCbzPBsSD1E1OYDIFTHkwX6XbmS0y6EGbH7+HZcH3BC
eUI/DgSXCfWVtcNuPzfFBKAo3gfWWJxau/kZ9F1+sBylOtii2JKKujp6iO5zZ/GcLdbzyHuv5osE
VpjOoR2fpJ6VwWFwBQIl81gLc1/kpm7s5jCLhltDlMK8tZvKafcN+OozBNbOhZoPWuJoG3E0H/qg
UoN9VdWq41ki1jinTd6Mz0UT2qEHomFU74tOTYIvAJpxK9VzgtqHaZTqaWh1vfIyIKQVh9jIPmUE
4P33VtpasRfVINqdZSfUK0w9oYlfo3CkYqc6aMFj1hdFs0NBMkeHx5bEQDQx8vpHgw+IfYgSJUQL
He/br6UY2uQxwT/uTlPKqvCW5/aX2ke9sa+rOM4f3DrU9OPQqqF2I2KR/NGMODFzT61Irjzui9h9
GmxRotrXyx98qczyIWaBu9GaqL9HgWneDwP0ty9goxP1zG8do1+JiW7yPzJW5HzXzhOmDYFe2cUR
rKGN11Ge4PZ9YyVAt+gxNsNTNOa5c5wUt0gxdR/1e7fQpuhFn2Htk8kG3S6hB+MaexMhasWLO2Tg
Q98y8S72LC2uIRkkcFjEc0WzcCxvhoiG8I1TpXN0RIJIavikSNduvWiwZvMkyEoV2BBuJZ/0KVbH
L5Y+ay8tAZ12pmSmyWM5li7df0ekGQSxCrSnUVtO//zxxidpWx09+iR0oZaCAOz6BURxefSaMBoo
NTnFieaxBmqjoopjH/Du5sCHSlHI1oNg6dYHx86sr+kYjH9cybXwVOaI+XlJgUeX16B6UHgthZ3u
Zrbz6Jfq5OGDLHjC9xnMld5HG7Q09hEHQuoeSoiYZLfxOAlkj0ORP7LHh9jPM1XUXjkhA8n3gnP4
1CtyKD9hbKZkB9PJgmIPydOM/LzK9RoIwqCq0V1f21ritZM6F52vIqszHgo0iZN7JYujaJ9XmdNH
yEoWofPdmBpj/mEps2M+izotfjlNqNt+Z2hdc+tEElRLF6v65PjcByJ9cKegd14jWFAlF5HVxNND
a6WFdpq6pNtnYEjjg4uCHZKVgPf0yLdx5Gn+pbNn+1NaBpnXh4g/neI5NMuM+8ycAm8KqiraRXNf
zJ4W0vM8xBQAHwxRuM0DyLM8+GFZWW95SDWjnRN1djEdYmlM032QQunbLxy71g8iPT4FTa10vJwZ
hKVPAzJMnSfQLbEPJgggIDHUYD7Vw5DfTG44Jj5KJ516O+WKE5xRNXY/KWYWOonn1OMAn0CIelL8
sLbb+FsibPEM9jfoJn+oOX2FD6kjrHdZ2mbqTgWbP+2CtEzMnV04puLT1wgLy28Er5yXIxLnYEgD
k3pG7hGc/eDBfozURzUPA/u3PesKaJ1JL7J9i9zaoHq4LMXpJ0IW85+xypvkK3XneafkWuyACHHk
7zpNtc9lJ3vtluVXp11lj/Fzy/mRNzoEiAXzY9uVsgvMWRx1NY6hH1kFXM5ylPpz0OiR6YVBF+14
OvXqGDX5PP3MwcFqjw3ShdPP0m10PpMmxvRhTEJUkPGHHL/Kjsa8L9R22GHkRVu27dP8RhaiCHfT
UEr2cRCFJmbpThALLx3MPP2WK1Pwr6GUrf4YtRpQtSge1PBgNWV2Yw7KJL6CAJ6iu2ZwXCpGZV9E
XwO9yWJxHFJMbm/dmt3feXUE8b3aUflJsv1sDPn0ddZG89XgD3FlMGYEwDw90nhwPTdGRxFcKM/c
jay0MLD2k1E3hh/HKBf9tGe6N9+HIDAUwnII7+M5RD7EOIVz6NiHXEv0u1qxm+FmKtHgvg/dytbP
c6BkGuCjuOxpSocJKJTZGd29KDqRvtA+690z/y+TMBW4cblX7co+dtYk0xIUYjgiKC6VaPaLBYDg
6UnTlP/2GkCafdNAdFQD+gC/+7KMml2Yza38pHR6/Y+hVSjg5mA+p+M0CKPw3TKMzh0cm+m+BhOM
MlvK67JPW025pZqhEPb1PdGz11WuiyD5pObdQV0MBEffGrLwGRxEWtzHQ9Z9q3JXKH+IvvTc0zH7
LU9QuAfNG2NVe5FqGCsb5Zd1iIES2dLup/uNv8aCH7q8Z2MDbLRSNeoJvbk0PWpzAO8jsenMjeiY
N5rmt12tKF+27vf19c6wVEUIacBjowG2SmXlBMQgHEvzlBAu5p+ceq7dyackUv/WRRhaD2bdQwhJ
IiAHewXBtBFJ2IzbzBgVc35yx5Yj4yBR98ecphlSdJH3becF5iLEN4O4/DUAl08Grx3QfMfcXnPu
DNeuBJjMruuTjbLyWzP970hxAeAtDXCqr0vOrK5yI4NcLBlpr58crZEYJutFl96KTnPrHeL+CQFz
0UQ/07xwvhm5WYGGyuzSfnKMSScHQDQquFNyGalLUqMZlVfQfw4+k17F4YyNhdA9YvZM3ysKl/z3
Jmnjk1GUmvklN9Dgc8xWaz0tcrF8t8ou2/KaeYNBXE4P/PRSoQf5Cs5sbT7ptoDAAqn3pwE3kvKQ
5qp631nk0GVb54/xpCbuvgUpFHmuHAPEC9XmRz3lhb6b8rA9Kc70w6Cr84oPDVxMRCz6b0bXvziA
5Ld8na8CB+oxIMEEOFBebUqalxvaoN9a2800nKBmTSVM5bKJC0/GJa1ob2RDNT5SMuqDrQ5jcVjM
Z9Lbjzf39ZFCiI2AkbD0rRaw/PlfLSWjC+mCBpZ6aql2fqN91e4r/N90XnCenFFmxK4fj6itExV0
CfDcQ+sB8g+AuHXVgam2paPk1gmYR6wCvigL4IY9ycXZLvXYecATLVN9iAjOSREUQSavnoQ9+1pn
J4HwkCR07U9wvOfMg6mU9ggmWU6MS5SJuNg4dJHwiWDTB4v/Kh/qlO7UxhzWBWgcVVFWoND9Vuwm
/79cNbTy7ATCoHOSjTPclgREj1Tg3bu6gsfa1QNa8LhnbpVQrkel/Pqm+7OUZ531uXX1Dr5+R+G3
hEthHuu4doebYrB750mmUxp+TVy9de4cLRJbbea3nXhxqOh3LZL+TIPUEpLq5YwhTilUhcrs3CSq
e+cMDjDxFltQ+SmiIfqkVNVQenGlI/ekNaUpHsOkasyDIacg91BoUPsbPl70MMVxX+feVNVmehwz
kT6PUmC/qMclnn/kN/mfhjnqhzIJSneD8Xa18yCBg4UE2MDOWwhal5OQTRN2Qs2Vk211h8kF9z2Y
7fTKW2I+8RbK/aSFHYxj03ydzDnYKOzpV6fdhYMGJodsgffkSh5H9FGZz+OcnPtZr7Rd6MrhLm0r
izoNoUeGsn+S4OoICbf6YlMorXj5zeZJ9LM5+kGZZCi9QsyVe2ET4AZ+P2dB9suBaHE/2YFTHJKZ
lNMvUKpoRi8Emgb7kzu6njyjc0T7NGAWdzeBjRy90TACZQ++HZsVL8e24sUwFYNMdJwsnDFazWr3
UaWH8kyvyhVnQPOD401NUiqQdUmVY/hIg+X4FKtcaNsmNHvs79DQVo8b98VymC63Hp8NsBY1XrCV
/Ovyq+XD7FISU+PzYMlx9nRIyyetmYcHaufFkTpAfHbpinuqJl/K0dFO2Hm2Pz/+Eeuds3CxSOLh
D6FzAnhp9RvcooxkYHX9Oa/pAd2mAbGIxxnX4hPdPKqauh5b6s7Q6kE/KGahRmcjKtT08J9/Br1w
2NIGF4EDAOFyKcZ5HjQnDdtzYoPMhtALWaArVW30TRFmmhc6Ubs3ZaLc92OWekh4Fhub+K2s8vfX
YCXQXQHXzsO1QB5XK1G7IcW4KKzOQzBL5xi2bjt7Te/Uzu3cdsBMwaP31R0pVv3LqEA67zPLKB6S
duxqNPz6yj5VqZS4BPXgUQ9dHfX1roZTmLRgZ8UERLZXu/iAw3dzV8xqPmJtAeDx1A+Fc86NIBg9
xU7LU+PKeiA5AtFuHZB5VI44wnf5RpdqXSJnuvTfl4nyuILxXKX2gyb0WcIZOyuO9XtUHaXfxWHy
Paza0tiIbq+64ctY1A+AFvB96fitxorj1kkj8jvoOcrvEctXwwvSLDL3KLxHx7KjKupFtW4Xhzpv
s29DgBrEHGXdDypyPXj27bO3jg4Wbj59FbY+eBNClFWkOFHQHOoprs8KwNfIb1tYG3meVK2vmpQw
fdFEs7vxtr5hDC532KICRVTC/ubyWIfbXCeWOlZtd44W0MDZMtNSv0FYr+lvhqQVvWcUVdZH50ZV
pPJlwq63fKwMdd4lU9qmzwjjDdmzS6HjMQpdRe5ziDZnMjthUxqtte7FyMUwHmxrToNjTN2+9WZL
2tEuT5IYRy1EwXmz9DwazAesJZPhE4QZHl3y2vZZgRCjxLidZKLw+56r2ktTBLG2ANRXNSWWHoQV
yukwFhYA52ozlEOgGLnsizNtzfZhCk1VAjZpyvRGoy3peG2QaHJXmw3kpLxry99zhRPwQYth1fhO
w/48wb5QdxEoj8gvYyv8B/JJMd2Ms6bEu3IS+m1vBt2WTcgVaosfjrIQGQbqj0s/bpUttTld/3Ao
6rNts3kfm4JH/T4KKQxr2lSk5yrRzAd1rs3gqAhUch8hvSWN3+lWMh7GPIns7x9fmu+cK4AsFIrB
7tBuplZ8eWuKWp2cBAgEt6ZenkerBzyJ8PqTphWPXeWETwPkmSfCe3Fbm2YVe2o56uWCYR2/yxq0
5MYOf+dUwUFFLAEg6QLbW33aMcyCYehS/dxQQ6bUM1uDZ2v5fDQqmvyzSu95Y8QrpDw4ywUwS4N0
weVzoC+XoOj6VAsUtT3rEHxhvZR2Pvp6m0Xqjo+ZlblXG4NoPmvg9lukHqmw7hTKRQBtklQ3N77I
9QIwfX6ExUchpV7/msE2AqmWVn02G9uKbtOZztdOlUZv/YLJHpU7uJmGcvvxNlhW9a9rhQgBlBFw
4eVEQYRZWzzg0z5yWVp0B6wJ/Txt6uavylS1JhFFVG+Rfd4ZjS6MTd+cFJuYZRVq4kWcGyMtShgB
2pzv5xTJVX8SbnfSszT+8/HUVs1OpqbBhABaTiOXQ/d2AP5K4pLJ6s0ymY393M41ZUPaIvQiFX2j
0H09J7YOyBdyEBg2IKovN1HpmqMdgKvfRwhgDPe9hjPB96Gjk30zGU4QbNRd1on80t4h6YA3umTx
cFSXePqvaU0qdm2BGVuw9eCZwPHHXCAhO+wCqLq09KrhOCiyl7eZRgxW++jMdv3O7YL0l7LgXPY0
ecLECwZ2Vr/PDLiu1a7O5Uzn1CixZEX4oipjz+mV/6PsTJbjRLYw/EREMA9bqElSaSjJsmVvCFt2
AwnJDAk8/f3w3VglhyrcEd0Ld3RDJZknz/APlWnsP/4m53GQt2eK/1szwF516n5LU/359iPta89e
3FMXuGg/EAgEfUQ7kFBg09ulcuU3bYB4s8TCdw/QIotHWdfqpbZN0V3I2tYv88feX99llcoDTwCy
j4H4Wd44zLpTVqWdPpaJ1xlhYidulBaT8U21qfeUTpNHwzEoLkBAzo45T13JHPzFiWMwcj4WKUVP
jqDG8eSrMv4ZD6n8FGv+svzQSox9NsVoq/kCA+wvq84zffQ6DeQpuITOAl0pgdTQnddPM98muKon
QNg3tV2VvgzLuDB9Gv8yd/dxl8gKQ6nJLeqvGpf8spkDlbS4TfT6eEnd5ax8WFdi1SFbgx2EDPec
DVovdlxMYzed9HzZ9l4xuxGb40qZwnaiCdufa6xZiEQ0wEvrkIJ+ai8ll+sn/mMLEP0Q6eFeRiJo
FWY+l6nLPcQt8zk2TmVjJFlo1mPm7ttaW7QX/D70h6UvVbnN2rEdoy6du/Q5BgUir0u4CHp+baV5
ZYSgyh25SaD16pfG17/n029fkEBBZ5fhMSU6L/r2tLdVi5uY3rtgDRpjEdfQLQLos7LBsDBUqS61
o93OyDnTZg/SMjSGxTMi0dKrOem+CsZdCwKAmRMIKpsrrrSK8sksraS7ifF0uVoqbt3/WqAg8Job
jc4/qD2otTspEhWH7YDHB+2+MjbjKTLstn+SExZfTPHnOvM3RV0jFbwxE804GHJ21G4y5kDex0FZ
5zstSBDUHmp/nE9+07o0QzTkJrbtSC60FUXiaNdVnDltBLdPfXJGSJDbYsQAxoxSOYv+jgG9aZ/q
3EzmOSw0oTDo6abZ2ZRzQ+/LTeN6OJgTjo0aXGLtkbcqXug5MdZXfFCMW3D4IUPW81leD810B0zf
lg9xVUI8vZROrKfo7FuhvEIZjPIg3fjzSqXWKhBxdm+cVKPGY4n2Jv2GeUaGWuD2FyFTvbrvIeKs
MNkc4o05KZQHkCBmooZH9KePQ+1ZX4WtDSmOoQuZHXLjxjmjq6+UjYyF3Tz2S3yvcGc7BHSeI1V0
NDrKOP/Pt8v4YIxxdSHa/PXBtADpiXHEiSdvt6ym7NrMy7p9nAI7PTAqk6FXAqfjj+WD8GftpaNY
kGGL7fjh4998ntGtP5rgSpEEFA1thXNofloX7AXcex5r5aXBpmtGEdA/BhsbQa3JI7ePC+tTNhpe
tOh19qjwKv1SBOKSF+H7NQBWyMuYwBhprp3j9DUGpS0iC8Pj4LHTMXo1Q6OQ81GOc7vX7Sb7LnQM
jIre1T5/vARnlxorQBfkN3KN3jnI5rNCo6hNBqsSvrtvxJPYFc6YzsdMtMLe4AI7wwJFXTGs6iq4
GEx//6q3B4DfivoRNEzUZIDpvf3yegYarw264lGtgxqa1VZTrNXLrBsFbZkV61ihoydDjPJ0NL0D
u1yepsmh3OrnwBLpJtMmoY5KGxkqUAyp+IQLVTL9NwFgmsWvGZaiup2BpjDJFFKl+z4xA7yOAxUX
x6ke0ib009ycQ7eeppRpYmswpM7L9qZSCcZeRccp3PYjYxrpC3OOpK5PUB0Z8INvyQzkFkwvHtvb
eIH8v6NbW407WiqaEGHc5EP3icSsenCtefkWEwHjk1M1jbufAHuUW3DWSwANQhfdvvMyu4mW3sV3
MnUH3XtdeqgL2KEadXyN3HNBcOhbxX9rpcJ9iP1EHkvB4HU/y8DposrUzIGlYsH667ZvOnxEaZYO
G2+E5h3JznRBBjC2ap6Ar4vuoYz9Xt6oyRFWZIIsZppaOWNslChnyIxp8CSnfOe1k/8IM8SrQi+N
2y85oAaK0E4s01fHlc63tZT3AZsN3QOQm9LdD9koBWPONkWMQI2qBbyqq4MvS019VvbcHvJsEuCo
XKvVjkqR4oV+reZ06wrGvlxT5QiMIwqMzhY/W8VUdTPmOPyV+2Ru7OabrxLPfViJSssDMGfNuAIK
6HRpNAdesu3IiKyILM5amgOWJfqtIAKLZreopbU3LfoofrR4M0d6qmqr/9q6hqqO8D8L+htAAH9B
NvMfSiXVZ7OaJz80ATCUGySX6mBjSkAP+liYxWYpkuAAHokiKdIlU8goSFMwC/DF/Ou0yeJ57yi/
+lYFFfNg5S/iC2VlESBUscJ43MIqmwgqP0CHPVg9XbxUUN+Dfb3U9YwLSQOmrq38LoCu4qRx1M5K
iWHr2G1QXM3WVGD8ZZTjj6aQSb5BN6GqZ4Lm6D93FJ7WcUjk4MErS7UmrDCt8eShKYSJKLhrjzeG
Jz37qYceBlZgpmeXbWwZuPM9G6GQ3zuTNOcunsxKXWlOsKB/rWmi3nuD1kvAhiqXN3QZeucT1JNk
PC6N7nThiJTg67LMGIhNqsY4XpkIUuXMarMmRcMDo6stdjL1XnrKNj5poGmWZOei438F4Knszd2a
1JBRSU9/nrTaZ65ouHUMeyZ2qp3wQXTIO1lJhd+Hk9K9jbDg6E6jXYniwVyG2UH7BTGsC6j390ES
Sgszc5Jw+nd0894GKtC9oEDcrH8E9GJuAMD5W1Gn+nHWqxS7rCG/rplZ/OuFzKFb63q4q2v39Nyw
mOY06A1YW7jXMWiRssg++cKvXgOvo0ldcZ6NGzrZ8X3Zo4V5AYf4/kJyHEisVBzMF+n2nDWopa93
1pJazonNvBhGOCD7ZOHPxgGF8pm56CjEsxzvQA3C4tp0WZ5dEhv9y+WMsJcBFhJ7iZUIur7jH7Wf
28kF0GmWPZaTTmqEzk9+3zGXurJlEz9Zo24fHGvODm6/eCc0qbqt1mfahQr0rPzifuRQYmezwtW5
m89tbSbRTkVgVPKxcBAHTKK8z+Zkz/lC9CgBxqpfOUbr/qNW3u+nomi2GpTQxf4/Vu6Pn15Ierd2
sdSPnq6np8rw0l99XC4HUPXFvd4xZ/n3ZBSzdZS+VxIsxe253CLSfCuPoqweOy8pSywKp3zaAvey
wxYTSW+D+brv382N+lwmmtgzV0beMiWbu21h8Dx8nJS8332uzmCG3g+bj6bMeh7/+Pk1ivSo5hr1
o2qr4lvX181Rzsi9ouZc3+QMcKZIJkQFNWnDhVP3l6NOTgLpn7YC9rXv8iGPW7qYmurRGjpxNw6W
vsEfavg+0VwO58KhthW9ePz4977fZA4JEEtPl8uwkNV5+3sLo9Haaq7F4ziAw6wzwS2oKbyTwymr
d4yKQBh+/MTfv+Ms97KQ8jQgwhJe3h1w5bZkC11ln/JsAd5aapVFNwPThhGBmTw34D47xQ5jJUZx
fWOXSKnEcRr0X4gGWn2s/Wa9j3sEvq8Hu7DEHT0KLuU4Npcn3hzYPMFFLmmoVbMV/Jyx4wCim88T
kktGLGerC4esJZf718CFtgDACIK0zfcDS/p2KSGXoL7qj+JJeqJAha5zmoMG5HFv1KN+8IKsQheW
FhGwwdJrLqzqWYeCzbr29IhaZBTM984VCXPRK0tOdfFkO6nadZrOliFTgllbNFHZjvmh1HLr3gKR
eK1lwnj6+KOe9+jX51O5UUVwfFaWzbrP/jg3Hlxw0Mqt/shpUavNahFUpNCj82sKxuxE38oOmwVR
nb1o3PLTUKdFESJC4z0DMJBMDqXzr+UFscvj7qMbsVKn7POdzbi90Qo4xCLPikcLwsIB9+glBtZt
OweRj/FxXJDP+Xgh3p0n5IY5umiHQS036X++XYcFIHlMJ9x+bGIt9m/m0ZLHuJGAyasmyA8KoOrr
x0886+qy8quaMsvL6BEy0PmEM9XICYYpmR+HSZOfukarHr3MENiMkl1//Kh3EYqEEqECSvV1DMP8
5O2PS7BSRW8sSJ7qtG6/VMr8qjLfvSkp72U4xEO+dTFZ/9cinYdCTaVIhUSObs7Zd2yZ74Fya2Ls
ha3khprNj3SjqUjzYufObTzvpilJ+xCDm8cLDdD3S8uToekz2KUhxu5++3sXc6qmvBjSp4rezAGS
FVhYY9XgilvYaRfuQQY6/O/eBEZ029iuoKsYH6979+3jKjYzNVTmPZJ+NO0J4ASab1WHq7aCXynt
7pfuQdX/tMCpxUcgMSRtR1JwtEerYQLpvF6yadj1vQFvw6y1n37T5NmuyzL5oPxAxjsLHEgb4oSb
AfCly5ReY6zQWUVo6F7vhx0mxh2T+jRucPdwxgxBJmgZV0oZ1fBANm4Mr0bmB8Vd7viNTpWV401x
36+T77DXoLceBjzXM0YyXvO5lpl8bvCDL0DBZYxYl3hMlm0y6M2rQUDIN5Ur2iSaRWeNoUuUvuva
AWILibUOmCgt219+Z88ynIeu7m+dvtO+CjDOwx0AyO5z2lbaC3rp3WuxGJbYwrlaHlxHxnaUjKnT
H3VrcB7tSS6vAIYpPmVbGmE+0lqOIPlUBa6aZjyExZykt8oyM5QQ9GIW13gRVI8DCl/9VVl2i7PB
FW6I6iAD0ZYwfCpDHPDwUbMDX8mtjvpacvDmWY8wjpuaz81kaMF+SLr6PyX8nFNRQFDdF76u0qeS
yl371ZooZj8A4BYb0kqsiJ1AVPpNTJvlmAir0LBn1vr/+BvoOkmmeg3cUVm4yqPKGtK0GZ81NTfm
l6qty+u24164hp5l+dtMxYPYzKkxfLW406st3C2UAGjgdSNwZ7DdYQ3imsSZP8c6e2gdYMJmXlXu
3YyHLNNTnTnXg0+1NO18HZG9I17FZvbsdEI2m5hqb8IXKLGKw4R8GT2DdLXdcOzKObRVKQ3w9dAW
wqEaBPJ0mZTDbTPTO4nw1DTGz57T5PE1WlGjOW4XM84wLqDeCupvCG+PY+g0Sfl5gLqWb+ZkHPbj
7KfW01StcArLLFqgJaSiaUh+Olthiujx6qEXLxO+0JX/QvM+cF+bFoTsBlmR/rlJ7EBEPRq54gbv
s7LazL0x20fpw/y7AoeffR8SC4/eKsk0SvkRtegKQUslXhOuqS8JsL1vsihlG2p6Xe4AYQXOncgS
/7ZvIXpsm1jF3gvt7wqdt96dPXyyaxhqHvsfHWJIVRnsscH5SfDvu9PgqOlu0ACHbkAZMzQYCG5D
KN2eqViGJ8ZLIWAZPeT94sZz6GWu++jHNP3Bmkk6Tu0Y6AeKQaIIPYFcNUMo+rSZt12eNRlm59aE
szVmzt5zNU52gAKlh2lCyKui6LZxJSOkyEm10tpNoyqqMO4ARh3qjM3GucnltPW8jjcCG2I5tyJt
+5e2VMPrCnr7WRhs7kjxaadjNwbdtxIFrOxYxqOosFUraxQfZtcN7UxM3lXeSUde6VOsjWRjZfbi
DGUnf8at39u0BAbTjcxBmK8NPNb4kNdDUIaozFbFRtUziA4jZS6IFTtMJpobSton0Pi1G+VWq/rX
uJvH/Hrsm2R5EoNTGIeymZGsYp6l5fsmn6QTmn0Nk4L9CP/B57Y4oG41MV6s2hx5jHTMETDKsjrS
QciPG6BT1kRs8JJ0o49+bF9p6SCSa8/DsIQVNMUc+kKaMR28IjM2fdzad94yebPYiMrJsh3pqkuj
0C7qFzjC2HYNTgybNIQPYC0oatnWvNWEme5KEgjnubfiYbgdY9ppkTT8sgVT6Q5VaCem+1nFDSSw
2G7b24FVHZxNM4P8v7Hq1Fh25kiTIrQ1Q8jd5Dj1VnQmY4QcWcY+AuMu3MfABR5RQIhIbTeamhzB
KQMNSxw9ofpt+R+Yzd6F/fornzP1axF1+WwZRjccxoAPdBf3szdBodCXDpkcDORglDrd93q0TBAg
VuaN5FJtYUazVVvp9dzrSPHSKiwmbwMBrDL3GgQy/5TWU/tfpQKhhV5Rab80KPojJAZcsLeNFXuX
VG/OEcqkRL7nod1EArhy1x3r7UXq1XUPYGZsnvwkTaerTpX+VdogLLDJkSPpi9CpO/e/JA+ye5pd
mgYFkdNolHrL+GkA/reFzp87UZGxk7ZOY8tfhtfivZGquO4jB69gfS+yVh29OZOXnMPfZ1mrmDvp
I8kOUIdzhF7ieqCEjLR9kiiM1dxXQ7CdCsMPNVcfta3tpuMmw8m3uJCAvC8hSFhBk9OUZ8j4bigU
tLrGwvX1kwWrkKs9aCu57wcfEP0y9SkRt++ViajyrF4UbqwKZe08mS68xfsEmtTZXDF0cPyYEJx9
u4ZGbKEqo3pa4IP8QF01Bf2UKuhpaaVF0Kr0q39NaqFSU+2vav3Ai8/BLLalbFYTcyTQAMmxSx1R
b3TbLx8mZ+4eR0CJ0JqrQf3z7+SxwGdcWm3QfvWzgmlpkbLtEmU94udL6rak6Y4rxb/Li0XeuW71
9O+/klqIljDqU++LbuCtWN6bnfUIDrL7Ns3CCXHwGKIJ8NAcDU7ZHZpGL/61m8IMHxnXgEbaqnJ2
LkhX1cCWxJgWT85AORImQYNcSCXH+y7DtjXU5loLe6Zr8AY7/5JOz/v9DIoN5BgYLVoN7+AnmdTx
mpaj/zioGhYVKFYg2maQRa3lpN1mQMj10C00F6MaJtIXpdBVvvCR//IKoCDRgqAoXHU01oz/j6oY
yEA74QZRPvVTroWzyhFYVEZpeWHSBDUj8qUME115L2WgBSPSAc54QUfh/XEiFK4+pIg3wNs4r57o
5Opj3njdE2WOtWeoqHokmgz72k5E+diZbfn88UZ798BgxZziFYEvRUBb6ax92+id0IBzm0/GYGe3
jYKhqDLbuWay01zDDrlkh/C+V0vjEDyEQ1NnbV6e4w68ClFX+Jfxk1Ohjs0Eye25qAKAI+GgaUm1
U1XmPmMC4H2y3QGou2mp6l4DUHhJMuV9E2R9FX43QYRzDUXh7ef2HHiOjRjjJ7scFLo4dnnn+02N
GkEJDccoymxnGqW2UYkefy3MuIgyo7W+pfNgPNY+/h0Xtt9fXgirLO4SLsMVyuOdVZSzxRjIJ759
MlBIOOqMQr4OBWqDUebAlUIdq8s2DUgm2mPmMl8niUFBkgecBses9R/9WF8SKHt3IhBEclZl2t/f
6p3/TB4HQdMaacEERm+nsPM0/3vfFeqbnS7OkWDxMjuddYCur1/lWeVc8rs6357IEAKYZfS+bhX4
c2efKMAtyCmGoj1pTVan11Ba2uLBq0u/O8DzQrHWq5H2v3AIz290HsqpgLIH9ZG5yrk6bpmUmRSF
7z/kSGv87Huq5n3Hn5p7U+cO2LqTbIedpWTTXgj75+1s4h+CVmDGwPTSoT8PQPrQAlnTaOQDYwl+
xL10b+tqMeytMAMVbJ1FaF8LJB7sqHO7Ob1wtZ6juVA5hGaFzBecSwCAgDveHggQe20Lwzo5VWUz
fZ9MDSpuucg6sroi/woLq98HdqKdggqV28nOh+d6GJfQJwG/1Lt6Fyd4l1XxEolNcNNrq/vtu2gN
6vFgHYqTIbP5epXJ21JFiUOMnNSNZSStGw5BkMQIkXRyH/tL/nlsl9g6fBwf//Ieq8p0gLYS1xI8
urM7QWSGNSiaxad51Eus0Wd5Z7cTNr8DEKVX9MON7549dU9W6Wu/aFAm8I2dC0H6/bZw6WuBJCZm
0pw7x7MFOSx/UYzOCWOkuIrcchAVvAhbf2713p4xphzKIbKhKbkhfre4x3+8CO8PBJch5E5kFFZ3
z3MPmwFdUzE1+nRCfkOecmOSu8UbgsiMy2pfWEq7Yoku5dXrwv7ZXiOV9g0EKbEOwLpCP+/Px5pj
rTYVw6nrlyEI3bjErV0VjnZFZ+eSVfy7OMNjWFuSHx19E0RV3u62DNRA20jDOPl6MeCUQAv3tyXQ
f9mkx7sEx7ro4yU9D6zr77KBdIAYsxg/nBskdnLqlICae7KXJThM41LeuumUzXfALsYr9nH+mUm2
s6WH63HCliL1L3zUv/1kojqJDmh1yDZnB8yuZgMH0EY/LQhexTt6XuN8lwzoncdlZhhXBSO84sJ4
/N1G5lcD4Gf10O8wKfnOlhl8iezyWT85yZChzNIv3YHWymBHuj96GHTHuXyhIxjLyK7i9Oc/r/l6
lxDSabaQWJ/9YrdvODNla5240yr8Tq20/VKvOr55j8jQgdtL7MuULhWUAS+KIbldCLDvtjR2o+vg
Du1NTjFY67c/n2FDrc+aaZ4W5j/9xs5qzb7KDfTa2iBOsgtb7NwlYc3mqMkIXCY/e6XTvX1cl5aI
TkHQPJUCvb9N04wOPIO+stURKEJf7YcuR+1DxmlvwYZ0gWVWTj5pPwCTWBYd63HEhrEEZ5ZkQYYg
bTAWhRWOdgp4KWrsupM3fTfrtYc+qJPumJUJJ6qEQ5VUe4Mf1maXbmF0o2YTLi6I1iKiVAWNO3Yp
LfGsrke0NyY/czaTsyb9fWD399k4if7CaMCw+K1voglrQU6Nsu6a0FDenK3FmPUV0yT3VMwTLaex
OgkEqDCtiFHkqoaYdD7NCu9myOpq20292tu1W34f/HR+QTxm3IMd1S+91PoBzl5qxSmTYaBgveqZ
vX2p1DZHJ0W15mSUNLv3mZa0wRHbATkYUeGX2p4Fr+kyojwRbOvelNo+IYplj8Koy0tqD++CPKQd
9O/AA1MQYBVzFgLBvqXtMlXLCY/PtEAfJY032TzNY+QZtbOF5qzwR4utzceH8m+Phem8WgOQ8/jn
OQckKQ+9l8o4eQitOFea2+LZWlQpXeumqUft2AGL2nVN318YVP3lMHKfEQXWG42Kc/33fxZ7LRxO
cH36CTBa/p/b+ssmbTVzBDwU6M2FX3nO41zPIuhFHkh9S2Z/fptx2ZXBsoz6KYYz8jUBIzREA3VZ
SaOvSDcgBRZxA3xfbdKh9sxtkygGFkYp2isDjPHRb715fEAfx30Zzdwyw0ZbXC+cklbftG4v5q2q
mUY8DQC00wh1mszboGXUHDLYzHg353UZbGyVFZBH2nHFvuNFmIVodAbyEv3pHDIATJktDTx1VUcD
hX/uGGCKPGmUVfc3pUKI8jaJOzrjyyjQ14eYkcUPdW7T1mQ+LmUUF4v7WsPQUkfUf9O7QFuQscKk
vPlc8m55GAxjuhscUejX+hQU2h7KERjrCiC3uqmtYvwmzFYU22zWtF0851Z5oR44z4t//x4SQBxn
iCKwus62Si6KajGBo8MULfLuUx80xr0o3IY5DTMmEeaxWDIcxOzxvi27oTxZdN6GEDdykX6GQV5e
4JecJQ/c2eTo0JB+Q2KZta5n6o+tSwoepA2zzmPOKrc5HOAlXyI9Nzpr43pMAvWQY1V9NjO3VBs1
wwkMhbZI68J1/k6mgBf5XZVB/qBqIXq8fZHOaYNlclxxFLE9NUOE2VinXioHDGbElClHsnD2WoYH
WceMGkfC0fU2S2n0xxkMeX+j/LZ3UhCOyP4Y3CgV6VeoDYHRGlFlSd3/ZWfJhD4XGJ6jV7dzgfBM
UpWRG4N3vpAenEUifPtMH8YO8G4KDi7Os1VNkZxTfRKbR5pbQ/dFr4zsiqmsMjY0p2sxRDAjYme3
tHA3nj8Ogr8llP+4CX4/e7W1AcTGyeEF3i6kPgboSA5YziFEZ08A+4GTxgiDZRDhETGUSn4SNXb0
vAsCYXDourwYs6iIVdt1YZOb/RTphojRfO3d5AWCN/zVbkx8Z5eBAuYyd/r8Rg46GF0T1T5wqCDE
dbpbhdRuQIw1X01/qB7BbCKVkMugb49anOnrvMmcZRzabc5UL+tlF6YDXnmREZTWfT/5SD8Xg5iT
IwpE7bWfIvy2RQ4y6SNrBDLKcIpd+CK7YS53svCnW6QtqRr6fGySXWIY9fQMySP73I8gajc94n2v
mgfy5Fh1dgrhpKv8Vz+T6JdI2Y4/Zcz0IiTn6Sh1wNjLfRVQf+1dT6tvsJBHsbOXJvV6Dm/6gKIa
zAgvFuCUQ9T4Mv9Y06+HxtzRW8ZJ15mDG5pOWrNXjWdc5XVQZfxAe5y3F74wH/DtB6bdtRqwkfqt
IkBnpbVUtD3NYUmPCN/UasNIZDjYOoOePSriy6HPJ+PLx098fzjBpvFA2sgrC/PdfmYC6nHnivTY
VJk9/AxGZX5Ddd0f90VgYs+Vi8Xgqmji0vRCmulehIASWo7wcYXDANIt0QVLURZemLMbenKd55kx
75ekcqaNLSrTRZYryD7PWq2yOwfPSe8wACqyLkS731ypt2sHGxEQCwkcoeudD4DEvRQhYC09mm3d
iyvVi7I20J9A0joMulpcpaaKs+ugGaoAhLioUlNGbetNO4WvAcz1MY+PZAG9ua38vhIdIpOm/sXJ
muDeod+N3LdtFgAeMAZL8jskqOdPTY3kzLYN7GIXWET5awRd86d8yYxyz5HRIbE7brvkm6nLpzmc
NIFmY2RksQk5oLOL3xes5/d06gKB2OzH3/asjiJcQMCgZUstwciJ0Pk2XAzGNDdJHwQ3HuDzX7Xv
OQBNM6TvDDt+0DW+VjgyKKFJk5bBpc9xlkr/fjiUM1gwDGH4MmcPD7w5WdBl9m8UhRoXcS8UrILO
FeUPL8XU8pmSqvBQJAuM77SMnOy5Q0bA/eH4KsNAAhWmMXI10/iO/Evft2FpePO9BVR/NK4Nkc/i
mVYgcBU8G4txwJ7TqbXPHNIFrSYnlsld3ODKuEGI0u/UZoHztYMRkQefEyMN7v0YG0h2NUGupWmA
vhE5XVDdITpb4VY9tc2PyZiAT1yotn6v+dtdug6HOG7w/ZhknC/L4ghOY607N9NQywp5A5QRgzvD
aYYtkJam21lU9ntHijLfp44mX2yNWMns2HeapUZ+Ckj/r6ZN3exaZ4qWhWWv0e4L2gZSgKAJVu48
FBPMjVHTihGRbIU+PE6t3/TatmL+SQZSwkGDqicLLlvHF3azhwOQyA2MvMD95kgK+yejmfzq1s+z
pNt4nej4go4/I9Y5icy+ai3Yok8MO0vrIUfyeTz2kG6BeaTTUkfKyGZna4PEoBiQtWkASPGXct/i
fqeeEM1kWW1v9E6tRDviLvBy8ViCngSeMLlzW6OUUDfxlwprzYQLiw7DvEXK0RYvbmwhdtFxcrRn
UKS0+PpyEsg5N3AnYht0DnJhwYxqYanV7X9ZlvsIG9aUTJ8/Plq/q+Lz7+gxoIC6i2cEAOe3Zysr
dAfxlGF1qVznqm7e+t9JV5PidenMsng1fFHiKWnEyxZV6DnbzulKcx09DsBm8Iw0acM2njvzlkQ7
N+7b38hs0fbWc4IK/6pEJ1HN+1Zlzug9JWnOVevoqrG41Zd0fKmx7k5fm3RstyVMpTjYBk1nB1HQ
C25/P1mmp4BWVQZXAihBnZJ6XihW/hJdeCcs0V1Q9T4yBm9XAB6RX/gymG9cMJEdlKJgeLA02xpu
OXOmfmO3I2SCYByy7lb0+pKpCy/wPhOzPLiUDNRpCDnvWBQMfyZG3qNxM7g03G/zXk9uW3vokREo
Yp2WgsA09AZN5aXdffz110z+7ccnAYNDQSrIGBR8+9ufnhYVbfmhEkfkKlUOwV8rT5NZYFqnO7V3
IZKeM+6JpDS4ES2A0Gaz387bYb2jt1YPvf7GSOTYUgr5GN0f4iJHB5n4XVYvQ4MNQqQsVecRQlKa
QyDUNGMn9d70u00xzJ26aWYx7X08vuxQXxIxnsq6LEy8pk0lC0R+yz65sEzvPxC7YhWYZyiOvcO5
VIBu5L5Is1G7gRXpG3sUDXW4mAs2UI8VLAcuA2f8bAzEywsP/sv3gd/CUiHfxz/PyQdMiapJ60V2
9FMxTEAr6R0860OCRjfYockZL42E358FpvAIEpFFwbokrL/dEKCMhiYVmTj2IqjsHSmbsjcjKXT8
QDbtZ/e+Hhs1IM4u/THgH9SdPt6Q61k725CripnJRkEUiDbe2+dTYXkC7YXgphlKcT3Fa9FPWNVP
AwOUW7OIl/FCbvG7FfH2kfhVrEoKSCJxts8FA5kTF7XUE49q1/AQmJoYPZyg6rXdjaZXbfNSJH3W
RfnUgkpNkaYDYlM6qf9gJLP86iZGEiNXPSKs/QQrFYVXU5+le2lY+pf01kFEHcwQA2xUMs67ubqm
vDpw2+TYBDG5YzhrY768jqof7rQZJZSwlRk8mHwd3+dFWt+vpk+rDHMfG/dpWfdlsoNLpPVHt4cm
ELqmTLW7oCxcIAczdLqDNlnODy02tDbbDHyDcpd4ckwudBfenyV8iokqJpsXKM25kHs5NPXSMd8+
VpNhXItEgBQa9SzVDllaAKbGR55bcQtbs6wvMct/K1GcfWuHe46qd8UbwFx7u73SKm19Q8u8GyXE
9OL4wP0wwnZLUMderRKix9LrPsY/fRy7G7i+PhJ0OrrMIWJCcReN4FTmpxlh65bbeyjl98UGEfgs
mK4un3FSGAA6allQfW2a2To4bj4mMcKr6VrK9wnyWtvAp2UTTYssARh7XtNtOxVo07ExIIK8to1W
Z+19qtKua7epNooyCec6r5g3qdEtveNkMQP+NOJ4cIVaXG3vOomCXkjQXqHTGIZ1Icqk5XeO6UAl
A0XRxQd80r4pS0+mYlf7nUX0+vjYvuvQcG7WXv9KaAAcfh4gPeHVwPsa+hzuoqso900MOFpTk1+S
BDHOCKAUulA7owbKdJ1VXvldVIatDVcfv8Zf9hbooXWMxqCHicfZwCFHcHrtByRHn2gpN1rQURn4
6aKDq/4fZefV2zayhuFfRIC93JLqduxIVopzQ8TZhL0NO3/9eehzE1GGhCwWuxe7yGiGU77yllrv
t1Nt2qtEGMhA//PA0ODYz0A9AIgt012UMklFAiwvwBe0CSE89g2iCwt+giTAFWZZ/Agx5l5etPSB
50WddVfoqnEr6HjazdfpX5UxK8yIYjt/epiR3ZblibgzxWZE8zR1i9TufstDGftuh3C8c/B1e/ok
mjxv1n7d6xKYdh1R5T6K7Yc4Hu11R5RnzSU9xd9MDsLscPudDNlvGW3Ob36SIAZW19lYfyJwVeyd
TylifAidMTYfutHomp/piO3Ak2Shf3WaKj352Q0VFROp6pGEMXwUtfs1PQYk9le1nvh5t0Kd6p7s
7fsjdXnKZ2VeAlreMPjM6mIbzI0DS8tlB0B1EUOCppMvVlqT5OMJ0/v8KyeWEAFhDudMXlC8Inbe
2cMKEvBUA4+mSZFv8zyW/gNGi2Lt7a3ywa/j+tEoaqI3PVMplkXEDsxB6NswgdN2gquHqEUf7nUl
IsdwpsS2toFS1J/6sDX9L2o5ZATYGIZEFapEkA3PDhxgbYXIVaT/7MZSRPo/b2Zqv4Q6ULXginGO
LjdVY1HZHeCvPnZGHx9kO4ZuIQT1lWCvN2yULTbN2NLqwKxzcSdGvH7/53TSBI6nzrIXS0RIPzZT
0qFjjxdFbf/BhQYYp4XDO8CDFoySWUb6nRDrutptIgRFs4LW9GycsKTRqFZcqrGvZo/GAM/+oU39
yNw5fm9vRZQfYZZMfxL001zEg8ezKXpgzVXvFEcZ4cDyzgW2xAa/Lzl1PIJkuJbXFWYAq3appnXz
GE+dNEYeKGi5W1FqswfUY4xB0T8baJs9t2jjSh469UZ6bKeqw1WHTiOsDLeHgBti3SADYnypir7T
TbQP/Eb6UqeS7h+5haRwXyMZVu5mDejw8wQwzbwXMptXX5JLGLw4OsIzQ4oI9nIXpTyamVZF9WOQ
20n8I9a0MD8BDrbRmqc/e9ABJxdIlnNfIqmKVCGkhjTqv4qgTzaRKWHbwdOlIDgiUQ7PEXKm+ONx
p1qvPhz9/AXEfX6SadmhRpFO/g8/6azArWDRp6uizOwvkUVm41bKyHVP99O3tkqewl5AtKOK9HSF
qr7eH4wiiWAEhv4wyxXEhAfNqsH6Kdv5rZ/ZqCOoRvDDxE+pW+lSIhtrGrsFUjh+SGo7qTV+PYaR
t9lTYKSaQ7/Z0X/4faxIh2ZQzfokpYM5x2UmVAc4QTagVkWNdo0hInqgCRCNfcu+rFyl15vGLWW6
z2tloqWyNxE09XfhoKAaaKQqYR26phae7A3NtZ9mQtP93Wi4DEoX73b4CqmZ2ODl6t5OpW8m2vAI
BYSaQCv59i129dKi9jSncETNgCqMZUvGQHncwE8meJTMXGnfQqOD9+bD8jxgliShkhYSdcwwjHu3
51WCwsBc7TQNLErLXBKX26oJS3ohNlDocZph14Uhhbva7NXqD14MUX2IKqW0dgJt7sIbuUrejD43
X6e0SkTjykPijK+BQQZFdzCms8j1EhV5u09MHA0Oga5gSus2yF2/hTwh90wQl4hHjjeAY9pq71B2
uoULiII6JJOWqXn86EgUP7ZKPForbTRgaWjCf6RbgzA73sLYY/tpn24zCiihp8eK5lILs/DEQEv9
TvHh+v7jNxG9Qa7mwkHUbHHdI4YhNyLNskf2fDPi+aLrMZjjQliPdQDpyMObhXca/xBtUweVeMst
33mFHIYHp6QVffv19ta6ynmhpSJsOHtTzhnoslEdNBZRDMDRR90sC8oAcYZXSVhb9l42iZxvD/bO
P72IFRiNtAfVbKBQdCwWr3FKsJAmbYHnQGKXISLBFXZFGH7ICVhAjBU9ipYR/M1CT0XYeWPbswQr
G4010BRZIFXdZwUeRv5AoB0giIo3gINes06ponftIpiy8M4RuDoBNk1m+pDQJSFkEnJfngDERunS
tb3xaA0ou7VJYb3YaTMKV4Vn+QJ1HdJbBrb4Oe9C604HVJ//8Ivlsmf1hbk/QWCF5MhiuTA2R7wb
GvEjG8bOk71UK+XXRpcLzHR6O8ChpLG0kDZ/XsI9UddGVMeG7w6jwM3GglUHi5PPAauRbpvshtiA
vIWNPRafyrRPxHGW/Bm3EBpTpDUwwlI9gSrysa+6gRIzkuFa6NmS004JUjtJNL7IsqTbvxJFJL/1
JI8weVKjLvGUTBtDT6WLfo7gag3uiLactcbpG/ohLkON85DLQ6Hi7NXVDgwiAOcRYB5drYx4xQ0j
KatRlvPgVW0L8djHIQgFNwWXqLVegNPDcdAUuL53duPyWuVm4FZQENSw6DagLXf5bbUe1GUqT/kB
3/r0pWHBPpdqM2G8M1nyFlR0e4KrirOWMVsrkXQ9jEabbWD4FTu5xLCK67rZjrpQDr1sDI9xq/Tc
HTYuRrd/6dUP1WX+mrMOgjSi2MU1HCIOHUMeFwdY88bOTtPov4Lq9m6Er7QuVbl4TpN/VOTi9puR
KwYtRYRWGX8xJjWDovdrqT+kFYoF0VB2ni+ruQe7v98pRCNupFndnR2/vI24GsDQgcckKKM8bC0K
UmVcwr22q3aX61N2NixUBN2QbkHj1jIl/DsbYP6+fx+v99G4itR3MR2Q8Zff32ociRae3O5KDBkp
fOWR7LYoVpWrURlC9qeDZtW/fkpmOJdEADSw6XALuRwzULu+qvCM2YG9N76hySSmVWkHSf6kA0zD
7EoS6TlrCLHuDPzR0vIQkp8BMZkRYZcDo7zg4HGvtLuiqcXK6o1i2kD3jmoXCIV1z97iammpvtJL
nf0Z5ubwUgJCmGCQcpLdfaYP4WpIzHjtZAgr4fn9Jkri+9sH5L3WcPEpGQ+yBQOCg5pNUC9n12ZO
D190MncC0ewUt6VqDFpQyzPY/jM8Mr33rHYyp2czGsuDSKTSfEyxLCk/V5kg0a4mJfiBV4oaIc0l
SaiqNRpokRgGoLRSzdh4tZVU/llxoQ1rdUToaWX2RXzOYzhqa947x9lFdq4eERBD6DLJkQt4zIVj
9jsnSrPwizNOyGdt8saHqb1mw+n+ryjIDOVnSB+4Z5v3RTP1XiW3TfpLUHeC6l4FBvTjLDaqEM3K
gtpdnkd+41Vt1v5SkZOLHmS029INxi9W8C0hz233NXCsVYVTWrDHgK6rPE0fDa5zLln1sScAXuc2
sC1PVBoASbW3uqIC7aApZD55CHc8H4McmLLVdeJsxU5S/L79sT7YG9QDHWpGDoGlvHSPlRSdHAgl
gP1YBMp0VsNYAUKWyb/7QUztUzom6p2DfrX36WPPkhEUbghljKX0vRN1hHlGGu0ToaRPgEcVsQGm
KP+QoiYq1rent4wYsFX5f99CQ6ebqGFxwrOiaCgcjMB7MOfUKCZQL0QYf1jZPmamoDDLdV4jbOU6
UnaP0fLBREEXzWqeyI6QXC+iFSPqbT+D/swhH3xgF6p8CJRS+6RPavfr9jSXsQnTnGmZNohrwhMU
Iy9PXIqlHEmaMHe8I71bqUWMEQl+ZvGdb/fBODaAZnp1c+RoLQVBFadG2LmI7F2AVoL+rZO73jhk
Qpfbezfk1SuLkAlCGzD0sCrgKlnckFGkYmuBWc8O9Lj/TPO1P8mBjYhGlpcTZrUpzTKn79I7TZjF
fnkHb7I1KQEhcUwGvxhWIVdvRTdoxzJ2gnWa4OdpahX2pULTyh2c+TR3yWOsP1Ie6rvbH3EZkL8P
Til0Ro1CSsKG9fIr6ggBJnXtq0fFQUoLGriT+JVX21Mn9iPKr9pL3cX9drBKDeMtycg/OVByU0yF
DfkhCCd7XAdG0xsUzzFO/BTXXf+cJLmtrm7/0MWd8f47HfpGZKFgAilWXf5OJcDCB5N35ShGS/6q
5n4ce0k9tB6XdZqvhC2il9sjXn8Wytr0fuZHepaoWoxI/U0G6iDUIwZlU/Dc5mP9JVSldFwNVqc0
sMVk5RXx4DDYa1atf709+vxe/fWeMV94ojQE+edcWV+Wycam00p6AOqxnbXP60Exflm+0XlSjtyc
hIHnCrKqs6lTuvS1ZE539sX1clPIpahMBj3rVzmLyIhZ6qDFJ+0YlJjQdEWJIaaRqV8cZIAVr7T1
Zrpzay5urvcJ8w9Ui0jbEb5ZbEQUIVsHk3n96GPOM3iJpXdfpCKm6KBHlfr59uouTvr/B6PtCuWK
RSatu9xNGPfJal3mxrEZqQ0/DVYj/UEcAm1jU5OHT7jKhcRgzb8zNFDFthX+tuC/2cs5sqSxlLHX
jvQpkjdJAgbhUcSxDjoClfe6FR/NEQTtrM2kOLP+1OUcVbQn+gbc25FeEdFtPEjS0ex8+RlJTfB5
IdyuVVG3w52G4zWljT07c/ZnkL9JaL14/tQwMoVa+PqxDCYHmwQdkLVoW6v0jEgbVnme1f/VqMpA
OZfwop2MYA3bS329/YU//hl4c816X9znyuITSwXKR4Nk6cdOkxSUz7RkY6LxjLpYkEsPShOaBzMe
y19jGNlPwJR8aKbRPfrBstozbzTAF7yOCsfUpJd8+RHwRG+KipeUj1C31V4ZkffZopkRgLsJIvQz
OyBZn6dkMHNYLgnKLE7fT/OFEqY7WMnVeOex+eBgIw3He01XGBnRJQlfF3qeJiLRj1WWAAUTUbhB
cltdx5aTPDZ+Ke7c29fHGgE4oiCkyxmVHszlAoQx/B08d/3PUwXTwK1FVn6TU1DtOSUKcecOub40
iUQ4XzrC88Qly5fU8ZNQKtUyOSpDmbfPjYgnbTvUfbfSTCnE+tKOOmuVh1X1amIY9N2RO2St7qQi
1+eOhhDZCJc3Fb4rCnpDgVEqjLE4Fm2dvfF7Wi/ue014SZHZ09b3A/Uh8fH1ub3hrz4s9zS7fRbO
pGIE5/xyoRUepS7o0XQAOTHkG3qxLkxqVEGbst6UNLvvTPN6PKQjQMzOgHIArcvaaoGE/wgo1D8W
yRD6+0Zr87NeAi9DEymom3WiD9O/dauArzMkCzrXQLhBl4F1jug/Qky2c6yNpmz3hWNE2yq18Aou
jXzot/Jk6smdZV3WkN8HnTnT5LLsrCtqTWjSLEmLLDilihrg7YOJmfiOHJM9nYd60OOVqAlRD2rl
pJ8oIEAkHh1MZmeF7mzYV00lqnXXm6F052Bd7XWEi3CAIImaqayExpff2wlHo4RN5hwzq2m/JAKb
LJSdbMSFSOn1565KyFbpaqbHvMtykm8rukMw+2AHQGAHqiVDH6YtsfgFnZJVhTaOwanDd+ugBpH6
6hfIatqNCBIvUdLgXqt0/hMvgiLmjHbGrMILEBbN0Ms5Dz5WAKh8OEeU1CfpodDSbJ+Wts1pHrD5
Tuyp1FdhBK3Ho0xAg+n2Ebu6y3Q0AtBzINeZLaiWd2eqdADpkdU6haB84k2fWOm2LpMg3Bo0ju6c
r+u54ns7z3MG7hh02C/n2mlNlPt9lZxiSWr2JaDr82RU2g8oet8dBOI2aGqCUEdxCEme2/O8fjvn
b4psKHEYmCF9ObZWIL5rIRF6ilHA+Yrgr77F7UveN70kXs3QKBCuA67Q+BK4nD6P/gxIVN057B8c
vFkJmGoZjPBZPXMREOYmRj5IsFtHrcZVVNAQbpqXaAgk45l+AMIAyKUTvUQQ6Gej2EHyd7qUJ4Or
VH2cY88Uqo+iV6fpzrZ/z6EvdyFyHoAKIEC8F+cXb3reFGre2YlDFMfTvsZs26hWSO9ZnZsKecTW
HNdhH9foQG4fbLOOKg/vnHodAicLdjYuLQh7xb0fe8h0xEjNFUP2DVczWzvA4ZF0iuMjergxHYFN
aznDH2rQ3ecGPfnphC9g2Xu0papyHUJXeLvz5ef66nJuKMQ42KlSmsSI43LXxXEyKVbTccJMWxJY
7GmWZ6LMSyXJaiDIRwHC/4qOZgPyMg/pqMLYsETyaMndPS+Kq3dUN+fyIVBBU0erYVnzbnl2LBOa
9BEAl0F7ONWCr4GpCGtdy33QuZltA9YKTBG/3F6EDwbmUaNCBfeNXGRZcDBRxS98rqCjYwgFhxZo
G9/pAiTdFoFwjNaSqTuHQSjdK/JfXy9EZDKtJnq9eNcvi1RcBPjmpkNwahpDyVDDVyoPiHSl4Mc6
xHcK7deR6ey3gWorZQ6SPHmZ4dkl0KQOJfFTm6bBbzA5dbJtulhrnnupd4z1iDDQbAFjAmHMwJ8W
L8ioSeVKU5JKW9VyJd05Vx/dOqQr83P2DmFYJg5SEDR61ZnhKepz60vJa/7UFjJELEVD4BTB88ql
eTjss0z3IchI3QDeLmy2t7/+u6bY4gi862HMnFoKZEsQMIBclJqawDn2UpuXez2SJtvFkEHFEgii
4rTOoqJDRy9KBNKJnWV8D4waqcNST+N2NxRS7n/xtbHxXUlP8SMGXh2Cn66sZxXTrM+wosLMTSlj
VZ4/DvnLiJuC4eHHbjRP6HGNkdvqWfBpCsL0t9USeFDszrVH4aDqugkSLY5ebDlqQw/Mho1Io4Fw
Fh2EBEFphI9986AoIl0bLfDHTVhK0ej5FTiLrVE00rZNbfTSDR+9fZi6su+skLwpol+xElaUzls8
dpJ41GKv7tj3WIvUNTaUhlKH7oykBK/j9LHsEt/mnwGGd+NjA02uX7WFFFYHWZlk7admpPp4qBtd
HdcDnlzYZoR2ATIwqqZn7D61H6WTK3B1kjj6cvvjvWd1y4+H8jUvB+JtMAwWUXDXFqmhVqZ/bPR8
/G/M+2rahrZkmgDS2kj3CjwbYIuMEATdrLaz9k3lKQswSHeydJPUjehc0VXNk440a+B2dtH+QoGy
irzEL+ryTkDx3nNZ/NwZAqCQ85Mv8JMvr9soH+BwBI50DKc861awNGEXFYE/yoxthOFDp3Zp9Rw0
tWxvJSBVAlOenkymzvxOd0s0UUmqRK91lSsNrayv2dotraU6Dtyp15S3yZfZB1oqlz+VPk5erEyO
9TX6nvKwUho0x9aQj7Nno8TJfS0BcWHgOoPEhlyoWrHLu0TnX4iy7NOK9XLLsBurdQN44d75nyOa
5WLA+CVHBGI5v/2XiyFTkMHbyPGPdLI1+ScPHUYjLoTGMKBFNZb695zmGCbB/ZjLTxB/nYMTyVJx
gAAl94bnd9ikFlR97uWw14EuiA38sUDncTWTCVz+MLOx9MIctfyU0EAXz5oIp9cYmkr0BM7Y2MHj
qe+8w9cjUo2l7EZgTwMWNsLliOGgNYAxnOwEjUqVsfCh7zpmVifcoB5pMRX3ELUfDYgGENcd3Ulq
0fN//wvZClKKYr9fl6fM7O0dLyB2LGNLm7kE6KRs5dov693ts3r9zFJKB0TLO/5R5TkNpMyZlLY8
oSJeG66OIXqdapPitVkee1qbIbUoaG7dGfY6byK+mdtOVP1QL1+GFRkMD9uIrPzUO5VvPUWILxde
7AzVf5gSQUKmBT85CCfPnd8JX2QTLJjaita9PfsPFpwTT/ZGCwZlPGexpzqri1RBBHNCBAxjmhqg
G/dh+GrqsKyLqijvhNMfjAfJlVYNqp703pa5SzMEvYSOkzgVWARts8L/4eTAumAj1Vt8CsPT7el9
8JgzNVqxbBt0Bq8MM3Mkh/px1KqTjxuBsonHEA6NjRa5T5CsjRtBvBGuiXEU9aGjnsyj1BVpdIIY
1SR3UuWP5g6hh+vxHeq0tDqVEUHBJ6ITp8D3+22gTuWjlijaBIGzeMY1FyTw7dm/d7cvr7KZ2kcM
ySlGV2upx0HHSke6oAWBGemYY/qhbLxRIBuc3VRa1NJj0QobT4aAoWV8hIAYQiB9lhEJzF3i3b4B
iFXZqGTLuaSh6K5YMNHRq8SIUE9IsStNx1g3yOXck9sJeETLNRJC8Wq1V60rkm4TChkiYW+jOA30
sqiNz85g3XM5/+AMs3+p8AHNgs62xA87eixpg9mkp0q06VkOU3MDfRkqQKz1h7Kckj3v3v724n6Q
GNIOmTklhIom7LbFo5lBps6FP1knHVHPE58TNIM6aD+qXqhbU6rjb3SUm03otKx0EJjloVIUSfV8
gEwZvoXK+M9niy6RijkPb9asnDmv0l+X5+g0kVUjAHkKIiXBfHnElzjDeGsAV2qrj2WCjN2dyOF6
S8/lZLg1NDDAU18xa6KyT+IusU4plBUJeXXUW1mE8UsUI9QBm1MMd0Kr6+yEETWcEeeC36yOeznJ
HsMUcG+MmPjT9BpGje6l0xSZrqjybn37E0Om4E+7OEDINqPJOL9/XFvM83I030gqgrzQ4Za2pvZn
qDeIe0C+B1D8RhmmHupNAJ21Q7CyiVS8+voEReogbAP9Cyc7db4jJifVssuJqsYHREclPBT8Ok53
RmGm8m/OW22ieBN39qpIwNL9bFQf10/DnwCmxTj6ih309uAwyJgQghVtiLcQUx/28oDcwjlotEB/
mkWYE7c04KyxEErcaj8pUMGDOAxqORLnd5Tv0hUAK2k84M2hflKDrDZaD70mGe193WhVMsrRUb9I
5Gg8BGU4nMlxuwkLRB33TSPT/A2eODhBw+dsE1eKfeub1Wnd0xzQJzsBNmVj9EPYrKqYyu+q5zym
6P4AjHQDSR7C0etxLJS/wPZsZDch5PS9shfT0ZYqx1qnhtO9hTrWlivbKOTnrOnlF2UwlNF0jVzv
/H0cF6X/aIaBDVw2UoxjZvt1jhZgqnwz8qQegYEr/ue4GGAvZhDkxarQGvU38aihfc05hsVDERg4
tcKhq94m/EJ+ipby2baVlfqB8yyhIINoxOQmSTFGZ1HQcNVwVf+OJ2R1jPSgGj36SP4pSyhIIa2a
JF7WUaZbFVVaPyCoWsReVA3WyUS+/6sf9N05sRL/V5c4SupSfc+zfacGwffSyZzflCYVf42CdRW8
QKSfNC9LyAPcFPUGzcOvp0mfcq3z+6dY7os3NG/IokYlpvxbaU6I9n+K8whKHioeXCP1wnIVObXc
IDOf128TLBH7IVTCuMKtzsaCCPcwJ9yQJAb6J3vyG+cIDgE7AEnOzAdbHfsvlDuLeAMRO38gTLMd
T5jYdfAqhOiwjNFYHc0pb5o13KSgcePYLLG0Jza3ThaGY5YrI2vzw7Cs4mdbqn3yxKTC1TR2drue
gM4fwDdnqqv3ctu/jDY8udU0YVi/Fn5S/S591DAJ9+R+8grfatMvLd1DFbOEAgF8vasV64xLt//W
66S3L7Bxh+7BlhOp8qyy9cNtmOFZS0Fm7MTKr4px8ko4nnoDpcBo2OZ0236KhnaIV9M8zNYxFpHz
8QowA46iRhlWLe12jPWGUCEXc0o0sKMZoOjFcoXWuKl2yvcux/HgVSkrXX0O0KxuXzSW/zsVnKJ7
00MLL00XDwK12IdB2j/KnSKKH0EPSvdIK3ZCpqoXmCbiMV5bv9o6iPs/dRjp5lONAua0ydA2GN3S
tJtDIUfO4M6UDY1PhFapkdTOc6n7wnhIAiEPsFY6aHajwHbb68eerGnl4xjyhNihkR34H9N1g8nG
YHpoK1KeTImVZslnYoWd7ZNxfs2MJMQ0UC6bfTpVPbFm04yTm4J+lF0jyCZrNU56ZZ1Q0QsKvm9S
2yspk+vOa0TVP4tpmpQ96Y+0NbvYcLZwTsGkNYGJf0vUjlG3yZ0Gd0S1Skfkh1GzCPbmBArt3Oml
I56Yr198iSFmkk2mAmU8pVLNz3AiAmWtZ032u5EwkLnzVF4FDLzawDhmUANtd5rgl/e6RrmkxIl6
BFijGkcf6dEEfoiPFlwHneGgTxCztn7qJ/cADVfPF40q4L4ohhFug/ed//tfbzQgtMDuSPBOZppL
/yVFcG4oWUQrFROw+k74d/U4G8ibkybS/Zvzt6VjoqzjwAQ5xUacois2RTllbyGpTeX6o2Gc1EaM
dwLc62ibhoRBy52ZQZcHRHE5u4nKEoJhKoYyaDyvkQaVn6KhyP+DF6I8KaIeDrJZa1tlMrrRQ3/K
r9yh07/ffrWXmRVNbiAr1C651SmNL9HUEV3ODL5Q9qKOWqG6WkkXTGmL6E0q0ngj5JhUasK5bsAq
pUe/UWTtP7ek4DHgJkTtGmaZc8WlywrAn/iIpS+wcSt/I8fq8FtKW7oUieDhPeBCqt7JJ68LqQbK
ggSkzJiElnzncu1xoUNZi1viVGtR4aYGZi+xVQWfqroiNnBKpXzqcRW3V2Od1m9l4ecu5e4RVJlO
sfdf40LO1yy2Tq5DMArF7vLHIJRGxVDNh5PdI5Y5xkrjoWjQIN1gNNbRaaR7/PIPzhU9QPI7sEKg
CpY4XxDT1pS22ngyyhT+cxUau0xL+q9jU/j3SPnLy2PeYDT4KYfMOpKw8i8nZ8a25Ad2ULy0hlCD
laM1DuqRFXacjhU3j2ErxGcakNnv2/va5o/9OxZlWB2VYNr5MKDoiizC+7AvUYMTavliQxLzn/08
Zz9xEOtvkxYG2zLoimCV5eRbnzRshL7dHn25wPPosxUFBxv4Gz3f5aQNvysRX3yhCIRGfJYX1hHZ
sW5v1h0mNbcHW95cOPZR4gI6SkSOQLy2CPKtKYk1E+rTi9o38oCNE1R8cIt4jNJHU9/0oAzDO0Ne
tdNo5ZOWYxcI/RWZ/GUNFJRlj06AU50zSUPy2Z0FuTQckHILFaKkyoId6Mhe+VrIA7E68fzkrADM
aG9FoNL6FHagjB46WRaKOaEsd24wxHa8AWurPhqab/LAaoFUe2GGPBwZduds0L1CiL/QMH3+T5aC
4dsIsvw1RXnOfLm9oNdblskhc0PiNOOOl3yGNvajnlymOTfBkJ1mrOKjID84J80wetJQmw9DlIR/
bg96BepkQDpIM1Odag9iFPOO/uuxy9rALic7L874jiOLlAl0rbzWioKHwGgtYx/i4r3CnDKDlj0K
wzrYSonpUy0JbYvedldC/W3Hcks6O+yckShnp45SM5xu/875sb88WLMyKhcV0S2iiMtifWQAiEmq
Wn0ZRV6ik0ytpNlqcMTuXIrXR4hxHJaVHJxS41IIV2mKgHqzpr50VR2Pm3yy/jNAnEWe0sk0Of59
UlyGzIcUlsO7PK9ZUuo1mmovUi7hWZUEebi3cMsa77w7H03q73EWGTIQ9jjtZaw1yAUqG6oKOAQX
XZTRX9H1AUh2e1ofDYeytawBKYSZs2zOYdpklYM9aS8R3W9CtjJ6MIwo/SWHSX6vNnq9Lyh8gyyf
712GXMIPojhvrDBSyTT8pH/tpdI33Y6q5pd/nRJV/ZmEM59PuAiL56SqZIRd6SGfg6FScINtm4ln
k16bF8VCfbs92NUjMguwzCo/NHZlQpTFzWoiSKrY+C+etSJpxSrMcueNxA89crvVx0dQYtHZiOLy
zwQZq79zAK5uoXlwAIgwiOn68l5f3geABbQpoR5xJmvCMdCBRa1B77MdN/aD1N82ZZLvFd+c9v8+
aWQFiIABw81k18tx4cNASIRfeg4b4dPKwfFnnVttcJ4wUD4X6PhSm2hlM3J1ozL/+TEDwEAZBcQY
IndgbhejW3jcSVpZwaaKKZZqfQJ3bciln3pdlfs2rO/V5K6OyDweoTWbFnAv+kaXswXb6YcZsMIz
wsq2dAh7JSs3Q+unoGcQw3BWtxf36pQgJTZDr2bFKnw1lvJeqokAJ6EXDqAiaDIqJ5n+nzOV9yy4
rrSlacbPaLs5sIQiqS1DSl0PU97ZbDzbEeWRH1iCa6jsVnaAy53o2k9mSiVtp7am4681GlfUWHuz
qqptbjjjIbUiI3VTs6+nnR8ZDSKsRon4CY67dR+S9Y5iOlRmlYqzbYflrpBloWAuJrWZl3QTHqvo
2pDVu01ORt9sYeWjH4A5nYnhvYh/hlGNMsPtlb36kGio8mJYRPQzSGLZKxFEclaD3sB5MiULNMZg
fVfwndxWZntPgON6KMj8lFMxLYLWj4j35Z7pJzWAiBeKM7razTkME0f1+qg+4exntJvb07qOtN7l
6SEl4XtCbvSuIfFXWADeNiJ1VMW5naloW3+o053V647moW7SiD+O3MT1jG+ZjG2oteULiP+Juvk0
UOxQ/DpD3yGfpjBfybUlHUc5q1TPquoB0EAX6JgO6sH0Kw5sOhHYSKp/DKK1Hb2DsdxIDZJAyESH
dfVcwa/J7uBZru7X2ewCAZyZMEGYvFRR4YiLJDKz9qxYdYeSH1YpqNmX7edBFcW3UbXKtY4n9jam
6nxnu1wFzfPXg0TMSaRCfhWhK05WBT5mjOcypJaHiGBJ4xyjWb31RCRX9TYLg+me/cLVlT6fRpqH
EIc4oAClLjdOW9k8kpCVz0qltMMWka0cTEoZ47VAuNY/5VjLbNI6+eenhHFpHyKpQDQAGWexYYUw
gijSRHdWNRzFXb6qfAi1aW/Dz3ntyI8xRTbVexWVq2MyR4ewv2jXyhYR3CLY6cJBxA2CRue8paaJ
oRcwDtfppDTb+L2VluvbJ+Uqp6dnaQEeQRiPx4NrfTFLsEag2vIx/DKCVX+IKlrRStjHj1T6PkWi
2Jp6pDzP6qZPFOqMXcuUnyrR1/+2s3i6ELfi9aLPBdyZitnlR0YeJTSMkha4lRFWbKyRJHXjqIgg
pDUGs56JwG3xb3Hl+5g6XSUcmghTgAJcjokQYYbOsS/hgGXHDVQYkK3gskT4NGbtj9vrvPisjEX7
H68SEyD5e+Z5OZZVGVWKx62D6LJc/+qHzF+3CKBjjmON8ud/HQsXSxZypiIw4jK1zYJUsgOrDw+2
byD12w0GGuLoKotVU9rguW6PtrgTmBkkUEIfmNacE4CKlzObhRNNlNH9fZk6+i51xvqzHI/VCq8h
e6WqWf1vdhPzeDxagJKpO7znfpfjqUjk6YkTmHvDSZ2vnVwgURM1+FUZLS/lP8+Nsejqk1EBUjEW
c1NUKN1TOxn7vDK+RnalfObJrg8wTntPGH23vT3cvMn/yhL/PzVWkieLmIqA53JqSRO0KJlh3pGA
BlkhUqS7kiEXa61NFNeXpXEXZc0EdspJt76jZZvbwy/vgvfxudZZWPgyVNYWYWRmotImNam9x4E3
fA3tKn0I8kF+pZSQvdqd1NBRdNTE04zcfsx0edz6AEsP2aTLd37K4o37/y+h+0odypyVMxeppaHR
VB6oYe9zdJlXRjuNvxDTsDYCIcRnSn0J6CykhHcJeq6/b6/C9UmFgItEOk+OAwRqqaI20ZaoCeTM
vQQh/ADmD2/xMIterKK6xyuev+fye/OesqFlZBIw+bj83hksHhIjhipzvdz0bVSseOwwvMXDY2uO
4PxvT23xkr6vKvw41hXMIGnCPPW/oiIE14SRjArbWRl1jRJmXD/YmJV6Si2LlRjpCnusqrgz7PU0
6frix0flYcaVLfk6QHHQO/EHfW9FYfidZlXmmlM7bAatlj2UMpU76cL1NJFjIKaFQEFUS4X5cpr/
o+y8lutGsiz6RYiAN68ArqeTISnpBSFDwSZsApnA1/e69dQiK8SonuiXmZoCL0zmyXP2XjvaGHUZ
uXJOS+OSaq1KO43cQn7Msjbz4oFz4IMx24yX/n533744XJbDPDMBfima+T8vm7eZeV1vXRbCpTxY
+eCdwolKkLxD/8PfL/VvvxCVT0hLiX0LacSfl+Jom02LFO5pHUbz98TE8jmraAkRce9vOqY5t92S
O9rp/3pnaYdwwAZDSRl2jTn687rQFYcM8n908tFR3Q42yKCkNSLvRorVujGQwCZj6Jfv7NNv3p/r
VTmUXaVsmN1e/9oA1dAk5iXEBuUGD3kgASTZ2KO+uy7wqFjUbvjOFd88ShgQJi8r12X9YeH/83dq
AomzUNveqQpWm4yUVhTHcjWzuGh6870yhAYd/7o/1wG4iP/3OF/VfMxybPJeJpCZvqM+Cg9DyKkf
fSAwGI9UFOsxqqMYKfjo3SHr7c0fgSgmHFdOIE9mu+gMynvpASVYbAXgA5WFPyb2RtcUWD5H53hq
K7HuhCfHj0Frd9/D3nO/5tVVz+yYq/mZrVtPiQ142MD9nCvmrbnXzQ+mIzKx25ZMDM82NLT1Rglj
DB+WDqbtLiii3ju669CO6epmmf0FUX+5JG7Iu3ne7C5o9s4ym126jP22PCH9s51PbHAWUSuCBIjY
REEk4rZusscOQRjBoC1ZP7vOsvKntrOMPLVFOd/1TttyLuMH3y2lb/UPiL+Dk1FpzQS49JtgVy7u
8Kmh9Poe2CL4JN1sIxbPiYyjGnPnt038yQ/TWyYjwcnXdgjWjbKK+wbqZCyJcT/xZ7ooqfq5HnYg
ZMv5nM9T8aA2Yft3oS+gMoxY4O+D0sw/YmGpv7aUiqBSuH1x4I7Ruco8WSQOmQJdApowFI+W1SK+
VrVyv4AKHWlaWtY27PI1k84hnFum60IbP8fBbeydMgbPSjcHxEDM/998AQIeAusUYxSjc2v6Sxms
UdbERe0st8ESIZqoYAT6t2HGPDyhTWoQCOUXtn9bVIrbukH4/zQPY54dxFIXtyM5zGNshr36Wece
qbNIXmYIKbnxswos8lrQfjVf86aCuoSCYBzMD0bTA1T2GtE0DxwKXeNH7QzbeRJ5GP1QUS2qvS7s
QaTLYiAuVUOvo7PRT+YNvUFUCtO6DgjRpNZAcTxsHvdtQKBMLOy+cfeW37HDjqbVHbwC0dk9FnyU
gMuwoEJH85TXBwWvWCdlmJfmz95aqv7WDMD47wamOv7vKSrzIvFIxJrvOyGdbZc7wvsN9hTGHevG
eBNMUGiZscjJ8u4zT6OTC/2tq/cBVLAUOks2P5nNqFcrcaXj3siA8fEc01kfFOEsqzZexBBtH1wC
lrbvTBS6td2JbBY/oERU8qu9Zsb3Xkm+ngEPDbLlPlu7hrgducGwIWyXHnLejXMnmcIUZv5pKJyg
TWtjXZpLsLYdSfK1b641q3ZZm4lErTLF9Jpr4xNfI1LOxu6Ws8LYAqa9mMbgZy1tI6C3vwTjnmQo
uUYxG3jxXFcGjfEakd51lCW9nybZ3sOxkQrOGClf6PUwr32S/rI5Rw329AFxphWc/cnoh6Qr1+Zl
HMrBZV7SD8aOINZh4W+bGvkM3lDJM7HJ4hjUsgAMtnpdeMm7Tg3HdrNwv7Mhqj7u4Vyvl2Ye3OkX
/bBy+rUYbt8/FHXPKCYh72Dpj6H0Oi9xxTyeWnIc6J+ti1pjwM3wo41ImYDSpOH1N/QF3Oa+VrrB
T+046y/ItZFOm5JlGxTlWhpI+EFE77iz9vTASNgNU6h51vM4qvah9Aw/3OdjqLt4tTuvJCmurvgw
pm3+1PrksILB7KIxLvppzm+nawgTMCAJRtFC+m4zUKfRgRDGDG4ZxiJX9peujE4VmIHHFvC0H6sg
5x+IHDXFc+Dn6NA6XpU97O7mPLrk7mFu8O2LMK7RB6KVDcIghk/1rslmXaWrHMynSGzGmCpileCO
lXqmiRiU4hQ6I+GRksw0eizbBoSZnEjbPQzEA7g3w5D731qhw3vwMExHJ3ee0d007lLtgoX78GNU
lc6ZX8z5kuil0zBfwVQCbvd15sQj3ax833vjnJM0OZYqyRE1EYfH4f/FYAT+WzV59EMjTfzsj87g
JdfTbYfCKdK/lrli9XFgXl4qmRcfN78DHL9EioWjKYroyTAWpznZhVkNB5hO26niNWXWlnXZs86b
AQ10OJffdB2Yt8GAASU1tn6+Lew6zJNiW+dlF86GPkXR1H1pDMTHsVrtPkBXbUi8cZHzezTsCUyn
Pw3DLhM9LahZB+UvEkZaOqld0EXXhM2GRQgUvVGAInC3/YZAKzqQhgzbRI6LYSVYSXhI2yTr+6Ig
QRMgjb1+sElUKdCJeXNzHxW1fkID2Xyoyqzc9kbkD929Ww2G+8FxDYaGMUVzNp00SPXfcr1mXo1O
PdQfGr15l1UqgmcNY22/9ZnUX81i8Oo91urI3gOmHW+K6zCPQF7p3k1r7Vuxmn2ccMu1AXUYrM2/
CVpEvXGAzOVzQw/4BSifNZz0FiggWsPEU3EB33PstsImmeE9iMQhXarZD11uLHEm+xbxVga9++gs
3Ny4Bgl9C1TLddlwXHG7eMp/VFlvYi8dvOjMYDz3Un9yK3Eas0FNJ4fTn9yRrjibu7GLDGKZqhlp
YlNNw41TLg2mf78sprTsSE9MvIkpZeyX0lO3HvEq94pD/ZBWZjuZtFTFVTDn+OVNE+WR3odd6zs3
Ll7EX9WYoWIsIHkTJKCErGJQFdPHULgBCtiwbKqdNpb5ZQ5F/1U6sL92dG7lkVOtybhH0LSMs8Kr
P4gy62cE5mazxJZRz3gbIh7WAbvD/BEVHMFSlIDW/dr1AXUW8cRfo9oOtvu2cUMUqBWpe7HFuaWN
9UQJw47TdpBfiewxYre2ZMAyFFk/A7dsFdR9JW+lEY7fjdxU9Y1jqunFEnST4q0jC+CTKRp8SsvY
hs+ONw1TYimxvFSGpevTTAxie7StPssv/BNOlPTGVATxZBfzfcjUvLqExaR+BUuOT7LwB08+WZ2s
+10+jSat10Y41hHv6jWpaVtBXpauJe1DuYXyo1fMVckP5FyYTk4WhoQcZmN2qpHt3q1zj2a8GGur
iiV1sPMCTUKWh3Czszoden/ZRd2EzKdDR/mysJ/IfRdq2OIq1yg8vVr5sDbzIP8SuRPqP8YbdpXy
Pi9R4uW+G8Y29r/ipDuxVgfDDNcgHmdzKC+ztbYuDVQna49NrYodknUvOzTB5DyVxbB1O0liELFq
80pdFkXb+gnmsx4OpaaM3JGt6tNyok4DJ2doLziKKKo/GqWhnH2OEjJM+i0IH6rcQjPRIou/7SOn
y8+TNSCfdlbLrY9znYcvRdTik4Omv/h7oduqS0RRZAP7a2iPad3PPPWoK1p5xjeFc83D2VE8D0iE
RrySM46hFnFj6q8UeKjz0XUcG3ARVO29b4nbDBh0dhj6jJDAssvK6lSDxeBDVPg/YnqOcJvbtUQw
ZpPM1n30Xc9S54KXHgFzO2Sfg60wxtg2cmuGPh11v8g7qjGPeJSCXsBuc1Y2HOhZNXwAdZ3ByWtw
e5ClSasVa605N7spyvFWTKiGN4TOGyVdM4BYj11yoskSDWZe+tQv9WJeX+pK0NnP813rhoWJD70L
rAf8S/WEH01gTTUjCRZr9Yr6UutNh6nepvre7+xuvAhhy3QCpyXIsekk3+/Ub1p+9uQcTSljL/6C
YPPEYyvI3Pxs9lamEgxnkg/Axpq4V6PRkaXsTIV14nQ/W3Wsu17qextXT32yvVVE8dRBPmABL/p9
LpdR5TEae+QfV+gjVXZgQ5AHL5NNz1046pFOR7jkqbU0VbdviFSOdtMwGx9qmuvOt7Dg3xz3mJSy
BOOmb6Q96DzjQfauRWnAytWn4dhz2WG2RXcLB3eiTBGN8XHoNvU5HKMGicAwyxqCLEBGY5Ss3yHF
KXAnQ7bdDbMluz657oIS3oo6nlxnqXW+g+8YRAkigF7dupOgnKHRWBkPVNaUXl4+tMEn8mWMr1ip
nezbpobxToKMlwdjApv2ji3x37oKzJboQ9E+5gT8qoHh1fRiZpm7J3TD521BiGUjlE2y2XD3plh/
X42yh783Mv5pirw++gLlj2iPg0LFd/HnSVuBQRmI2XNOTCiC6sbBi+mkggI+wEq0ore3ixAonFWM
g33OCpahuFeLfaw9Y7T3JFmB5PWpSR7RhOTFLmcJD2L6ueUvpgw8Bd/KixtzRDCXgu3wP7vR7LY3
sPCtnzTY2r29FmtxG3g1D08y+TTSeZkBVE0Gh82PfVCV9sXWSmgAC2DRd6vbLNyMqa6Sxuza+1At
LIqxQTqc/lb32Bzibgvd3wxbMvdkiSJ8NEHsrTfdoL1nX4LqiFu2kN840TgERn5mlHvpbkbD6StE
aqKZVAxJa0/Eu6zQ5HEDdA0OKgk3KTyQzNjLcxmQdHcC52TKPe2h7bL6ym73FjmA1q5Y/fpxjcK5
eOyNbBUpR0IAie6Mn5rdQWbvTBvetGoB4+AJQvXAaINWyau3hp7apEDmFWcjat2PanK2m1qUNqPx
rdG0qfPgJwrJ8VDo+fPfX563XRocM+iP6Eih00Fy8ue7k3OyJ9Wsq86R9M9hILIX6P1XyZsq37Mv
v2lBgbDF83TVmCFFcF/rqsgu0ib+D/+kS8Z+q+TbAyi7Jv0oMAxkzTv39F868VyP7iVDMRS+aEH/
/GmM6ntmAZl38vuoPNrlVj0YmyJZuxn99ckeyV8KdDBc7HImVXTJAmrAeends4mH/+Xvt/nNA0ZP
Q4gFDxkwPlqvV1MBykI7ki1aOrIgl+PYzzbuBSLSUJAiShSs+t+m2f5RFVkWvNNv/LdLw8Pg+UKE
8NCa/3kbrD7vGBea/snJr3Udx5c9pcK4j5iTUKpm7fwl4DZdgtpY9n//1f/2CBgDQEomegeh6D8J
Of/XLHdcdB8iWP0TIxFoee3gBDFLQ3YlEBhzQl+EJGNFe8WKLUmubgyjERyuZNe8g3fc6HdW5395
BYFB8j9XViPDxFdvu+ME/ZLDjjmt2zIdetVGQ2powzzPuulLOmmVfs+c9i+3/8qfBH6FzprG9quh
7BTB6q875Z1AgdspIIb8oDwgwXhJirNtrfowjcRHOZsrPv797v/LVoQuDjkn37bjsl7/+eAnGF91
rZlURFKG+ybLq+90Xhdi1iPjNJNJeg3I2MR/f92YvDN6v356fHTX+/H/j9wWWX7tnxFiAknhe9NE
TrFfbMxqyg5Ul9JOyRMXOxcU4nWL3lPI/Nvtvk6e+I8FuPf15VdDbzIAPHqKakx/Ley1S6hX9TAo
GbTJVIzZz7zspmNLFS/e2YjftqDBRCHsQBSDZg8t0J8/vcXu19Dg8E/1TKchrgYWpYSDOrmq0aTa
Kq7Qeyfa5sTkl4t/C0+6+c/zE75kzAUMrDGLR6/XvG5enGgqQu8EotBGrTvkJ+RCN3XQbu8oaN5+
21fYE1EHkFuB0NqviYlToCBFbqwrMz3dZe+08IvZIUMaZ6Jwm+FmEQ12nZEwtmAfDXU1fIjotRd7
VOPhjVqs5b3R3JuwQEIgIwIscdZedTUs+n8+AB/0rUXmZHgq+sE72CNFfOxS9R/8JtouGkVTRbqy
3h6CZpDNZTYJKbi4LfaKiwBrkcKxpmNRW+W4M8SEfP4/fpCM93kpWf5ZD9HLvxpVRuHEFhzO1bnp
F/qxfoXtmrNAauWB/bK53W4BUza+c9E3HwQXZWyI1wd9BtrVV8v/NrkT84e6PnvCMop49HP7bgzq
4VLkebOdpqa0Znooa1UccxOn4H9dDrg84x94YxYRpuRi/PlIPHOw2XNdkqoUnlfZIh2PJwZvtJca
azhWeCoRjGBawGnnL5/+fsPf/nZ83/8U41BC0O6+Kox58sremESfsnwkfMbu4STZcNCSfMrVGRNk
dxp9qYZkMGfz99+v/SZPlU0P9hxsNSpvhE+vVwOHY9Hai7U8mWu7PpLlPbYH05Kak1fFuBo5Y9Tf
6HZAXTIVQmZPyibcJO3nRTg0EshtTl3ZLW2ebMQyNt+tUPf2hdyo3DzUYnSO/lzrL3//o9/sj9fd
4qqaYm53tQS9+oD6Vhn0/tyekgkHL02KLyuxK3vbG38tOnLfS3x8W3xyOY/7w+mF/77WTVmLZjw7
+P2pyYHcuzRWf0v4FnvZWlMV//2nvdkNrz+NSdKVMnFlfr76aWZH2pzukPLmLoLJekazhU3S8Ul+
tHRZ7pZxyu/aTKh3xsxv10nuKDoiBq/IRFnxX+0KV9ICK+NincZILPpMV9XeSaddbktKr69DwbF1
BLiPQTpqRBZXnTG9jN1CwxltQ/5fhT+4/dCHwTKh6w+s8tVd6FeDRoscnJMFouYZ96u6d53ciU4i
cpf2v7k3TRB0CJt5mbA2olV9/csJ5lBe2yHFobmF0pEQ7tE6lrx44cmwkSwQ1TFiLl+xnDbvYIXf
vMghqyy4ZuybeJP4C/5cdq4Y3bLlkHvafN3Ysc23c+u0zKY6e7n3++D27y/Xmxf5ejkkCxZBxBzh
Xte5OSnAmp7achoxfae9XKsHDIzVQavmvfrqzXvMpRinI1pFKYGE61U96bl43MutXU52aVYH4drZ
rgI2loicViepPPadsHL5n5/kVeHIPP96PzGpXv+o/yvqkIIEEkHycormVoVp0frNkiwNZqiYwaXb
HPNtGF6qQejm9Pc7+2YJR63O6gna8Kogpbb588o93ZoAeOJ2QkKWPbtbbn+gXWt7OydbzOm8lgHZ
bERyAeyABQXb4e+Xf3u3/9FxcTwGkwte8NX2NQsxGpxO3BOphxEGezMo4sZturNUtb2rJ/EyWNDl
/n7Rt28TKscrEYbq2aOMe7VilLo2qpW99NSVfX1uLG9xEoLugjEx6C9lx79f7c2nQrQ5Bh3Y21fD
2RtLpooKBgJWMF76oVcCYkPPBCvPC+aHfqte6Oxyh//zJTH+XhV6KGdRzb56ncqWiKewUfKCRM9i
0qkaZm9NRYGArl3n5z4f5Du/8nrP/uiRRXSLIOzgTbhayl+XhsSStBkv0nwxyTW3DoUEg3vqJQPD
l7//tjcJojSLEEyx4OEm4YKvq7yR0b9fVbj+IfJ0/ak0Jr9NSlq35a980v6n0Jv0GiWbViUAD2w1
X03eX3HLPKV6YEqryp9dGyg/Jl48eE+P/fZhB9e1n9MZZ1JC7Z0/PyfYD3Da8tm89ILmZGxjgI5t
dAQfQhLRjmJa32nCvPl80dijcroy8y3EOa+5VWQiAsjVEcPbRuvgPAWbe0eI229tWcUhz3xr/lAN
jnmsFlUd/v4g3nxFUXBte1xVoP/I/K//9/9bsxBge1KQd3Yhz3Lx51g4DgJlT2e+uCHOrHinzn77
gl1/KnJaGlwIu16ftjfpEFGXtd3FCbvRfTKCzmz2osG+8s6b/PaWcrJ2yEli1oZx/TUuAJMUc1nf
6C8NFU257kC/LVfO9Fw/C28N9clAeDXCeTbE8tPP3O7r3+/r6+sTI3EFFmCCQ1CGbvn6iv3ffV3K
3BzZCosLbF3x1altlyhHDyS8fSV2ZGNXfcf3vB1cY2ny9O/Xfr0c/3Pta3eB/e9qLnx1gqr1YBA+
wrU7dte4HIFIMgJhohj02xepRPuki1E///2ir7+Z60V5gzlUIifmGPFqx+Vjr8K1GctLmfHZxyWa
po+uGkiBkpo0z4r5ev7OAvma0MA+e4UEkM6KiYGN9zVuFcmjTcLKVl3ITS12YH6yE3Bn+eAEpUx9
7TdHePh9MpPSbCWjRLAW4Kh6527/y5O+9hKQwZOFyZv9arGo0LUME9OqC7515zliTndvAB++hIuL
QM3LKn2OAkOlHgSWd76mfzbW/1+vrzeAgwhiUIodTCuv9v0JBY8FqKy6FEwTyTZgAozBPGeYFbck
+zyODXouZm8jybtbv20n/IpGltS5weBcqoWwrNFe9/OKugq9vpOCYfKPPYLtC6OE6vsyFe8iuP9p
pb76o3H981HwalKtvD5rzy0HTn9st/OoourO16BxU0MhXY2h6EFDKmULtJmswypB1tLoh6rK89/T
7FwDDqoajO3IhvK5tYfpBVmXenR0mTdHo7J9I7Z9NoubCNVi+RU/S6P3WdSV2Y1wcmLtF4bNN+ht
RP5UDG7xokuzjnZB66snQNjLss9WezyujHNRffe58bvoM21BnXAYETGpqfrhngHFfIMXcdzamO5d
W6XTNM/T55UZfb3Xw9CD+4TbYNoHrAWuxZMwPfFddIO1Y1U1im/DNqzTXWdH88BbiRQmIYnWeZg1
ZJPHTnr5FBurNedyJ5zJM4+u03YvBZDje6vY5m+ttvyWFDN7ecwZP0E82kr9WyqrN1B0jvVwqn2H
k2LEkrfErivLizFknrubm0Dtu8yj07SRwLS3nSLMzlE0EpOqG4ugB4Q1S/O5Q/RS3Y+WNNXRAQtx
h0PnKksIZkAUytsk6N2OSU8CGiswduU41OJ2bOrs5MIb1HFU+cP8YfUHbSVWx0SbahA5HHCxacrT
ISDPHQg2/YC0NIV6VDIT7T3mn7xLunbLyWoPF/+yYl/NEm+eaQpH5SZPdT91Ml47OEmSUNclhokU
fsP6SqqsbQ+6TismnnOak077Ffima8aVkgz2vKDQP2bA53NcIh17CRVkiruldoi1l41tf4zmdeRY
S2LnetuzTuDFXgYRJPWm0amIVToXnwhXaLtmOE67khnBN5yZ0wdVbPU1vThYp8OWl0GRMMMvABzN
TrQPFMC9g5W5vCJI71fgTOFU7xn/Qz0DR2vbCVHMobkfnG0URyUGM99R2ZASZ7WD/LWs+fDTNHuv
2i3M5JsHN8j6+mYLM9c6GIs3WLdRNjj0ZWY/fNpmb+tP0YLUxQs8NX8ot8axbugiNj8DXcxmDGyC
ycmhWvqJd40D4acwJ4DyZR503l96GUk0gbMjviHvCPPfqB6K+oOnRKB/e0z66l2LVzCDRUZ88dHJ
h57Q6LluESjQnTooTh6cUrWzPsxOJcqd6wy5PK2RzmFT5RsqUcE30Kegb6cpzTJNjNvUsUqetLvQ
Zkd1YFof+XAN51OmG+QbwVIAxG8c5f5kHKuaNF+uiqe6bF073uZGykeEUPZzWLDsPUyqkrupa0zr
c1nMaM0yC0ZxuqJC9r9Ua6Y4ShPA5EekKmzuL8vnJhFU7JpjEtSb+HDl7j2KJi/qdC5M75FWnK4f
QQWbzWPrBnqKGzqf06nLS1CbS240owFhulMWjhm0cEtaqy1qv7NcT9+ZE27fWqsyf5mECZRkfiO9
+SanGtSuOU7hAQZwZKW1kw3LIbNUNiNNIBE21R4KbEwLC/+gG8l8PFsTvZgYoJL5EVD3tT2opXej
TIFtjawuMPnkv2TtZRi1syXukhPtu02OlVSBiasXd+d8r6eB1vZgjpv4ajBJQQhKkiHfh7cMMuF7
GPsbZqjZvDMHErESU/v03mxZFGfy9NhNHDaG7/h7+zxGhe/LGLJYdLFmV4+7rVOBt8/a3uuQHata
77pqy75M5arGhMbm1DG2irovC5bVIQFMO35Zo56PNuM8++yUefS1msFI3QY2kdZmAb/vbIxZdog6
1zCTJZ9mcaRjBPAobmjinvvNLusDClOqG9ETBqOTimQBJJ/Q1D9aRbu6547U0+JkA909Dd42dx96
Rti9HcOsK6wUKWV5G7n1vJ5nNvazQbfdSgFgtv7uqol/ihr0mCmlGhCxbLKUwYrcOV8LARnn0Eeo
oQ+c2KogDRGnmEmhr/EgvjXB0olXNB0ApKOl7T5Fgu3t2S0bu33o5ymYzoSqIROqersXeHbX0Th2
RZ+/ZJNnYQtm3V7cnRSWq1OApciPV6SQhGUyhw+/RLkdPZNOW26JuQoREJgOLCNFhusTIJ8joD8h
Zw/VsSxcUqGQaUv0U9VM7+d+lTLr7qbKX9SF1teGhlqgzECO1ZXtJL8qs+jLkwJjcNOEUV3fiGXU
ZwF+1Py4RNo9c16C5kdsmDGnqy97i2p6GU6OBdw95Xxvi1O/LLJKFBGlUepxbvmkyTt7dEE7usex
W4PiOaMkVQ9XMdlXFpDuh3QK43bD/NqcixUX9RePLofaFdACTTj9hrDSEDhd/Rn1ljWc5xAw3kBy
XLkzKy+3vnN0MACC2kN3c3XFnHC4k7gpGr+DmudPve2hAcJ3OuF+LLf+oOd+6/mStVvLmw3UXXC3
yVaNL7NfBC9F03Xdni6YK48m7LhfwGTRAwPm8FEZZG7FKNhiANylVx0FoiZOFofNE+P4g06p6lM/
bNyXqONPSaIV7t4ejbjlptrPPetnX/hWexNtIJLR3SPKbp7h+vXViRxJq/idzZntQpLM2mfdYHs7
5iUQgiRsxHIEgumGJ8covafGojc578Rq0hOgA1xcAm/V3m5sR8M5rkYwuJjdXbu5EG6vvpdBuci0
8gzTuBQDWIGLOwdNnhCU5QY32RKahxK/arPvWqC9j6Y2o8PKWAfolkkc0R7SR9f+yFkn8qTtBqK+
ggAmQ6LRlPiHhv3U2l8fpw8tKIvKeJIA8TsXmRxeC7ped6xQeZmaed7tioV0hNM14qgGx1xMcAt6
yzB7POWheDKcClVmb8xuthetw4Y/DCDOUNXYKrXL1i4OwQaicE+NuCBIBHFYxYsF7vC2XdFKJ4bK
x3ln5U0+p76U3rOO1JonPX9kB0d0CKqd6qLmx4DYBRt3tCBclGUT7EO3WChjwi6jQosGVLuOET3a
+RpMP4KqK42amtqcfwddgFSskxX2xMUs6R8uhR1Wt6O7WbaMfbFVt3XbN95pDcIybTJRejtj0w5s
S6f119hSweQlbd872Y4SeEX9FtS+i/LUCMpvBHM31LqF0vc1LVRyEJBFzmnZhkt4Rz9mKu5F0IJo
XOEkHgRh7ZR0TLSigyGnoEU62eUr0rmBoEkcOn1UgxeKUXIGD/h56v52LOmYfKSDVD2BTtvao45G
4KVUGPaQKtByX4xuQeMOsLERdrIwMu+P8F6J9xrLxjN2+NFQ7w8eMrWl9fSSKJAHOg6RifVt3AyF
oX7aZZerOOg7x93xciNSC22x0pikl52w4Aj/W1279bgjQEHVrFS09lJtB+AuhpIM+lwaU54Myplu
S8ef/Lugx4MWxSZy4f7SEZkNj99AF5wU1GUEmRuVhdq6cUFPmyqM2luU5v1I4zUzhirpKI7FjQI2
X/HONgYiC6TW14qbJv8HYilmj+LRHYzgqvkFnVL5QqyIqMfpsx5br06tDpzNrgx88jscTQKav1XG
+lNtEPhSbCnqNJj1iNoOiEd0m2fNhmXdYSewH/pITR82M5/rG+wV0Yi1YIrGvMVJBJLjZhNW8c03
vGI8ZXO0sm7RGbE/GqGsgbY619oTJ+qU7yZwMAUMrrAxgjjqQEoyC9oKZ8+OOkOYrZiJpHJq2jxt
c9WAmgdidVsQxPYDIX7PeF1GQXEw6mY5lk6ke1jZdV3HEhmOeaM2ZTgJWv9yTC2aU2IvSuq1hASy
7DOXJjpVDuvWncth9NWBl2jwsC9V2kyyKXLq+7WZNuPgTZagY9gXQ2IDUYvulrmkXHKLorWexHbV
jDZrW9TnIhuBAOh6nqYdAtv+6OdNae7AYnHAs1AFkyhRI75Mva4zmTQzCjKyMvaGaOhYyYaoTRaj
CgSliKzVj9CgIIkbGXp6l0dRY6aYy7w+9jCurSfqEVset6uhehsifwQTaAQZClhmiaQsXWl31yMj
aaAlxgOvturwto1yd9txl/EnF6T5LbHsN/+z8G2qz6sPJb9Mq5gG3EY+3qZZamw/jdAli1WX71QT
bsVnCK/ZPqLKz9t0VtH4FGT2Up0Htys/W+UarLtmxRsrY1lheI/tfq66nS5b4KfLOI/NcVoG/vfX
vnB4odFkCIqdEVk/4trZg0qua9TvovS9r9m2ovPM7M0Id2hDqZxJEuk1oGS5SajZ7BtWUtSsEV1c
EiRS3+jSD6Zbw7e729DWwj7mEwFxfMl4OokuB4erYlVok+cm1jpZljH74ofIf2If/1kKIcfjTqIu
GZJe6TY450Digh0Y5OXbOruS3+DYetpRgWTcfQTX/hMJ3j36WF8t9ZktPdz9j7PzWm4bycLwE6EK
OdyCSaIky7ZE0vYNSg6DHBv56feDrkSQRZR2a7ZqZ7w1zQ44ffqcP6ByPmZrhMScfxURJPZAQZh1
9aeO8+hnidRtf0yTHEqe7MExzLpQ+wMPpByeLAGaddcpmf8LlYx22MvYFg2Y1+Rx/U14Vb1P9UrJ
10GXat1dXKvqVinQ3wAtHJThPs0tH+eUIR6zaNeOTmCsfawFuci0sAELQTVQsl9xQmmrfcf7660c
feW/IkRPx01szB53WsPe9lxk6cbpDXlcZ42GqYFbaGFZBm4xCmhA5OfAIFUBz8/1gXt/U9Q+lrcA
QpNxn1FhrrfWmBf9mkeN0a3AguSHIS0BjYKtMB04lGVMJJWNUT9Z2K/3m6H1lGKjADxX1qUWqquG
hnx6Qph+dLYpNrrmiwp2WRxKqS7NdThi6rP2RyPQt4MV2parh8Zor1A0V8ZfnjD7/guXcFevidyp
cd9SnObla8ggzEqUv3sCZmSp4HHGJN7rNT8frghRzF/5EbXiHZbEpkA3GWy3O4IzCXQXA8w0Q5rT
VzqSRHOsNzx05NwlEdS7pyauxDd4IiLamWamGruJZ7DvTABXrpKk0HaMaFTK3agggQnqA+uSp5iP
560KCRRrzfEiexuVbTRAIijDONx4WpD2XxyzrK0jF61iHZCLJ913ARRVb4pniOhrCVlYebQFNdcV
TtTl+ATxSQH/PQypvNGs0vlNZOUey/I+KDDdJpt05XIAql0JWDGbpJHKcNtHvnwSQDblVdUEAKg9
fOBBuw6d/8/0o1rmHWdKte/qSuhJ2UKV8bKmqxk6Kp30CWz+hz1VIT/UkytljDljcvWgIBzVPkem
4hMs7QRMP3zKYldZ1CO+p5zcT1qKUGQF5YCUrwEsGvzSnFNvapGwozhPHrRczrYI0xOIJAkOqGuF
Ub0TiIW3e5SCTG2pvDu1n88LhXRwUT0AEkCTz1Fm1c0ajebEVxkZVAgpHC/tRKLuVaj0xH1fhpFl
pb/9PobAoaLi4JqVaq4aiix/ldZPF5rXFwgFmn8aTUBgcyAjaePOOiXC6o1ON6T4IbWBX3Ddj+Oe
kmGSUwUpikMJ/rh+GOKKphXMj1+RFVASAL4CjU6BhXG72n5RdCZ48BeZOTmXoczdN6R+SAJHrf3H
sDWSo5qM0b1QEFogiiWQf+ICccnagliBZvzm9tAXhX4NjBQoTTqT6O7Zc+XWkg+00UGh7C28V3+o
TeVtJV2D+aFr7QPkyyWr+oupcvCR2AOPgicGVK1ZNwMPLX/MtCHed0GZr4KuM54NpPGfRn4jR2Cq
RXX1iY8xWNrxi2+OkSc9lsm3D47vXJOlN3kYV7qT7EUPon0TD3YVfdOMZuhhYAJjKJChJ3BD8ylW
dtBnGKoNZDhbK0M1ZZAr+EHm0AzOporbzDlFUi+Pu5jopG81rUp4QHqQiz7bFaFbzM5YJAb0YsCU
vHdNPoSKrE9TsCZxdBC+GDc6FNbU1QNBbIeOxSVfwO19pBRTAKMp4h5DAiywiOymcBaOymwB338J
TfOJMgLIhV9zHrSmJzF2CH100NAjjNcBsn27LhyDnVKM1Q+nHbQN8qRL4Nb3uPAhbjAsGAwU0PAr
4xOx5mgIUVdjG/ZWcoizsHhGmyKGfy+n2n3V5WPkehMj3w2CtixcnYtyV9lAXWxs4SjfFnA80ajC
POb2V3NhosaPokqOnDhBFL2XeVMu8hylk30CRZFmQe1CFW7WltAayHcCHRg3KBuLZBBWj78usqEq
qRZHKuzdJJde7b6M/pYE9z8pLJ/M1QKAkys1CZqd6JJuARY0b86zgNakNc4CUjZTzXfQ3ocTRN5h
iLEMhhe+jDIjE0RNC9cyuJcuDmGic2lvIlsH9lPBWY1HoLTC3TD5T2+l9Ad7I4aHocjzYxMp6md9
YabfhlUoyFDisa3oU4f57LeBx9Map38hzxUPYLOd76owQtktsyK9N1jRJUzcLOC9rwY4MC5eQpDJ
f85HzHRHtJnU9C9J6EHNipvAe3R41KAtQOksdIteS5YEIq+PaesTNAwE2twGuInbVG2tvn8JKXx+
t0x7+BFD3TopQxyt+ej1/24fz1mQfZ8jKEL2m465yWV/PsfJ3qpmH/sXfTQg32ciB3mbDAe1sKQS
UXCJPM9zxFdegMUCRPra0MAbppYgImLoVZ8PbfYIXpAXDi/ouYu7xpaMSY/K+JMXstjGjaHfy61v
H9JMrw+3Jz1N6jxOTDKfOv7DNGImUM9s5FQB3i4Ymbs8/oamQFnhM0RBVfJVbQEbdmUs+vFwzFCQ
18FVTqHyw7H1i9IZUn0YX+JGET+U3q4fJgWsBmEItHoX+sJXTg+DAaml14Ag0lzijvZdG4M0Hl6w
6MIToCb3VXD4bBpQxXKDPEdcIqB2ezGvjgmXwAEiZfHf6c8/TLCrW8npeXC+EDz+IKXVcScK3ZG2
eVzpyCLVoqgXcuJra2og+wWWXUMFyZytqUK5SENVmGkitPlSqPlzJmLtmAzD79tzu7zH+Co+DDQd
4Q9zg3Y5AYHH4YXwPNH2I1yGK+R6qia1Dh4+R3dwKY0/twe9WFDgIaT7QCUhaUywuvNBjTIZ7SS0
+lejCnltO0FHBcWLHaPchjnQHMSCYGou7OI7vezjN4F8Fmi6KfQrEwZqjmYQZTEqiWUVB2DAWuHW
Iwrnm95JyB7CIkq/5iUS8Pe+Gql3ZUC/Y2uPpSLfZ6raODs/0ES5H5WTZRbVyQ9G66teZmIL4Xx8
LDt1VdbGKrFaOL2o6gTNKu3NQd4NpRZLPN8NtL0pFjsozOCQFLz4utff1Z5fViszEJnp+kWECAuQ
G+2r5gf0OXD1rI5tiAQGDu1D9yNyAs37S+XCH9+yqC/+5u1gP/ZqC9Md38tAQI9W7Xhh0eZPA95j
vE6gD4HfIoKCGDvfKr1oLW8AoX2oeB/A2PEjGFxqPfTeTqlgcoElMOiaRBQrftPBo9adGJ2FvI5B
baoaMnwhP3d2CGvUW8xJKV0HNH7h+lkUgbBsrz4oWefoICpyDGe9TMIthWdLvE5F1S18jBdZ1zQm
+J/pmQQACDzK+SL4VNvLLs/bQ5cpTeeGvK6bVYQuRkaNaOz0jaXE7V8HN2Z7VdpCfvKdruvRyWh1
HH6VMa8AKGGSmi6sxTxKTL/LAMzOR0SoB214/rv6AkqF5nXFwarb9MkfG+8ONJE/ThcadYRPLzzE
VIdbFAc5GH2zy4zCgImrJyUY3Qi0357X2H90X+v8NX2RDv0Ay+7ShdM3D07MD+zehP/hIYiKgXo+
P6HVoBKssjlIKf3fysnKIxg8eStE0v2piIj5Q4KYTLdAEpxi3lmgAFU3vYIZ3Xx3ATofNkW5kCab
Lr1qiJuKnVqb1rPW2OKnYkWopqUEfcJVZuUP0RjlS5v6/to+H56DDVSSsh1Ya2sOJKw8FA4omVuv
SCrR8zB6O+l/jpE/GGujMq36IDRsv+y0MzhyuXewFU0y7oYhQPhI1ev4LfW10Nl1OlF2Rw9XvNhD
hFRLrApFbEa9xRy2Hjo9W9NhUSP8L6rM5GXf2NWd7pW91PF2gK/W73CeDkFa4+WKKo4SK12z7guK
GmgdyM7BHiYA+uhlFVweX4k2kt4G8S7OOQkg+5uy2XS+p+Jsn4RS/dT3gdM900pw/vGMs4t/XTQM
+suAE0fxzUDtgHHbaoAV7MpIvVdPpic79t9PHmLOL+AsE+AriD4SiPOtDeXGKu3Rd16Rn0CMwkJz
5hUTvPShUMPC3OB+kS9Ju14cYvx4wRtznHi28qqYXeWgBHIUK6iA9llYAnGIAv25HrKERqdv+pOc
D+2Q74qv5N729mSvjsy3SlGD2pY6J/6iBDJSpG6zA7dex5dCKVKu1ebZyhQZwecBD4PEW4YuToHg
4/k1IHoATkefBIw3MvqzQGHhPKbZ3H5THwQV4kooxgnlC8vZl9hNWFtqcV2LJemID2MkyQ94j0j5
qkH7JNjjEmWGe8fOKZjKbVi/pbSkl5Kr+bpQ5XrnYBNcNI1fO7vTvCCScw1nukMTm5XugqIp3lCD
rPKNN+j9W28M3ksJ+V9a396Pebh+Hxem/URn4PU+56QEVQtipc/8o2R4BSCcHJGGqrW/hW2Qb24P
NceP4ibGHCckOpcWrPO5QfPQKYALFEk6VH0hHmpRF2+th5WeFKrKqlDKUNukduoYK4G1fHTP28C8
rw1LOAv5+jyWTr9jIj1rKjwg7uzZ6Y912va4JXuHoe1t7W7ELPFHItKMBmqH1I0+IYBWmd+M6mMa
clV+8tLirlKZ/7tREGzVd9HID+ntqNhxYcH6PPaeLEeQKFD6aXOvO0X0q2Hl0n5bWPnLCU8jEri5
jqnUzGuIvkrskVC7OqL41Oz12CjWXdp1X9IEwrtbadzOsm8OOVRIU+xu7/p0cM++PGYL7FJRoTpC
Q55XlUNwM12N6eqx9BN5J4tOfsyTxgMFUEcG4Kyu3dSRZjxjgVhtKIhnC5t9ecDfyUE6KTaPQZD3
59E1DgbPBvQZH/126B4kJbd2Bmj1Tdzo0tI1eW2dOdvT44gsEImH87GERY/EU8Lk2I9Ftm0DI/0p
LL1zJShlO9h240/qrVjU10m89Aa9jB+Tmr0JP3KS64Cgcz50U3YSvWcnPtqjCcS/cqIXOWjKTQkk
Zj8Kpzx5Ek2Y23s7fzNxkqnZAqmxcNSZuJLng/Z9Sq9GUBFHNgsKLbAlFIBDBYGFVRhGce+Cq1KW
OA1XZjo97OmMI+JAljmrckoKwlJVmKdHgH7mvm7G+pWTNZLNYp7Ak0czf9Sj5H/+GKGg47CwVGsw
vJ3F56h2vLHRxuwIvGJPd8/XVh3VlY3aeUhc3V7WK58M5Rm0qimtTWoF8yM78rEil5sec89rf6Ve
72wUHQEb7JKLe8S71YeCutRPDLKUJ1jbS7t6fXiQRu8UberI57vK4vto5JjsatOn/UPfVHbmwh+h
ips2ufW9HCDJB4pHizDgwbousdwwF2LktU2mrIGatQzHDrz9+W+ow55qtRdnRw8C4ZH/h1jHFnqp
dS8jZ+pEg+/2Ui4+WRubzjNKRSS5Jn7vHLHzUYs0dKquCLPjOJj+nen0srlB41rs8kKY/qrP63Il
Zw40nZIH1u1Nv/Yt8XSaiPhAcMgEZ2MbUhTzsWZHawCkterA2AIvEf0/D72pZJOPiPEunOmLhzR1
SJo9Fp8uRYiJRnI+ZtCCK7dCLToVkjo0lJYr6KFhVweb2kAFB6hiAnrQV6QvfUumsCOBNvZWBZUM
aJEcJQtvnMsEYfo9UKJ5NqKEAgX5/PeoRoD7bh2Ep8HzNfCNedd6O2SBqYw4egEMM+Ad1G+cuAit
jdzXUbGusNFtViHVMHthQy4+A6IoYupToqJO/ZTZ4gxy6NmtqvnkiVH9ZwDG8Bh02LzumqhHIKUW
MrYoGdgnY9WYahTdZxaAkNuH4upvoBos8+jBy2O+QdqANTqd+vBUCWNcd5ydO6kIk7c4bt86ebQO
oZYie5p5wbjyyzhYiO8XXyFLQEeLa5tvgrbn7D7Lu6LLDeQNT5nsWxu+lzKiIexV67aunZ8KffpH
dNPChZT0orQBk4te0pQzoAtLL3IWgHI8R0cRVdIR4b14nWNFL6/CgmdcojrhIdV7C23jcphQMPWj
Ds7grh5i7EJ9uXvuOJgLteRrm0BPfCrV84u4cc5PZc+DBPqM5Z+0Hn0QN8hgUvRDPsrIi0Syq6WD
9eh7cXWXD3a+5rsdF07BRVrBeky9ialNxPtw/vhWjIl7a47oAJuh/wp0xzlOklyPiaUnB1PSTSR8
wjL5049xd7x9AC+iEkPjRmvyWfIEost5Pncgu3g/G5wApRf5HRJIgp0oKSaV4bA32sLe3R7vyonj
OUrPipqoTbd7+j0fcmNtDJUWWEd4IsPqXho5qXmKqfLKDA15PRqe/jXwOQ23B70ySc62Du6Q1yG1
jWn9Pwwa2zEy1p0anRyUfp+hexNWSsVEz1zgUS0tUbKuzRHXI3QAWFuumenPPww38DQwoZLFdKh9
G0FRaVypVB0ggwaIa5o+MGBNTZyF4Grwbz3Lw6FHcpdP7XV80C5udanooKL3dnzKNCzd5CxAT60Z
ZQgzMfWW2wt6bYaONSWiwBYUMsTzGeqNIKRCFTi2Fp7qPcXql0IZ0P8eIwugnRHzqJWDb7cHvfKV
qCpiGvQGkCCgCX4+6BiYkia3qXSUGskpXN+J4pPWZdbaT4x2TbautasMwOeDFZnWwhd65SYlF6UK
a4IQoTg9b+ih6iCrkWF6Rz/Ho89V4dlUkJ0qNUDbWfGAnZoYJiborSOP62X1qsA3lDIspGs3rpNu
d3stLjabEjk9ed63bMKUoZ+vRUDiOBSA/Y8ogMv35mAA9QxFK9vrpAZ4sLDdF9/PNBrnigfIdK7n
5hGVqvqxaOTgaEuhs/HaVN6VXrxvMiRiUOAenJfbs1sab3Yze2rZ1z1cyWPjx+G/0fJE4Fpl26WI
+Jq/w8Sv1f9jhgil8ZIEFENmMjtbchoViPXowTEsizdfaiAk1Vb8KsCoMcEs/PH5CU69PQMQGOX9
eaeNpnAUUW6MjnItwu9AQNN9avnVVvLomq9ICO3o/vaIlweG56NCYWzyEcVmdhbnQ9PvKMMV0dGU
G3wmnFYBiChT+miLVF5azYvwAEWchyPLCYFXkec1QBstR4Waa3S0I2KdBL7f22etVRfrvkqHcW1b
nnavBCCst7dneXlwGHhqvlOTIFTMFVGUQY0NYRrhMeiBkq2GwkmktaSHsbIBiC8OcMsg9d0e8yIs
TZOlnYizOh8IGN3zTxHeArKhXhMf67rOD14IIwa8sON8saTefvXGZPjraVWKS0ESxEu+U5cZNVUu
OrYUWiEdkTvM9jWvw1CXYi0+ktx4v9LKRj87DTR/J6We8RsRwBBFjbJX4XAHvN3FIPoNzIHy0/GI
n2Gi1D0l9uAlZomkhxFlCh0rOtKYGttNFRmxv5HjbqBJJ1mvt1f8Il+b5ky+OmWQiIvNjxcM60E4
hRRDcZERHHayXvyuBuq2NvflNnQoGbjg9IpfWeYDdIeqER9v/4Ir54y383vCPomYzguMaRiMdjxS
c0J+oFG/FWMR7GKf1tAKOwR/K49Jonw2SZ3KmVxBNMb5ri7abgpNjV7SjPg4lk0l1qXvUL827SJ/
kWCl3cGjdf7AsKmbXdRofs1t4AULOKYrnzXNbGqJQIWQjp2nqQlWEpKBH8IRbKYtuYViJU9tJbV/
ZMrKzoZmRGefIJbmC1/1VLs/y2yYuk1M5u4FPUgX5fwLg+NJAld5yTHVo0hsoqxVhztAk+nCrl6Z
Hy1XXiaUIxBdmJ8rswFWn6Z+dnRCof0wahv6H8T0lYAw9Mpy+M89tOOFm+fyMQSyjnPM8w8PHUpP
s8uuVHpce7woPeLK2/tvsacXyQ690IYClKT5L6SSlb6Wudab33KjI7qgIOpWQcdtm3tk1etxI5Vd
tPQounJhoJIDVYJ+KG+jebaFJrjiIwWWHhWtDIJNAaXIpS1itw9oflf9QoZ+ZTRUgBGwZvlhRsyb
rrkO1KEp2FFobE35DbQ5UpbUPK34rwGNL1yI2deG4/FPJgMEHArkLGbTE6tyuQJRB6+thUKu8cZa
Ue8S/0mYk/28HSyuHF/Wj7MLjgelh7kllSIaLGMwnoB9YWjjLvCwD9p7URYfbo9zdVLa5J6GFARZ
2uwgodeQR4SG/DgUcfFTceA2oUVPlzxX2oUIfOXOQ0GB+g3mzqidzQ8HsqII96A5cTTtscE1Sinb
B3hhyl0y4uiUCVN5RdY62iaj1ixoyV0JvdwzaObycKW/M+9nZSDTtUAbsqNcpjgY6GbF+Y89aydg
sb40dbTkmH0lKhDtplNC9ktzfpZq9wPgUC2x8qMl++p37CuTteAVhvhYEj8FXlH6G/pRQDlv7+a1
eSLcB9aE5z0RadrtD49IpS7rcNDK4oiMQrnCFiHcFFqcr7VBgMxHUnr3yfHYTwDoKu0FwNn8zfl4
yQBlqRwS5ajTGn7AEUAAbtHpvEPuhY0qoIcu9QsvDiyjTN86JSiKNvQNz4eUdJsyO7YTRx/51G2Q
DOI5DmrsB9JeAKa+Pb/LTImGIE0bUJEI0qMLOLtFEq3OgXkr6jFSBvFiZWX31e4gr23TFAgSOoGF
Ud61igJFNpESXLBK6x60wJIW1sVxmvqShAIqYOQPpG7nk9ZoO6KRoGhHHM3kOzin/QmvI5gGdpvh
OmjscCiLlnwcLxDI5EpUeeBa0A6dFMJmk8+SLh/8WFePmEclpyhoUQlEGPZrMwgVOlXfl7/lXsOG
Tq7HU1ZU0br3LfzJ8EXEWrtEoGCogv7f7S25OOL8KIoytGhxJKRSMvtReRwLWW4M7ShlSfi7FWHi
YWXROSqkY89P76qwAvxxe8zLM8eYCN0hIgW6DDmj8+WveaxHeW9qxyKzrbcIT74vJRILkMYCdXN7
qIu4P01v4g0A15/UlKaf8uELhp04Theofmz7Tq9XaKxkybrqpCXJsWsnaqrdEhJJDvV5NdW3G1kv
B9/ADS0pHmnr67/8FosQ4Svir4HXR+I2mrZ0BVzbPPRFwUIBaMA8eLaQpjT0ecwvOtaNHJtuY7QQ
DkOBGAv9detH3zjo+dxe0Gt7N8nHkZ0R+y9guFVd0sbwK+0IDUF/lHxLL3dJ1yOKkbf2kvjk5e7R
MWFiZAkEJ0Y7370cM10pjSPtWIWaKn2xkMfQNnUlZPPP7Vld3KW8mgBnsIO0alDynH0F0FEBzIwG
LsWajCqxXk/vcSf25O8BsWyb2ciarzsNlge6tVaycEgvDw+jExdR6p8yoblxMFXDIgsa0zgWoYIo
vFSg8dWV5R3CQdXah3cpuY45lNvbc748POejqueLm8RlmCSqxKjy0L4EyLzc55Cg4GWoxn8R5OiF
y+3aGpPFEm5J0x2E+c7Hq5A26LAsNI8ItSebxFaDDaXE0C1NXzyhRlKuIg+VZnxfmv9jpsyV4gAy
rVx20zH7EASi1sdEpxnNI6JV2G4muhyugmwU1SZ3UHQLBh8LnM8v7tTZolZHentRYm97C2/FKjGP
ZRLrd1DPvI3e4F+5BlJogo+NzfL37RGvHSKajDIZId09vpvzSUoDEMUYX65jXZj2qa16Nd32IZ47
q8hXYUwraU5TtxbICy/xgK4PzbCgJhXO//TnH9a3Z0algbTVETR+gEOSV2FYWNE9rCpF3GPLxMqD
0V+ymZ2i29mTFIID5Zap2ISwMb7b58PGw2BnEW6KJ3Q85DsDfZ8emFv+z6alVrtJAv0XqLC1RqHE
R4bN/Ox5BkRIHXri8NkwOuezbtpahm0sFacm9FVUmER9UkKl2fDPvFWBlPdBqQbtwUqrYGHki/We
+A8WmFxaGyz4HLqg5b0hUN8rT5EfZcgyKPqm7Np8p3VhiPBK4e/DNKkWLu0rqw2yCWwQ+otAbeft
hrIobEh3ojoFFZydKvfLR3QAqx2aT/YGCydlg499scELtPyud7W08A1fpo50z6fu4OSfrE/bfr7b
ReYbToa82clEdqNB5kFy/pmgcsdnWRtGfWeRLOGVahqSIHUJs+xOwujcvI+xGF2I1xd3ID+FHYfH
NEEIjLm0adHHOhsQixOMKdxO/VHDYXII3yKlMxYqTurFFTiNRXMBWBl1PWCL59P2qwh9MqFXpyQK
Cmflk9a+DJ3VKBuc7sRjNTSSvyGZ9RBYioIMx6ZJbK7E2YfyUxBCjdR7KRLYCyaU7ol9UEuwS/Kx
q40k66sWGJK3jUXb7bNaVPQAUQXOntBkbdDQgq1vrYI8Hl8SAU30kwGLmVFx4bIFYjT5Yp/PbEwQ
nagxBDipSKWux3wyXTOdah1i2HZfN8UX0rpigf56cecxpg1xE6kZviFCx/mYICLBYVp+fcJh1Fo5
zWSj3tNKGkck8GS7+HxpeBpwAupPlAUg5bMYBbTIqTyjrU/os+inQtB7JPZLW9+SpT31QrAubVNG
GyUas3QV2FqDoggWyZ9eamZMF3TqBTg0ms+n3SLbkfdy0ZyANQXP/NKfTRL6u1bv043cVOqdV6tL
WK6L6x6RcgNMB+EZOWtjDvPp/QjqWK83p6REnXuV80kDITEQlWkGWd93VmrvNBU3P5eS04/b831n
uZ1fDVOxh6cWf2FZZsz3WS0ENPM2OVGcDg5dLKd3dl811qrM/Ay2cCmGLdbB6GDVadA99opT/Qpq
BKukCr2v+0YoDbS5Vsr/dqi7P0d4VG0bpFvukC32Xa34GuRbWVKduwha3y5sQHovJBCX4ZYZ8F4B
O06EJ+adb1k8yG2Fi0pyMuIh+llDzXqskW9TXR1pjI2UKMlaaegrQAkO3HLU1PvbS3jlS4H4QkuF
igQ48jnpw6k9kftynp4KWwu+liipfQkkbFMxKES3yC+shZKSeuW8qOgyWGwY0sLqfMuaJE4wqVey
Ez306lGoVnyHBUaLuuU4tjjE6fmz4/jBa6laaeN67SBLqwyppm8xrNUvCWJLL8NY9Q3acDps49Eq
j1TqxzXQe2edGGa9Bq8ofaOFGTduLpImXvXG6N1Vmpq+aBDEVtYwokGaalxvYVrqj3Ec8JC6vazq
lOXOTubU/eP1CxmZFtnsU+wlB6nWQk1PDjBkPGqwlcU2wKzyzK0N0f0CKuWgtR8jokObTvM3GGfH
xf3E29e2WLXY9Spti/C3GAvphzMGerWFl6Ybbl9Q8phwMkPoJnxme9A6aEVZamA+FWqSSavbM5m7
nIAOxWaByw+IBXAZGpvnJ7SkxVPl2ICT9YRVtdHVCGHGAoGTlUrN+G6wnHxYwx03vtDKiDAooFdx
j2St9+pjA/5NdHr3psn0zta4UicInaajuVVlKVmh3PLf7R87+5omUWUdcDJGXFDaQLzMXgAgwMGW
lrq3BzNRbunbK2uKBTmqpxoMLVFa6xaVrR1qJAjAtnW4uT387GN6H55SByxk7EcgPs+WKvISAebf
QaVTi7NdnmF/EyspBQ/bDkjVg09qFFAkpafNd4tkEHU9UsTzrSlGz6oyaUz2A9JCJhCuTjW/Y7hs
y5NYsiX+pKgjQzpMokXm8yw3fR96om5xzdKG5L01H3qIvbz2E5T8U/kLUhZpuNJAYBwkxMaiVaa3
//lyMCws8Bwa8j4srx7edgAVFYDh58Omnm3Sdx1o4cvyoLlaF+c7e8ii70HeZeg+QWTcmZXFYTNq
1f4Spy00uYKOwx+zQmH79nZf/TV8GCBDABeb8rxcbaiYSU0Q8X0tpAD7kz71Nm2TaK+6hPi3i9+g
OulqOeOR9mxETO8KEa1wlB6jZyrd9UJsnYXW98WhP06BiLorqcjs+JlF17RyKqf7Ou3+haZoN2NW
obyVexpFIzpMrqWixykHKhJZt5diCmcfwt00NHz0iTpJAW5KYs/3JcHTT64QqttLAZVdM1DywSU6
/Na5XQ63h3ovG87HokeAQAalZZDds2kiRZU1bRPneA0E6b2mJbDus0SE3yDI5fmr6Kv859AZkv3S
tGZ90CQtR4oKN5ydQ9SCQVDUiv9DqqkHP+jUJ9Q1iMDccMErl/86s7UOjRbEylZG9GJ4uf3jr60T
yTB1ePIl7twpgH14QiflWLdhLIp9NyjDqyj9YzRUzZPmmd5C3L46EikwKYXNU26eAqN6XNpS5hd7
X5LV7Wj6FqK4vOk2aeF38fb2tK6cPEIQsyIQwAeag5Yc+Jq9pynFHiN68MUI3HX9PW4f/pdOqhSU
tFstfUGdQEe1ZEztbuHgX5krpgzU+alv2+ZlnV+ORupqcbGvyzR6boLU/CpG0f1U5E67++xMGUgh
3+VGAxcxxxtKedXqYsjaPZk9Gsg17qJSJhn3pBfJkySZwRNV/UOj+kuV59kDEQgnqFE+MgdCDL3i
OaetzFrZ8hAORV7YDh/TxsLqbXrBLyzlRVyn3AuxjzIa4XUSlzg/oLUdmqEqV81+tBJl09eSigZ8
Ne5kaZBWdVWJu94vT7fX9OLWnkjANMRs2HGYuc0bJiZvbKswjWJfqeDEV3adlJscddZXucftEWmz
3PqaF5WBkrTnIx0WV0n99/ZPuDJt0GgQu3g1TrZos3tFILUZqFB+7unEWMhkdwW29uo4PkR2h4lL
TmXKTZqsXThNl5tqUleyIKcopFkXPAU5iyOjQw9sn+NwH7hKK8XftBqh+duzu7yoODskcJSdqT9P
PKPzXZXCAqQU5t77wMG45tDBVEDqCyxLfqxGR+ndIYxClLqdUJHuY1vN6m2Hgpnv2thK5/Vd0eDo
+/32j7rc9clmagKng052EB84/00VUMYWxb92nzQU9ChdltiL63F/T5TJNNdz+vifF3ndBjeb4l6r
MSC5/QMuF58fMCFdJiYlftHzRWnQ5W2MpNsrsq/91QZJa1wp0cdPf1FUhsHlTZWkCfs9JY0fQ77Z
VYMorHbfIoD5M9GSI7UdewPusniETNfdTQKvi5nJdGDPLkkasODMyUmAulCRmE0uLGokYU0VNzoa
wg8291y9YjPkxlXKSZcS2GX3WlAnt1em8If6AYv5cpthSDas0eag0tlzXMMvRigF4Al5v/DySHpj
pRldRKoXC2GtUwXW5QpdVPQZIXZ7eBTg6q2Thgk8Qi2rgjcXR2Cn+rRWHmpFzjxsOHu7Td1g9JJn
yLFB8RLbIPhoDwxgt622bl59x8z4V6FEVrwgLFyhqUrFU3/VzVxqnvmg7LssHGLll4L7g/NvbBXB
I0/SoBE1YduZjxPvTHGr3qxMt1UozfO6DODGoshZc8ikvD4hzVEcvaJxin1p5NobxBUBZzPNykF1
iQ9KtkY6wDRWRYldIW3eJtkVfVFnJ3JQ6V+GkrVzN/ltIpnJsuQuxEgkFtu0/y/Ie+dRz7BRczl7
tY3OujU6uxZAkb3yDaV9dPpQrVxcSqqDHg3xa9xS1Hf12HOwJWgFCGsPqcp+l2Pv+ypB6mK9sFjQ
3RHRfMxi8JsKTqPaeyoAND3q/8VRGJRUpCmFoG+JMcC9jtfUWyKMDp3/ytKkJ+S925cI1djyJ23f
9qsXBpm35kVZqG5rjf74XEAOKF1NrazuqwpDRHKp+IQvHvJ08co3vSTe6GVR2vdKWeNxWUYpTngi
7AIMW4wwrf5jkZAfLmlyZasmsin0YcBg//KSpMkXspv5q5TrkKgxgdPJNyARGrO6yYhMr0muWe1t
rZOPgY2tvRt6KKW6UQqgTEXGflhJUarXTwBKetVbIbgzHbCikZ8Tw/GxL/HqpseklKLsNq2Z/X0U
jIjyuCZPGkSlHa0YlwLxlAfPPsvp18IfpkMGrHJ2vcZ26FPRCMXeQl9sbWJB27qpGuUI6TcNgFar
/45UX45bVpV+EVhnQlFSlX0dV/Yv4IDjEiJuCgMXv8fmqucCgg/jzO69Fm2ctFbNCnV63OAjT0eK
cpA6ZKx8ZVi47Oal/WnP4KFx0U02dMAQZo8ECMUo+FuZ2PN5s1HcP32H6iNgShru7ddUQXq+snk0
W0mefg/6Mth6CdiohbNzZc4oRIDNIPDzZpk/XR0ejk3rCawFxWDucIFon/7H2ZntuI0s3fqJCHAe
bqmhBlXZLrtsyb4h3N1uzvOYfPr/y9o4ByVKEFENNDZ62w2EMpkZGcOKtfKmjXeZUWorpi4KAvQy
sOTQRiEOZ5Li3PfrAKMJOUbzMW/0+iVLixx19FDgGbIyqrXNUEXV6fardhHJMJlCXsEmg3WnPrB8
bqrC6cZarx9NLbJeyiQvH0CHK896mc9/FCWEPh+M7tq5ljnX2TmyTanzJ0GzEvK+BKklQ6EXXifM
A6o8lHohgrd/MWE0wIdrM/CHLnwb7q3YapsNwa34a0ygm9mKuVNiqW+irry5F/tuw1PmAMEHBUhS
sJyTn7OuJapyrENL0+ZhJmHZd5mpbDW9Vzb6NKyB8OW1XSyf4j+FcGpO1PqW1b55sMEsNJF5aAbL
2vEejH8nmd5o+xllx5KOQ5u8hBEkVM9FnsLn9MFPDtSRXeeSyGiScaTzU2aKNpo0lHUOgcUl7uFV
g3ugGQ+NZUHADs1u/sX0SkXd3zZ7ZZNdSQkJjQ5JP5O252atejLcoXf1A+oY3ibX3Lj5kREo/p1F
YaH+SGzoDW9bvAgZJdsFOD3GHGSHconuFBGiuooXaAcnFvoPt7KKvTZr+h2kI8bfSFl6iPgg/QO5
s6nfmZT6qhVU9pXvzCgWPWgGOfHfy1GgcGyBUemGdmiYRDjlU298UyBD3aLQp9yn+aQ+ZHZYP1eq
HG6+vfYLrwWejO8LFSlTM9TcFvda77ucP/S0Qyo60frIpM6veuNBBh7C6rrSjrx01VgD3QQBAvbA
nS7CR/qTY8mounbgskp6XgWOB0bTdT8ixt0W+LV75sKKPzXc+N+Q2NTHh0mfkg9v9/mvWKzZHADW
w+ihHeomCI9WaeMyK2c20KkJpvkn1MTmpsrDsGFArQjLlffq2o7D/gAIHiY7wMSLPRA59PvFxI5P
fUBHCYp/ZGd0gIS0NZx45fNeniyYMkEOgvaXSfASlB3mdq7ata0fInVMjUOvuqiYlHn4gOShHSMy
YXZ/B0o6x89ZUPbFyve+vMrU7CwdxA4fmxatvHjvchQjiUSJFql9UOYAZagQunSxFX0sPjuVE29p
ZFgr7ABXLUoYC4MGctZi4Txca+y9ktrpwSjyapchgt76qlpoL5XX2LtB0fWPf03ye0pMvMiSily+
m++WaPZwLEA36xxqjXFQYx6NfJcDZlYRTerqFWNXvibz5Yw2EOJRtFkyntuKaqF47+iHlCHHz5OR
2t9gop8f9WGu/VQtRtgJrTTellXgrKR+F6dWNpuA+RLXoFN4UcAZB8jum3yGuqwMzXavppNKZJzO
VcnYJoSGK+f24jtS+ebE4hDg2gW4sSjGquhQEdqoNStNKymlFD/AE5QeYpDjDxlkSB/dWWCOuEGa
vgyQ09xf2LObBPo7pMgOlpUo+6rmZlZe3G0ieps7rUy1Y6pE8XctG4yXDzpgLBNJGAxOSN1mc3GA
vEGxBksXzaFLOv1FtWfjcwpqcZMgdVH5t21dBHHYAmxk4XkBHpGhnx/WKMeze7HZHHoT7SQr7NLH
htccVZ0BEINGLujrSb1Wxb3yLYHdc34oGAM7MhZWw5iJnCKc9EObd1a4acdYeW1qy/s2ILGwg+ep
Xzk8l88M4BroX+id4AoYiV+42DmKXVsBv3NQAjP7ii5E0Pxtq4mjcWTtgjKfb8dm8iOwJPlPDgzp
Ab6gIPKoS8XlKgHi5dUxSIFgKyFLoRW//DXoTnG1IlccGr109mou1VBD8Tdh25q/vSzIMd9Mg4Za
Mn5XYtPPP3DZ5X3UONp8CKkh5A/6bJOcD2pQ3+ljQWUXInR33E4GTBE1DDbNqzoTziAkU5pCgERK
quT77SN34bL4RZCFMLQqqTAZcTz/RZWZActGtutQTV0I5ZCttdkmiEmRDqiEwSgIbbcbb8KoiLu7
gszbfb39Ay7PPI4Sr0UbExTNBYRb5K4IaZ5NBxOVDrDzQGQ2dDEy+36uY93cxyhNj7+YFDNWiwmL
rJxHj3k5Gu5kam/dPON87TisziJfCD/3MNTOh8zhEziHtG/B7fsKio2wxeRjGaa/p75I+10YzmUC
o1+Wet/0xIQ+lk5ADXm3XJqjrXj05WHhk0i6CslWCU4DmszF6zxpSeNCKjt+Djvhme3TVCgkjsC+
uta5d0sF0kXVyCOT0vwU2tpuDijwZv5cO3X5oHRRB4wOnzGvXd/FkWG3ODIESHgMgoYLYGYwFx4U
YB5CnRTyhD9Swm7vI+AdzbaxISQchCWeLQ1d1301CD3/YNIp7VPcfMviCccvmNhauqsa+6I/1a5R
3eVu79k8BsCO/x4KJ7zTq2HK9p7I0jT3M20sqgeYvFQBn3MwbeDBCbIVfybvyLs08O0HkZ3AFsBz
qHOtz89RkaVKECmJ8ZQhSHffMfci/AitsbXnQX7wcztMKtEpQR8AL3Lx6GadJ+w2A5vjZArqhqji
TakPE4TjbLICHevdkBelvSniuct90C7gsuqpBTZ5+8Yu/CXL5WfI3gUVhyuC6D2N7dooFfcptZC8
8nOFH+03NdwIzAkzaLli7vK4YY7eBWhMWoxMjZ7vrpdZDKZOtvvUm/q0d1OhlQ+mEiAcW0bpps7i
aesomr1VW7iYVr7sNdtM4dLfpJgDOZt8Ot9Fj3Ff59U0ZO6TQqYPOxGlK/pQwag/gIAOlfuEvM/z
o1gU3xjyhNLp9k4vfKPcaXAGELDTRiCoW7aNGQ1LBkFC+qS0MNCZjJxs8VjWflYQMWiEUO7bKF4L
B66smZkaGNElzSQxwSIc0HD4Vqp23hPpeFJvMyNBkZNGktjaZpwcwnZEEAk4+IvRjJq+crmvrZhs
F7UakJVUJhfGQ5SXgGKzYq5ptXMGL7sXSWA826p2bIto2FFBd/e3d3mJLGBc4U2SnXBENs752udf
GWWgcJpnIZ7VNDSSrUjM1v0LaKH2WlomPN2hNXiSk28Y7NdCTUV4mpqKDiV9mPhL7mbWNzRbs+wr
SDZz2mRWKCzHF5NThMfO7oOm8md11vqNp1biDv2UeW2QcXkjZWcajyC5cN6m/aSDendMm8FVSrfT
jCfE9cqd8BIt2Rhe4z33aiyUlfu4/EQUYmi1kN4wD8VmLZuKqp7PekFJ7BCiALnT2gSJdq0cH+1k
mJFUTrSv/WCtlUEuXB8LI2IC+mGiqAPM5XyFUzRnlamAdeudRAt9vdJa55XerdarGyeBJ+e1y0Gb
0ZQKJppd2RjBcrdp5VDWCsZ4eT1YtJxqln1VRFG4oOe/pPQm1BGp8z+LzvFQ7vaUed5WpTYO9l5R
xHhX1c7Y3osCnbNfkA97iNrdPq9vjfH374CcQ4MPm6iNTEHOg5z/BPhOCqSha/XJg2o03PKRqxAG
VsDPftLXjrINwjk9JEJVwwfqttr3ZmT6j26v0TLCNpYoxBkbWPnH5FMT4AJq+l+lM29gY/OCANr+
eOrvi6DWi8+Iu9nTBoN2+1qFUWTvMs1Ah5f6UWS85ME4W3fTNEwnq9L66cEJelXdJG3TD3ehlZfD
LjQjI9p0uhp+bgnxoz1I6o4/yDyoMlxjBnkO9dqgqzUNutzdDk1fdD75g4LiUA55Ij+nnWhZon5b
+TQU03SrAM9HvHMAgNzuzHHMtBdA1dNDE3rh9FkzWh0WVCaYze2InqPzMxnn+VWNQK75WpQzsHP7
e1xcCEb08NNvKRTVWGfxSKAY6kQwt0ZPcGWr2t7Sh/pzWBvKpxYpxa2V53V5TzC5VhVdpG3cPnyV
PIImU2UM9suD+u7SG3M45q1VeU+uUc+bUknbh7aQMPtCTPZLimjiBzsoWCTgo3IhHbBkQ1kc/cKD
aASiK++pLyx3G0A3/dJ31rgl4kSg+PamXkS/GIPSG9UcFgef5NLNpBPtsbapomdwb7N2n1oxaDZA
3Krhz7Q2BTU5tXS3dSI6qZDpoLTtdEJNt7EVRQd5i7OVm3+54fwikE60keUeLCeC2sCl/c0s2XPh
NtZfAnn776ToE/0kqfKldc5ae+HCrcstwO0xuk3TkEnQ8y9MtDfFzBWGz6VldAcds3tamvGjPU7W
yrt7YQrGNmbLGE+U3LtkK+em+mgIyLNs/akB0/ip1+Ppk1I3MSqqTMDc/rJLVw6ZGaU4+gakwTTj
ltHyIJqwB9BkHzIvrpVd19bebugCy/aFzfX2larzHmDihVTZjKafXiGcL7d/gdy3M/9JSCUJhqm4
cnXs5bzENDZ9VTdZ/6xGjl1uM3j3s6ewFrn4fdvQG7nj0hIEbh40fLImaC2+YB0yCJgiVU86BNp9
086G8zSNCH5sqzwwvogSLhu/FloVkcTBBrIJRz1X9ry71MB9prVt5VXrQYA/o62kkVtk/YiWo1ki
Eu4mFj16BGVt70dHvo7EFoCWH0HoGYOzEoheHH12DEJXCN4o+oF0XqxDa5qe0iyDnFRHuse+dbTP
0B5pjwF8qP/2jbKG0blij8dNDrPgaWiiLo6jNrRaoyGg8twPc7nJzCD/zUulCz818i95VdorLvzi
+FOJZgxCQpIYIyfwPT/+rZJYA+Fo9+zOcGK2sR3w1tjp/JtUtH+9fSgungtpi+cCRB93m87puS1w
MF4C+1j3rNaN/qwlk7L33CQ4aGGt79vemv7Vo0msfMALo7SjGUsA6oPbxuYiiRqd0B1RYYZ00pln
JqOgD7T1Mb3T+gp8HRAfZzOkZfrr9lIvLpq0StQGWQqlJZrT50sNRKmj+d2pz5U2gyhUrFj8BGUY
Pdw2c/H1QE4RE3FapKYRDvrcTEWPzEQqQ3t2GhcVW70w8wPxq/2ij462u23r4mRiSx5IbjOrooZ3
botJvEmNESd+nmKzeOQO6HvkYeZHK4a4CYmgovpx2+C1xcmaIcohoMhIzM4NVmpMHSwZ0MaGkUv1
Ob0Qzc8ArR5gYxnXzskbPvjMY5HS8xLwxLNBICIXN52ZW4YChZV+moPQdLdJQ3l4O3lJT7tXY/x3
rmvDgzzaan6UlZ2eAABBchzCX2H5pYduCCTCHnol4dR9NUAqVZvcZsRKZRp99KmzOcovdAmcltEY
FKH+bqecoygaJxt+EbgFebHP+gqN5iHr8x9jOrpfm8kgRlRzAf4fOe64OgKKVRCZuL3Pb9RT5yvX
5cQLw6/cTqbKFj4ggHwDPEOoPduprbYeOUTjzkhWka6JXWhEbnywUCb6TK0tRB8zDM0viVEhQ5+Y
xP50SNu8f2Quu9If0nhyKTUlljP5eZ62TKVDFeahjaHr6Y9yhD6u2DV00cenPIO6ot0ImIcbhqtj
vey/li3b95NIWIu3QdtNyoq3WziDt9EewhciCi4NHk8/P1IDVGIQljbV0c405STKfPgEiyoK8ACR
dlHQpveVFeQr+7ss+v/PKj6AiiZTYDQ8z61OegoxYGSVR1o22cNEgHw/oF59kLQBT6pRzD9SCqHI
kqnW4xRm+SYWiGrf/shXVi4fFcZXQB2ROS18bzflaqkyEnlsQNT5sFRClzi62U+jr6ZPhiG6Lc9R
sNLzlIH4u4MlF06yzD+U7ahvLwETmpmR1NZGexxKu9mN9LAZiSrFQxTp3yPRzw8Wepl+kYthxelL
13BuGIOMRzIbxfAM6z7fcQ9d7F5ry/HI5o4PXWuED3gvZTdV6u+8ctsVN3y5Tlmdk10UnUaKt+yj
gH3HKxXTcPRG4K2OzeRLLdxpWzqRsQ2NLHlpET1+Gb1+rUy3TBbYYmITjHN9qRBQljxfKYMAWjbF
nThWgTc89qiIUxM0PZp0mfZdDdR0X2VpziROTZiZKK7YtgxN3U+Kvpa3LNz1/34JQRLMEFRjqPqf
/5Jomuu8HLvpGExC/9MRcNxbRpMc27q2Vj7vMrp8syVJCkg6YR0llDi3lQ6xYmdWK47eMHnk5PE8
M/s4QJK4SWfHjfysAuVI06yIPT+2qvmvftDQmOgGGhwPUelF34myvHzTB0n92aigYdzG1WQoj2k+
5r8sC4pFP9G1wvT5pF24GfvA+n77Rl7bL0h86NDLwjag+PM1uK6oKQhY05E9pbMnKjAnqLSK6g6S
rGYlHrm8EA7FGzoHPOH0+d6mN9+lzNFQl3PH2ObRceIA7pcmSHdzPiNpOTgdyjm17o5rAxzykp1f
QtIcHhRClDcUwuISWuGQgQnttWOOuOBGN5RhS6oYCl8VqnuImki7K2ooNLtUn0PqIum0ku1cWTRA
CyrYcofhrlu86BksdjZkt/pxJLnYJbpdPuW5UP2xUu1/47gcvt7+opc+lvYmeQIkMHzQiwkkPWjq
OYJK5Kh0brCznTTftBjd2Vrj7ZWwCrduBPv7baNXF/mGDgD4Z9MwOD9GpArwJgOBOFYMq94FhZY9
5H3efbLmrtoVHKeVu3d5bAFAyJYlJxdtgYuHpPOUbGaA9xjSZzoxddS1vhH22ouYBkv7WMbMPefA
yhapPLYS37hY3DwbTZG2xtEpGi1iKsOjFDZCPdD4+H3q5GVHGhmaY1LvUDpwvuSx4nxYMsajGkF0
BMMiOAFu0fmPoFdZQSJk2EdwH1rsm5C63wngmBsrLFXh920OpYO1Sulw8ahg1mWmisEkyQ+yTCFy
BcZTixmRYzEzZ2CTF9MBRTNxmySKdXTgwjo4rS7uXGQY7z94pjxpldI6KEfC4WXOxI1WlMiYrSPk
1MkvtO6SR08EzotZ6cVujFEn+g/2QO9A10eFnXrB+Q67YnIFj7h1NBOzwG07tH/AeyTxJ3coo7sG
ddWVFV5cVVZIUEJATv0QZOMiHIJdh/EP7upxUpTxe1GVzKciHbBXtIbGT1QM3xtgaGuj5Veswnog
5yARKaH6Iu/yOy+c5vOYAQNWjiJ2vntRGGxKTeu3uUzwpfbQn1zt2jWo8sWFxQWTt9G1RoQCfyz/
/p1RyvQZKoa6cmQeIv9ddTbvoFFX34fBcb7f/o6XR1aaokYqS3Y4woUvclPVJGsalWNgx+qhGqPq
zpgi89QYCEqNpkly0w0kcTD/reH6r5qmNQzSTZL4LIf2y6HqtSmOwpMBFaH4msWt+dWzcqRlM4Zw
avhlFGuveTkjL8XI5M+Ko7rwwrIK/oYbxVnJ1+Z8k0WdyLnaJjqZSVX+6xaif5wmp35h6FW1CL7c
NZmTqwbBqzJEKEvgS8JJc/KU0av06DRFYR75gw4bCNM6P+G2LHxFzayVC3PlFElmSyxRQGaaYxGt
ZF1j5HNoeEdRxWFL3EQwsVF6xOD83MQFreznNXOolUAn+QYqXBYqBxsVR2E4Aa1PI91ZNf1LX9UD
9V5vxqz+6BOKdiK1Nup73M5LFENWuUh2BjPNTeiItft+Gsx918EpurHgQrG2dlvVD7dvypX1YZLE
iFBM4mD18/NSpXZFABuHp8rqmaE3okH51mTlNIFAqv+5bevKUYGUknEFJOyoRS3HPyIa3oYDPcKp
Sb1qSxMx/QzSLL3rRJfswVj/+Q/m2EfKpiYJ57JXojDsbwnc9qnu5wSiyKQzH/Wk6fahZs0Kc3DM
wPwXi1JdFmgGdaLF5YNHsW+0JItOmV6m3aYJ83h4bJPC0bfNXCQp0i8pUju3jV77gtRpZbrD7vJa
nn/BITKVOaXleFSSTFGfa8Q2iw3yX6LbM/lrrT3JV54OnNsb6gjGgwtsApDPNsq9PDqhpUsXkf6I
Uuwbr1fu5mSqq2cYmJ5TBEpW5kouV6lzK3iWufv0opYvs5Y3MdlzHp/cRkd6AIyrtSmbiZdaE2vX
8KotfDc4Xsp+F6VvvdRSJIjq+BQWkf4ASNnYA0fvnyGzKFdu/HVTzDOoGIOYYOHNms41hVE1LAty
7XI7laq+Q2XBfvHUoP24L2MPcdX/z5h8ut49wOpYuUqtutGpSsax9ktnEJ0f6nai3LtJsVbQvzwo
WKN7KKUSCG6W8+yNovWeYrC0yhtMselDFwKgHGFvFMzd8tMMmcihwF28fvQ6vMEo8TISsHMxV6fV
YSRbtvGJim18r2W9dwLRyCRQpJRrgulXvh4FDzItJuep7iwfh8pmgG+M9PjUs6zvXmUAPQkcScNQ
ZuZH0x3eBGrBOE88i6zln3+8WhdT3oxzdBK5YT6hK6U8Z92ob0bRrmVy15YF+schzZCqO0uSbBht
MpiElOg0R1POXWtbE63sfmzDDQ+DE604sMtnQTJwMX8B/yxUdcuDknAue91Ok1MD/8IXeyy/j5Gt
MOvRa6/x2Pdfbx+QywDt3Nwixhd2GVlwGUSnYpxBEIEozHl8xtH75bZ2/dkLmSF6bceKWa6UH7S7
bX1lscuMRokR2fPaMDnZQzxQD9AHPyB6+qKMzYzYgZmvHJtr9nCbvPDcfIq38u/f3fkiCBiC5P07
eY07HlIvUb6FrjMgPiis3w2l/7Xq21WDjO0wkCcbJssBwLLTy4LnIz4Nwgu+qZNePJd2WG06d84e
AFv3H5tUguOLYXDm0ug7wUACivx8gZ7ZG/UAJO9kUlA2/JY5dPW5F1E97opeL+Z7r69V5zDG05xs
6M+tMShfWy/cO5KvGTA5wNBz+4PidGFAn/7kVuZI87IifhJOfcwLtfyH3VjrHFy7nDBOSUyyhtnl
wGOWKbERtUF8yqpm+JqNPbUOA1Tggx3OxRrv7FVjyEWxx1SxGfk+Xxx90oHhKzU6lUrQ9p+bbqgf
9LIS1acJUOJKkf6yhAykmQkoxux4NCiJLc4qkgfaCLQ1OeX0pQJ6zvDzbaYptgAjeXPnw3+S/XIB
82z0aGz503yM/V7X0qeJRGwlML7yfMmxLMbPwFlfMkwVRZENQ1ZxcbTStj4boTfRZIsCbz8GnGwY
Q/oovqe0Bgzqtou41EphH+SUNNA2XRKgyq/y7s4GXR4bWd+lp6TQg2RbB534btpBs7Hb1DN9E7/P
/2qC8nIbl9WxGOuC2KGzvE9i7ofnTq/WgPryQ5+VUPlJoGe5uEQQssFw/pOMKneYmAqSU5FbudgM
CWUw3+Ri391e+5XbhEaoQ4uH3JtSwcJOOMGQYIE0POlmNZGgq/DIz3ObwYcimKLu69Z5uW3xynOA
VyTxoCtkQue2iNn1lOcd+vj8lIV5cBCCVin6rDPED4E+/xPXnvK1DbSWQS7YPG6bvrJYCSLEOXOX
ZZP+fFNTOyrSaYab0xiKU92qndhodlyj9KcUUGrZq775yleESpAytOS/ose36NIP6kCDFEDvSU/y
ftyVNYOkPiQcdrdyhK+sDEoySgKQopLwLZP0KdNC0IlVfqpSUw39FDTi1mxiCXO0asRF7XZt3v+a
82AAmxITGBKwgMvBvz4xrAaSr/zUxIG+bxz6waKd9T9UF8PHzizie4pv3YZOsmltZF8O+OWc7BNN
Ed9vf9YrnsOlxk/8RFYNYGBxfYdaD2fBtz1Fje4plEqTZBPD0wdyoHVOseogoWik6u621eWWA4dl
5BDPSa6rMs26uDlQj/cO1VJxjM2wvRP8Nw9J3OM7q3H446Re+FECdmkQJgl6bPgoAqGFwbkZeItY
KX01wz1MSdg9lOPcTD79lv5Jm7z4g5G9NEgmL/snMg9cMngATAtz5H/0owH3dnEfQcLwBxohpd22
6bzW2ZMf6b3Dk8bo6xH9UYAG6yq3+50PzqgMNujdqcdgTrNkSyE1b78qnhNGW6MusnnFC137elKk
SaZ5dIyXIXevu52RASI9VqLptGd0E/PsCYIM48echGJXC9GsxE3y8ywXyFNLzQcGLV72xeerh0jz
pgIdFOb5Zj+y6Wo0qlUcxoEMcVPOZPDQ8OU/qdrMd33swXZ9+8Aur4ncYTgMqD7LuInw4nyHa6uq
qqFKtCPDH1bu671ufM0tenFK6Jl/DUqffBlML/t22+rSBf7PKmkp0ySyl7K4nOHcW8PcCe2o1rVW
+FVBquWjo2Jub9u58kFNKANkEko4czGQJHIGGOIqVo+zM5rtnQX197DtIVOP7+JEV18HfbQ/qjfB
2mTvQlJiUrWAFuN8R5UuRzvaK/VjriO7sEcUkS68j+RPnDz2AQU+n6pcqfy8vdILVAlm2U8AB2hr
s6fGoqxgzHCZG/1oHJN2Lr9EqplvVfidClhm65F/jQCImwztDcKMds00MuanN/ZK8HjlvtIbf6v2
y0md5WlKjFbr07o3KQs7WbNpXTt4UCP6Wb6V2Wuj18uYQa4Y9LVLHxAYLZo+5xuNmtFUI1trHNNA
zN6jqin1tmJ6t/PSBuo+y6N00xpO+VR7zlqN8coBxj9wY0B3AM5e8gbFVe5V9KnN4yCMPt8CwE/M
ndeFa0RmVw4wTzdThm/k8WgSnK+xyPSa5MUwwQpZjYfeQRLdoVAbmKdRzMlP2mO1d3/7JF3dVjnZ
RucaR7+E0zepQis8DljaOIbirg0rQJgdUzWmHxiG8tTNXqZth8kMTtk4ryFYrjhEKK0kJJlCHN2F
hT9i/qig6TDxvMAJ+rsCtdXcTUWup3tY/sfHSRkL8dAO3vjV6kJygcSCd2flEb/iEyEMJeGg6IhL
XOZbTM5UA8BQ7cgwRZIehMKUje9kQps+NZGdapCDl+pBayI13t/e+6urp14HPwPcasxynX/uOGRm
BnpS/Vg1kZ5+UoIp37YqyrY7IxtGZxPG8SyD4KK0thb/sZwVibTT7R9x7czR/Pj/P0I//xGKDqXZ
rFX6sVa17jOoqvxnTolkZxdWi1ZCbjzctndtuxkxhj8B4gbCxsVjUDtw4YUocR11BTQGL3M2wD0n
9Neko1G4q7pshqzMjMOPdvKlA+FRIUSmcA/UfxH5dyLrXG1IjWNUNu3vCMbk4DnKVUXZx4Ax830g
EveXLge5bi/42gbz1JPQG8D/CBMXGzy24NUr0zhSZ253zMt6+wCIY+br9hzvZmtakyS6tsMOZ1mm
9W8qBecG4VGnTde05tEttfYp9cbhuXTKhNGVOnURTS6KCMQ9tas1LbirhqFyAGUoKVWX8VuKKnHh
NKVxVMZSQ15K/XsMm+GTDueJ6ldxUCItKvQoW3n2r5pFFxHwACUwLvL5enNzGjQzbIwj97T64nRN
+G3IB3o+QW0M/wapZUByBz3v2kTHtecPJIxMIvFgYErP7dYAKiFy0Ay0Wwx6a5UYrGmfhdWooKVQ
Of/FT0kiPUo1tPPp6Z+bs7osHAH8mEe7j7JjWinzF4Y33cAv9LniqjaRsSsjOlF3Hz+/PHzMAeMk
JX7s3O6sp1EJVNM8Vqgf3ylJl4Qb02t7249jr4C2IaOcs7lt89onhR2BeIonHRyn9JzvM4HCFJPV
5OZRjc1PXRXqx67ujTtSSkv2t0FlG4r4edvmtUeebJYCFNR1xOcLmwpwNCMiID6KpkjCPRC1bB90
6C6seP1rx4ZcFSAISaMcFDhfG7SA6PAODrCmWnH+oCOlZ5t5HACLmkLtphVr8lcvUg6Z4oAOo/oA
BHBxOcIA2XDNbu0js6vBQa/6Mt+WU/lcN81JqZLsTsMnuo+w/+p+HgTVivkrHxI/BLieB45K+JLs
GAgRkkZOaR9bMU32nTIEdggVojkem2Kam3vIPphdM/NYrAm2X1k4Zxb9Y7B4cC4t+0RBMjo2I+xY
tsxRsv8a2yDR487vquBfAg078cNQp8g1TiUyFVMZm+rHHZOkpKWQCQaSjGRxohLo70szV51jyQjo
3ZBr6BYqE+2NyLNmGGMnGIvopK7xMlx5cGhWSe5JAgvaOwuzmkuvD4JP51iPhhrvastIB3hwvX+V
JOx1v7JHY+UrX9trCeCSbh+pguUYnTBmlc8cO8deGcO+32RTEv1V9UkebdWhD5S9UYhWufPMuUR7
uXH014Y/WeOJuLZuitkSKyixict3YNJ1oQoYk45Jkzf+3I22r9RT1PhWEnxFITlam0heM7gInVDO
6ZRMBPZxrhyv2anIENmPAViTrQuhaeFrSajUu9te6or3IH+nTQjGEGyttygnNno7TVlR83GLqKrQ
zW5hresBOmzMsOtXRj+vuESgszSUQXvK8ZCFqzL0CbZqM7COYdqYgY/WdGz6hTtMK2WJa4sivwI2
Bh0m4JGFk4L6GNIX5riPyH7WM7QLMB++RFOFJlA8GaI5fnwPJXIDPi1J3788KKaaMXEzG9axFPDQ
PsaR67SboLJpeyZ14a6wzV3JsGSlhVEIHjPgU4tNdMwwUfHy1tEumBTaxDGYpho1zK9Njsqf5fXq
Z9cNk8dogIvu9kKvmgZrz9AW9Z4Lyhi7yCgPjLZ5nHhpwbEbavtgpmaRPOjAjZpHHYItBsojEf+j
8P8/yM8A2Jk4BXoGPipPkLkcfUFhYmjTrnOORgQpNbJDyS91qM2NqJ1mBe19+c4ApUKKg+PDS0Mw
eP6o6khyjGas6cdADZtxo5Rt9Q9cNLbYZ5lh9TtXjZmUVuuCXuztPb50AjqlH3aYMTze2eXnVfR5
ijw7tY4q9BN3UMKF+RZqMVP/JsUh7scw09Q/t01eXhdMwkbE9kq+kmXhUjPyOhytAYRunfdPoWLG
+aYmhd2oShyt9ZYvfQD4a6TYIXwFU3IRFqnezFB8FttHfSjjvzVHaO0+zLx6jV7p2j5CcgH3iUSr
EeOef8FJ7zQ7hMT9aLlzU+zT1InnbSIcxbqzjdLZpnYwrVGgXDk1gF2ohQLg5P1aVrfd3rFbK228
I/1Wo963dUlLKqkTW+J02uBQuYP7h6nfeq1Seflgkv9SbSERlmIyS44rNlHQ0QUxGpSl5W1gMg/3
Mb3NeO+2ofE7b915K0ZtjjeKGvXmFu7VdK3ZemXD3/+GZWOq1lvosMMwPhWWmn4O2y5OdmmFnurW
7WEwN8XcBR92hTLtB9kuy+4oTyy+sTu6XT/APXbiyZmjA6JAg7GpYy81fBuRcpj4kqrxE5F3P4Kk
61fc/qU3lNYh2jAhc6D0IDfkXVIRC1LmktrGSQ8s7VVQAQg2RBL2a9OZIG6mIvlCdFpCwp8bK5Hg
lRvLbSU4ovZPFmUv3JNRt3aWmbZynKjDHEyFaes8dZRvHWigu9vO4dpnlRJZRAhM+19QxmSMXc7F
lIYnuFkaH9aT8IuXBGLbz9k3ffKs19vmrlwhW/YTJCkHE7RLjWlQMCqqU6lyzIoI2Vb4fiaxy9n8
eGciiD6FfiNAooXOZK90cq84JjmzjlmoFEmLF9FX24dwNNpBdKLMLux9Ooyhc9c5sfUfNpTaLwSV
JMDUVeTveHdsBqNKyjqy4pOG/O0dj8wEJyWDWpk7D+1dbClU2G/v6bVPyJNCJ4zeqqS7ObfY5EPs
JZMRnzpGFsd9DDyguPNEY0X3zBA4zUMON/DLbZvXviOtIWJ3urlkLIvLkacBfPQmOGG9g6xhnNVp
kyvIXVhl573YvdXsWjNfExu+di0o/VIWY3fpyi+MKjPDJXrthqeIGdjJT/CGD3ps5C9tw8Di7QVe
tYW+Oyk+8DrK7OebmlCYU8AUgZnPxvqLmqrVJoBJxtuW/agWK2fm2tkk7OLrMfEBZn5RGioc2BId
CIVOqd7lv1UtLcO7LovrYvvxRYERIUZn95g9kC7v3dlso7lpjTT3jlnsDHv0wJxgY3RdaDxYYm6d
149b42jQKUDalrB5cS4NC9IETVG94+COKlSdrZTmNTu1iHdtYkT/3LZ2bQ/JY2mvszTgIPLv/4+0
89pxG9nW8BMRYA63VOrgbnU7tewbwh57mFnM6enPV70PcCxKEOF9MIDnwoMpkaxatcIf/ni2MSid
KCPTeLMY7j+jygQACEhUne5ur3PtWuAifodbETaXohuSvOWmXRa8MfSw8jsvdOIn5iTu06wBYkUA
zS16cFAIDf4IR0+tV5a/lgrQGKFipV2LyPvipapq70KLqZS3dPbc3FcMjOyg14tH0fTQ0kev2vOK
4wNmJ2mzy4um+HL7+a+dfCm1xz6VqiMX7YIwSssgIYJHXRk8BbDanlJqlg+FNWeMHTCSa+rcWDmN
VwaYAMoBSSIpAdEDYaHzr2sWGj6sQey9aeFUp09C1IHfYOtpHLBxMXETLII8dH3E1XT9kXFZ/hxY
OEafCkQgft9+AZo8jec9MrpjYIqpHygHaf6d/5aQjmtfeiJ4yzPMU/ya130HZb4MkGPQ2ge198JD
qKUthquTdVBABOcbylJtFzA0mzaZU6XbyirWWDfXrgGsmjhteLyBzFoEkbDRrZkRYAChSuTmdmyy
argvUzWG4D2F3Z2CPez97VdxdUmOOEbS7AQmgudvAnXeLtSF6byN7YysmmJU7RM/b3B3hjkapGZR
bn29veR71Fi8fUA778A7wKvUUudrlkhkFPnQ2bTRS1d7i1QPG2N2hqLtaS3XjQ/DQjd8kSh5vYni
JrV21qwPzc4OGyZ16TwGr4GnotObiqi496pgLE6G0mHrcvuXXgkU/DxJb6OWJxdY3FaxI7zAsMKA
QU6ZVL435Z23main39peVxKcFnUr31lG5lovVtkY49+tDyOT/rtMIfkuCNAuDypKNg24AuQNpzSq
PpmJXal+qqjaXeUBQ91nFaXvXeBI9WKIG/a8v/34MhD98Z3k8gzB0b1FaxEFmCWqGcMoNyTVCp5Q
ZxL4w+ldMGx6abfBGBcXlNurLV42qxGJ5BxcwgPlcPJ8V1SaIw1yhP5UirjYTF0W7RwzyveeksR3
lpuKe4/DuoXKVK8UKcvQJJeWPQsyEoOlkdg5X9rupibsoll/stsweazHKqZdEtmbNvEMxwdfkW/L
stWf2ko17uzJbX0sIZq15sniKPIrZLuIf5ggQTJaBqUiUhOzS3rzQ4DrxbHp0JEIYtKwIBXTRsfJ
a41uvbgHIG/SN5UAUBAlbO5luOk9al4xtVx+eTr/rurk2yCtddORMinPWnOTzIl7d/srX+wpwA7w
85kZAj6FN7IIcXHrKiHA6uRpEEr8GHaj/dPr7O+x5+UrrcyL1ylhFfLBYDTxapfTnckITLUe1PRp
TkWCO7IWlNXWKIbJRn0m7L7D1GzXQMXXns6QZA6STnm3yL//I4Ppyr6pGcCkT1nSFvdz2Cn48gwg
v/BUCz///ZuUZC3o4lAOwOqdr9VHbtNEiZ0+jQFaUG6oaT8M0BM/jSLu1zKma88FBwcFXnonfLvF
2RSsnoemlnI2SySBaovRiqt29+A6k5Ui79pnI4VGSI7oIyGI549lRj0hOcgzgk4pt32nPsVDkhys
BAeUXRJq7Zrp8uUxINoQcViTpp629PY1jIQEsOGjxXRPv1px4n51A7cJMLBLWk6/mNEcAPC0JkF1
GXbYoRxBUPh0pYHDyFfxx26Z1IxWpevwBb0++lFYqbnrswasMBZ37b6cJue7rXhavMkTc/7OCGD8
qmNLvbu9jxbpKFGAXwEShqEZjRrgXee/osssq5/mmBfeqeOLypu3oupXGo69el+7ovapaGZjiytN
uEG9dE2F+eJ7A2WjWy6bcXiaX4w3Zgdqs5sN09FsM9E/IntqtjsgZklloeOqZiERv7cCd+VqXRrs
yZqXaSEScawKQOQd6fzHy2/buDJrUBNHJ40r1/aLSkk/GUaFatGmqste9OQ+ESYqLb27j5o0T3sU
gQVXwlZyW9tMgZv8wv1RtH7fi8GzfMCQzvDg5FY2fXCCWDd92hjdz9tfa5m68rvf6xboryBLAC8t
GkuDU6Ld3Ffdc4yt51ZMU4eXQdQLn1TIcDeiwczQaZTgMfI05VOcCu+QeHrZbgZcTNSNaorocxu0
4coueqcVnyULbGLoFOAVUFmQLO7zbTRbrRcIpe+f+3jqMNMssizaZK1iH8Mybtsdvi31F9TFomby
3REvzra0zYYct3aTjRaX5fiaWhAnN2qse8lRGxNFW4mYFztdNgMhmoB9AjgOw/X8J8aiM4XaJumz
Oo2lu4kMHQXKzkqe8wZ3561Ihsbce0Hn4rHuBnVzsFHxWsOQXEQbmxwHX0f0KADSU+2e/wjXEgPq
AXX7bOeo53fwGn9aSaU2O9cr6FGKtN8WpjO/3d42l49OPwt5TuZfoAIuLBZaq6vrXrHbZ5BQ3X6s
gv7enpLR9luU9Z1Y3wgrT7bKVLqvpe30KzH9yupMLuCzgFwluVmyKkVgD2Onet1z6KloybaD2u0t
xxr0A50uNfwBfbx9oV4rmVj12SjlrBC7Xel3XQSad0AnmFWJEXAuRmMipDfODdA+64od7F0lIqHX
3OmX22jBptKV+tvtV35lPWk5BR4AmR7gZ4sDUTv0X2lKJceGCjv0xwmI28Yr0vJFyzPx20arJz3c
XvIyOHBDM5DiDJJB8pSL/GNyE4HEe1ccQ9Jc159EMIWKT1KpGAivdQEe17YR1Ry7MjfVXT4qdrcn
9a1L4XcArb5aOlzJD0baGTFOp2YVqeNKoJA/4TxOwP8hlZC66mi/XKRlYog8vRrio95Mef48NlMI
oKnugq8pSmJrYO3LnYeeEG+Zi4X9Rxdwcdo0BBzHoSqPnlNM2D8rQ8SfjLehVn2qWvcbqsOGjx6D
/TBVsbqmGvBuDL94WiY+VG4cO2hmy1lhneR1AiU0OgqMV49pPxrGBia4iF9GO6iAI47m1H2NgFgU
W6dLk/I56lMz8yuC+7emTqcAfTnL/UpAq8NNNwdeiG8Z5dg+U3MqkGaaLMC6bskEqxwTvG4tR+jj
wU11wRTAKshCZ4b9fqMKw3wu2OdPyF4mr7kHddzv4rh4hTOqe4fKGrp664zxPG6bCm2BXSCMLA8Z
zTdYWcJVZp7dBMqnRMR68hqFTvszwJRi/mwbCdjhMPTYOTOiD8SRKtU/Z4oTfMXhyjMe7Hmckp2T
OUH2G7RIUz6m9NONL0WswsbyjKw2tlZkhsEWLlFfPeStmQ0MBGXhAwShKvfQsq3xAYRPbT5W8A2+
jUZTxhtrdObmXsGe17jvk2Sqj2whkIhjP9PHG4SXAbpRwsaBwqmWkbK/fd6u7C7KVaQlmXUD9rxI
i1VsKKMiiY9W2w4PUy3Gzzq2eh8C2oucPrOpfitpZU2oi2pxzjbL1hq0l78AHgvIF0o4fgHQufP9
TVO743STxSAe2n2slSz6HEV5u60dFW5nk+GHFiuq+WzGZbAHKrsGeLpcn1MM1AHpAXaRtyRaZ7Uz
o0iuB/TqACLuE+GBKvNQsso2uptKnpJXz7Z5StyueupQScq2HqPOdOVmX7aUkHGh4CLG8jskWWA5
2swse5qFp8fHuJhnx8csNFY/ubXRfBiGvnF9Tc/zD9zLzqnAk/UB5YzsBOc2dD/OXP72W5aUZfJZ
C5izfLMyFM4fk6xRrDVLics7waVYk/LLZJ3MBRfhqKkQS0ExoTpq2B09THoC3TTKuZp8JeqJ1Fxb
4p/be3RJ2ZOvhkkkkwI6zdC6lmvGOWZBntcXx76ZtWGnqEPxOXabot6JXtJqs8jC7dtPtSZOvsyR
Z+QbvVCGp0FLKpwoFSNMrW+3f9P7hX8WFmWayDugGyxp88tejzUXKCsMufZSizrznssg6tqXiSJe
/xCqSTNs+waIhZ8Vphe9TtZoKU9OWk74PKmij3y9TqLsMyp4YtiobY8JiF4pbbrr66lIv+JEMZSH
Np8G7/NYdlO4EyieP9doM40fkSHNx30ZGKG6kuS8iyouHopuPvJt3Gv8sbzwjapL3a4wjRc8y+d7
dQrnf9xOFMYnRw/Cg9FWXvIWVxXn0ouG2HvwkAXI7s22a98MuxLZNsJd8INtZqb5VmdR9cEZaFcc
cInrlA9akfb5F8+K4+lj7tB93NSFk79lgR73Ky2aJTNawrHgRXCgaA1xQS9ZCpE9FImTZ91RbZCc
g8FpCJRcVSHCj/3QOLGfz4oX3eWxNeCbnnWV3wKK+zSHZmjsUiYL/Nej3ZYrJdtFrHmvz+nWMz4A
Fb0cy8ZR0ndF3o/HIheOdodkXfg8x5V4COA6bNIiy78B6I1hvzr9+Hke3Hgldbk4vfwA1gYSTVv2
Msj0QSL0wfHGo9nhk+hji2L+yu06tjaDBopAbaNh5ZEvWwQMw2SzDKAc6AlUec7juxExBDZxKTqq
sNV/qkP/MM1hspcmIX5CWe75o5uid6Y5gXhpKHSfaJ2sAWsva2X5Kxj6y1YhMyPPPP8V46hXRktR
coQShdhtV1Vmu1WKUX9QIAuFm14ptPFe7dGIFohBFY/G6Cbx7PdVboxS3wMm4KjMRvJk2W1vbpWh
gYCteRkt9MFqYG9Zk7bmwHoZ+PjV9FEhqFIxEwAXybAGCwPwyUQrtSnx7sz0/if3Rz7vRKfPz0E7
/+PwI1MAq7WzUxoFNa5kKF4VYSt/CdDlRIEHRniIrBukGvKo5y/QhC3clal8gaXp7KPE/WUiWvFZ
xdX3Oc2a0vvbXjrrvUt8Q0CBVbns6cyxpFi17nQknNfI7DfzS9m45sGN9fBT1M2WP48e58Ppaut0
O7Zf1LcSUS85p+CC6aq97+g/+iq07Gva2L19nJu+/doHaRMj+h1qzi5glPxiNNm/MbzJr7dXvTya
VFr0eRkdsDrkrvMXjKPm6JWN5QCszPPeBxWX7nvHnr/lbZM8dVX87+31LqoY2gdk9JJFJyXyl/jV
xunrZlAi6zjPYDTySh8/d23dbaRR/EoMuAx750stHm2201pxRWId7SLH6M6NakxYVFAa26iKhj3K
fPEh9fJsNxpjcoSgv8bDvEyu8IOlTUjfHtwcCcyiZREKJKUTBm7HEWXD9N7My7K5q4N6Tv3Oq+o7
ZJdBxNiJm//jdVr5rYWZkhyytjKfewZHP425T14r/KG6DWao8b5Io2lteHK57QyJq0PJnPoXFxm5
Qf7YdkqvlSM5qH4slQFxc3XstqpdD5+REUFTTFfm7BAwXxV/O2TAVUpK30khJ9pxyxGK7RljnZCg
H3EhVjeB65SbJjKdV0Gj9Y4+Q3h/e9+9M6fPkgxkAFCJBeuFXTr/k8Vzek08miVkkuNEWNUOKVmF
4QdpZmt+qQJBeYhaFZlnV7XHe60bgMO2YeMpXMjwMjY9rHplk8RW0B+wbtaOFFHj8MGYOwWDqclU
f5d67E4Hpy3au05TpwAcl6hSv3JHR+SbQFeTrdCNzNuB5BmsQ9dqeGLpcdrDoIxNN/X1vJgkscSZ
w22jK1b6anWWeYDn3yEGpSrDJ/qBdfEdVKn+1TRmhcAgeUF+H5fDfdT2U/BQAwM75eitvMZd0wUf
Bqpk4deYdyMnXQyt9fv2W708zWgBAISiO8jcAVjN+eaxmkZ0otacY8u4LNoGuRUouwIOOEPPrgvW
uE7vOsbLj8iogS4ITWjpe3S+HmgdBRi/ah21DqfVjSFMkr+UyYRfq5Z6cCqnmQ/aFHe5T/Xfi53R
E63vgaUpd1Hs6O33QeRkIImYIR3I0e+2Ay6j+bGHgRyyHKlGV6/JSdtuv6hrv5zcVoImsEvjXlm8
qbyExBMOaXsMQrB3TpXr0VafG/Po0DC1Podmp2yAZiv6v3napbuU6ZX7olVtUfl2gRr2Lgb7cahL
egUAXTvRp74KqKH7oXhCbBrdLbJPvPFwXpsuX0ZRybDGcRHhDmx4l4roYRp3doXXxpEjgQRYLCJf
LRzjoRGi9GtP8bbFWH33ehT0uUL+etJKUcrmcsA6Q6y7iE7YIblFOnTtceLifNW8IPouAKcirhyb
h3nq6q910/drJHa5jRbbDJwRCAKQmuRAy6tYaTNlRvVXHJsRI4wtEmzB1ild464cm2A7unXT3hMe
87s8FHiO3d4qlzcyFQQTAe5G+s3ucnFhCit2raw+5pDc79QKutVGdQPSVrqQpyJU0x+3F7xyA8B+
5Y6y0AUFCLvYmkgrCTufkv4oKhBV2zEQI0zuLg+R+o+GTdSXIZVCnn65veyVl0zbQ1IIcfyA9CZ/
1h8XT5tW8+xG3XB0qZOyEz8AI03HwY9vO4RN2fyqabtYT8VsFeKTE0ztSuy6uj4sGp0HZL6xzHJh
pBZkYaI7ung8pOBAsEHujAlQ7OTVQcaOs2FdKxNCGQehWOra4Ofaa5cIFb4wk0xu3/PnNwY8KTMt
7Y8JvicV4MAkdvem2wevRoHsHtqfCs3vUYlX+hpX9pfMMWkiEIwgESw+N3Mury8nj+eeAUnpQwzN
MML05KcexETTIfDWUowrwQ82D4gCOTLlGl6qmhR2alTs3uE4uk48PhSjUfxLjM+MberYafOIDn/6
K5UTxIOWecE/Q+30yrauxj7Y6Epvm4/GoKfKQSlqBffS0E5L2mOOnftInnbgRU03QYi8j+3d7T36
nhWcRwLJQ6IPRCOc+nXZphv0RBdiKuZjosXDqw4D0diW6H0xyjeC8sMYpslLFNKd3syoO0c7xSa/
3c5939aPTRTFglkoAm2+wFUF5BuWo5U/eYyEN6hNld5dCYug8enOlsZjoQk9PZWdnQ4bkY3Ov+rc
am+w3jl/MW1o72CIAZHQYQ7xcL79oJebAuIKqh3Su1FClhZ11pg5Wmk4CqoGhprc1VxKX0KKz6cc
HuiWU9GvpGOXU0+6WBw+Kd0vGaf2Ynjealhie2rdHzW3SrPZ74oxYRJsV03vG26Xd/eEQTPFc8yd
ze9RFw+PnKXI21mo3iZbvbBwHbXiSlLZtS5+1ezZ/vm370S6PREP6f3JNunigCo5yvpjY85H3Ys0
w+8wKsWTyosfesrjPUrJGO3dXvEyJLCi1Fei0AXKsWyE1WPpzYMyzMfWrBN/MDP9IRyVz4FbEqCE
2qn/FESiw+1FLz89fRIppcLtSid6SXsWbp+7NTLeR6GLaVsUqemnI3wbN1PvhtGpP99e7jJlPF9u
EX5wicGnLxjUYz+hxw77pf2OWPIpTyZ95YK5zFwkSJW2C3UtRf0yOU1dc9SyulSPZT41e6cfAmdP
68nKfjaNtFdJ9WZkqGWYaDWKOXXTTTymo/eXjE2qHPoISB9JMQJsOpcVdhfnnjNFgXV0tKmefUb1
OjDAUN01OKCtHKsr31Jm4oR2kHmEXPny/7hTzcitRIGixLHps/kAomJCidHK8MutG/uemifX9rc/
57UVuUAdcAFsIIqA8xWjoDbxMR61o1YpxcfESaODN5pjtgnzLtzOQ7OWrVzZP7IzJfXPQAABBDhf
sA4brQGtpR+Lfh7nnZlbvfuiZqaHX46uB+ZKnSoD3/kFQBoo2WdSfwXw7eKNYrmme33taUcRE2By
BeGVA26Gtb7SBL/MRiSYkOEGiYiscBboFCUqZzBDqX4cWtFttMZkDpRZwz7HunlDVaXeo0mUbPE/
pY3815+QE0JBJW2I0N9efMI+NIyxojN7TLMqhVsbB/dGAPAEa/tui8LQKmpUPsvyncKLgO9KEsNm
XXzCuKK3iIugjgdyYW7GKBkPApWMD0UWRh+0IPE2Hi7Cr3iP6E/I5HubuO6mHapcq/YJVwKuVNah
SQO2BfqJDCF/nBeK7KowsJc7ciVnn+ZaS38VZP93JmF38AstN+etpuiusnJOr21imtPoL8q220Wb
sRvKKZYKb0eGvsbBG9w+9hUZgWwjcFausatrWRAmEFimTbusmek/mSnMSfVoiar/XiVK/QnfQfDQ
vWaFKxfY1bUkjIJaF2jast8tkE2I9JHnKo18/NUHIZa21LS9+UN0Lobwtzfuta8n5TuxsFMltW2x
j7TE9OaaRuoRxRrvDqV6pNySotl7jTp/Y9YPU7Ge4y+3F732iABEgAO9b+Fl40qUZtd19awdY1Tc
XzGJUB9yvcKMkLkLA9T/YjE5xEBRgH7pcn+2jVtOAXOOo0jnpHxU0YLcGa6C0m+sZNbK67wSyunM
AI/D7weY1UXhObjdMKQJody2Em+bosWkUmh7+veqGpRthyL4XwpNybvRIt8kBJB+8AkXoWeO8sgU
SmYcHcWtttAGjAI+sZtspR6Er9WGs2dLayuw9SufEBQZnSsuSCYLy3nY5NTd0M0m8Scu9W9c25n2
g15Kc8clZ5p/i54CV4TNHxMgcLIgHeSP+SPEuFQH3jzZ9FfjOrsfiv532cC3aDMa5OzP1Fhz+Lly
KlhQSvFzJEhgF6fCcYtyjOlpHW2jVLt/eqkJd0cP0uoO7OmA7reOfei2RWV+XhHtvLY0uYeDxy74
ft7s+bPGmZUggpEYR8VRyhfAW3l6cIwpdw9g1tLvVEgDvNd8+G/yHhv5GvQSaZrQcF+8ZDtM2yIi
hh9nxU63dePk3U6L5+BpDt3qqHaZqFcaetf2kDRck/qyUmRk8agh9kqq0Rj6kbax8hJjweNsK9En
6T615zxdebFXRnK2I4+kBGsA1FjOwUathMwFf/hlrqkG3cjL7a2Tt7QNCmV+IEGL972WFv7Q5u2D
Yjhh/ByVSvhAP0X7eDsmXWLlcKwi8aKOlzQEuAjnX9k1sjCFr5y9xKHNtxZ9a5h+XIzxR1HP4yO3
SnvfJFOJzL09wBu3RmTryrH+BWySnjU2MGID7X1Nn/0yg6LHTGND6idx5paTJa0GC+dYbf0SQAVJ
/TgoSSvAan0AAEQ/WB+UTynQKj+e8HFfuffeY+N5SsPmo5qVjB9O3dLlBhBbCt/KbNn05W80mwHg
R5b1AeUZ5xBpaf6xqIt+1+qx6dtdWD8MVtKvBJrLw+fqUMsZOUmu94UkMK1xrIULd3whoUm6zRgD
gRtpj7yiFpF4vqvDTGwqVV+zbbm8NtiPNGdBMzHhgnxwvh0KZAj7xCuHlykw+t+z67X3UIIa5Qvo
fa5gywyd8K9vKgCmdK9IyjFVuOhYmlOOd1Ebucc81A5Rneq637SJgFCWux/zuQp+3N7yl4ddlpE4
iCFfxx3wfjr/iOHRHA8tYssODgOt+N33vUV/1A7eBry+P91e6vJ0YfULvof8SVq2spXPX6eZh1y2
RVo/Y3g133fmWNx3lXDSnTfkwYOZBcOxjzp1F7WpUW8q9Ce/WEYbCaTLtfgUGZP4J0410a7s8Is6
CMIF0FODoS0QF3Br5z9Lr4OqBfFSP+edXv2G3DtCdWKWIe5uP//FbpKeTdSR6JtIZfslxbj14sLU
gm56htThDgeziDgxZkuJbjVh8TucbXv//1tx8cKDxG7NCSnX5w6iRrNRXDO7C8K2+RADhznEsX64
vd5yM0nvCCZA4AvAlLOLF3dVZTcKnKY4fyoLM73nWjaehBEctSj9a2bg+1LIACOdwh+0Mc8/Wlbl
UxGWef4UOwEzLhPfYRB+mTiBocVK3G3tHxqKbtMm1ZBSuf2Yy3Ak12Z0Av2dBjdQT+187a6xRn3o
3OxpHJlJxVllwwLMXT+0mXSjVeUavwsUob/dXnWxfSTXFDCjTJbliJdodL7qOE+p2yhZeJrGxnpC
dbHb2rVbbMwE7RhO27RGXJOX3R+B/z8LgmngEmGGDkTxfEGn0VpVH9XgrcM2Iv9pFmV/Al0X3FVT
pXpPCd5x+UesBy37RUv0wdtUc7gmbbB41e+/Qc4RyC+ljMlFe53hWR/Ms/KGonYQbavCUyl9KgDp
vwbapyUQL7sKgAqFdbm7/b6XF99/1uZFc2AZqzMzO39+jbm23iN9f0rGvt+5XZhsSjWw9iIKFO/O
sVLn34ps8bkxi/qgFm2U7Ga7VlZ+xtU38MevWGz0vmmGpm+wQZwM0Qx3mVGOoGljY65f7Tgefw+z
maDSkdTmmqGlfL7l92dyxtmS07oLFlYW5JhrpYbyBsEM+/ByMo1XuNYJWx7f35XQsUhx3l82MD62
N7wIWFjyNfxxD1mxpVZ1OEQngMu1+lHVC13xRw3P2S0pT/hoNq2b/iZJHg5FWTRrkeva4UK9FVCg
tI0gQJ8v78xWSSJdhaegxhHRK/PkOBdF9S314ASQ1hX2SpJ97XBBA+HaYTppcrLPFzSUyQsH4YSY
ZgzusJ2ZJuxA0CXGtiWGMgA2FWfc9ok7JZtWQPDa0L5WqpXk+9onxlyIIaFELHH3nf+KuSo7Tcxl
eHLQPb0bDC/YGlNjbSsbkPjt43R9KQmQoqinjpJ//8cHVqyM9WcrPGnjkH6tdSmYo3uwjbS2d9YK
xWuLcdmSzEPmo8O5iNCGRoy0W1x2MfMcn+hsmtm+zKoSi3cttvS/K7rf9y7u7UC4SR6olxZvkeRh
mBu3Ct6iqtaA1aRGNO0HpQnnHdTfwdnffpPX9iqoeAr8d8LaUiNNb9oxFFJsyapQuBwcPd2mZem+
TNEQ+mEwrUn/XnuZshqS7h8IFy7ZhXTzwqxXS+XNJDH0S89BQy/rw+KzZ0bZmpvMlXPhUuJ7Ut6A
x1tOpswa+U4Ft8Q3oCrRhuecHzTAbffdXN41U+99LozY2RupMqS+K/AbXzmXVx6W3JRAJAsu/rX4
liUjNxBbTXhqtSm5a7qpfewisB/wnsgrbn/IZekrNw6L0XxnngFscGk3ZdEEoqjtFG5YURfPTqg4
v+iaFvHWdftqlw9JHW/mVKWF2s2zKjaVK0F9BWCgfls15V971skfBCoVMpyc04FPOT+kQTjmY5Zp
bK1SGw4wOWha5RFyreXYdg8a72ANj3Lte/Ot6adCOHAu3neexkrdRFZ+MvX+39DJ53xLV9czNg2x
786ZlfgYQBHaBYHh3tXG2vLXPrdU35PNOnoQ7yXLH1Ep1HNTy+IAXyYrMb5n7oCcdjSbPwoC/6/b
X/vqUrRzUQJQpQym/Ps/lrKdsGsMr05OXRwpwUZFyqfwUWsdSn9Us2qljrxyn1JjMPTWuLwZnC0u
NFMfk7GFEnHK5s6oP4rSytUXO7HL4QuNY8fbzF7f5/8EmtYcaouez+vtp70SpFzucS5U2dtlFH7+
tCVA6yDM3ORUhuYECgOp438pbs3PjtFY/T63x2gNUH31BUvknBy+0DVf5KsI4fGBUyU5mYU9jRt7
tJyMjI1x4TFIRu377Qe8tprsytn0lSUAfrFa0I61McZVin3YGOTMAqpwdo557ub6z3gYzL+/Y1D/
oVZXAYxJ+Zfz95l1OYAl1UlOwsSzzB+IksW2bcR8VzkiWoO1XH+4/1tNft0/9mqgw9vWwjg5GS0y
IK9TNdfBIxBt65fbRmtaC9cWA6UlfedQdyA9OF/MAnBv9goGw0WZBu3HMckSdzN3ONS+6hDIrZWo
e+1kSNgy1GNizgUIjc6iUKZ6ik+6YvS5b5UUTnoBXMrPDbp+h3BwPWGAWe2bX2gED+1/cTKYRbJl
JOgPadzzxy2BCYiwdNJT09TOj8aZnIOWDOlOKI3xGoOGXbtmrr5f1C6lsB+mAUv1jNa0u1gHpH0a
tFqdt16KVoGvR1E/bHK1Wp25Xl2OYQKaJ+DvuULPn68vo74tkac+2ZEBs7aptTndNKqTb1p3qFfM
h+TLWtQojDpkqwFGL12sRaI3BW1TtFmSnbxucKtHdYpn43GASrKSvV4JZx7MNEapUln8AulgOF7Y
15WRn4J8tLO9FptWMvrxUE97q1Lm+UE4mbmmsHJ1UfRhUX/UEXVYJl6DETlVL90ouzEoUEEbAQn5
SjcOzbYVqWHvNTRy1/wmr3w+7FwZqaKGxhRgWZiE6BlaeqWmJ8WqI1RqNDquZk3NHZQxhNwCrs/t
QHr1Kbmr3rWWyD4WN9Wk12M4NyI9WdU0fPOK8W4KdaPclJWWt/TUh3at2JN3z3LTMJ+jm8IXBRm0
uJs00O/JhCDOac5F8dGcibb0lGe721gVUfaJET0welXtnPzvb2VEhhFmRbOdq3E5RJ5hwLnYK2Qn
eul5tbdKhGuctMmNp2zGSn4TjboRd35YBqq7qZW8d7/eftnXvi6ACFk+eFKlX/79H4Ed7bge+RQ7
P+l5Kn65vac82b1hBxsI8ePh79dCioiCQWYgQDLP1/IU1HvjoMZgM6ysD7FWFF8ojYLAT9T2x+2l
roUBKaHBbJDxCunk+VKK2ZKKoH9/KoJQG7f51DrhDg7ZmrnAtdcHogzoFsmxQcg5X0fUtj6YrVOc
wsi1fjIsd3GW7ApkQgoMcW8/09W1JCydngh9P3NxTyC2ZePO7eUnt7GyO9R+xAv2zo7js8PW2HxX
1yJ6AgpnwnNRL4cd0nvQVLNTleKBdZ+mQ3NoC0LEAcer4vPtB7t2/HTyNHJhj224bN2iPRB5wsKi
NO0TG+8P1fJdaCrHdEDkxO/G8XdtGuP97UWvPiE4GECe5PvocJ1/OegPs+gyNn6dNuaHrM26X5NV
99PWagFAb28vdi2k0RxGGEvq++CQfb5YLlFimsrOT7Iicw51YeSTH2s1kBF11kM8wAs4+vvbi157
Qop0BmUozkoeyvmiHtLLSmxiw+qqtYj90QNPK4zJfSxDZw1PcXUtyR9HxIKegLlYi/afrQdzkJ88
a2DubcNF2wlrwFZKM6K1CeS1t/muOsijAa1dHu7YdGLXzmzkHOm853uEjrIc7HFd77S8jtwHauK/
HPzJwhxaPGjV/11ysVtcEN0lnmzFKW9QQ/kQZ0b/Hcuqutq4ldp9HCqmVLe/3tWHlLpTBGXGQ0uE
SlK1fTNkrTjZKr5cMN3H50CJtcTvMXW/n7Sk+PRfLEihRBCTIk3mYuplzc1cal4uTpET5YeBz+nb
dqxuurxuHrme5pVwdvUB/1hvsWUGK8wzMyzEaai49nhCPiKtR/M3uXfxI9NKd6W3KQ/Z8panbU+3
ESgOkMpFrJ4atkvY1OLkqHmdb2t71CHiCbdaSQ2vnQUyBKk9jqwP/z4/d+XYeV1IAwfT4a76lmmG
cteEuXhtJ+/vAJvvu1LCfUkgsNnhvjtfaW4lraboxQljwETfZQBDflRZtJoCXvtUUq9QSvth+HUx
9g6LJImJH6fEqcPXXFTBp2RuujtofR+LqjZWkqK15RYfagA2DEY1EafalQ58fV54vig0RdD//x/O
zmRHbqPp2ldEgPOwJWvoFrsltcayN4TsV+Y8z7z678n+F38XiyiiZRheyICiMpkZGcOJc9SwOphW
+wcpJ6NXYBrE6efbrUIT4mZn6VW9uDSkpfrBSiztZAZ5U381GjXd45XbOonUJGBpY1ReiLBcf7cI
UbE0jMYSjnrD+pxIfQyBXl0ZO0/cRmJLaE5wKTRKGUlZmRmnIQ3a2SguPUz4gW+rkdyfs8qszxWZ
y1NnIGbhNUFUykweVXtczltf8a311ZsnW60IV2xCo0WTX8IyDdtTniul46bQI8gHp0KD6b4L29pX
saEC3SqagysXVjQmhEeJUlymPk/GsyopY30qBnkPqrhth8yPYUHYUdeNwLrLKeiTKlwgo5Wqf51Y
GavPDuWfd1LBvF5wwQQDAbIgYl2r2ybWNJdL3HMT6jiXzlHefNAnaJ2ywvoYlWVQ/MGjw+EXoSxp
EC3W64PZVEsgkQWWF30KhtrNxqA8zGG2PDR115teZDh72LLNMwragsEFQIq0664tFrWWVnUrlRdJ
GpsPdrm0XgEw7L+FtuCZ29q+IBiWPU4qL9/9w7IVdRpvLK+ufNMVozZmaXVZ2sQ+StM4P2RSm7tp
W0TnBcHKn04VSIc/MArmVODsqW2v/QwkPlUYZW15gXMN3iOpCWy3GpmITghlDjJuvPfsUd97kjYP
rIW8OAIrQG2MVYJbpWNFpzzE4dj0Ts5Sn1r2UYDsdp6+zT19Y2f1NZ1FpiKRmAQtY31klDb+FwFB
RbBc0ZQ/xlCVP6dh1z3d39StBxd2ct4nk/ATzOD1GYphRwMyKPKHJZemcwK3nXyqtanSnmBnNeYd
t7ppToOWU1TuSVlWgQtZQ9tPjZNe4FxRpX8Qs+rTZ7k3KnNwRbc4+ev+8rY+HgxiMv0XRkDAZV0v
r9Mn3t6oK5hSaijUKUpGQFg3jrmnELvlsekPiBEwiq4wEl4bMpXaKJGwzi5WWsb/dKUaLg8lM4vF
qWIqizlAQ+sf7q9t06TI/Cj20vXWV2tb1FmTZ6fLLyhz5dEnxwBM/99QKl37IezQk/AyWNuanfhi
jTt7dausECwGU7m3OqL00GtLji0JScAlNH61CzDhE9FUrvxW9KFcDrmeZeq5H6BX/ZSNmWLBPtp0
mgHnnj5GvWuVDIudm7qN4qeZYO/7/V3ZOmHkpaC9hSAxRfDrD9F2ZtjXkA1f9CpcvhYMUQ7unGTz
Y5g7ztf7trauLH0hsEt8Beolq9NM9tsVsSZll57hz+YgR1E1flU7PQlcmUq856TJ37a95OaO3a1T
DfiNK8QCbwEWcDh0RCFc2qHpM+cHU9OdFHuKPDV7MMOtMyZCIKiLxWzrusRVTE0nJdWcX1qYtoKD
Ggfzfwgty9AIB8XfRqvM5/tburU0wTFDTQNCppuCt5WVwJXnmEMt5d30EnVLk52b0i5G776hrXMi
Lo9mCkTuDWaEF8xY0oKstEszLXIHpYn7B1ue+/bURvNo77yYmxsJTSVXFZQKoM3rY5lXA6LwJpC6
opumcww1mG8vqLO5cRdblpdE0xT8yVaahAWiSIO85eomNCnAMlmViouSIIF2XMqAbogOxv33/Z3c
XBqiXiKg40yua2tpXsFF3JH8mlIX0/7pI/RXY8hYR0/tpsg8JAD49jT0RISxTkjFZgpSfzGGsrp6
eaqV6Qx922WyUBEx5KTo3cBc2oO12DPjwPT/noDbBQ95klafqatW/9xf9dbdJw2hGEuySqa6+qCI
K+Hd6RhcZNTkYzfoZKVi2LcLGZ2qgFvJrVlD1Blb5o/7hre2G0gzCwcBjJtbxV7JjFx0QvJ/sUtJ
PhKsw4NtDp1jHmgGt99bEGzLTpCwuVYCLiQnBRXPOmaXq0obrE7KL11hjckpdRiP/SBJVd/8kpIl
gmKx6RCacqG0S/eC3G3beAKBZcMjrPa5zipjFODTy6JREQiNJLd8BEkEOsfOir8mO2o1d9BA0u10
w7YcBE0Fev5Mnt8Oqcjm3Jqz1FJxT6C4RAc8bSffNnF8XxjUSaK9EvUWgAVEF0NcAJ+4tushrqqF
3tlOE+ruzaj8MKboUR9Vqu5yP4VPkdWkfzfJEH1IZKv5oaZF+MTDlH9V+tl4uX/Cbrec95PqGZtO
558H5tpXKfFUWgugwYsUtPUp0yTLt7s8iRhDgk/TrcCUMCLgTO3n+3ZvTzZ2X0mkeW4Yj1gFNAPo
i3iw7OiiWUN1VjM9SI5cXKPzsrhfxKeu0p14dAOXKmwyNENjUAyprPyIvEwwW0EcSabdpZY7WEv2
oFIUHb87ktY0Lq0l0/owxU6bneYg/R9pQuuErppM1d6Y4q1L46eQAKDtTdPgZgDTshiuN3orviQ1
mc3CpMzvaoyX+ENeg1U+BpM5dWcJwXoyBCm3PaNLdet8/xNsHEJ+BFwLjIdQsr2lcKc0UBg5DX0r
IYKFtLvs/i203nCrtDWPVoyMASKbgNY4xPMlNkf+MAuhNidLaXdJhW6jAcHzKWhf4MkENCzu6JsO
W6UuHQSmU3RZJtuEEUOvlPxELQ9aw/vr3jQk8PY09imLr+9eOcvglpQwutQRc70QG6fxeMqsrNnD
1ewYWj8bjdqYRp3UGNKc+iGmSAFvMxQW1c6H3LpLoHZgzhPYehzK9c7ZjSynqT3FlzaFU86l0iXL
Zx0ysPFUm0z6w4oo13viryJZvH6UOTUMoTKxw1AfTJ7XRmtatVIRqvElhIAk8kHfTf84ShZ+nMpi
ys6gKqLJ1cZlOBdzbaY733Dz7LIQAgIxRWmuSW/V2OgVra4ReRz68oelRePTEHWhcZpC6kNu1kYw
dIdlYi7HhGqt7irTMJoFow628ruo5K4+3D9Vt08I+0FEpInOI/8KR/vm+Ha6nASBUyWXZDSKH5m8
NPRakKY7mjn36L6trYMF6TusqRSZcGmrqxK1ldIqS5JeOmaQpmfoYFSoyZtmcvaKP9uWhDiGECm9
BVrGcE52UcuqQt2cDxXI2e4/hCiqva7K1vYRK1O/A1rAf1e1iSRT29qSUsA9avZRnqLyL2no/p2X
2Qp3js7WkgRNMjEsF4FKyPWHygKY73Lkni/8jDE7wgrbw2tOX6DdQZ5t+XhYBRGB4cEBFrJ6bnIT
HHwBB/wljiJr/uKUYxb/gsAqTly0Gav4Y2pHQ8AQolz350Hqwk/daAZ7LD5bD/zbX7F64GVtQAoi
r5NL17Xyw2BnMBLmBM6Hbmz0D0ZmqD7Iin7YSbm2zArnIASOwBWuARsJTVyjr6LkYkVjkR7CMNQf
4eeRv4GzQpRu6eGveGJadtmjkd86SFC4gzkSBD03PYO4HxGLr9XkEoOP9wFTEr+oFkJVgt/e3IOU
b1qjjv5aggCOu4pYnWhmLn6ckgtEZdmxnifnqxNXMyW8Kf56/9JvHSe8O5gtgc+nv3R9bsuhqHWj
ShMGtSKYJBEmqDqXqdMk8cI2NFSvtTRAuFWaZrEbMvfqyUqk21/u/4qtBcNKIhISUhJw+9e/olH6
fhmYwLvYAaxLnjzFSvVS5vFoudpQon1739zW0wZFNL3r19n19SujMpPWjRlPaEWh5/dgyD/GHtWF
BJbG72C6kx1z26v7/+aE73jjxMNan5Ulz1G5NbW0OaJdZzkv1bIAryC5jfdesa1L8lpSEqhxEfNc
m8vbzlYbpQwvJmI62VOuykEL1yS6OvG5SRzpbyuoR+MYSY1Zne5v7OZKKVEA6OD9uCmd8QzOE2NR
wPUNc/yC6JJQcJGq7GAXkEzet7X5ERmDZuBQTCfcFGbnEextg62oVkYPcTXDr6tedoHpR4fImqx3
N7DFuIUMdpthYOhUVh5e0uMZejkpvCy6XkyHKDdD5yAtfbjj4Lf2kOCdcjqFCd6TlYO3xg68vdQn
l7ar409J0+Si6CKlee11qtqrO8va2kZKLyALQeAC2FpdPScf8qCvCdcn+k+IQi268UuaS+1o22Py
Y5m03bdjc4GvgEabJ5nI/Pp8ainFUBOQyKXIw+GUDZFTeVJadvCRwgZ0uH9KNo3RWBZdNR7M9SAb
sgVhCdNjdIlUrcmPEC2Ws6vCadLBlAdb1X1rm5sJhAqhOKGjtEZrmi3y9U1sRZeRFsUzEg7VswJi
8wAKJzG8WI6JFd9vkfIjyCbBeU/We72ZCtM5c9KT38ABXEDy0/1nNEH6UtT9eFTGIdrZzq0FvjG3
fpka05T6EirpS4lI1qFYJtI4ODGO5MfxfwvVhN9/sjwxC2cA0b5pUPYTg/0II/H54G/8H0C4Z2M2
kdsrenN2g8oY/sBV0x6kakywKMQvr7ezNoO4VmgsXAazUGavkur5W5t2gXMm0tce7y9uK9nhChhi
Ch8mkXXlQIWKahypWFwypZaPKjW/hwqYvW9GsiO5ttaWEHnLjrsgCfTrvumt70jxk0FiZuyJW1fH
BjG8TEZtLL3MnfZXJk1y4qLcm/q6MqGhGsrZz/v2tt4kap1sLB6GWuvKXprmrVFIE+MZlln/prTa
FYe8TIvjYJbaA+Gs8+AEjboc75vduv2UvPhHcPvezEzDzsJkm9UDpOwn9XEaKUR5jckQU5FUUr5z
NzaNkWYIqWaG7td8cZ1Vxm0oRxkotaG9MAHNDTGsoT82lt5Ppz9YGVhUMgFAM0CIrw9qJsdFlxgZ
EjkhoxIwreYvtpTRMGqN6E8Cilf8HZAZ0P3rCcd8CvNlgLHsMkl9vTxYqAb9Mquo+AypkeF2M6oJ
rjqE6t7E8+qQCigjN5CqGmeUVGcNfEoJTZ1KiqgXdYvsq6X9U9HbCCmL5WnMq3QnEl4d0f9nzeKF
FwRtQKRXD2GaSOBAjC5/NuUR1dkQQmbVndHfCY6VEjZey+jUh6U2tX7n3NwaZtaNT0iplIPPUNH1
p6yjIItTfcqfkyCaP4RJ+b1nm1tGXgLlIU4ngoAqm97X+mW11AnpagPiANsCHdO10ZwJ0sAowuI5
tO0Z6F+mOe0pi/UJr24EGtp/Y1vuvFVbCwUuBzMVbBsAcVcLHeowUBMO7jO+VzlpWes8yBqiWyHC
a5/b2cw8uOf3jK5u5etCoYphtpsUh+BtZTSMhpkhnqp4rmetPQ7xoujHMOyX5wT0x95Utc6uvSlf
UXWlvaHpdHS5KGgdrG5lW8cB0BLDOYYK+BbBmx4wnJvL017+vb4aGHLATVPopzLE47paVa0pQTbk
rXOMAghbglnXv6BEPrhC4utTZ3flzru4aY9oTfA4G2SJK3tjoirSWFnOMSkr69QWnMyCvOwIiGfy
GOjeMbf+aK/LE6++yPSpEK1Op4I/syNJdY6ZXdV/x1JXH6vOjM+Ujfdm7jc+GWg11oUWCkHbupyq
tAbDkY2OWkJeGocyVDuvULt3TppwMGiU0mQURUVwh+sOp1GPSaAVk3OckC93Q700j3qEooKqFPnJ
lCDzKplaP8PBox7vPxS368OyeCegjuDtXXNuolWYq4E5OMch0ZyTqYw9Cn7h3tTQnpXVwVdDB8xE
3zlH/Jji028zT5GJ0MD9tdyeQrEWcf7I+IAUiGPzJpFOR0WrCq1xjhDBCqnFUadiwXC/bXT9Me5a
x71vb2tVAmNEVUK009bMMky41Y2OYN6xXazkFC9ksxT31NN9K1urEvheg/YR2gNrK3IgV02Xh/ax
WWzzIWWwLnIbtbDot2szkTVYlPeuCwEgIPVg0RShdbdGncjWEvRTp6SnZbDL586c62dmoJPD/XXd
XGIiBbQwYKPBVXHkV18rTBWz01KksOpFrT3Z5A2dmiI5gv/Z46W50UMTel+4W14z+EIgRludP8ms
JKlVURRqwzr5ntElPRtOLy1erqjW33red5/x//FRa+0ocrvSCD51Zmv+DvO2R4sI5lV956yuHzvx
i5iOAMnFHsPpvlp9tWSoDQRjenKiNn/Mtbb4MBEzHWh/QClvLsqHGYrvnWR+a8vfGhVH7e0FicOy
qeCHOUFm25w6pQkOgQS8f0hQ7H7/16VyT0YNhYggL782ZTTsrhRhSo/KGA4aZE9R5e7mgmpwUuyx
/2wtzODBExIwNDfXVJN9kPaS1mcof7Qx49VkCrZJJdJuzROg+XqPBfHmSvLxRFommOrph6zp0QcU
R+YuL9ITw8nxRxmiMCaF4GBJYF845Yn1TiiRIg4LoB5WBusiT6xwRG++G5iEYNBVXoFZr1XYScfp
CK9GcahDorL7322VdApTDBIw2EIIJsBLq5uiRroaFs4QHPXCCu3vA7Oz+YORRmXzqGe0db0M5RG1
RyrdQPdnqEeUyO7/go1vSYIk4KKcHxqLq0BbVjottJJeOqrBaPwvaMxEOUy5Vn0OjLgsd5zQxpek
kMYyZcCpANBWCb0cLkwHdTKRRFpOAFyKGMWdzhLo96QfRweusmapdiCOt3vMxSAPJIABaMzQ2fXn
LLIUjiBb9PvH3PLUfOkO1aj2p4XRmM+c2f7QhU0ElUgV7ix3bVkQpbzeEtE1ZKJ+Fad1gYlQFDgX
P0fbYTkLUYm/Y0drPzKzxXQdqpet45lq3vhJGsGZ+L4vK9rfYjyath6Ti2AhrtfdJFZoBQiF+nJu
242HBGX9L6Im2nGgrbrjX8Xf9TbUfrUFCBiNdpoXyI5e24JwraWoEA1+2A5qdGwGqENgEp7rx0yL
1e7g1GmSfLHNcHzskiK0nggZnPB8f8FrJ8+PAM0EZg0HSKq6jlO1SMrS1ElGnymH8iFw1PDFSWb7
S1K1zgvAkO5k5Krz5b7R9ZHGElPv5G/icImpmeuVd/yaxaqAEkU1eM3fzGpTzDk5jDp1RylRlu5X
gRuJ3ldupyJ2bVX8qjcuyk4jTYWoefTHJlnSH8piZcZhBOxo/NRNZns90urx2/2Vrj2FsAmEBN4C
0SUmUb22KUulMahtNvuF1C72Ea6hYTggjZYqrh23455+wsbGAl0h2nvVGSPbvzY3VNQ0i9GZfSTY
zPNgdOH3VOfdHmY1qrx+TuK9EOn2/ACBppUAi6BJNLZ2xpIiO7UdxYuvLHgK11A60Fp12ymPcihL
5sPAc/Cxgxpgp8ewBjqIr0lABtqSpAec1LrXj2RCYwTxPPpdqEjf7SboezfOY0s5NEvxWbVri/Ey
gIGfgzYwk1OjR8r3QILB5RHgYLcnSHnrtYjc8BwKzOqUQdcjBM6gd2UxRJNfJ334F8PB4Ye0lH/3
Yyl95VJZnyA9Tr7wXO1VmG6diAgZRccRHhehEHP9xZekz9taqkc/mIrppMZaeAjBMf8AMaY8FVGU
vIz0tp/1YGk/SYoJv9f9A765cOC1UN3hyuCWuLYfDICGDYvPQF1r+ArFvNPAnDvAZQG/hbl4URhn
P2qtzn6DJSx/3De+cfho09EyIEIH576mu4pgy+yDicVn0SId0Z9JnxtnUpn5nofuMBpdiw6g3Oyk
9ptWSeIEWY9AvK/eiAmOIugerNGPyig+zro1+xZ6BAdVTquGondXnPGZexJga5SeOPDQdQtqa108
UTcFaEWOjA4hRWAJUPbPYgQOFFVcQtUZOZ/zYIqPQzmFJyM1Pkki8lNQojv/wYaDHeDJIo8lMbr+
2rTC8JpQ3/tSFAy/HBiuokiOqLzT4vsSRHH9pZMi53TfqAgdr99JFg6oWuQhQnhnZRQKlm5ROnvi
wW/MswQRR+VCjhn8776Zrc9KWEkbFhoCtnf1WZlLF7zTGaTc7dTgvawZQjhZkitvUmMr9LQ2VT7N
KAxXO3HAxhshyom28GcQBq+vsD5nU5DGOafYqqpTkHfB57FuvhVtXuyc3K3Lih0TLh3KtaAKrz8f
KaLcq+0w+RUCKt/aep6/q2VqP0hhpo4ny5r7T6HaOORejAzvOOyNVfLWM7IGLx2ucv0VgwWJS2q2
s6/CyO5ygUZfHZKy+aAtirKnLr7hFanO4hCYbKBmZa2eei3K7CWM29lXmkElB6m0Q6R36iMpNpCi
OP+fKtvaf+aUfNO1pPr33QfptQgOrzg0dDCQXu+ySRK/DIq1+PoQzMGJmJJ5Mjeu6iD0prl3oqdi
iHv5YAFs3eMT2fjCMOsChKFTJdSxVpFVryUMI6YTzzEiNZKLkly0POnLHINetqktNAmy03InIa2W
xEOxN2/6Kpq0uqu4RQYxyaoROV1vfK+nwZg1El/ZsQcsFY4hHUKNSeHnQo2XwhulOSsjrwYoWHgQ
nIXyY7EoSXWgAGGq0M4mUX3UBfn833KRxbWfxll56NXRkoedp2vDr0BGDEwB5W4Am+sIYhHch7Gm
Tr7cjPPF1gPds+Q6eWd/W/ht+rHMDWncO+LA1XEYjKwzlCiffUoLiXVUFjk/6hoz/sxq5Elxnoxe
3sneNo4/AyFCPJ5mHom5OCVvIl0ohqskUefFdygLocvYDMPHJbHkjwW01p+6TgkLF8xUWz+mctb9
ihsZGZH7l2DjutOxhDgEUAYViHUfQWfmXuqMROYnDEwTyWkffwvQBKxh7huy7J1VI7HHeE7iXjBY
iOWtnoiEEUDQvrnsZ2Y5P1daj2r0LIgpH4swz/fAVxsvBfmaYCl5tbZWDkOTIc4CiNV8WwvHc2Lr
05cYTuEfstbLD5M9DW7vpPNO9rL1TSEGJMQGNUhrduXSeDGnUskj2U+QzPDaxtE/tNUcuUql5keg
bxAGAjx+key4+hRodbjzCG+tGYodIX31WrxemY9GKwLIqyg+RUjr37xfrCc6Q9GHrFKU0iPCjsqD
OQupjfvnSPy9a4dCqMHloRhxW+i1JTUK02ZQfLPSxiCGx2HJ+o8NLzVsAIEtdbqnVlYc/Hff7JYf
hdOK1wPHwEu5urSTJhexKnExIynVDnDQaF/tWW48RWKWC3rx5NhMdBe1bMp2Rm624jxab1xaGowU
7NddXEOm25GM7eIPlK9irxdXp6Uu0CjWt8xJ+8RNBkbD/+rgWIqe6J0DaEyZb4dtMFDerT8m7jCN
QFo+SFTBQLSqPumFzgUaqsWPigY5zRQRMgaPIneWq/Ewj03njvLQnOGndB77BFqUoNRlt9WiPdzO
VsIHLE/QHIp6NAC2a6cG9X6Y2Aa/pJCG+tfcm9WvKZ0kr23D+CGeJ+1gSWYJ6qRvqKIv8Vx+cDrK
KMoYciPvH4+N2wBqj0QbUAGEi2vMacQLmNijyjeCGezBoDJ3xNss4wEGyOqjmsrMyBdFVO9cwo1T
CQQFL/eK4buFaEdmWdBdn/3ZkVqZkeJyHryUyk54LE27MOD0btEztIOpOiS6QtVwZ90bXp0aJD0e
mtGQ/KyzfU2ictdDiehHs6yfqmCp3cZmftTOLeX9saoQLqHdDT0aepCrG6iXUzPQ+uMNQ9vXn9uE
wTNuZOWOOLxntUXJ1G3nJM0heNC0+nz/A2/eQjAFXEOCONpaqydUKkq9lWSFL6wMsTfos/FRUdK0
dG2U5T9MUlkfGESoPhm5Too9UVt3jbpkMuz+79jacCGsSr4HpguE1fWhz+SyVoxWHHpdQWSvmOND
WM0q+vSxtLPkjXCIUg7FFEEDTlSkXpvSEKLpmYqSfZIt9aU2s/aoxorycn9BG8/YlZWVPwnrBlhG
h5XOzJSf3ZQFl8JS7ZPS2HAzKr391SqC7BGMVXPQ0OT4ed/8+uIyBcwR5S98JXHCUV8vkkgwNiZ7
mf20CZxn28rqS1pPyU95zuOEl0R1ChdWZX0nPlmvGn0r9H7ojJBWIH6xbv7k9HwaFfZNHxjlAi4d
pI7janE9n9O8q/rDbMYVhdaq/lp39tAcspTq185wzPooid8gwk8GLsimb3yWo4ytM6eK5c92MjDm
QM9UPyhNAsojS1vrnZArYk+6mTakQaAGqOSvc83MgTCaGT7LD4n4v+d5Unt5G+S+uTjjy4ywK4N0
9h7Z+zpaeDVKlZe95jOba78c2n1S6UVh+yn4I8+p7Bl0V9dZX0s9bT7Cy2m1x/ceKEafYf0FUc3n
Jdi/PlB11fLposr254CRa7nv+pdokhvf6KU2PjRSW36Fzb9Ydl6C23OM2ddhTUpuiIOuzKa9URp6
Ftl+mKjGo6L1qGoTgzovfdSrh7yYLW8OrGnPHa19BPsrwFaiLSzUCdYgmlLLTLjjHc5QZfaQzliR
4xxyU0cr5/62bhxWDNEeABqPSsA6j9WbPuhC6L793KIAA3l6f6oDQ33MGTvecQmbpgBH4BQQ67gh
fWrLWo+dMbF9Y+mj57YxVObT6sob1bDcOSxbpnjPSIzpHtqMWV4flpYhL4u5R8eveqN+VuRsPAGD
Mn6Og7Wn8LZxE1iL6P8KfAQNnmtTJIUOVPe54/dSOHxqFovrBwm3PwZh9LmtJufx/gfbOhlwgIAc
p7osUCDX9ialhOPNahQ/idMO4P+S/huo0bCzgVvHHhglTV8KUAIPe22FuR1gJkR1vm2VKIrPeduC
NLE647FimDc4a0ZQnActtvfgGeLLvE1DxMEXVHwCb/Japrs2bAUt6NA+1fxK7ZTFRT9x/qAjdfbQ
GpISeAAQ1XNuyvNTj1K35AVGvothXQd/rz8B2SLmxmDyuYG8lAVnxwlN1R/7WmdSTLfKQ5OV2anJ
pwHWJzOriBKSOHMXNaO/dP/7bu28JagPKZACgl4PB4+4g1rXQ823ohaZwKlqHoaCCxJLUfN1jiXb
bREC3kn+tg6V8Kxi0Uzjr+8L2BuJclak+Bq08YeYtt0/cVfWf91f2k2sx84i+UVp2RCoWYK+648r
F6UdAZtX/aJwkg8FTZqj2bUIqkmdeqTHbgFtk6qPdYgIe9bNS3loY2ePSHljgxFD1NlizhjsUMJ3
vKnZqAa0ZUvuKP5k6IMeHpHPbnUPApNc8fJJm9LuONC/ClWPiTfuiHd/EzZOFwrh1IVpfhvmzchV
rA39YLay7vdjGD7Hua18C8vOOkXQVXXevEz5b80qpINt93tV6Q1XRU1BFPfxiuJDXK+c96Rs57TW
/ThmYOABurre8FpmbC5aOxlVdKy7UVbDHVey4Yuhg+Gbg43BrL1C/wRh7cgjPEX+BE3XMTCW9gtz
DjaD0Jr5cH9vN5wHeQy5jBj8FMX36wVCpxBWY1WpvqQlRXnqGnU0D0MTVroBwBZ6Si8ioTA+jbpU
xF9rhKAfi7FyqvffJvhD+LhsNR96vc8ISTRER46KNLKTOW4X69nRtip92TlKG98Twgy+JKqnEM2v
r5M9j6rd6rHmd7ET/ldSkGrcxajbY9jao9tHw95A8cbVEeB+Sp6041jA6gAtNvxIpVpo/jDKy69s
TGkDtstLPFT2GXTx+LQkTr5TjttaJPdF5hkXhtd4J10dekSBI83PWvS07XHQwRuBiVWMXj+SGO+B
wDft0eDlBJGAU/+4PkOwqhG9DlClxokeH6xAnxjGagoPIs7sTADTP94/sxv+gOIG48KYo5LsiN/z
xh2lvARJv1SmnwWDCq0NNWNn+iuKZrs/IjqtTOFD0Do0eyGfj6TpNMKcuQfy3HDMVP3BVzlM1Qoi
M/Hh3/wIyEjKKuoy07dr3a4qT8mVqPo+5r1FiNHEtfxkJMkwqMfOSYrkG8ARmPy8Vi3n3s2CKd0L
f283hbQJCTCSGyq/N/SWk4PKxlzWpl9QYc+OYdn2H9LEGLxQ09OXFBamF7tNnR+2VvzB849t4N00
lKiIAJi/3oupXxgR4nD5Y7YMk8dbAutj2Jep5UlyWQ1Po93Fg0f5TQndFqz77/sH4tZfctghw+Fl
ou8Ni9e1/UXtSiWWAt1H2rzU3aXIx/OQL2bi1rKW7biqW48pjAmuSYCw4CnEj3n74ROVl1AvDN8q
4vloJ1FxSuvIetDG9isBSPDDQV3pU6FFxXnph6TY8WCb5tljyp26KEGt9jru48pAXEn3sTc/gUij
k5YbwZcxUuB6mIPqY9QDhz2MVlZNrt6SAe+EW5u7DUmx2AU89bo35cAcZlmLxXNs5Pm3Wc6+tOpY
PsbTtHfRtywxXErkA3SF6H110ZulTGozsnVfqqMHlByCf8NYl0/6MEXvrOiBDxGICQgoER/hy65c
GM9tXcAnZABVcdrqM6xLMGmdQA3k0+c86tFqPCBP7FzAc8qhv8DB++P9R1ho9PD4Icl4Iw0Wa2mS
GbVp+Okyan6TtdMXOap7N6rRdbpv6jZyFQ0/EN30TITsnPj/bw5wOqdaXw6O4UshHGgec95At0NT
K37et3P7LEB8SUWHujiv+s2bviBUUelVbfnky9FJsacXOJmHyE0DWXPLYNkrZG2dFmpnkA7g/qjw
rC5mWPEW1j32An2YJ7dtNbKhbiyKB3Moqp0DI67ZddLF4hgKFkUAHqF151SqK6smzbH80s7MHwyr
j43voKqS/2+2J735pY7wlrtN0JX6zuu3ta04GAgYRSOdUv/157O7fjTkNDD9RqZl7tqGZHtVaRie
lGdJ6ipl+s/7vyOhEv6VVil3RLw8b85Lo9WqXYa26UNUVHUPdqZljat3WfhpaHJnPDIutVcr29pd
gDUcH8Ju4EyrTznUg60Ns2QS8Vf153oohofIqs1PRtVnD0scyq2X2XGxVxfcekPxZ8TDGlHFjWAM
fjOFCpETZDV65XWgIklYmzR7SuIqOShGN8/HES6ar1Mvv1P4gWebigjYSFQ7CN14TK93WS1R6Iqj
2PaLQOq9aMmkY5xH8WmsZfTz0CbcOUYbt4XxCRtWAsGKexP496pctoqMPYq6xiMAPfsJVqb871Gz
lZ3q7saJ5fQIhkCxszfVXWsiidXrmcqcWWlHNOqgRQwYCVkyZWC6yNobLNq0R+WR8AyuMVpS11uZ
DFlgWgEFyKIbauaSJefjYubVP4s8tx/zdNiDhW9tJbVkmMk0JnIYdbu2F1sDstzSbAKwLIpDO3W8
xgnAz0mbpT14/02rkfBO0B2K2J5xOjivr40lRV61mRM6PiTmxqnLY+lbbieIrxb1fEqMpvF0SUvx
stY8HBR4P0PXCgzlJ0VZbQc2dXtd+Cmi4yeYmWi/rByDGRNj0wdxeK6gt2X4KPpZzIYyHJe4yx5N
ZdZ+6Hodlic4E4pf953SmudYhLkMdYHCRyACjKm2esXUxg5VZGcdP1tUmRHbomjd0XLaX60cD5k7
6fnwqDt5f5SCUupdo7RQEjScTs8Osz7YPwu0fj5Zkr13j3FTK+8FwxrBMKmJuFv0rNb5UFhXVVo2
EpyUigpAqDTSVPMoj3WdF6VhrrlmHsjZYZhn66UxSPTdrpknuoc9sniwSo1NcTAkp/+OsLChHfsI
HIDnaD15lZaVRnMwFWigAvg8jOMCNZXmTZOOIC90VNOBuZN5+SH6PA9KlUmSNxpBos0erKTq1HlJ
4kBc4+W6mim9N0EiFfbuuORKsnhDO8TBx2SRi/Qn3a5m+BXKah2fCpMY4YH5lSRq3SoxjeCH1KtN
p7pBrlkT9DCZNIeo8NhNM/4eSrHJD+Y8jJIJ72o+/h9H17EcN65Fv4hVzGHL0EnRkkeWvWE5AiAJ
IhAgAXz9O/02U1Nlz6jFJnDDScfXPNeEPTmkP9sTRfxz/B2rBeFfJBMru2Yyj5rP4qBVfRljDxCx
3VACkr1t1D5uZwFtIMKn0kAafpN62WFSPZGSXMtY5siP2esxeS1qBcbrLO0uO8qIK0NbQJcl4RgY
4wmFeQ5/LYv9YtskD5O8ep1Cu9X4WrPzRg7FH30t9/yFEhj6PyBTOWfnNN+WGjbRKdy3Wkid+UXJ
Jl6uKxSn7j9QMxzv1mTR45A2vsxh5qf9fGE1Vr1DhgAM38LtoShOkd7GekC0QsI7wD9EIaGFpNuX
wyZp+AMDoTR7io4C8c2QAS9I12oKz/Vz5CCta/caeOSrLUsa/hSRntmpRmQJfTIWuQknN0ex+VKR
dQnnuYQ/cw8p/11NlXCICB7AbtuJu4L+GppOL4urP5HIKNxfwNougeN6icnwtpRwAP6NgIRVyP4w
h2fFcEBvnXdCIRx2a5MsqGVpa7oSytsqU5lNOweM7e6QLKDZ+i+1sLVDQvMYGfHULF6OPXLDDDPt
kgkSTXAqgrPVYyhXwGuRcOa4pBAN4a+FhQnJOiBCJWVPYzCVfmIRJGgINC19tiQ9U2sSLg54FiKY
Nfig0TPJ7oB71xio22mHZoGpb1CSKX5LYLITnbAut2oZmiXa83PlpxSm/TKDjTN8uPOmNkebeHXQ
AxrhAGZdzzUOKW/XbZTlbW0qiIkDQBJxhQH+1rwmkmVT2SUWAbrP+0jI9oeMYWYdvD2mLRloye22
dYjGBuknb1Q5w215jHAxNceBR9wBl6AwXE4EBV7X2yIk61BMwYVhjcBIbZ2NmupnBDeiOz8xEU96
95Nox2Q2TXuXG/GPeYucHYyU8L1pMOdiwc21nD+wk6kj2KePRp6CAriXdllKy/S5AsQZ+nHf8vTR
FqUqrr6uMEr1iwCB5Jz6kasfIwdIcFt5WYf3Y9mVo13kN5u00xFm8kcybUHriZORNehnJxWHuEuj
uNzOkN+vYD1FlUB6TQghHnFX1ZbIyxSryl4hDZuWJxdvqX/dCr9tB9iuZGwenCZFaLmYqvzPLFJE
h7fxdOxTy7ImutNR9yoe/4w5j/zPTAqpP+D86eRNw9ZwfiOMwM8FUhwCry1snXLs3WH/1aom5M3r
qGMb3ygUleFhisotTa9U+GqU7SYAHvQpMXDYOPGiBF8C5sW8/EEzFZHfzO66AEMI0OVAUzvZ8yxl
rE6p3VNyw5er5W8Jqwn9hKzdyMdtmc8xzgI8kOjxy5J1DidIw+ppaRNb7PuFHDCkQJmpTfIb+/2Y
kBZmj7F/i0aNv5TVbJwvOvXwt5uxrSMvclN2f06oivZrLDfuPvCCVGWXHU7ZrtT5Js97mTh1oeke
04s3Mllu06rd/suLqprCgzYE0FO5L8l0NUYcyLH1TO64pGQEQCglmiU/dxAYtutUq9WenIlH93OV
KChdDTISvFVLUd8tMDOi70bVh6y37SM0IofN76hyKDdiQvP4B2Shsrit1HtvTouD2dQnPKBg/3DU
KArJCWWH23Mjy0ZuCNuCHnKgEFyYqpNhmkQ3jcchL6iBSn2FMYbYPsGUi70YSgtX4x/O4/VBsXDb
WmHIAX9JvqSIs/fXuQYF7bkqKXabkN/DQhy4r1ubDlaipbjy2LLoip9dle/h8Af7jxKc6muMCdVd
ZJQyUMyLQnjWLnnDHndTjgaT6VYvP4syKo8HCxzkbphrZl98AAGYl0+/yKNMkSaLM3PhBagKAkVz
3pLzrApvj9Zjp12eLSg/5g075lz06NgFdpNaFrKULWhqmFYaBaLgq8deex3WqQbxoOUFFzVyRwVD
WJJEF/2kJuSCD/NeR5lpwVgmrOeQXEfdGtXlZlvj0Ia2FsYi4kK91SgWCvTdDt9tCgsOzvLyQpAk
Etp7Ekrz0KyxoMMM1zH6vShF429Z6XR+DC7j1XED8b1uvtttj9gb2ZvUwvx0szq7aF2NTes2A0VR
u6hSpqqPcU4R3Y6ciP9sDMbwow35GJ33sDJGBzCGWSXhE1my8HPeDrn827SK8QkFNt3NK2JhVPgQ
E83nqZOYmEPnc47kt87lBt8pMswa9xJMk/kTckiALv3KorCrvEOddOP7CNuCE2JQlAG9bHP0vEKX
mD4T5ql4AHYGgWsPzccIn57k/kQWMCj/4FZa3WAEX3r4GkCU6dMA3+g1hEW9TirCV+UPJBd2oNfE
RRvJpvi30Jm9V1rTHZUbcUg3a/cN/Rlx9mF2fvyt2AYUPkJqnho8rSLZIYu4+F5Mdc2epVzr+bxs
tV7Pdp3RgMfwwIDOGR4+Jwg7Eetn5ZhiH4oA1gaf1Sbr86HHosJPA9357MU2Jq3czf6H1RbeznVN
2A+djeRDZz4GrZFUe3Ji3C7vWUbG4sUt4ZgGkEAsXHVmE4vmDLFLPp+sr5R9dDPX5JJEFsxNxVBG
b3xZj3eXZaN7VaqOmu/jOieshWa4fMuxQI7eInhJHr8VRzhGIpI969D2ja8+FPg6XbYXyUMcc/tn
hgBu7pZc5u+bEdkrApBD3jZr2qgHeAjOvb8Lga6xiOHMIStnpp4npkQnDGdMtHYIiHSdJz4RZ9y2
pLjIdHM5QmGz7V0CBWAoCnhMf7XIle6qBO6yfV2OlvQil/R93PFCdkkV8XcmlPwz17UZz2ljhf8R
eJUtf3yAy2fnq7nE20xlErse9p9I7KEHkMsfaDBt8yWalTg+TAqHOTB3ieOXANscWGXyaOKP6JMk
NtnbjGZGo5gr9Oujqr6gvLH4dgCczPum9rltYedbxyeG1zXwNiNT9W8EdwvDWYPx8EzAXZFnNaFb
7g4vxhmcgD23r6kGhPhoE3kcn3kE2KqVwh7rgPgJ0lxmAdAATVQg5DzZkmRFr3ha4vUpMlcNJqcV
grM8AnqaBNfg477bmJ2TnEQlQ3vXlKK1exG/LfPi/k7xyve+wCf5OmdRYwaUsDxty3rf/UsYfdJg
isrRJiB1PfiG9QHmBrIrFqXmfvY7/O0BL3PaTypB7nRUk0peBPTlzXeUT14ME6pUdAaY5sLYhjjW
UX8ICMKAVdd8Pc9ZvY3PVM8Z+TZXulqHQ8Zbdp6OPBadp0WhT3CtYcfT5rUFoiTXTfzE1sQuQ1TN
KHEkw3X2XU1BpNc7B5BBpHC45kKyIxPfsnwvz0hv1qD+8Mxb3vLZzXRojpIdr5gsqqPPzFxPoGqq
JFxTCeEopkVYJs/jQyzqieBYZ1N1ww0Cqmtb6FqX3TQreyKg8u99eTRc4ommBth36vjYI0/nqDpI
7ag6Bwi1TJvXZObfhI6z/cTjTIa+ss76fq7FiLQbxM7EV4fkuHJIFw3/zknOkCNmc0H813DoKkaq
3SJ8two4gcc4QmixyAVzlXfma8AWFUQKMLSbA9TeLTHcttFUkoU9FKOrEvUa7RlK7dEhLTFJsZgv
gUcsex3fKrMkeT8qtdUOIzElFRpYyM4fVdgT+HHhKoL7X+7kX2bmTEEwmHr/VHLY0T9jdl7zXxTf
KO8tvP7xvu2JwQxHcvyorVlBM02cLd/9CPZpP1mLIcjBfuuzBkkeZ09H2afPM+auiRoXgDUpPbJr
QqzRN5kijr6jtZ/XlsVb8w7Hw+I/xH77HwV62bh1aoep5Gq9rKFNSfwy4BRnuptLT+qfyIyLpy6y
wFygSF0CvMTlnF2zsORfOOYtLEq2pFFXv0aICFPJmpUtjEN83UstNtMyF8FudKwbx/vIeVd3Qor9
xc4JaEIJdWA2LNOYmodZ5B73ASRi7YT95NT7JNO0Ffdg34tjM8k6KmT+iY1Hw06C1SbrCJer6hSs
deQwBQkOV1bTKkdo7UzXdq156RHnx1HmAodOdtvWuGzz1NT/mn0j31cKO/G2ymn5L9YN+VWGKvDu
mGBFlTVaJvij0T8V0Z2ZEC/FXqHnaKZokE1OljaVpPg8AAj/o27ne0eR0uG7stn5jxkp7rSTDNdA
D9K4wPQjp3W8him2yH4VYBCn2cIKMD6xUelNztDtIxs+T9oMXgu/Chcdqp0BMrtWweHia6kxnLQs
deU0uHmpIjDkqmXuDqhHobk97Cz7KDJbhLu0sl/Wg+umG7HFeIx2mN+1O7fJNqjcEzijo8mM2mzz
d6Pv3I+2E6nmrOXBrknHMJzQ7hC6qVr4K9KX1cVetyWMCMN5xwzyUs70TjkfC7efIK5HbDX6AvOI
tCuob11uwyeEwJj7jlEFbAeUg8E1gU3IV5tOQnRHlc+/MZ4JqIQj7fXF3c/e446EjaRLFGOIQ9sb
KIkbvyWvdRZm2CPEzf4a5flse+Y9AtZX0KUeD7jRPEE2sWBYxQUJ00KyyX/pNpXxMCIeSsJaKRJn
w3FH92BLTVtXwfsfxdLBXbVdCMbiNnINkNPQrPBU3Uqd/osYYpa7ZIONSoe3bNHdDo/XtxyfLBnA
9SJ0MLF3oafMw1JvxtKiamdm+Ve5pu5oaydRHeiGhr4nJUt+8yx2e29Fkkz9hMUjPguZSpRmEKle
beaQlrWWEf0pUrPOkPXOcdRioAXbvbDL0aOjNOQUMJw8gWqFLSjsbQsMdA6KhwHmVeUOl9YZkpG6
MuW3Q2DINjVxBHNvaT6Ak69FmxUhS3E7h8zBKy8Gv/KYQA0c3QarsmYz+IKnrUaDUweKmSDJJjvi
Gd87uBQJArQXpvxTRXeJKk8969K5Ukjo8Dg3cfIx062+T7bFL8mm5Ieb66NvtIetTjyu07PdsWzB
bTLWXxXxmp10VqLgUjB+VKvAu8EORITsE2alyQIpRSExlmN3cMExWzNclCrh7XZsLmunTOVVv6bB
E/y/Dz7AnElC5Z/Bqa4FcYkefRKIWPB0UCbazSXJCB0cz6HpXX2JHrRC4sSdUF8e7ajmHTpUkuyq
reSUEhgICs77ZK3j55JtJkZxjmEOCcp0k3aknJo/eSYYtGy4+D5ZSgvWlmMFz8VK7+IL+h8Du+oM
6Z6tL5FJ3KboBo4vIC+OIAh4fCyFk6u6zGQLXESNj9D0SKmOrmKLy1/KEYxePJEkPUHdjw1XwuNi
7Au2sl/oGFIob5SN/hxim4vBLbp8X1GUeScslZiv45r+iycjzID1k//BU2FFzy2mttZQKNO6gOyT
7R3EZcJfaGXc9iziTN2qvWTvbNK1bQVNpieLIr2eQg2a720xCh9ytVUigC7YUQ5k5SNiNg8zdZOT
S4HmPgPymKOPv8xYJlYdDNehw4MgvBxbvFtBdBwLCXoCnW0Rpxx7J3/C/hBDi0Dwaoscz4C6LvaR
djnsok1HCmh4BzQXenpYsGdmQwxEpfka72HEXrM8FgyKsGH2R8TqQcHvEjO/NHweUhtPX0oW5fE1
xYk5OghjV/t7iWIwo8Wic/uYKKz4r6OFBuEysoCQ0Aa9gOwReavfZRYmrF3g0gSSxZoqbIUxJZtO
+a3CjC7T/MkDTU9at8LjAVzrskjPxG3IgvC7pfgrpsrJFb2Ii7uaR8G1cQaHjA6AKbCmZEV40kU6
OMR1NSug0zE0x58u9tgl0oYOz5+iKKym3/McJzhFxFV8iSeQAJmW5XyGFfo0AQYB56iD5DFuOkzk
O2sBsNPtzJVdMX41+ig+q2Kq9lO1YR/ULcZOvMU61JjfkrkCgEKE2bObSF3xfq0LeGi2oV5ZjRcg
Fsl9Hfz/psmGrwEzzfylDunxAfoak52UJX7UahCD8UQnbNfPK7HRu8GGN22V5poBgdpFJbo9RAnE
WGIs/+WpRIFb4f7CW8UajMArkq5x7kHtiYYDU5HrQrqlV9kYpc4raBcfBJxL3u0Ecm6VFiKcxsLq
Dz03s2k93rSpXzDvcXiPANAZUOmxMszERqshr3j1wpH3ggNMDxOf5nLBbYfrXg5Vw6K5A7Tg31IV
1Z8xierpVpNgk9dUKY7+JkXzNkCdvOkWVUVlT/etrUIAoA/hWoGQ9cag2dj6Y6OgjM4ch/KUhB12
4zjS9ugaitn3ChHK+KpiQ9RgZZG8oeY2pB95vH5uhy1UG+62LQ8MCaD5gO0qRp/myLK3BdtS1kok
BP+aKyRmIL8GlwAE1FZiHcEI/pBImmadLXN1Rd5isB3Juf2H7z76a22zynZGP/APfpcYblYxhaWN
de6ARSjC7r5RwBBOzbSQaTDz3pBhWg9Rd0u1Lb9FFuQ2SDieoP4Gvz8LU2S/8vvg024B48MZwwAn
AIoXcVtrzNq9r2k69ofc7XfGRfmzBB74b0yY+EmaCI6A4xjppI1DnroBxQVd1bRxLMM2DkOWxxmJ
SwMiAjfRz9gH4HfGVNfKYvYvy75p3pnJF1/w3VYehzlfP3JViRmOJ/TubEv34oNj2Em6Wgabo30t
K9vhs3FxIvO6Y2+41ShfI0w61lbkgbrB4oZ+up/K/2CANequhtqMDyOgjHAqseh5V666uyQUx38a
KUKuZzMP6uJTZ9/BY1lpn2sTXtWGCjfUq7DhgWEp7AeMWfi6GAwcmo7vEaCgFPl4BI99z6euhBOC
7syosqOTWJGsg0aWj2kbCyZZW7iFYlSDQTGeM11L1gWTh2du73Qvjt7X4UudGoVVwcaqvtKq7qdl
h+lOCQPGE3YJKTnl8eZ+J6jp5UA8J9cdNmFzvzqAIwDmNnjiHCPF9mPKBT3ZfMUTXOFbK1qhGH23
osROHe/u+ikS59ArHeUxdxwmj7I1VqyvQTGlenh6T/8Bao9ZB5Q7/B13DEY9WRZddHJm9bsTSlVn
FdT4oxHRcjsibewjKXN6ZQXdSrT3yfHfVBwm7SYwKxygJbP6HroipG8bRqfrHFTVnOoRBs1dAeQo
wmRn6A27lsO0BaDbm8rBEW9THfTR7fFGH8BCmnW3lOko+xmF5oZpWMFxoNKZ6fmGzJdOexBOOqUl
vW/dGhFDQ4C9JlaouwCUO5N7SIgK5L8NRk1qKIA7oR9DJzb1M4nMO/ppsbd7hjzL9qBzCsE3JOf/
srGGRHhORXjCLx7oU1FE9Lgxv2PUT3lBftbwYYpavWMJ3d1jeZ8QWD3h7kZk9nfpa2zQa+YQfDap
xX4G7aOx9bxWY2exm/AnAvHcR+yg8YyByn0faRn9l5N4/IncgK1G3zNjV+1DA6Eu1q9zC4WwiG86
IwIxlAktHjL0pHuX5X79L2gy/nO4gX2LIXp+yaEjzVrs/YVtHYxWk47ESfR9chE8zucGI2AHGnWY
hgjpaMD3MuHSlo9rvXTcRneC3pxi/TTLBh5He4kXsT92qAiH3ASGVs/LomxLK+HOIxpSsR4Scrv1
dVYDTMRojPPhJn0AGYmKlbeQPKm9P3SBWSDW1Ge3wqoo6Xa7YUMk8319rZCiBcWtM8j2go0Y/zO5
ZgUnaeTus9rlQU6+aKK9x75oH68R0Wv6HIE8upxIiWUvyjWrHmGMfaRY4XD2mVh4GKLxTQXHtgBz
IvIVlN9PSb4kkHaVMSql3BOcjUp5hb7TO/Ytk3j9ThWlRrUirPRvreoAM/HEMPxvSUXzPgJciv+e
p0d9YZho6pMtKDZoLmHZucnpQs/RAnDhrOUq92cDNWnVpuuBJSBwjx1zskYnO0A5pOoO3ezEML/h
jj6B9zUelzExVqEPSZOvk6toOGN3jUZ24/SY+wreNe6FQRCMk7NwrG3vL/oblE4azvXLoRMUCSSK
LzjwiH3DJrAJx9GSsjzkmZktHTjNlTkJaREq7m0t5xYbhCa+lPlSfMOdipcTIREz3r7lIL7NSltE
KPBoSiBL1/5BztpgQ3lExrcRNlasNUD5sKcnk5vgImjqpjvikqkunSj6xwbD8tKOawPTPYHN9LcU
p3XsnU6RPCGcRZQXXj38U5FkvvFpa96DiHCcQXnD9nFfw13AlbvppweEg65mBW1hoMSnyWVKtA/o
6orxZ8YbmNJmbrGhj6uI3iq473wzlILFnNQacwLYJc0yTOVhJNp6UC7Ac4thwD3vO4s6IAvFB8S5
097BvmAOvbVp/rkq4mBuo7L6CQaNaNzj5NCPwC8EOQM0TPitropxfoq438hXqMxUdAHZBCU/CfkO
4F8m/nvDrAImxmG58FAoNplveCO2tNWFgXHGhM4Bu/kxPSYk3Zc7AL+MZ9PAqKxw3Vdsr0/kGAFy
RUX21uiRpoNza4S/PZcshjU0EWjQY6hRn+4EO/98YAHDP3AMKZ/bsTlS/7SsycTfD9T8j5Gk3L/D
PhCPHJZYNR+A8Ipfuc42fsLHQkQnIgrG7GUzUPR9n11i1NMIWrc9HyndhnpHd38RK0dJlAFWKW2u
8/KHE5mBjTTHobsIOK5nl/iQa/yeg74Qeu95vg1bXWpcyvCN8bgGTfgSM849AgN34EZtSDQtzisW
V0mrVgA6j15i89DmaFkNopcc/jlj8x0wlMP2qbimQNSrz6UCIQWKpWZ3r9IZfKFO1anBvnQqxPu0
0Yh3Yc/U9IDosyY7SSQuNK9hL/foZEqxywEuilw80BpRdm2WAkK9FGGNd0DNGTOdWPNDPFK2QPV6
f0jHw9qEovx6wKrePSd4wwh6GYB5xXsoNoRnDKA+ajUNOcNgjGYSOUtPs5P+9+o56taOsnPRdTp+
HNg7QXq0O2Bh2WLrqlVW670fZ6J/2R2w3wBsbP4RQBCiA/LUlqbfS79Cb2zo8rwXpedXElnbYR20
dyqmXzBQa9xp8wvqzcdY1mPXlFr/Wg6rr7jRik9E9+aYKJHB+SNAcxc9J0eOYXeDAgAnpv6JqFb5
UR3FtxkuHbAeW+R/ZK9Zi1dEtRm3uLj6fBbrmWmyfCTG5eUplovBqoC6H1Xumga1ahntnyVL5ucy
Rko62BuitG2uVIhutmG16MDLwS500hrGNWYvmr/BGkAVUJOzC1FFg0RDh8XVOJLqt8pykp9Q/Zv8
TVRepieKbs31fCIzrBfjuWyLnZXpBdlg4QzQPHvAvgt7vVzwtxRU1BP2G/XaRozuv/MU7uYbqBG4
b/LJDLqW0346VmHcKWNNGl4mDt8gWsAiZADivw5xQWHJBvlY0deYSgDkVFPxc1op1gC1vV8vhPjx
F2Bs+bOe/AuI5s3azxWCIlqrmxXFM4W8rt2iFQyzSKXVoInBcnRD7rjtw2H2M/KNc92VJuYGEbGo
US1FZmrc49VpRIvbVS9oJDFaGBf2GMc2x7CAwAn7ZR+P7boxKHwxNDXzDzQI/BlM1xgjWKmLi8Y7
mWEasxm4mZLM9WlZGP0Ht64Sq25Mc98z+CklGM9q/1sQqBW6Y5Tsb0XxpRRFoOYL9KZVC/rcTAG+
2fV5Kly1nJCkpbNP5ev17yHdjGVzbLCZrgz13+CcSzAehPsCqEji6HHmjW4+PRhA2fOUrfsnDdqu
2DRyF13GxS4TiDm6OXCtgL3ShiI6qp6rCKe/NinwQg028TkbQzWeVFwx/aSi5SgB99HiL61F/AeU
WLK1UOPH8ZtHVwT5TsaO6d0vMaSTvN7rv4hDxMkZ3TQP6+o2ei6OCsirRhP2CErVfAPHKoHfCQGb
I8d3FQHHcNtgilnIN7yCGAAld3Nyik28HR0rJ6WHA82v6iFKEuavkdTu4OKkKDYR7v/kkkDHhJWm
wpKtz4CW7I9eO5Xgx6kG9HEUaHJmU42odkwthqJHX4vtRJOCHB0IQmuzdgsoIHM/VgkyFZbGoYXX
ocSnKkdMf0sF2tnJNj7HrI2ZQ95F1dvWBzrLqEumRH4rF5Bo2oPlFv4iKkx1u1sygtzQZNiOZjC6
aNDc5CgGdUSrrdXg+oMMdpQzuxGdNK51UhZ/I7Ov27OPdjR3eYBLJKgoyAGaYUv6G9FgRnRbrp1B
+hgBfeaoQVrt/WqWqB39JO1tCcGnp/tkgOVXjLeoPLBxb1F183EwHtWrbVyF4DkigxoAO4D50Zip
AeUotwyNY4RFyj1jCYyXCewiDNJeAcqQCEDVt1LQUF4qaP5MbwpN/HUhc04Hhl+mOO0ur3eAPsVK
23KdiifqpuWLpE5/w0AzYuCO4vWNjElxRa0xcd8EqzCJhvW+qrdLdNU8EN5CaS2mYWR6ffOAcX9N
zjfPuczkgT5Gs38GLSUWzkBgRUcsAH0susOeXiqfofcCve1liv3+N47YvLcO5Lms5arhD5OYzFVh
0QgHFmBd9840QUgzX9K/GNo5iIdZyr+Kis9Tr1UC6G3eyJK0c0niqktq474vlLsr6n14QMBnDGwz
p2TpcTt9ISHGvwE6OSCpjpK6X+rFw4b5oHjw1RiDzlYm4ihawB++GUyd61s6LcdHDpf4ohPjKNzA
Dr/cHJA5cYPj6JLDkTuyBUSNanpNyTHvDzviEv+xFTTKFqp8eNOmAMAyhBsn+sOnojxtUPmATZDC
WfO0oqO+G12xCaNJpLYKK5N5XFoTGjTjqWPyv6Ke+F/chyCAzGShr3Ed0+Fe6kNf26we/9agBJ7q
egTQOiXFAraIGvXHCBcMgLFojOtz0YzF0s98xV2ASg6TwpSCQIRDs+QoaM6jRrhcHxaxDVDHgoxB
jtMOzv5jExzqC7bVy9bB7TiwARQPwMaR2M3yNk/J+j3n2FB0R57w7P+ea8tjJQgHqpVaKX3PaEoB
ooFfOQD7Mct5w+8JyqkpCt5i27SuwO/xGg+Fpkz2S6ly4AvZhKHBBbhgnxXGiPXZNDY+riOWRQBJ
EZ6qlJ/eNsDl82AomZb3ZZyhZ5rwcdE7cPyKCCcCAIIQ0ji/GDaaGV8E3C5vyKIRpivCnGO/GIGl
8LgRjEo96h9JzgG2c5i2iyMCZYGvKfZ9ZbTElxmke8z+Ho41nUlhl9OaaVltv1TG/HHzTEZ86BqB
oFjzg65rMfz8KitB0x4QcUE7MAmzuFvisfpZFA5mDA7Ade+IgthezA09VQgif1zyQ//GU43+xtJL
OSgMofElW6sK0BkolECnRoImtJpSbcEwnMT2CxRrTOwgkKdPyHUPXzccJ9GxMdofPHpxNyTrFP+C
r/nx6P/H0XktN44DUfSLUMUcXpUl23K2x/PC8iQwggAJxq/fo33eGq8tkUB333Nvk7eVHyfhJC8T
ZpNg49X10J2iYaWaDRtbeVtelLLGtEta4dZvRoKxLBQpkyyTtRQKLTFNNAhZ/LGGC2Mb641+egp0
prOnvg5kcV4AOqJtHIxTQ2pV7A+sDyxC71AI7XABDGwT3ZmVXF1U8zp1jksUofF1bt1fV+KCzLZy
s77lCYXODzeZE0/IBV2ajscgm+fsNHkdxJMtWUAd6oSCpCqT0j/TBGFlG3jbwy1n5SQwsjP+O6x1
6V/JDQUQcT1duDunXxmuMowd4o0MZ0dTi6s5/8yLIhE/VxooeWwZitVbntB2dFm9ptV05oIMxx2M
KvO8GfQo3rF0FiI7IJsqPgwxM8/tNIXRdJrI+2m2UeWtXNlQcpJnWnOdtFHjfKdArX/L0Ho1v0LW
h0eXJiS+/Uvu5nLhdXxFSy2HbSeyhH9pJCc1oI3zUshoAlDGAlVuAoG2Msd986PMYMseiM2V+cGf
1PxZVbYrtlNRRv4hoDdDpmEn8XAchm7mCEjjyj33gvv6WBUk7t6zw06LA/1XzGZZ5Kz4SI3FFLNk
iOec8LAIsTPT2N35dmCpg8o4B5Kk4uMVwvwZ6ygajklhs4AKpKhWDhwRdPfRzJe3bUwxPtsGmpO5
UNj5m7S7YfYCWVcdwmwt5eNa+zbdRYMfDIeIOyL+58U6/sASm82HGQ0zvpRp0v/yea+ZfzQeEzkd
sRxr4zCwJSevkdAqa6eaLcVT9+Bqp7wr3T44VGKcHlKdu4QLcCVcWzYZvINIsuZ+rbE0AAUmvf8w
gD5M9M2+/6zjYJXbzpBdemEJa/AWdiZ9bAKzVDu0/oadjWOoXjEB+s2dBP8YmS3nDvpYkonTkBrG
KtHces4+RnKkpwnKj2WQdn1vyjaqTit/8RVLaEWQWwQQcxSVp+/xA4G6mBGHxI0TKQ3XNk5dLvVI
Rjsoz0lugskG1LprSGMc+z12cxEQzQGZGDQoSWlmmaIRhbolFFX+IyEyXY4xnqNlV6Zr9xsqFhY4
Z7ZtkTaC9TDhxd67RZ5diMO1ej/6c/G+9BHP2k3NfFkWSd+OqHrDx2Vuna0di+JrFox9NxH3MKBr
9rNu+vgeoXp+BkVZ/uCJivEZMOZmQgPkSnpJXjXt/VgEcC9qGoP9UITlx6BdxjATN+HOAbpdNhpl
5wVOZvg9j5CTNAZl/ORHt0XZKiei7DbT13eDnJNLn7fpW4tkfGUzTP23Twe6qZ7olEtpqvCp8Mbx
se3c4Yej/ZSiIx2nR8Mvx6Bfh/VnaSjqVxsO88bqLvjbrLypYFtkvVUybO4aszrUXdjwdkHqzA+m
cZASuUuaMGarbLc20frbHRi86/EG59uw+WETup+lrKlraiQvT0bO1iTBvL8NjvfFEJlDNSt9XN1Y
/dVz7Z9tFkbnfnDUe+/27p0MeoGMGtAShUrnu7RF6gt77wGActjTR0/PoKd/cjVKPg9+GVWSTCRq
l8qCZCZIliZbT3WefuO/I+KjvOlP2hydWNtHOLjo/fZCHysPSU/M/NrTGhQn5Ut7TFRyLzUDcC9Y
gg1RvgjMoam/AHnTK9rvIU3rZ1UnHvImd+22TYNDOS79nSTrQTnDTwiFv80wgSKo5a4FUdzwX1k7
6kfzfa/79i3rCM7cFhoSZ3ovtKC9Iu1z2NpEj+0OUi56T247sPZh3PtbRa/5EOZRDCOubfcnilYv
OlRuHT+sfW3OUx/1ktFvZyDhkxZ4pBiv+NZ5upkZQHsnaugPazu2wz4vq4UwG+3G2yipwh/WW8Xz
igH0o0swheSt7B5boeSfCV6c0ooUh++oCZzPgYbip+hE8KZE4z6iZrdPTl83FyPF1O+cvPIPkrvi
3m3HZp8yiL5D1adKHhav+deCWQLatHO+SQId7QfIIfR3L70uNryRRqPdM2etf7oVbNSmTt3yUqMX
HxMYaQQz0tY/IrUk35Zb/+Ihl/5LG4ij+OqikxhY/oGZNXWOOUBKzA+kVqp36Vqq+MSYO0Zl2NYb
uepXL7POd4jzZE8ZgHg7GuZ16ep9iS4AFV0rbz/0XfCe8K6cqmkskDNGBplF9Sq5t5/c2OdHiS72
fhXpzXQxhxLeL1wunLk16qGnelD3tHAPiGvxRyrX5p4SmRW+nF3xk1sF9SeXc4x0l3kXRxD6CQSx
ZC076QrnOE9JfecoyGzAIaGQV9xm/uUHIn+eI3w5dVGKa6yq+WUtO2/e+L3xDqP2ip9izPyvYurM
jOGiW84Ua2LEOhJkr2QHNF8zcT5Aw25Q/O3yzOfny6xgNGJG7ycDAfuCIUlDqywRz9zc1vycEoH8
CQKcJQLU2DI9u00gmEWmGJg4RgitWRKJbWCceN9kiz9Gq6bYT63xH4Ap9Z0Fj7zzADg2Nlbr40xu
WL4Fz3PFLpwUIGSSc9TV9JF7RoXtU6qrBUWfCeJ7JvviuUL0Bi11xMy4Wbby57BkasBvBUJkV9H+
yYde7nrQuGQT2TClaQgLtlK4Zb4YiMEgfEgpI69aWGxJEf6v3+gqEIh+kKzvrUrx9Kc4vDCORTcn
1gUstB+/nXVGCN8Mq5ebE5WIGzz71im8Cy0Y46E1FWL42zZmcjYM1pwPPzd9BCuOjf0rGyHgT5WR
U/O7y7UqHzm6fP++qpfGoctLsm5Ps7KG22QQ1Rv4Y1hDpFTKbfbAJWxeNn2tVzooFbnED626k/l2
XlUVtvxFU+Vd8HhUy5kGw0Lv3VZxYvSZ22TiOghaOHpaTNEkL51ZavsuohzIbotsX6yHIjZZ/GRZ
eu49yAYieh+GMjljhFn/kIldNNt8aYb8lNMAtE+qoVI4AAPNs3PIO7dJ1msrIhPrQ09zUcpjHzOg
KzaJGfWIAy/VS/FqDDDuyGVn1+RLoTdE9EVo7xgafL0smBRCMOX+6HdAHAWmuZXFoe2C1LCHi02g
FuyaGUzCAnLCua9boEUWzaHA0My2Tun1GqQbLclsZ8i6We78Kcrdq0JYSk5e09uMTxLtxvzmTPOY
nU6rcUd79jI2dHw2/TqKI+RZYYdNMoLu+tTr2cCWLCfpk6Vn8xgtsnOIk2KSb4OIuYeTgZTJKxRM
NzDC6H2nYhcojoH3yK0HdR4x1sVoIJTZlwBCIKWDnadpG0gvI+68hsPcF0B+1X0exDbb8XcXvYNo
5iXzD76LHOo+mubvAX+t87Z0HIw/+9hpZtoBVmXT5sheNs4XedgeQTMrhWr1HA3W7a4aAdc745xu
vSOBGR1gfNChxfAMVBof1Fw3xTXSSHgwkL3j7wOUmvhYt5my/6JIVT3CDMDxKyaGTH22/uAiO0+e
x0DEnw3l6Vhot7jODaZX5uSslPG2Bb6j7LjO0YyoRk/GTeE7wlLnNsCmO5mQbnTnAGpkK/aOxC8O
wvML/0dui1g8IHAufL1dL/rlmqFoJW8YWfATOCpvibdd27R8qiGFY7BH5WcnzJNxtiFMflnPzYIf
77FPiz5D3I992olV8D/NN3xaiTyJZFhmgCent9bbjb4GQmbS2IblI9s7OIDXxAGhUJEOmfmwsazr
HkU+MvrYSGEqmW4tOkUYHvkL0/jkOnEFmYwTeajPWNcH1OK4QzrfRFMrJUFOdMzhD6dOBvc7KKMM
U8hk8ajscRLrDIkT89MtKijr0uHYSoqeveZX9NxdbfvAHv2FnZr+mbM8oaoeio7ZkPK07//UjuAZ
iftKeIIN0DG99kbg1TIjWVkZ9Sq+mnC+z0YmtRtONtHuMr7PeID2uw0/tr5QGv6CEXzmfpRO65un
EEKofMzcBB3c1Lbu/g1xGKoLdWbc4U7KQbXhgYJSXlxLkPsRccKKbyCTrPvXmTbsz8pjQLuH6s0z
Hlq5mOMQD1NzT7KCSJmul6k+WTOr8U6oLMt2bgwAuk2nwA9+4jINyj2x+dP0VMIviUPPBBAPq8J2
vVnihJEY7mMU61zRhDP9k2bdC+npiKfUI2Vn51T55O3csubhPyRMuOUnNaI1Cr1bzL5zCVNTDNOB
68RDMOiKuBB3LLYdE44BVj8gZFekqnNdRAqenSJnnmp6OTV0d0EwphqRtbdlsDNxIBbLdMQu7quY
kRtQlWjCX6MVXwiwreuPD6JaVHwMazSg92lu2NCGkYH/fpOD4QjmDp/X3QQWNN4w5KXcshTQmC/c
xeV0lq3rhxxzuFhbkujCEjNDqm25X/hQhuWUheTWvramRU7w/DYo79pMO3DBvnSY+O8TpsDm0cZl
Wf7Ubil5V+ntvbXetTHW2OxAwdN49jCUbqv1WWErarpjzUey6I/IMp//cvCqeAtDWd77pzYJ+zp6
9zIfP/MmZxlDtHOLISnooKSpk4vSUv0bOUrSrajHMj2E0o4YlmHxnfWYzX413RNJjvV1pYMan+Kl
5d4uyKF5jqfRpQHyq2beTjUxPrwZve/1v1qS1l3ciSGiQnQoWnaGPA5p21XNlgmoKO/jsBLBV7y2
7P5kqdGgDkqHLHDYaM7i3MGejuXubKIgze6bOHKZQdSs0AsuAq91vfc5MDlp4RjTu4WBf3sGVRgQ
rI2n2gfj6aq6xFyxiDcT4ka7ARuYUh6mdXIPkWISe6r9mc2K+GH8Tn76opLtiZlkKrzT6C7ad987
NsIvv/PYb/NPVZHc5cOflnNkN+iMaw+9xK4qtRn7KoIGKi1M0MxGhnwfjswTPNrGqbeX3k8ZTO0n
tjfpe2VdDDZkIlVxv+3JRC2eVYIwrTZ1MrdAxkiA9WYRXZF+d4QE9pJhvMiLnLBAMrIPQVcGk7cn
oD/yx8ckHNR6xlGt1S/8EAgc/BW+eNaaKee9mwBP5zstJP1ZM81D9oJR27JgYGJKkW3wBgM0tx67
sO94vvwKiWiVocQcmon52FGx/gnXyNhLYDPCJ8QYDSgksUn16+rkafcjF2AEAedaleoLApAVjCAR
xNoOt0eQ0ddUfE75Lk8m5E1qHRNtZ5lU1ZHmXGN7qMOm/l0THJY/RYRcNP+gJE3+z59uOzxZJU8c
OUQ78NpCiVY4BqOWCfFs4hn0d8KTTcj4tRjlB56GujwPYKntYwR/kD/XLj6rw1oGsTpPS2mpgVYS
n+qzX1BLzZsYFyGWzmQNHSRj0LrvUVkuJaL1LDXPOPW6GQ+1tqLEK27TZTzmoePKdleOaAMnbJuI
8NltS9udM1SR2pumc/8uqq6rZ7D8sB9hUnn3Lg381qX0GIxSmmP//dEOaZL9hkofJrGpBwjqnYEC
i5NdlOlY/3LmKluX0yJlPHyEivwKtck9gpw2kpQSMl3QcBjcJ6OsQqJ7w4T+avbmKN6ZRo7jQSO1
mq+mY7iOG9Jx508Qi1FhruD+cd98kBpuJhEUbbdTAbjZVXtLgsq1uI48OoSBQb8EehLMjtwqO3D7
c7CODMtRpxIjkBRHi9p5qL3yBoohifoI6M7snV1v7spjRsE0nNqY8r6kBCwr8bUy2oBkLQon/QyG
lsCGLePIzM6bIQ7K+g8lvQTUJW6WLiVEf83uF9/GhlQOhqsvSD6Dvy1htam40EzVkwS4Wj4kzBcZ
FYLretcmIgp+c78Y5zjhKSNaNSsYYI85AQDFxjdhZg5FWnjmis1SFPvELjr4k8VOPPbbwGmC6VCS
1lVSk8Arz/yCMuq+GVaxJDgg6arcuiJgArTBaYf3dglrD65bFoL8gCFBwRDOaAmS69WoWTqdqT68
lctSv4t4nIHsw6Eom4PtbJz/sxnHGYSonOvpDbt1shw548kxp+GZJQHjFIjuzTOGkRE4kJbEc7Wv
fi2ryiZnp+uRWmLoRl6QSI1L/EbO/VTeA9fg4i7HGw/QxUPRnIp2cGBO2K1BOoPtK395C2yK0R9p
ItJ32IhpoURcLuVMEYlv6ydZIl13NCG+s5NN57q1PMlazK9ESqDYHfTSM4hZwhFX0VFR9eQ7tqh6
7nIQE0TxsUokDS5f9RQem3CIoCcBlzwfH1k/ZwDx7SIx1k2ZV4f3fO7rch3m3NeHwI5j+gsPKifW
zkmsZReKLLzlTbPt9gv6K/jSgTtzi2lgouK+HEKGf3uwUpIYQm9w8zvXUwLDF8952cGLWGZOOxYV
1eu9zTuv/6T87M2nN2G/ZkcwV9V0XzsCwyeFWNztlgGzeH3meVd9sluoqnDRjjEXqKCFGm3y5lR4
K5KjEdUgoUWzcmURVa3ICE90OvcHU/WLffX8xk4TMOmUqwCxQUNrnqsctqg/9bjCSktM0Tq0j27M
m60Y6/crj7DuCF14hbkX+dNKu7z8rCBSxHdIstz8q5IsaDy3HKzFClnquOk3H2u7HJcugn/CLDmX
cuc02s7gdSahhXZYeLD+Jq8MaxPF2hh4vKlxChOO+JUXwt+E1tLw8xyaUZgNmReBSFEbobK5vblw
I3O/Elncd3vGi3Gr4Bn6MfJ3QTijVJ8CSvHynV0KLSQ5dEM4/0lX2S2/GQE49jdCXeS9DDhW43/5
UE3eX2c2/VhtEEGD2nuoIaenfp85alRH4xQ973c/pWOccEnJyYY7d25JkNjGQJ64WWrHFvWxZr5P
DIOHh/2Eul4Ex3mUKnlu5eiOd0SaGvtSKZ2E186ITL10SKrlD9OCch3yaU311UF9iza+CEp27tDa
F98hw/7sHIJLc49wi7q7kaXZxdbJA1Yxukg+wfvKvD96cRZqVtJOfHX7CWja9/O4JH53QyYXFnR1
XCEInK0/Bs1dJp21/gzDOkxf8LDh16dPrjy1czUn8inNysg9GSZawT5uOYHuLM+FORL25EP2aIfQ
4CRnH8VumfGYX0jucKZbqMBKDxISwzBzKC0m8J/gcNbgFLlEPBV8KP4w2GOXpHAyyNzTinMnXOLi
MvKARdEO00DcnJGhjLeSOx0wyRnkWoh9g1gTWu5c6DGzY1tHDu7VhonofpEP09TDdsIsSRr/YsQc
3OnJVbPYrehW/7dqM/Zj+N4S3yXu3zUslw10pi/+Tj7liGaXZJTNR7DJqbiGBqsNa61XPz/Iupfh
yQaMqnJiJ+gtLv28YurCl94ONxw1wnj9wLfmLHTFbqNBACZpvDPOaxUc1CoaS/HRrJj+WxxryQM1
mHKfRlxyS7fHfu/gD+BkHR5saSJ1yM08hBpyJHWib0r1nBwxXL+0ZH0TqS2SNosy6UGHQXzRQIQz
TzSw0rwNAlD2fgdqKUnrLjBujOV9OueFojlXlfW/BLOp4NlUHFjnfEbSuFOwv5gCubNGkkkq1931
KkpyZoelVOVlQBktyShaOczYvGaYaRMPY/LDyj9Mn8c8WrpjT8RV/9YBjNzOt9aPo49moX3/S1BC
ot+HSNWYtzJvjrHbKSTTDww0DsklEezsx9imfncwhUrbLxCBhe6Z4t4pfk/aGfUzoKOgkMOSyGsM
beGNz2IhuRjdzM3XHXhl3TwnzXBDVlzjUv53yYBDcozqScSbtDWZie7ztgam7yQYx2G15TgcF2Jd
in1AyEVIJkMHb3FfyRjXbxrMc/PaBoFOH3W1ojZOduBvnRKqN3fHErdh+jHlfLya2ifk7D02JXOm
S80svNqHfPZpuq1mmQZHGSfdV38z/+PpTBfQkdF3p+9ksKQ3XhjzITDRy5HiQj3N0sD7WOP8+5kl
QcEsnh5PU/N76Azlx0oawUTFBixbUdhHEJxwahnGQdgILb5qskztG1KUVe9oxOihm3bo8+kB8mBa
b/9jRqbtlOI08ZRlgl24qVq6RzfvZBXvl7R1GTpn1mc1CPgqHpZROT4eduPZ5cq92SJCCYufA7yy
rfoxR1zPA3qCsgr7Bl7YBxsoGWwV1ywNjNhiALXd97z0qz7BabfFVhYRgQcJ5Q5kUSEnAkDZNTOE
YbKZmcUjrJg0mbuHIPfr9H3WbQrFG+jECTYcX7mh//DI5tkwG5tDvC+J4VdOcJXuCjxvyfuqcNZj
rSwyjrV94ZZsTurC1mIfb00sMJSF0lXrrnWyOgmu0vWoPM5VYNjVHJnWW/QTzM2Qhy80Vj67qtnC
GgdvZer403nuagKnJz7fHi/wksYMmsrCPxCK53jPdaMK+xwuTLzfLVkJ7g8nQfQ8ZAST1Hd4h8lv
HZ2xTbJNlIdZRJRCrJPrNNiquVRF32IJlUXAFpdjvgQTyxM7n6T9EiR3ySFr29uGUrRwr2xo7UNV
l/Znmw6aDyN33cuUpKJ4xAGnaQW7llJmpzCBqKMYNYLwBhgRU98ukjnCP0pdTi5BA3WRY+qoupi2
FRtB1q17FF/GpwnMPn2YKKKg25PhNKaPDHWb4sRpgwLFwE94yVerqXp/LJ3xGBvy6cH5YzxkJIbr
1w3eB7FQLm+wrYNyEb/IXBkJKHb4lWm9yvOI2TTYldxTptwWUjHQjFm65L3UGWSS3caqlOuXJfqC
IDh2QrXwCUDeGY+WH6hh3KcGphQQMC9db084EJRc44xJ/7SiQjHvB1JJQc7EQM5lvEjgcpIo6uLk
FdY2+cMt5qbb1926QC71tGHqsWIo4BTn4VaXFRQSmADVbhhtC5MEqxkNibxE00jvd9VTij0Bwj60
wz86YdyRW1SeG2mlorKeX7vJJQLswAZ2V93R9S/O37U3qfFZ3dflnjh4wVwNLAgaWj7RdUVz2OHP
zZbnWudO80KgSxJN53j1A11fcJnY8oohpzy0NN/VXwboTJiQqYDuLLZTwkM8d3hzp2igfdV2+j1j
COO+lOv0wlwiiY9O2xZ/cgl/ulnncPBjxq5OL5rNyvHlH8SQrp8BL8WfbCSiiY1BxIltaCn9uyqY
u+kf5b37JANVIGAOeeruwgF7EoYn4z3OPTOqQy2yvDqLxFOHpl5yH2fm3D+P7g3jAFQe458uM9WW
ZJGJCBlIIUDKCYNy+dqRMKiuObdw9WvEx+m4dOVpPjJ08np/euecjRN/40RttHx040KFsaFVcutD
y2juhqF6w3rtNX5EHIprN27dzu1pfILx1hGgUrCtGf8P9GxugJW8GU85nDWY/KHniicKI5Z9/MzF
4/yq6xziG5OPf5nCOG+P0M005iNRYB7PaEtHux0qD8d7jucrY9hTIKX7zbJ6OzQ69Xf0FJn3MVjU
G6COD9hA7Kn3o28S1mrULZzZKRy0qS5lonyXtPO08faq78vhvoBcNM8hK9D8T4BbG3zKJhi8xyxh
mHEn2Gna3RVABqTC1FHjdZ+MMIPwTB5WfdG9mZm3RypNYW2IdT2mWU5wLn+sqM5lnWUWCFW2kf8L
Mk91zrYrCYI7w+DE5SH3V7xakeuk4toX9ci0u1noeDZIvMn6kVdhMz0ADhECMf2fDk+udv4UgIaS
MFHbdL2kjYjsl+C2TCzlIkNNpioq5//Bvht3AHEjX2sEOUGaQ1MYjeQJ5F15rhxmrSu1gy0KxRA2
beJ5zxc3pw2WCCgJ5Ly2btJqGwZrBe5F/BoTUrDcTI2fPgPTANosYX7vVr0I7iijIudOwt4NdwL7
UwAXWrXV8BmEoREXJ4XKZ/wezh7UW9qP3cljiB9+i9QQ/8bChHA626rCZarTtnoEMp0VFZcfV3s3
7CgYqGsmTpVkWiMyXQiNqWDco5RzqnD5yXQ1AMllMwd6n9Rqjg41U+rg1SP0ENNgiaFV7+BC7DdN
8zztErpwDKTltLzOoiyZoHqTT7iSBI28emZa25spI3pi9fg47utGymnfIzmWT1M2pf7O4UbPr0u9
3MwHU/mzwJ9zlaCIOPBccOd9VIfLiylhqu99QQDX3cwRiahVdd6lxrtEiUzRwah8jbFIPTOkw71J
QpPjH42HUxrQnIn5U+dX2bnmyMOKNEDFP3L3FP0m4SBLTjfcJdgQL6FdnoQEo1gwRBGGpriY7COw
bOX/nsiTkDhFA9b7CEjWpcPENZoeyJhotNwQTBzUwCQdkYBWhczENFUvC0n6slumPdt6WUggHdp9
TsYpIIR2W3aOHUmuECKlvm7df5ynNTCSwTTXqIssgFeDI8axfNi5TMPWfT8vMmCs6TW/knnxdL+d
E9N+keGJcbiIhya57Ta0IuUhZYKBOwxjqwZk1Pl4YelizZeeeUSlHNdQxRHJ7W0u2tM6O/XyTGgH
7il66355X3KQYpJoVBksj21b+f+M77d/8YA64TENE3n1M0rMfVkMVFWOokehVaYlBAfv2aiMC6yw
P0Kw1fEgKbbOsSxIjLaZqAmcWAuf340UhdvMuolsdcgQfl/A4EvMWriG74kMbHGLw2i7B/4O/wVr
l/p2Xa8qTiVfTnOouy5kpkAi47KJKVLEhR8+H0oRr8WrDuf/LVyUY5fMYQHsjogDJF+aVl5c5koR
YsWU//braHyLOeF+Cy9IlvvC2Li72tYx7/xFffAlm6offoU5IyCG2rZSJ7cYu/ac1x3KqGm1zPbo
x+ShyLTHh+AumN9RRdpqr0mXADnPi2Z49kDYl5NgNE10iVtX8p5HS/1i/XEdHdauyF4GRoH+TgdU
1/sGEGrkKcBqybggzJMd8aeg1JKNItArXe846nupbCi3PNxURQWtodl7rF+oflWqJkSKwVbW1xii
VeiV3s5BVQZKT+EocZiZeoxORBFLAjeSkrIQ94DmRVr2bBZr9RYlxjS7eWRG/lMUgZ7PniEi5Mlx
ZLbcUqFYqAq6reuYkAbjUmCuBoB1Uzo9CtwmxWdX7oeqEBBnxMCFV4nC+Jd5nQj/DCSZ/uh6tyhf
0YEhP2Lk5iv6IEGxyTp5Z7QybnlpnEWcmHImfxg91ZdUkNCFCyPINcb1OH6W9OLlIeonwljwe7pk
LRMH3BAYwPLobd0RW0cwC+ZpuFn8GY8+rlbGgJkpCBuoVhR27lXtbUdUfvOOV7Q7Zgy9F0qsijgN
Qgm1c83IySnPbRoCFGe+XMOLSXn90eHd5FE6o2q3dkZfuTAxHGsqKk0s39i6YI2ai2aHrdNqwgeW
6epBY47blsgvF0wqiV8n2jF96Hhg/gnCU2/JA+1CjwqL6hzSKmuyY94nzrnRtQnuGVnip+yrW8wL
rVX+VjHyIeOPbsHbErqaHBcERsb7Ye3i+BasLHwwKjaPDguR6y3rv9SfiQcHTXZkaXjEFI9FEQjs
giUlDcLtxi2UGzERAf7YVSqu2Fs8pn18ohJAGB2nygExQz5il9W0di+cBsC7a5H3847sohW2EuXZ
T4+LNetVxaF+stkU1MfopohHiDbxMZp1T0JriheguGtZ0RX4B8UXVZ2QQSRNMr2WuzeiD+PukmjG
Lu6Hq0VozR4zYQ4LgLOk+TkNkVveVz123SNVW2NZuBplfxYUtrtscBN9tFNJup2P0eBHDgeOUErP
/BGR40HrR/nEToyIe0KcZkKE7fdYY505UmmuaifLkKOQsTwWcFlFHq8YtXNwJ8ktdPYrg67lm+gT
RP1fi2kV1mkna/KagEGdOaxBxYabSCAJk9w5/Mu4eUN509w0seHIAA3hBC+e3WFpkDPdvHAl7FCb
Z/OywC1L2XzUfbqe2t4d5I/aWTNiFD0CkcZD0S2qw1kBmbsbpogAit5zXX/j+WN6JVF3QE0yYCIH
sFs0IyEEMUKJy/sGdd2xPQmHaYU5mutrBaef7fCjmN16JhWonaudT0BYukf3J6W3mzzicnhCLg72
y+40sqvymixFPO/iZhlZIJOPQ+G+sHpkrP7MxhgUhCzRhPYQLuP6n0BTrDzYe7RG7dnrYqKlrGrT
L4Pyku4ZyTEFL2rtDSfdWGzhSSaHC8azMPmdLMQ8/OCMX/J7Qia63ZzCiaOmDPO54KNkMNIk5EPD
ZxR/vCpi0TS3aLigP5jpkR5+Vm81GXP/+gG/Hz5kXRM34LG/cFP0qq+anSkmGGIcQYu8D0A/GeeU
ExEfXgOfc/YIkSfnpGiW+jhV6Rwe/uPovJYkxaEg+kVEgDCC1/JdXe39vBDdY/BOIIT4+j21bxsT
uzFbVRjdm5knbadq+1IICkIRUpO4Pw9wTHMMQiIdjrFqQpK1PWvdTblioWUXDO+1YiWJonHqTb7g
v4qBSWRY58sDhh2mTWmW+ilCEu93xSSq/rDkQgNAqSvenVmcGH239GV/7rnWyZbJ1Tk2/bU8T7eD
+5QOpRPvSz/Ul3VYPXzfK3f2bY2TlIR0N+ib0id6v8uErjD82wIbaJp6SKAbur56jIWTHC8LoXMm
qNVRlzYbyMy1Mwe2VwWCND+KmUFmI21Yhr+aiYTVpmLh/4dXbPYYjyTuj0TFyifHOAHcg6tYxN5Z
LQozExq8s4HbgTZlvCX8JaNrQoVrhcmdVCF0lYFk6c56Q/6oABLw389z9jFSHmd25Ci8+hd7du1v
MAKu91CMpmzL9kjiL2VzB4erDrGMJ1IEmHgnIkUHjwB2v43t7PyKRmdasFZ4jHC6BOFGzH76WexM
QOuKZ8CRFNHZRmMcYfKmYFb2aAV8Wzo5Af3wfLxWUIvNr4jNavFQl26miSg7wAx5ZDZqeuyUEoTc
yRmVx9yNOMdqZyZ+QJFXi46wUi2ilpHYwJIAjiZe1xRH1fm9vhs46erTUJnsZy55CLNZdZfXzM7G
32u7gm8qUO+GHQshzjTQs91hW9MAcwIUPrOtz0v9mmRFGB0a3xh9MKUZfucJB+3rUDw9t6UT9qRB
HcJ1zA8+JB1ss4bs8Bp81Jj6631VWb/aLHnJRRzUvPg3TPLmM8l62e7qtvXLHZCHGa2rF/GxXbuC
AGBfXJrM1m8TiAlMkW1b/cJYmNW3Pezbd0/AzbkFV+Q/ofPX7yB1VtQ8kY3nOJ41iXKMOPjeVmsI
T6bL6tf3+NPivyiqmbwJwLyZM/66brhPorC90WOPhxRARPJG0BqI+lwTo8Z5Vfb2PmgyIvVFhQSX
z3Pp7xEV9B5LoSUPNuialQ6lT/0V05Vi5gVclPyN5rmx5hAwz8+Hsg9RHlIBf/vQU1CQboFOJOcq
xciyI5dYmVM1+9ENQMTpCLJwImxg8gSntuFwck+WsnH3RWcdUtw93RWE3zChC+y1x8LPacqZ8Nox
+a224tlTSTc6ACJb37y0FM5d3iFWXZHnigwiZABu4BQ8tpmKL/RXl0vW9nMi7+uoTJ1npCnUo3gJ
1XR2o8Efb5Yhq9WhwPjtbEonSX4tQwp6oubEB2x3EcSvonHJ3BNpSKbfpEUQeR2qOER0dxYZfhIu
L2PeHiOGCbeC0rwbtfTSDsu4xccU+VaiG66ybZtdn0LSBjKeTfrLEwnjxiYd8+ltpgOM3a83qZ2e
HFk811dz8GZqE2d4qBSdUcepppzwhgioY49T6UqwYPOAcWcdKubZcWR3sV0x2jE40m+lLnqO2/b3
COHgwUxM3ZdUgYjFcoovn0VMABZ8M41l1F7Y8AMSg2s3D7gmXB7+xpJ43HXrWj5Vgax/p3zGl7Fk
2CHTzxfJ0nKeX8GBToqFY72i/0oLZB/GOfJAH+L/9vtWsgrP+qrdFXKN+1Nk8WzxWKsS76xkIs/L
aP33MC6ae+qKAel4WNrec1dA4AqkgEzKEnN5sRyf4L0QKB/vcE2imWcLDk5C6Nrrdl7utPJ7NbRj
nGkbjPNjMTKTM2WyG9718OoIDTtQEMGg8LgpJ6IYWxHAct1I8DdvaLf8wKVtU54L+bxMB06Xdbyr
wtkHZNw55ecYRuYNbDk7xB7E2zteibS6UGXnjF9RJinHc+dcHdhZ1O49wOXwrvWRG1Aqi/K3dbP2
kqtalX9H4buKThbW0hz0Y+imlDogWnEeBlY5z3ZC4TLBOnwaonBEVxp+txNW/fJtoiShepumdbiL
UX+b7zgMwuERP5T5N0HpK7e1t3q/OE317RkmtWrwQpjqpw+d6rEZ3QqDXiQgydnKTTCqe5M1dyJ0
yQ4x0bA5mRJXqackDxEbJb/2xc5l8Vv7qev8uERjCShKZeWByyJllmH8qneekOSAkAiD0zKyCriB
bjMHTysC8fDJpLF0/6Ayhctt7eYifpLE5P0dBv6lOntdM/2ZvcTtj9okdXdLP2SNklOEqJOtwXa2
GeJhmdnd2dHdGRGxXNpMobMOL3UfNMkj/lux8De27t+uKpLgLMJYuPy1s37upjo157FoZkkCwvNG
8K54cx8ZTer0tSeOkG5nbOrLXkGDfV5wA3YoDnq8SUpW7i8dPF6qNXwdHqt2BP/N8R7AEmmEEmPE
Fy61KLyLAe0WmznG70mJGB0LpyrBeEnQrkyqw+jGeMIS1JltABZ6D2OcBk5dBI7/qAylgpfUCvyh
gAD1skUEY6vYmGR5ym1Ghxcn92neWr8Iv6pFeV227TKvMZumTxuc2SGYOywqQ06whzMBBESV+n+D
jo3BnYvx6gPAXukeU3QJCTRITM+h4R21i/JOrHSJ9OX0J4SFhtKXsJgBRcuXvW/4mfHWjIXHZmUd
u3BXlKjMl3xgryfCRgefchq0/xNz+LwZ6UNgC0gpTfXbD6w/bjnndKQKuCFwQ6RTcmbT4DHVr01/
KSYaJnek4FKwqh1D1Tan1wFVsxzVVxt4OXJ9p8KQ4LAcfpKqhQmh1kAVCFITXn/ovesfJ/UZIKBA
B3/WhnDGXWa0ReOKqxQJoGOiGUYtmNSYhLsNBR6c1gDvYhqYVe0wtLYzMDqom5JrqQ7q8YFqFfY1
6LaZ3IaVsYBLR2odFbZzBRipolaEKau7MgbxQp1wQ6TsxDSGCa8At4fy1EfjlqradmCB44k3DuwR
4H2/BSRWVYBY/DzUG8Fb6Z9nMZUDw1Xdb/oBMjoqmCh4Eqes6TbunE6PhDw1L2/ejzmcyNi8Glwm
vyG8A2dIitlYJgcXHJjrzzidQxsuJ4+z8bJhDUO4cwDT9DTiXsUqWINM2QwYhvwdCEj9lVcrCNGK
xRXNKkETlXfFKiFlSIIJuHrDuftcR/T2q7tIwpIyzXO9Wn3kioG/A+LAeRqwzKSc18rh7CeJS4oy
dARw4EoH//zEZavh+H59KGzl/GCvx+QVqqR80EvPMy6F3NWz/K3VO0YLeLCypHqMVagYt1V/XRl7
xByu6RBwobvEX8R7L3L3ZWzmrt2jR+O/rnQj+CXmefnDnqR5C8n9hRC4UGo2ovE1hTssTmBQAdpr
oL5FIanUZv3qqqH+WSORAw9Fo6EbrwkIsaXTlLK4q6KIBTqr1Y3nx81zbiQmpNrgt+WjzdFvC0L1
xI8W2W0OtGMg9lYUzsHNo546cHv12jZV3j8OTS8y8pwF+wacbhP1JTaBu0tB7FpvPaazV91GwyNv
zhoeYcgDnfhiS499hOn6vXENnvkl79YP3UR4ALkzm3wr5yh+KLyZcwKDtiYHKRxbb7Qn8IgC1uzA
66Rk6g4pQZd4S4Vz4zEglCzA8f737/Mo1m+QAaUkn4l5OkMvhCUfzvm/63gMoX51lxcpqxB6G14r
TnF83xzZMlaftqXVI+i0Q6zNEkt2KdB4GIRcQOuC5403V7flkZaZNiFSq8iylyxDim3J/XwDzi4e
zrZGDd7kYCyIx+Yx9lZDzOXLiMrggYf4+jRXAlmpbtP4d012FmRJRM73IPsofvdsw9685gj7zIqT
f8TIeu2rKUZuTGfSvdyvnQTtMQLZW/ciTuunIvPy715fQYME7JxDy2sn36p+5OoCfpPeR15DfJjD
A1ohXwQvY5smnKVllizddimuk0jTthySahF12b6b/ZGdX1kMeCmoCnvDXIrYTgTmmry2ibqZPZwh
uwmfwV9ndbK/FP8ogZAfi5s0ataPmeeg3iZjLT+XxVE5mlNRvJEFNp91E4qY1FegH2LYSO628w2o
vdnlrbUpmGRfktFL2d9GGlQQCjYzv1/iWGcPgQuRGFUVnks5dh+JZal1TvnyfuMiBBsCO44Jf61y
eZa4WItD3QFDwAMw6X2rU/kQhdbR+zFs8otoFh7J/pKWOWiOsH+Yxzb+bQtulwOBjMTZUJkkmj2s
SPTFGZWCNTTiL+0DEWPo2i9oTjpcjL8LQwVTFS3K++Pl0sPQFyzheCr0mD5VjQ8FY/axXe4WUMXd
tusmA4RKFW5Qb4wvBBeLa4IzATPnO2H7lHAEX6p7vktk65EGyBuULz4B+Z9MH1rKmxixxqW/7UrW
3bs48S1/wqb/xU/R0oYNCo/HkREuP9l2ctPkU9j/NN7Fz50UbkIPYuujxBwlD/EIm58oECsT9Vgr
nLEbCpS4e9t1gDGByJzFt1lYxD+uUHi+/U4N/8yM8YBGkM5M9HxOcDx/rx4glGDTeL2K768wAMxo
XFYdnjc21D5GfgwdrTgaUN76syYCoMgeU6iwACLCuESdTFqcsFb3rBLwMMwTxa8uJ91PGVpW9AfL
EBmeoKOiaCKogRtGyOaVM+TxckJuJm7VzcqeSnoQOBrKKqerKyGCHeb+8F2oSMX7OPdqmMpDlP/0
PJi+JdRgZPupS3IG7Jyt3dJOBFQV68k/SdJHa7pt8kFO3XlVvh/fsAfuidcmuGr5+lWodHCZeRE1
f2njsQy10yjaawOUuk4yUNsaJoo+0ckv6eEX27GTzULiZSgyR9G3+cVvcB1vr4c5AP31QhDNkgEg
wFmrsdyuBSsHXeceEX8/Nd9I0gHOA69vl4uFZ55AihdUyfPldo3BNQSidR6eQ0IWQ0SyR1LtUXBy
J7ecsaK50atSb5Vb8t/RPmH7h2JhH7KRtRN/JykQK05lRAw2LZbr6tFk1UgBS5VWP5KNa3LScorf
HBUbi90wIk3jN53+N9iAjFgDLJIfxoHESyk0Q/0eLF+sjsk4dK+4FlW40Rx7oVS0sqEaJ1OLfJso
NHw1oLrxEvjJaE/e4oOxzujQsceEHHW/D7vWbXaTnPx7JB898Shg7RpvyGtVw63xVDH9ZKis7l8H
u7rgLTHW4HXIeR+Nv0SPmWHh+tEXBtW59N3e3HRV3JD/hpTW1Vt2WUX9rZE7p3HX5sSLOVPYjPTt
xiPv51yYbbi5MEnLP7OeIP7xUZz6UrSrn8BhGUPU5LQcwtsxxoFJh1KRlpspCHuapIA4jeKBqnuO
gT28/xX+Zh5hhPOrqsQBYozdorrlsLhwhjTLvnfrVAHpFpVvHni05M3fEJ1bnQL2tvR8aJb6G6BB
WftCnL2zz14Z2WeLg5VN1TLH3OBdBKyQa7UwQODXUrysLN9zXuPJnL+Bck6Wj3ws5+7iepMQdznN
3zzuyjKAnUBcIL3VWPloM2qIw+1lRDqJsHH1v/5UqgcWCSWAo76s1K6nuZujaojAsmHVno4PsVbW
noa6U7e83nnVkLcz8x82YrQZhdiP8BzYFH+ZboV6y2zZyjtThUm4czX/xx+1LrvgkxCpJ58kKFe+
bRzJbF0BY+EdoghLP/AQ7zhaE/HEG0rThXswWmdHTuOF3NZGoLNz+elu02DkHb+xhLMHBWuE5TG1
ht0djB6YkVm9zMMbYSm4F1msUn2PItCF+06zYv/SK/dIzW8GtveApaEunsCLIZAEka7f8UwO0WYa
rHnIRwPQqF3nFYco+FZ58uuwX27RdAfx3o39Ou+cUEUUkyB7E+E2qeuV/9AKFv9GEbmYHkf67vr3
zo+4TFilsPUIMWRz0f8xyLrYiWSDG2P1Rgk8VGO1pxXT4NZhKGlpU4A9H5CcQT3qbxlIGbsajD7B
E2UUKn7zYXORecWJkX7FIsrdZ1CGM7QvhtwzDBol7zUGlPFSo9YeWX20LSZ8vAs3JEtg9qweS8kf
2JshYg6+Z+HcFLMTla8cGPHJw+GvlTtvm5Icy2ssVRu8kgHzoQeyhiPBhw/S2Y7wKggMkkB2QZuD
DHgtsEJER4777glnRB2/ov1RweVhqyx2fWTFo2mK3J5CWAcXYzLvNU0qAogOYYF9pdviHLYuqzck
iwyaStFwWEomLv3t4s/1ZRmugZJII509NQ5S+nkifkOel7QIUYPZAuPBVTg5NyuWyJwUowuK8MEf
M4oi/XU09h4VCacmhd6F/6vyEG2/uKfKcI/PE8cHk0rIK1zXWDh/URSP71KyUaC6rZZqbuiotyws
OORKQhEbGfBuPgt2XMNd2yHeEwxLp7shcRIMgS7MPUkgLSGeqlDvCSBAkc4T5OAJr9Sd7yfDKx6n
9psZVqbfCR/zW8uRhWYlRIWQUqztP2JuKmZdVgskpGVZ8vxm6bL8CRP2mu0maAfjVkN1BVaCenDH
slehy/ErFfV2EOX1cRQS5toOTiN2YRkMzXNq+9E7BGvDnDotWFehpZjVUvflyocwbsL4UCUti4Iw
zhEi2nmB3pE2Q7IL0JS46orCdLuZ97HzHrLRjT6nyXnLCNyQpeicYyB5VQQt3/CGHggR31Hoss5s
bvyO17oiXyQ4sia9U953wbISMp6qAnVSDQhqsZXLZRK0UnNMg1xO50bS6H4lvRB3d13tqjc7qP5K
b1s997FkWezcKYjowSOg/Co4au52dYwtd9x7JzhebSYPvByMuWSujuUUJl95Hsu/MQ5iDgRrMv+p
mqih22HUPQQC+O0vaooaujap2mlx47TLO3Mtlg5bzN4laHFKUehlcg4jA0mtU8oCk+Q17ST5jdeH
sIQwSJAiXQvKFo4FCYxviW/BvlyRBvYhwXMK2XRA0903tsiKbYSxsDzW7lDQ7NkMv+ukdjvmbKfH
N+kkxj9lHNa6fYjH/zIkqPo7FuuuYafYCwNRlbQ3NueqfpjtECIgAUZx3wHgAKEDTs0IOMtGrJdl
LWHzen7S61MTjf1wsC47d7w5g6i3lLx6zqkiu82A7pcguYAOTNGWJkaXhaAk5LRLUcGeQs6RAERB
HY8j3lVdcB1ap7Ufwf/lMuWwFCRtBS1vdzjslxtOQkF+J0TXfzKZNuNReFEIA2HU8NgzkY87Ulo9
oRyAaQc/as3BkXSCbKjOtcuhGRNV3DQFlnfAJ17CwpObhiVfZORyTJGXmnuPE8J6G4bRHO6nVIpr
rUcxl91JhHnwmOo56L/CgtZoukLsqI+IufI9pTMM+FqN3EkqO4bBBkeedoJCOJNhXBICpIHkRBVE
Q8RxO8mzqH8KrFffBFFdOFBt/XE9eCzH+sdoXse/CbZXFAxrY6+5HbvM7rS4oq/ZLq272WFXf8uy
FnXD6cg3PM7Q+Om5IW/xWIu4Lw4eB45rcUlXBp8DnnnC50vhfHu+S7wNoSdo9pjxtF9sZ1gT9Qn1
YX1eRTYky1GQRgo4YBPRF/wcxkeY91fHucXRhD2kaVKOmlnkIMOC0CP1qarywOPEecTA2HvbbiJp
nVDmV0XNPo4COW/bHEUBc7XymUx1q3/ZMa5uwwWf1jZh9Z4cI+1HA7AkUD4RR0nJCXdrm0jxBicN
IG8Ypr0Fa3/Ei8C00IlRRFawAytyZpQnWF/baKmcjxwL4q3StVy2EXgce6A4kN7TwcE2wImSkzAc
o3X6WMkENQeceBCRJw2RCPtw98QDzn2hESRdn9QgOeAhbXYtZ6WFyFndX5HLYdg4gBDq6ZOeOjwd
HjYiDLFt+pZihPuFlihKfsOFBQbeKOGfuiZuHrwh6L679goLWQcQyUOSWP9SOiMv/2kVCxilsnNv
m96z+qdxi6R/cskvHjgw98z0NozaV69vwuws0bnrs8ui7BgUvsJRsbTCfepRD7F8eJH4DrzrlVLE
wlDz14Ud2BM/JuVpYR2afUQTScrJRHvsvj0v63drnwH1pheSriAkBD9/scucBrsGN4TcLfwK1f6K
Tg14xNPceWCCsi1v+kmVz8q6s3sMNH2bGwgYLFmQ1UBozMIlp8PKXDvpES05Qjccs1SGx3Tu9VUL
Gf31OcjV8odii+jvwJHoAgQyx58gKKs+jkrO6xteck4bobekf5Tus+lOeU76yAMHIBa+5QmKmA+p
deNPnPJv/q8E+XSN5QWJBV6l4vckM6qe3YE8yR4wOU/Ops9b59sZCfYKoar4ocqL8J2sR+d+oa22
8bNpeU7ipORV6NKbvPbh1gvddfryl9l1EI2uzoddng9xihmE5PLGMAFgkG/yXt0UcHjlKxadABIW
mqjzNa5BcAvZyip4gaVHWiqpNNBxHfrg0l3+AHpqSFYHaFV7Np7MzI6gf33B6Tdmd/xE9ReJzoqO
jbGXM+0O3XinRwieIG37eb6dvJwOuU3uNxk3ND95+52xF4o+g34cBYNDW9HIxcoVqzozET+L5vfl
hAdBK+DZ01C7HYMTuJD9gxIzkWP5BeogiXkGuOl8o1S8tKdaYtc9BHA51TnnhBeeXD9M72omyfUx
6Fc8H6Ncl4x+kFxkN0zBmLE3Ljpleh6u1duPWArW9egWYe8+aB/meAMbDSeA14CxUvWgOaW2fFri
j1UiwqfWr9T5mpFd991VIACW4T9GcKv+CssubTdjksIsTI34jgCgdyYVHKHBdXGWja/VbMb59+Q0
Yzvh+1LSPndxXjt7ZZbrhS5ExOjASeo1ExVF0BvDhfSNIOeIr6vBwd8DP0z9R88UOrlJeoa1u6aR
0XmlySK8YK5kKxhzi08fLDF1fUxq31m2+ZhMcGCsGnegU+ppP7K04G0aX1Ow2zoKouXbpukIjpjL
d5nWbSJX8+bA7fYfQiheqM/USbPu3/XWIQN/ndnuMLWr4Z5dYjQeOoYKTBh5zeCOn7FavifbahaL
qje/S9On9jGcl4Hs9jQn9OTwvCXZFppwfmKT4nnY7672Kl45+T3IS9mwgWOhhpZPh9ZWhNa0T/Rz
jvUxn9ETt4bKkLPbTBH1FmbiKVoVZd/toPXJh2sil3GJOsZgEy1e4zy2VJDZTeiPNKtMA7jFg2tI
gwP8ov99Z0Ine6HyQ3hnDL6Sj6GzuTkoKAKvywBPfwswXVKXssw56tsyy0wemsJzzhQnYVkRJTye
PUoop6l+ir1hW9LkSQinxNlEH0dZeo0FGpy5arcC0IkOPlu3HzcpbYockYz3rIOu3kzgs7uMMPbK
t7GA5yP3wQnE5BoaGAuLpj2wgEFhByp+BZ0JaiO3cgIt7g/9oiie8XuzY6nbPWYlceztkI5MChjc
FTUI10Jg68GX28aTM7uoelP4W/aN7t4mgt/iAcXXFdshyjycn/AJ77AdVrcKuOK6XUtyZZSiNaU5
06tX/vWAAmWHDNLZrS9VkYE98IflrS0HB3fzlDi3JSVK0aVw/TU5F0XY1fCxguVvInpdfPAom5+a
pJDdGamWqOxGIpA9lYm3XMHErmGTGM9YSH06LOktX3qGC4NiyiLK45jj6YkALbXV0z7t8u6TDOJa
P/Brtu2ZCB29bLaAfnaDhkimgMvct39Kjjy8M3Q0NltifYJiAsEKe8eLBnne6VNDK3dLAxEH6rQO
KRupsLX3xO/jjaeJVsVwcl08tkV3rmFHg/BhG3aSA40ToANZZu00VqhqvyKYPq8YA+UJlTBa3upJ
kkEZATecVKCqbIuT/Vo5Se9N9zxl2HeixDTOS7yQrOTxhtj3yPogeHI69gKPGd8Q7eh5yoonIL96
lE6JR7VH8fruGhqGN71RGmuBDJajY5viDtleBMeSJ8jZuIvJcYbA3rxPglBTlMIDuPSJvoZx+0Bu
1j1GlNhAqOxaNR5sjp//Bbkye6U3te1PbRU7R9NMlI+4Q6zOVcy+8WlB7iy/SclrsHZxtBZ/VOnQ
fwoGlAsfgdQfPmYcG2fpDC4VmQuh9XlwsuZiVkK5m0VVPlhjSa5+GxN67s9WA8NGBUvC+iC1swDa
sbQ18CcGsI7H59w5VDqwlZhR06hRCbOHGeLdcobkA389B+75D9ahxsqErvfM75/z+WJZyH3lQyLA
TjDV+qOu0444tUQzFFQSs4FEb2n3vA5VcJx46xDMocfJ2yhbwx0laaEvTYtW9egqQlDsLogPU4Ba
dHszlGAGEUBWjr9uPVFiacZ03afGQMoNWcnISwC89DGfqazb9nlefUxNXPqHmJb5gjL1NXywrTel
e2JKQ0hY8crcXpFynvDQIHCw0/VxQ5Re8osMErwbOCLTcN+xFJcbbDX9LxB0OZun9Ao2LDnKIYzN
BGicqC7p5ysZ8TahhZLwlBgXK6Fwy/6p41TmnhgUxEc4ag95uIzNibrRdn1cXMxZWNCwYhOmXt3b
sge8Tb9GHyfPuWxitV9FqVgLT+IfG1HDeMeV94cjtTnjE8WA7PIshowyK/ff1ftM4SQtiv55iHr9
FIMzCreOY3D/YE4jNmrp+brCsAcqiXRV//HGAgP7lpNdfIDYEqSvOh7zswfRsv5LfMkHN0f6VWDk
K8YB/qBhM08/t7+481GDn1jeA4ZZ90/q+UNxirE7sRQkvwwh32tf5zTEPrMGRUb8Nxuo/twhl83T
LTyMGJA8aaL9CnyfpEIb2JcRDggnrSS3yRfVfxLAjoADCNikze/pVLDc0tbHe5Q7UhRQKpeC4sUC
K+ltGhflv1FGWMwiwGcTS5m49MgoXKs1ya5zKJKzyl4Wtc4XYxGLtx0dtOnWnRpLQyI5swfBu2Z8
Dds47TbjMLXFsZ2dACJEsmT3SGp8cKE0XXqt14nbZAIBuFHpSmTAYGDlOYXX5YcTts74iwP27hul
qTw8yRrYx0mPznDsAkL6R1oJridDB6H9ZmiG6rQoDP5bW8uVTF/mqVs4sssP5p6mpi+Ck9a9LXSQ
7vKxi0EVa+zvO9iHIWnUCNYBHnsaG06uim1G+0CQUsXnNVX6j3URjwxQITrZMTE739iimR7zzoXc
mAaBbt4rm67ITCHJ9RfmekipjmRk3OKQwDomSilONOZpe4jWLurPps7D7sJRb+FfFE74D7reBLBq
FPKYJnEM3itqsN9mpOmHG+oDCc1ZWGMpq3S+sPd4KvxXKOsxCnFErAosTSbAbZT4BFdCGOrEdqOf
PrO4lzK69Tkm2692XZRzs9C8eTdGDUkkNo3Be4SJJdoWY0CzFgiDlc4F43QjDsAo7/EEUn0JB8BN
VHTk/smDo0kqqH0lnp3XUdFGdoJ4nsOjU6UW1yaDAACsO7LQQ6hjaBdzxWjoJbpyyDos+poacuN9
oAb7AElIBJhjk/E6d5Gm3ovST+cDiANqYTDgg+HuZjdWG7pkQZDywtUX2iuvPCvMucwmdnFgNPnl
ukNG0GqXGKs+ZkOFE2cY/Gh7NliED2Ip9Bvo3ImaScaAL606xOQeLzGPdUhrLj5+Wqo2KeNMQqPy
OD1DtKKKgpnUIbXmiv6sRhOpi8swfIUrTtIcPbcd7rlN8/XWVnPwq3QqpnZKOcb1UpXW/R7pIeq3
6drLt9FULVM5UX6KSHmS5lvi041F4Gcc2INsjN4YjjNqE0rfGSgUcZP7pXKn+G6sDS9oqBneW26G
5J5NdVXwzstr9uStMZdWdHRBgU2ZD2qFjHZXmaJ4WDwTZ9uhU1TrOaVu8zMvnuqhYWyl+dGTSXy3
sGYlqe1P/r8S+MbRk7bCrg8y8sAWxInOADAXHhYizR95mblmg5AdeXuzFlgw8w7WnMAJw+U0DM4n
aX7xO64H2jQJKg9H2n/qv71wup92oisNE1LKIp5JtixbILOZ9xhSVwlgKBAOTkz4egzDwrKl2I7e
hA099UZk3dSfKGrt2N5eZrrbxJabGgjU1K+4+TaSi9fustWGetsHQHt2nnGqQ8ciz982feEHT6jo
ld4vNDddJfhZpft1heyNWdVp+jsODZT8bWYKDF+4YFqKDtleMkX56fQeVR1HMbekRYrEd4Jp1Ju5
KfZtjCd9B/yAoPhIyPdvIOb4reJYSxnzkvc/cCVxi4jFWH3Xm04MHz6K316qWoesDB2EE5Dt0wcN
HvCZIqyMD26fY1qnmhnHDmStj4bqp2RL8gJwRMHTPkSpmqdz2MSLu6uEj0BSUdv8aAOW3aexnJbp
xoxF/AzRgL1BwNYi4X9dUzBc8J1TrwRNZ0MfBVN+m6RUJhIIzeNTPIQSK48gdHlDMzheZBhkgmY/
GiPffWYI5weLcQqWyyh1t4Qmy578WWKpZm/3idEHw08Ykqrcs3nKEdmzOmjHj7BLk/WGaU3PkEW7
BJJ6nK7uSfFNs/+m/M+9QpPC+pniDftgtWRMycmb3RBxy5pDT0Fmd4/UFd8C3g256CIyOxAXOjDT
KzU19W0Dmc07pup/HPsSx4BJO9j3E5VY+2RNA3UsAqgevzDpiwezcCjceTRg6K1QgLs4fVlYG1sM
IDndJIvpZa02PcCB6khMcCYHGTqe4OUVeDW1A/76NAtfsv2tzPjUgG9jYzyFRLjeQ5cagO8GQkV0
m4CVhSWWyEx7/WOcB1iqd/xtrXV4XVceqwt2nj5iKC9EAwIprmk6XsEMcGEXM7t9D3PNC0QF0x3M
YuInDpZBt5/Wpb3tx9qdd6EXEF3vVg4kn4xFeXZENZhZhVdiPCc+0Lwdhw0/2ddTNL61VjMe9Llr
gA7ZIjx1kp3zXigR/SEjrHk4al4fm75txUc5i/gW9GT5GXd0WmxoZNHU46lo+O7Ufxyd2XKkuBZF
v4gIAULAa86Dp7JdLrteCLvsZh4ECAFff1fet46Ormo7E6Qz7L22oKPWLekKJN+imNkELMjocNwx
eELLmRCOF7ZDtB/7oWnxPLbl2UdkY05L287yyHiGoCBKSBa3c4nQ+khAQ/uxEtnpvAuxEK3uAMWr
6GeS6URY6fwU4/FFYOHosv10HFS62xjqATWsapESkrnnMPrI+tr/C8V2Lc8j+QH3A3yVeeMly/gf
UItC7Vbp45ZdFYbuE7ETVu2ZnrX1ZbLrzbkAfwnVKqFvMes9fOxo3YLhX+imwVfWaZzekTNWK+46
0p6zqcEqgUm1ys5Z4zq/MLf3eNIiJBd3xDEk4kp9nqCEXjxtg2NLZlZ6JpO32sGXRK6xBXyU1Kc4
hkdytf4ChQYcAUI2yUB7S0dTZ1c2t8uvJOchPeHmXLibVUbAZx9whSLpA6NzoLJHHreGVgcvuOJI
6axTk/l73Ee4CBCqWgsZQxK8BFiNziUfmJ8DQPdNlu/DsVKEZYApWuZbC4G9BEpJv77Hk7HB2RHV
kP8ryxKHolP3Hlkr0PfR8m2oH1cqe/4cmL0DG9ayd3cFfg5/TyoUcXuqlTS0Ne3cCgcCdyBBUfzF
O3xVKPbhQ4x7qv34xyAjHVEfaxZBraRd2AS0/cxx+ir9k/oNI81HxRomeSEeDpsljMYY3yYvCUKY
61INnf9DFbIWh4kL6qcl+uajG8nMPseRBmZlWdCsCBs8tiY8gU18wV3RXwghSJNLpwf3ZYxVzWvJ
tsI9VNip7IWoiPk/QpjFv4YpUHV7Yapoj/dGsQQdo27d9QIgN1pCZ3iA1mad396EEypZcqYMzBtL
n0Y5zZFsMR0rzWsNX0bcJymz7O+uJB3guCBJ5DOFYiXfeQDxXmwHQE/JKePL9756NQr3vOSo+Zhv
dbNTncLQFyXeVU/+RxOt0e/PfEWXZFYEx+4cV47oIyVTuG8nKCjAI949shGSoRdnAFj4iR2kvMnJ
XXgoLwlmVxwdHuJRTiQP+HwSCNmFBLeitt6qhFGu2XkzsFjIKWBO2MT5TsA1ZnwuIZFkjrrvQDI7
V+68bN2nMaz1PdQNpZ5dV7N3xu0y5Qcx8RM/oI5GnGWHoD8rx1H+eQ2DipmcVDi1JkBdPr2ME+hD
qsPqgec0IdBsYkoP9LiEPxOOtdrnwLEkHynL5PkiMkR4zIiDKPxdY3GAE1f1oc+CuDXvIu+8T412
Jn4dMCfCwWdBeIntYAjXVUX4zDnvEGi2WEatoAmau6mT5G7qtUaqD8AmPg0sqYixd0f/asAGz0dK
TJrtzokipovYWupdEM0yOCAxCKs/fsHq45xZSvLXOINgsjFjmql7kiUQQUOUVjnqgqJW2Qsj2YDm
vWRQoI6jBtrNaLe+cSniADwrpPSQ3c1uTR161k2oCTF9QWAl64cVTFV+YJKWfDUtjFIsi8jRDvVI
JOa2di0LKVokYvvmsJvfnXWa37PQKufUBV0o75mpYeVDSlnuehgl343pJHJGVfjgXAfXdTY11m6L
tlAxaFrRKpSbZRJY5gtjZruvybmJibGSXXOS7RpHexCd5LOA5uowhk9EIV1SU0avpNV2DwzUWJjE
NzX+DoD6UJEFhNKae6fzP8KC1PYNRfQCKDQJEDCu2A9IJpOCzJ1IJMFfSgrOmaGhPjt6C2OMTYLM
AcFtRabRsY4lWfO4PuGfemNgn1BkR9XvkGHeLUfYeFd+rcXnvEREsiuTGOym7wPujatuqT5i3OsL
2IEun5xnNTSIX3IDeQXrLyqONyi+Cr4gdh50+BbRgNr3phjya0KwM9JcR2bldemsbD5WRXjfJz9U
n3x2gadD97MZ2KiesKin8aH1B/9hjOhq8IFnqbOdSkgXF26hFSQlhSH/T1c1znMBwIqhzdrpdXyx
rWhLNOEGDMHFAC1TBxMwGLuwrzDLZ+aV0/sNbwp/xq4T08gkETvYDZlkkOPWaXbGWh06YIG7EG3o
mE7i6vRCRduZCMLuTlUT8YoxgznGyrlMG0sCGicqbAtwdNnWLfvo4baLQctU5DW4SQPla4PcN7wW
XpISJA7mBjE8EeJ0ykikoL7eepp2WsPiOEd1IfdE4PBKqQHyCzjFVk0vTJ8jgENLzIkP08Sx2zlF
yYYCNpbcbe2YJv/wtUzxr67nPr4r51Xx+Sj+bPxYKLMMrwTi9cUvhWrnptkxbkItQVgOlmZWnOcG
GBZ8PnB9GO6LJVdgrnAqH8I59mgiINl3iP3yJDm2KoPYv3FnPieMFTlo1XVXz37vkRIeyuYP7e/8
Syi/caHT5rgTGJupi2C95NDaOxK5fFh6L0RwrwR22Qqaxx4/Y83DzmGLzSbv2qNRWoe/ZZzTa7Ki
XA94s/E+aEBAI2Jw9jfspCy7/Tz0wt8cumjEsRMr3rI+NGQigt/6O0yh953BmENtxAEKnDRmiIT4
Qog/GeNYcinREZJPLrrg75yXRFdToBAPT+9J2mTSkcYD8IRL9AltEHFevtv4j3pRAbFqMMipItsh
5HTb6ASsD170HgiEV8a52C+InW7JJyoQxxVq6yvrZ7YrDUrr8qgYdCAOS/+fiwzJD6+I6T1xkbMX
FzDpFRHNfU19w9pwJKZ07Gf5F20KCBP2aBgPl4hpPfhVHVTXuO6Dg8/ogmwXXal5R0Hpcd4SSIfe
XBUzqzhjkH9xKnXQ2vFMMJLm0k62oDbSn3wUmtTFdoI3Ha/+t8mJ4kurJP+iM4J1gTLxG6QsAQ8u
xvGzXzNA25BCXjhfnM4I/JOBh3BP6Uj+Z+W4IUKzCiThXdtKIHXSN7o55TNaWaRx0MsfMprwvzUT
rGIX9mHxKjr5OJs5rh77YvbuwtCU83bpA5+gmCWE7RgvjvBPWs0S/gdLQiblsCByjggUnC9076M6
sHFdcyjrhuKnqpaC+rQeqLpA/622wZNZ01WCLkIWCNe+KX+FnTfl98Zby3/u2kp3X9cYHgy/mUMz
tKWrX7/KBWXhsV79bt6iWSV/OzV0iheXgeCwbUK36DZOqVqEEE0t/vRTaf9oV4f6UEfWjfd94Tr+
tU3j5J1nYtJH4KZB+meqoHRvQ2dgbB6Gi7qvFzqNXYQKkKzouUvJetKJt3DvJt5rHFkS6rp4XKe3
Xlu4nDYOxF1LzEm9g15CPCjjMH/eta7M3ppF4MfyS9gZGJDYOsa7OUaFtxXzMNT3OE5a6tymQcuz
uIu4iiUgsbrDjgoxI0qNQANX1FSErwI7oHieMGblV1LSuuYvw/QRWHSfYaBaeBLnpHqmH07fYfIx
csOgxaTLhEkqt0EqHAyKaY0GuN4NhA8gvWsVcLltn7XOeLc2oem2C91Q/jIFuucQm8Mg3sUIz3AX
Tgz/YJ3hVJkRH/c6qSSHuhEY5gbH8DPelCdYVRi7wofiAZ/cIT027YAltqvqLgakDrCpY7mh04KJ
WtHh6tGdZWTZ5Mog/7VO5CIax5tHq1ENvtuKY0aqiV3vsSJnrGm1gwe/f/K6XLsH+rGufVsasRLf
5fvdGB/KPBkwl6sM4/KgMD4/1500fLDg5iBRID02WDBZccfLpV8RNx5mMnPqex01St0V+cj5eHVT
2RKvgn47mmDccc5JYAhdYI4s6435Yjs1B+8Je9Pirc9qFM7koABQ2LoDyba7ou/W5k4wwkdjVjPX
hR0WJSMMKR1imZ8YrFdHt+GPv2QVLii4aywwkO92JnAuhWF6fVxFneVPukLBuWEMoPmPamszyHYp
IQIo4af+bnTnav4o0tYjhc1ZJOENomq2cSeHK4E0cn0RwOf8SzdVEKMcd5nCs6E9njc5hSkZoqRU
MHlo1EIRLDVspqNlqfCPrsjiGChDF+kZpSX6Ki7pBjRQCkuI/gqk6KVn0Wq2ifG9la4ZzvbOBfsJ
HkEJ2+zGFmXxLvYcUz2LguC/fqMVCbr3/cLFhQhshOJ0z1JCmefC84fmHsHBMrwFlp6YiWeZprvA
mfES+shzAZqodvw3Bv6aPWCl9+4a1/SviL9FffK1BzJMYRERjBFaMm0Wn/qwajwmRK3bCPZDuR7v
itkAR65sMqNA0dMNE9ZCj/poCjSzmIPK6Kvk/bJ7aKOqIqKFQnQzZtDFEKiKGCw6X4wMj76O0Xrn
8HnVaYnXgSUctWK1RcdFIir8ZjxKcR6Tucg9SNHGVsZ293Pr0bw3GsI0ebszisKSEJb4XI7SRO8u
w9w/LXpglDBIc+6zqsjXB2eaRP0X7kifPxGDwEnA3t+uiMT7Kg5fDN2b3gFgsJ/t4FDItwGVyQmV
fPKOYrg7gzBDi49aTvDS02TdTbVG2zjeCjWyHZlDvbKG0OEVyi5uA4Ek091aPbvzyaA28Pa6dkf1
lPHwYhOrwH48OIagh93MtfcV9Yjsj54KTIYvkpHjpncjVezcpqviC0+0fgrA/t1CG2z3wb6k6neB
okMALzIsl5nvW2xtwLj5TqM2QMsBkHa89l2XruYUmNWtv9cgWpwL/4ewfsldPT8R/zqLO8cTwR8q
Q1lXRDjPBQxOkA0oTrZdMUTun7mW81Ie+S7KlPU0psKAeSM5p3+7zDcJYTZh8ZazYCVrreTlw8x3
o6q/sMaMM5bicTP+Too07fHdez3WSvh4lXsIqNCqe5bSSfKXl3f1IeSy5kfRoLNU7Og7b2b+sbZk
JuN66sMaNoBXFJ9jCcXzdlbSFxWB590AKGUQejsvqhj3mSoZUFaaPJf6xfKP1bkMOIU5Q5lHy9d2
HedLFhdwGTR3C5k3RYtvuVOA5CEHB7dHrSzUJ82ZHP7U2E0vPGEWbf0U4dfyOkV7SKy6BP2bQib+
wp0VyFMYFQTVZ+Duuz8V+5SO2Cm+dRz+i4v8TMMdPHhox/8EZMY/IHAgLxAA1mAPxI15I9KLpJsZ
kIT1yOAqkm9wIxW5bdXk+L9R7sv2aJEjuefyhgWinCLT6FkFuHyMHafqVEFEz/ZF4Ha4QZHMXW3W
pTHRSngv9r6LH5DSxUnOoptxHg1rUX7xkvd/Ld53ELNK+O9slQinW0AlxsdMeSQ3s1vr3pswccmx
nYb0bdW1eYI9xTy7xQOB6I10aXwfrZyaL6qy2P6Ujs/90gVkY+5S0+fzBctJ/dzEJvovg0liCWb3
bIRENgKXVWRjU24RjM/rWzhL7zwQkuZvHZ/Obzsyp+1Y7HAVHVmzJgiEGwM6JW8C+dJG/VLiwQJT
1bvVrWLq3NpnnXHLVUeJXswMEckaPUfjhNim7qa6PuTjrPqdpTIjDxJMO7HCyI8J/Z07lslZnLYI
Z/qciSbMSiSO1GZuT2yJ8Q6GrHJnXwZBcO+VjkEJsvrFI9cL+/kp9jwA830YsM5vZ6XDbe5wOh2I
VpmjYzKHN2A4xO1i/JOUNwRR1Udpj5pHYM8cUjt8lm4Oiy2CKoQNmIiECVfCwDTV8+vXBrkO7zmF
nNxY7CugZDFNe8OzNTEigQ0K/NW7nzAY/7fm8MO3vZVOua0XJjxgEgjIqUG9pS8uCHdUeSJe3tj3
UUEDBnSgRAJrB1qauy3C3tA6P0Oh86us27i8tGvaZSdHpc19U5KejRVQT5O3mfPVJ8BbMuvZTdjM
PmZ8c+klV2D63qgciqsRfVPcjLVxe2+JkxD/lsAjjwr3bgKHx/H6dx4bYN0p1gW9ZaocwDxSRfrm
u1hujrr20F+eoX3X88eEYwBR6xzE1dEwT3sGGxh9T4j7UOdPtSs/bDKa+Z7sH/I8Uc1CcQbQ3xIK
NmLN30SZ17F/dJt/eC+ie/JykTX4eD9eQusRQoySQorHyGEUps/uKla2nlBZzEPjBiNhMqKv3adg
nXP/GHAbxQjEHVn23cFMZWU10nSiFAxEMWSFVPBNEInlGlP5hXDK3FBOGzDRpUOzwmKfJaIW0Tde
qUjyQxACfUKlM4VkHiPY3dT5wPgBl6OFkSOGBRN17g7Q7ZtFgZaSdEv48Go8MFSe813cEc99kFZE
F3ATydcUwtncmcr1u3fqyKkg2J6z4tODnPEG28SQFZI2P2E/2WMjZ/8No0b4k3Ejk3/h0hHgHCev
i7TzhxjFgWVAAyAPuwoUBfrraTnNooDh15EK8oZSm0Mfmx23sU4E+5FQe0xpMquC5Ao7eP2LVmX9
xKzp/4V1zC/jRSx7mOthtDuECItu+TpY8XISXtbTaigZtrhMMDTFlILv5ES7K598HM8n4jnMzT9I
c/7INLlQT2iqGoH4hYpL3we5p9Y7EIbOssNDGOIyJ1cFIKB7g3H1DV0S73YILbBHbVV/6U7Z4dxB
bYJ4EPpFdU2AXDlQmslKeQ4Ef6rYJGg1GRGjwOf47JDb3kN1LTEbTn34vHYj0RuI93NirA1uN94G
YpFzrtDffiecb+zxrn8KgZaJX3M2JtzeaAxIUsGt1u56v66Lh5vm/TdvCSEzQ1EtW9g4hceCdilP
nqtLONZlQmbXPxwuSELHxJMnQ1YKa9NCzncqLgZ5LkjmBNRGzQ/iHiMSkSt5zDK/fXOqoqYRy+ma
CbTFJr/3p5oEHmkmbwTGltnu79x7fbjztTuuR9a55XKJmGuxkQfD3HyjLo75IAre7/ajVtAFj7gN
fHu4JQYtb0HpTOO2KG9AUJAXRIyw7NJJ/OwXvOdUrlLhJMP0D3mJcLVtX3ZE1m4KFCwb0To6fkxT
yqmLiutBQ+dFiZ4cbtc5hJiKeC1PjjfNq+96rw1LtIzd6DI0W5+0dW+7ktI5vVRU8tkBuJZ4blN4
nBtx+5YZd9ZjfsT0U8aMOFpO1CodLfoiW4s7IaL6RPYkARa0SKs+QfNBPlBQ2n8US4jFIeakPU1o
X/l9EaU9QalRyRdAshxHTao0JU/Skw/I0mm5Z6tBnEWSBQ5AzCkA3xVx5P623oIUz0iXLeqs/B58
4+gse+H52n/KlmnltsHfj0QIVfXrmHkL/sQ11/eT4HqOvc7Gh0y6TKZY0zYr+t9KEnqLEqR/pp/o
sfbiLvqJau3rK8EDlgCDOTd3vPd1iFpXdK/INUj/RuVB/9I7pU2gFC4m25s2CB4LtocrUE1spHmv
16+W9z2luzLAjhnWBy5eTtZ/4FEA3SawFPDDkl8QnnDisBmHLgOIT9P+IcTyY684+pw6zXmgC5v2
PfjlxhxYqeTenu/VxQKf2YiNU2X8da+Z78TDrm/Zv6gjWo+R81HkcCrdZ68s6PJ0HzjOcWz9pT8G
3sCn4OVsGHgUU1QjhbOI30YGtqLZctAndIKZ007keRL+zGvVJURDEeWB/ExD02uAY6O8svPAK8Zk
tXpGzrgsD0WH6YpnGbZta6aOy5T4hHtWpIaBqOF0O4JNCD5ZfTCUnumrx6Nu4NCfEVKiu8pLOAvb
AP/G680elnE/OxrzRDMN94VDgftqGDWfemf2RmbD6UjVOFYeEkCSD1L8Q6gcxot1uDB2WGM4Oglh
a9KLIgQXgv0QpY/M2gEDWdw7dh9Gcp1/T8VIkAplQwazLiWl8j0qRXUfp9ANiGXGT4ONG4H46Mst
w1KO88TR0ZdEZgImT6Ps3Q3MyxkxNJn5taYDsSdMHqILcRxkMnZlkl7d0oniNy2MOVUEg5QbFU0I
JogHW9CYxWRH0Q/afpWiOQLy9OwdO9ksfIaIBNaXKX30ULuC9KoWx9rPmtN175BVWrkVN/PCSdXZ
DOgoiOnCHQStFrWVL09dtoB2NQERBBRATRQdqF+MfeyIStpXNOjhPgXP4d8NUdzrfU+6idxMBkjB
oSw8Kq6JkLXiPMNK+9HpjO4OkyL0TcIC/+tXQuVOmQphfcNxIWblxEoqX896slAK84KCnTdZkq4O
O6tPjyP7HBa9oeaKfuhQmYQ+38bQTaeyHIa/QzGPATonQp9vUd9AHri3ezPk3R2OWh1NJ0VE33Ap
hVe5qHu4Tt9d3eFJqC0kIoRauuarsd7MvlPjZNwif4fq2NPGfOqwKyd0CIteJuSaQF8+ElG1Rxhj
tXiTSMTLZ6geSf8wQ8ciohV2P9hBQIzqFpyaJ5jvPBbSzBZX+Auo2HASbzSDtuJF1SGahJBw7Yh1
fkZFXFC7414q00E94KQgHIgNwI3cspI4tGxbb2DLUJbTcHOz1CVBd3nJQFGvHmSNIWmcs855WZkF
VczOibcbyb9Bu8vxz768WljYJntZRQ1tFE+lTIqDlxF9CbXFwCB+LmvhxjcsizPMzzHCfcQXOujq
cVMSbLmkBxqMSurdurTx38CpymynXWcdfnfEuZW7Cp3yA0a0+SV3ksJucMEy6Jnp4qPtAM74vmEg
+Vz3FMpsLAd78SMf7WaAnf85ddKcbsaS1H4gSrM4h0ipl2MHvlZ+OHTrBcEtaIKK7eQUKcy/Na+A
VQ7TsH6s0iLP3fJyV9B1hWc7NLXAyb7G3NS3UKzYKv3gM97iPmQAirI9CsoqYYmK0HQZN3XSoXIR
YQ6kTWaMiB9MiOjkGoGWY09YJ6gmd9x1gTwQ1O1ERFyQUd4+cAAmEqlnGrCVxF4PbQvdOGiUo2TI
FgUncFUgQnf0b63xNh5rSHDuqNvy6l/ko03jtORcRp1PABdUtZI8R4SK1AGZc+fo2VvuTZMG3TfD
wJnpTeIKhaW99XL32ABFQrtXYXPHNg8Oeo3GPaL8Mv1s3Sj29nLO5vTqAWAxxF26c5as7zPX1XeG
Rm6mjBpE9YvEF1wKuw7dyEyxO1TuQ5HHN0cVze9bX+Pee2Yb6cv3zh8d0B6enNz8rhVrH+znGcjL
HhFxaX4kPYRMWLVmEDP6ics3eGCbG9QoHNsEuC2Vjp89RmSku+ic8qLHglctU/+Ax3Mq95yDVfMI
NkqiMIR7l97lAYKOp96lwf5K5gEa1N4d5JywUkbsmeGgZ0mj/gWUE95NEJxU7z43G84PwxTrEgtA
zO8Lhj2E8fXQiZy9W8uuyFpWe93Ow8od7ynyIeLwN8Ig/oxns6r0VWJ6YKnIiiUPjy0L5+lrkJHb
49fNOudg2165x0iP1MwrrMAMPlFI8MZuQCcWk4gVJVZgpa4psbaeQ7AK2+8sbO/QhscpiWv5Klm4
oHWZ0vPg9oGA5qWVXb5awoTD4yQVK1IwvfiVP8qCuhk5ppelu0m23YLk0sb13VxqryU8PaODnhLI
IF+uDaDbWEZRI3IILoHkERIItwNOPpdVVpwJ58Ts1513GeDx8BBOHagXaM1R5x3XYu3nB8C0oWTi
BjcHGZCY498zI49qP9TxEh4Nzpvh0KHYLuZtHYw1sffwb8QLgULEbTKc8vqz8LuBtOFclhVnHkYf
H6xJm0wMnuFPOiHx4TO9GRaL1cuhCyIRQqkfU9+AyIXScAA1qJvyVIN+kC22DA5DItWm0OWtJU+o
EJuFjXn3UY7jqF6VRj5LCFOvyCqyIVGY27awmT9gMKejZX/MJCzudmGB4YR/ybbiqzFL2Wzx4A12
M6eJkB9llPVFduW9CX3M0iVqfZwDDSfqP561mg57JX7mPhV9AspMsVLfRIVWkDF7SYYD27AZ6hMQ
IwwHNMwdv0vPvf0+M/rw71hXlOJHNcjt0efODkhjFNQyImCiZBgKyZhEcyXQ0oNyDOXJ71Ljoztc
2ChcasWg9WRllN8skMLnUCc+hBwsHDUI80ZG/tsAfcffijJu+kb0wNSPWCMvMiSkaNApEmzLwI1n
rfM8EoxBUyUtz7x0tVIKUzhr9fsQHLl8inywOgbOLpQn7KFtZp4N1ZeOLwyzB+hxW6ygOUyeBg9w
lT+EYIRs8QCwsLXRoYW8pvUeM7BXg11sRCiiLSh9zNMLeQgWSXtUrNOhbIqw+kgoA6ZrxIM3Hm3T
k1dRp3Fu2aI3Q3yaZne0x064pPI5g4RhxNQC96t1l4XEpRt59My0f5zQBmeIO/uh9mCG2SgiVT0F
AbavjZrPFa0VElE+pHpXI2Jjj4xYgXlZUeXPyGc1Y/5gKkk70nQN2wVzRLdrGkr+nWPjkcqI8QXN
WtaQWIec2tsM/jJmJ+Y1wXIKWfyJHRstgZ6iyOKTIGj5i0OeGWNdKHnX+iPBtmgt/uhKeGYv6rKx
eMUHLF0SBwkjpSBBRIAFgbFoN2fTmdio5GdofSKWuyCJhh80I0HwSWfjdnwlyOK2Cm1LcCJwWdtf
SOqIwjGzD3KhLYY6PDDWg4tc6sHZtsStse3zJ2dil8eBNOw6jH4W9wmRyl9lZNsrgpECyl650kS5
FO3UQ1Uw4/xIPRxuEZhSXOS6zK/D0LfxFRLD1GJxrhC3pQTZe3s2U1RqYZoSYxIWOQ9W6LQFks52
DlbORHCO6Huj7N0Z23w91XAcB55tt0muHAJop8YpGv9lLB1fRSVmNr7Y0JDPuy3lcCNRfzCaokxg
Jk6/tonKqA02Mx46SBOL4h1wwKASuRSr+K8LOSB4WnzqkD3FjUJ/Qn+SXUicCadH9ONFfh7iYBTX
cK6WYE9aRPZ7mGQUIQmmBbyHaa7figjF5adqUoZyTQBja4f8xU8PXek6f9MoqH5GbOYN34Y7/DbO
uuCzIgew3lrkX18QZPD9k83LBqFLbpmckxL6GZ9y7Z1X0tz+VanqWvhOUMcR+XVrTopgaj22fIW9
DhA5f8YJYRiE0jhef5GllT22YKCWY1LXgd6y4L0F2rQibPchCc8Ez/Rhc0J6nMmd27WxZgSK8vHX
6LFqOow9UVWP68hg/4VlFckcfD5Zy2lLZNKGfUFwpEMCoZcN5RtcBf+/oM2LEzpr0Pe4ufJXqU2q
L4Xy4WGQvQMrXUWOeFjSCTswcaP18yTk1B5qtbgRqUuxJF4P/K3eSJUPL7qZS2bTHEaHAsVzc4zy
Nn2MJJvt0+Qz7CKKp4rxqk7ER+6dQSuIUjJLxMYPmT8/Zk1tFfhxI3E8DGPEPCYtnK1yc3wJghlr
eGbEMp9Dx0XNZGwo6RKaFMcPudD6AVYvETyOCrGhumiHCK7FL0M0RaycY9MnJGWUCAVKhs8SkRNO
Q9bQhI06T200QyoEdlP4G5RqKVJN7E+30xqn20ErXuPPJMXdtgsTJ3hGdgTI3jQ2/aVrUXxLpxB3
DVNy5nD/J3c5cYCWv1zX24GIIR+lYr2McNnHgkkaiN7mLoBdgWhsHAQrTNzfMblIMM7KG8lwvAIg
CNGgDSu3jSpr+891KYFD0g1Ab4Rtfp6IJ7iNmbAEog+cJHldzlqPO6E6vVwRvKfdHYo1fBJzkX1Q
9C2KYK8ufTUYQIKLDTJSsLA7lH8aZ+y+CgLlvwvQm+7llu786vToMLcsGZuL5lfKdxn+cqY1Lhkc
r607xG8p5+hzMJddhfyLw1cgzO/Faw1mtzuT0DMdWPvxKUdJSDih3wV2G6JIH6htgMnOAKGTL6ZW
PmoO0GXVUQSF752EjvJ/qxDrd8RuiRRGsxbHGKotVj2nEtGJSm9hSxnz25NaLVL8q7w6MT2usOGu
RvtB3FcaDHcjdEHJcpwnhbFJG4DzlCUjM1KZ1os1UwiUC/X9PUqrMT3zDfqAnF0E0btGBCV7ji6m
oZudMgHcPVaDex0xNuYb48+Yrbh5m4elz+2EZ8G6oIo8t9n5K8idu3Xt9ZuJSvOO+RHGTuxEZbkP
U8rIrRndW4OYp91fzSwIEErOjO2jcabhu18Fbvx4tAQkoRUpVHStvEZNX9jxmM4CJFZfqV14KY0n
9bxhtyd+iEJdfli0NuZOrwkazY1qkvSfi4KnBF63Dv4pykn/3rRQeDhNkch7B7TlUXNvdBQ0h4Gu
zt/6oQ76F1kn7MGJuosPfp8Zcj+Id729tP34alPQLHu2qDe+IBoKQpMo20lVAwpDs1s0mY8NCZ3b
1o4SF0WaZd6HYhsc3A0khM2vDZZqSDd+VhPli2YJB7QzwfrxE8c9RyauiHgpe6piNSZBc0VVRm4o
FIr2X+GsDKNz6vqXqJXlO/ay9CsBjmf3zcLdjZgjpjEdpxC7ey77x6SjSNym2QRJvR379APcNp4k
WE6KzVybaGZBKTu8TchYLUFos5pdEPrkYxFeVdXbUmL9J/Q+vAUVSkc+o/1h36hywplnIrujp9pV
/jcUgQn4uez9zypDTnLCg0FD7LdofQgAW8K9IuKoefTxkpTc37koH1yBe+/B5n1wQ6MCRcBZFWE5
31VBtJ4hsc9wC+sZjqKo487f5bOLCaaz5SB33qANvEzkheNJT+0M7QzEhnt0YwSC/FQ1gUYjfJJd
htdYbLB8ROaX7el4NlGPf/XSDkFxagxNwnXRmQYa3jMA2Kz0P8E+c0xBq9Do5UxHIVEIE++qnAcr
8WaEJ5HQ8+xxnfrTH6aimXisO9YI/+G1wby9N2EHgfQwobDO03t2fwRLH9kz+MO4L0KMprQf3hQU
fM5l+uLMIsghNMWJ6e8aE/i/OcTDcB9kWTFsl7BKPwZsFMP3umC6lntGuaO7VRZDNyHe0q8/dVap
qxnxFOA5QUlQEwyF8HhXLtLoe3R4y3AwdmnRE6KIceZdQCWW8LR7DtZInTC5e2bFi00iAKCrN+VS
eTHghtDr/yjgr+0Ra27XPizYRR28lAkQ6C1criZ7Ig0s9xh8r8xsEN0sKIrZm4J6wHROSg4oMlVt
S0eu9mo5GPPTygGNzIsowRRjMhqjM/KRkV5ShtMtfEDFHBr44KrtGoj5d7bGvcQCPNT9AVWRW+9d
BInPQYrzbBfWZAoxTXGq3wWpAd590imKV+YRqE0Z7PfyN0M58xPzAlMrR8FETOCsuJYxBCnBMpAw
2y1Pze34D1tdH1UXTOGpc5kss9SCa3Nit+Ol30R+oYWEYSjVoe0y1N8hrt/sRKrO4rM3l71orkFm
RvPNBe/l95Ai+LwKXHw3sk4rX7xbvf6MECJN/kfamexIjmNr+lUKtb5Ci5QoUY2+vbDRh3APHyLc
zGMjeEya51lP358SaHS4pcEclV2LXFRkBk0URR7+5x+esZ5aGorTbONYkE4s690iIw93w4z/F2dc
oOWVrQI4l1Sx3cGdwinaBwHE5VXVjCjNuJDDY+cqb4KrhILLi0PJiF2Nk+psHWtq3nUOQUk8Ke70
tBYy4tXjz6FGtcoJgK9UMmP3TFGEFSSODlorjVtROT1Q9UiyAjRWUXc4PqpfDa4d0ydQDN186YVJ
EByQeAV/yDXc6yzBOelxiCh9jyUyCufKCsCGYFDlA3r0cO5XU6CM7hCGShc3xQCfdg2wWpogRlXt
fbaKsTG34JQmZwORlcVvKegI7mCvKYxPwzwEAbUw93yG9N6n1304gJgBx3gwnwKYnfajBf/0tUMk
Zt3VJBm3O+FTYGCsINEATQmva9eT5r5YSNTjUK1R/IWkatc1nJMfACSIwUkOsD/BBRwFBvLEG8BK
Nfwy/FJmenqjrpj6x8oj1JnYokGoPQQ4iY7IKG2drSCg5+VdwLU5viXBwY3vy4Lez8bD1ZCONQKQ
HGwHfrmFihNtIKb80sJyFfxbY84EHausPOIDkLA1nwqIL239OGbKj790SR9B+ue1sGlNMb14jhnP
Nx4iR7h1/YWbxkAcaSCCjAaUMbeEU1S23zqHEtXKiLNFh5CdP9GWd2i1NzU/Y49r9BXqqE5dAdSJ
6MCRJ4wHAPPBf7KDuGquKGNIGxxG10JIbgmOlEw1dv4wQs0Ot0vLR1yZCiHc1okgbnGnpptNq8kk
l8S30aD7maI4pcxpiJ7F/sKo4RzZO6DpgQpbEnCkb8oAFc7WUVGT/cClALOLMXSjY2UPwXVtlAYY
iSOkJODD779KB6ADzlw1jNeijxGK2cHg/PDjZm7WNbg0iUSJwSHqer28d5Ad+gS0s1Y3ywnmLKCr
c/AkfkPg3ZhH0f8r8KqBJYQjZ96I+mruzW6xsKpQWZkebE86NlNS4jSg8Setcz3f+C76JiCvESPJ
qtdmhWvgQEZPAywUrJMWfkqd6vGbkUfp4xR6YYiaKlQQNmFiY+eMUd5hLDkf0UnWwVczxAgGcH4w
7gyUD8iXGj6oNXw8qnk4a3a/xPJGL9Ct29/RUEJGMmDg01AuI8V/gm0GeLoR4WNOAfgTNTa6ZAWZ
2KeFjABwo/wOfSTsb5jJ+TDrQ+IkcbGpYNsfofXT24uccSB7FvHhK5QaSYgQ+SrXjiLSbtuDi7+0
89LiaWQ23dcs0juMDsE106TQ3QGv0fRtnmWz+KwNvrEO3c56xD9oeBqk376SY5n/lo2dfPfJoL2R
cuhwdizh5a9GDnO0bzCL3sBGIV7VU1WX2xpzBmPrZWl89LocXzwB/fk1Qrz2bECND2E3wz7ZDOgY
77OQEK2VVxfQr3B2q380CdXKCplv8RVBhfzqmZb8nUTRXwlOXeeuZ53VkLM7pzKxwxQJcYGQj2ne
BbnYsNTYF0eYp8mGJnJ2qyFmYodE9HG1gsCI0fKAh2nOplchapzsikQjNJP0MWKffY2kFPpGmXZQ
Dkk7Zr+d4wkVRRXCXVvpxuRGwG3PSJH52cXv2i4bZ03CZv2LOquItnLI3YgCJsfKM86le9vCOTSR
V9k0wnVR8qwVgTcR1wrXS28cK21RG7FfdQRIwVvVJhQV6Iqx3+/ZDLJfQ1/Z342B/XZxCc+Mm650
qh8uHT4PCl+WkwbrgcdvAwM7rG0329V9awn9zJkTOFek85HpMEGbxSEjZ55WHfsqtzcjcuvrGgQU
z78+SJ/rqiGoUnJek/Jb0LPdCjouv+2mM74MEIKv5qqUnzFaXix38GpqaJklIXwTjvb14MUy20d+
gDJtClN9W6ez9zXHGqNbd5g7QG4sClQjkaRIgQSC5tejIfhgwJmprodMy6e+b8PHyhechYFNqBZO
BMF4L5o+x60DJrm1CnEsu0XpN383e6rzdWiRf71yRm7hNFgFMlu7H8eXwZwwz+QyStuTlnUNOdvK
gYRDL7tWcJ36dVer9pGuWvUlDqbiLs6JzFpBmQE4U43bPKZYQQLTBO74WyQx1BEaYc7eStq02LUm
meU7wyCVfg3tnFBLXY3zNzRV1bOu+4B6RJjISaRG47ejbiLlnO++6NemQTm1zVU0D+sh0nhewaUz
V2B8yYMugpjr0EyYKqb5KtogbIyfPC62LlWjn715pg0pvPMDDOhYCgRnldzJnjw8gPgdAh3PliZC
destMoX1HGQGUNtcJl9rb4KnkhmD+hSUIpc7j9KpWrlNzA4a1CBJZAmxsa48LMuO9Ti6SJIdFgBl
g8/a4ESDIMTmgGN7V0bigYBENipsusQbRErYpeE8OPtmatOj6mR6xM4lf21bC2IlE2F/ouEQf/Fz
B4foNgeuv+6zONunIx6Am5G+9is0HK5IvltB5R9mSFAUDzF1rysL/DglbPPwCu8HmuMNotf+2s65
P2sfwjemTxN9rpqvEdOmsqQe6EHruc27Jh7HXB4JmUxm9wcB7/WAuZmqjxnXzWfLMUhiRgCikQNV
1uOEWmjcGiixvqVh2H8eNNI96mupqNr6zJ4XIhYwGEZz6VfDhOm1QlBqwokMAm/YAPc08daEBASR
swEIXjWdt5iy020Bzilc8aL5gGmoO3kyrZw2JIh+SCboLiZo35XbYHu8TRPoAFvYE1hBk3icHBSR
YOZqTgYCz5O60TjO9SGhEVXjcxGr7MRjMgLRPkCMKccNrvhx8Bo3ofU7gurkrOBwNeDraYsIIwuL
twgDh1szGpZIgEHgWcy1I9DErUz5ATdgMX22fF2zQZjISGsxWO11HTCJa6w8MgyMZIXfZ8zNpbjK
63ghXuJMgRtUVZvB1sCQub/FwJJmol3D8AStEOremRvvd+vlzbNafjUUu0HgO1wHuHhPmYD9jlwP
DUavFsprUuNU6MVl9ZyMmfvdq5uBY5RNEPUqDiHbyZQ2XktgoZ/szsZ8kxsaBj4aKzUCJHFghPFM
V45GjZTZSCACtnJ8iYgLcdep0j0xxsUSTMKHdtXRXcNyaaB830bElBQrvBWI8eJ2jABXcBki/U02
MkKvaAY3ORsRqDERMr+NnkNvbWD6Qr/DwRkIHUw+2bCcYlLnZIKB6Mr0GgRI+OmWX1vMBvEho3X+
iaYwfSzT7LndmWLIDymRuTGm+4X/AlMftacfDNa+bOlc8naQmQvSCpckzVEvsuuc25sss9c6zfLw
lhLC/qzduYIWXsbhd5TJxddMZwDQpW8H2U2A8QbQvGGCEUT0kppd3evi2Sc4hwI6CdSdjcwJV57R
GV6DoOWcpsth15tQyMDd9g7p9itTZiXEHjDrzUCrS6/6GIkkTP2m/mxx9UWyr4zqO586MRmO4xe/
R2Q/pMzCsYCpanfxm/YQVlsdd8ldbobYQyHNax89UogAG+Miv4bBXvYgUC5hZEvZCdzhjvKQ4j1P
R4Rm8SJxJp0GF0udX6dBuDQAmgTCYId2mBgDGrCcR1UI3dayRpYpLzS/H/Hh/hFgX0QGzlxF1Tps
k+ClgU868uXm7b0ustGgjcHXupJJh3wlteqW4APP/8UKB9DBgDgHXo/NZ7bG7DmY8zrfqLaZvgm0
F4+0HFq1BmCvcADHJuven9uFu0CS3cF1p+Ga/FrbXPMRmItNlY+nhgj6JMCvZJyPAq7zHXJAlBVm
h78G02cCvLmqLyHqE0E9YDYaYv3IZHDfn0aBpZdJZ5WyJTFUsUk9w7oTrEYiXKJM35IJjlaJ1ymL
jVVb9A6n0aIca4mdNNfGUEua2NQnaIHE7A3bOjGcegtLm9nH3NN9Se0I1DaE3QPyUZXWVWMsj1Zm
ojo4UnOBy8YeJKOF8fw4ZYtWivJWb3Jc9+MF6kEXW1HUIhxKbS5mHaqBqxrZDTkuUd9/Jeowf+bq
3X8fwzhBV9SQnmMANpTrHNSSw4SgcXMdzJnYY+FFxlcjA6ukVsqTFzjr9UuDIV/M8bhIGSJjomXt
4fGNTUNMzJfVR+5vdhXtbhCfxEiH03Z4CzHLOswlDdiVY4HjbgmRi5yrSqMs2wdUrZ8b3XH5gh4e
Q/4a0ujFspEv4NBJXP1N2Bj5E8TCELIOunmEWn4+voYl1dY6zMEqN1g4imu2Lq70DSyUdGPAFxiu
0BIE96i56GtZYB+YNUacO+SVZSpeIzZ0PKT5UdCuLXrdeKcHxfA9S+n57JBGNVtBogB9wgq2DYBn
XRsb2vh9+ATCHFBwlYWxGZFCmvftGNMR9/IUotmkadRet+SOfkHQ21zhI2jSIJzhO9KwpclKD1vG
3TbuZh9HBpaEtcGgx3rtjBY7yZpcyvY61Gjcd8tyUUwvX9GWdjZWHFxBMbGEOFgT1WW4TrUz0D1z
hSIkfMJikCzysagosFJtYxmhbTIPYCmRBktvtTFxRvSKYa/FUHVryk/ODnTK1ZNLhFmwq4Qzfmui
cTGCqSWKYZquNhQG+B6kebVd8QbaauNmINGhrAz4xl9jfG4wjxEk662qHPblxk4SLHpMM4IdUmO0
jXtdVIi3tsR7eo1IX36esSGCJ6MGIqV6SFvEs7Y2m7f2FrfZJkyG+VqMcdTs8sxJD3qaQrUqMd+C
gUHBkF61TemRLY2Uz98T4cVFBPwQB9Oay83vuIsRQcoWOtd1ZrgNJobUMqCP9mD7VwFgCYr3kVRs
bIjSu3nqbQPRW9DnXxyXVJQNugnfu4/Zn7914RDSLSoqLTZV7g9cYEn5/Q40gAVJNzYlsBLdPOsR
y5iy3iC4jB+ipLYGeA384cYkdorvAi0JSdyaKmdjKSM8znYG7TuIrOAh7XOr3RL6ZO971yRqaVRJ
d0fBN0Z7yaUyWtkcRCZff4fJTmMk4ge+T/Gb6LCAWdelkddfsG/Xj5nZ0VscZlmbe9VBDYW4XHO9
o4sQYeuNMRUoj6ziN3Sn+S/U5aJYp6aPaINASjFvDdsJDSRdyDvY1iMDVIWbCgZ8VHchWZj9hgOz
ppTB8OvYJxr/vrprnTfbmXWNOMYSMDGDcMmsdrr+yu+UDROSZLt8pyl5f1lAkMEmhkhOhYmu5QG9
EAeuKmjcocJqf2lAmhpQQrp4LCGL8/e9iewetwqVvUAZonlXNq29BVKBEgKmx1UuxYDhC4hb+akC
lkNkldb58CXD59Bdwcih3wI5h6xleMwSYDJ248XFn0DSIFPRVWOqzGUVZxNe+ACu3c8ZalW8bWpI
FhuRutMxYXf/mbMdPU8400brXDnzVnPpxDa/CNSL1cX5rdkQcLKxC4s+uqWKb5lrwaPBWqp8wO8s
/Dxb2kZp0KXTb3Da8ZeJnuWVUrK80SCu8abE+Q8zK7vNtikmpC8hL/iJNhVUoaQD3I/CAj/7ystt
SOXZgrV5ZdeMtHEy0qhQ8yT3fGFYHVHs9kOJEzyBz91Pqi9QVD7KMk4fYc2EDiRVXfQSMILteSPC
qWMTMaXqvWcPMVq+a8PecVdSTEOC3qY2Xb9fZZpOdLeexTi1n6JEFnSYYVo134gHYJrchC4zEHcT
mdZ1gH1/R/OmmCqoRwDLdNrzWYJ5rYWR0QOOWJ9LukZrRfuWFMGRbvdk8qVUIvASm1MPMuz10HRo
A2n84SrSJp41PkhiVBFTKHaw6sGXrqR9g7mAQyxb7KRd8CIdYWZ63fHOkYBWsSIPAOss3C2fY6Ki
8c4fSre7JdHOs3d2N8Vq75BzmP9A1CpdDCNk2QxYM5aFs8XZAe/EG8vDsJXaPxAdXvRhKhxkvMCe
Y3sX6s5t8ivtEcXk3CLYpwWxjUIdMSGjVWLEs20S5BH2FofCEXeVkDi7lQnCby43B+74iPpGSjXP
mB9S7PuzPZxvmnc4e7JJZnbLgc8J1bg3MbGCxnoUeUEYBWwnYlhRWi0WYQP+7TGZ5DM+OuQFr8MQ
zTqeC5LtB/lPeIg9jMdWcQ0xlcoiygUiWkdZ3NCp9TY2Qab3Cm59QeMfskjasD+tEGAb32ogt9+O
bdcvoLl1s47xGqCgyshvWbeRrw60tQn26QopIOEpotA3UYGCZmMGOrXWfe/UvxfOMNEAgx0vbii1
QogPl50E9MTCiRRfcpv72Dj91g5Ka+Kxs5GeELx+Kh80DckWIZZ5BadQKkCIsr4rO0NNK0zAve9u
Okw7DODB50naaOEedS04mmtb0OKGro1eRzj63wLy86LtmFs5yBPWzwSR0RlTV/wOuu/asM35CsUU
VT6+wRRl5Vjh7B7MqrP5p6Hv7AxVDNihcqEBzS2Sw9GhWl1jDOrXW4yQiI0vFGEjUZ97R7B1CCxo
YTPnxqGJD6eySWBAem1mPJmODUKjrLj6HcrcmtbZrFR3q+NaPlPzwd0KPArj1WwSKLodbFgvK6Xw
W7JN04qviURBUFLmtFTWqB/hH0VSk+xu2YZb3bTLEtnE6GaMvTmMc4SxlCA0xPdjN1iTaxbj+SFm
/dXhNks7FSaFJFKvlyjBIH8SMVIlZKwPEwyxkUYWNZwE9ilLFOBsD8SicQGG4Y0dQU6eSBfW2rlq
6ry9if0mcDZRL4d+rZUv3kiy8vi3sdtRqzgv/O9wiZqDBy2UIhWVxS/XkvUbPMfBW3O1YWWXssVD
fsTOdhW1eJpu0LbZB88E/93l4NSPUMZAmHi25KqDZP+I89L4XeVWeScdYm53EV0cf0uCje1tYdpZ
nJjW4nhk1XSuN7ZEebxWUJtpRfhOna4J2wBXw+LVM1cYcGFaoHt/ol0axz/zNCeyNW9y4x6vpxRL
ONesb/Ikx3bZdXS1zyJyHa89NPe3ZlsnRzdkQyY6FH/BDYYHkBChN8NgEq1juyt/jrIDLA+B0A+P
ru9hlEwwAV1ib9GjuM1KTUEUrYCGufsEPt2aFdPByd+Ain51Qjm8yrktHnzFiwJhzAEhcgM7e5LF
LFx0p8F8izOV06jvoqdELBhrlFlTj/e6Zr3ZRNGhvxuBbbjtoSKgeEUR4AZD/GYWeLmKJOoRLRg4
OSB8mqODNwnX2YSwCb1dSYu6XFEQ0CvAa1mh0hMc1vieDyFOEeRuIf1FP0egmzv84PI3EZ5cje0t
75FbeSz8aLl1gcetOrYiPC6xENKLqYL7qjx70SXPGXY03L1yCHHEVHzmijUWGwQFqrsCm6yrdecI
9YCPz/iGgLF+i7mx/KCbG3Rc+ObxmCIufqID2h5x866fR6zLyxXIC/46wnJ4YrwhmYj/QvoGSZ5K
f1thW1peVaYb4qxRe5gJ7rqSVtBNBLGf1CoHIYHc/vtf/+N//68f4/8MfhUPRTrRaP9X3mUPRZS3
zX//2/73v+grLP/v9c///rdrKdO0le3Bq3SBPCGh8uc/3p6iPOBfFv8VmlHY1A2t5tLK2rseh/zS
D/uHy4M47wdRXBBMz/a0kLbyLMdx3w8CaOjSKXWTI0mq9atdaH3vcl7s58gasKEVpF598FjL3/jH
Y/1tRP1+xFlHSuNPkRybwpwe2P+IDjWq4LH2tb22phnJAFY04f7ycy5/699GdSwiZCzaXsI6GRWw
oNcd/qlHz3Xbx1TFzrNl5YaxJaQsQkQ2QRTUqWPuqVYRb18e/OwkuxYW0dJlHdgnbxIiC5AHDNZj
3NTTp0XSph8p5PxPWMj6+XVZ1wPqqctjnp1mLblAYXnvWu7ym/5YPSIjcNhpzfRImBfq7Jn2zE/a
uNFrP6OFm0Ix7PJBkMNzedgz8yxMhnRcQDiPmPj3w/aQ20pVRcnRqcanzAfL7nUCM4gaE9bAyC34
kIiF+gSFN/XWlwc/+WKWpcXgWuPnhDZQWOL94JOcaG3mTXJMZUXpWyCquYH1nXZXl8c5M7fCtB3k
KK7kQR3v/ThOzQWXYXhIg7Adwwg5STgCgXKGvn0ZsJrc52Q/vF4eVfG3nixhAc2U8tBxbRvxx/tR
NR3u0c/d+MgiX/xP0YFOZBiUMVTHoi3Du8vDnZ1MPheWrI0cxF1+zh8LCF0FSUFGyc5QB3RcRawO
oRXSH7k8zJlvQ5ie6UBu12w/6nTBiLkZMdFIj34xIjEl2Kcm2J1+ncsBB2erCqW/uzzkudcnTJYn
AgFYvmr58z+ezFgYvTXMp2M02DJ6GnRC/Wgw0rQNhtIuvukqMHusRLmO31we+tykEvfEB8Km7sLW
eD900GCJj0M3T1tOdAVi/H8rPHeD/h+s0D/HOVmhuk9mLSKFKAWSH5ryKniGZldtCWJD3RBGGP0W
QfT9Hzwc8Jp08HqWnFnvH06UegafttKj6xVt/zlJKtk/OtCnNv9kHMtzYMlq5vFkEhH9udmI1vg4
cuHDgbwx5+CpqOFcfrBQzr4tR9BQ0RbebKcPBB8AIlOXZ0dIz2qfkLISbHFWJQfy8gOdXZCeNGm+
msLV8uRtpanyAfjC/OikbvCVkiUUW8u0PKz/4sblTqmsRsDci6mPL4987utDv/N/R7bM96+MPQwN
CDy8Iy7m5mfhppg8svUIdC44FH9vWpC1yyOee1ZpSvyCYMxLPoP3I+KhFRNm2eTHuINI7FPk3LX1
mD2aOCzjIFnQQAWkSj4Y9dzeKVmSEA4cBwHyyahRZc/l0OT5kWwXD5a/OZffsT0sjy4BEj8uP+G5
Of1zrJPlSTu5GNHV8TYjq33xjHbx8aqISB7RLD/2SNyf/v8GPFk+HvR90+rj/JjptObhDCfKt8iZ
ymfRSPu1yhHR/oN1w+6FGzIQCVfZk/kMCbOUJZl7x2JI7T3dOtXe6ZiEvfWcaoVhmxs71e3lxzz3
NdJ7tzl2pVD26VcCHR3Fbd2lR/rPTbWufVJutyP98g+m8+wK/X/jnH4TKo8rEes0xSA1fKP5OyGt
CK3HSCdKfyGLdoiuyRJ2PyrYzi7RP4Y92T1b7EXC3m3SY489lgCvyXy4UBVtxn3oj3b0wd52bjiO
P609V0he5cmiCVtcPOYoyiAMmv4uQZt1TWUY4HSdRV8uv7hzE2oJvnblaMckieT9J89xWAYoayl/
pT3+WPQON7kF22GV6mDP/fgKR/Dug5d47iNke1Gm4n8SPsb7MZ2MloEKOQAH+k/uGr+l8hpllXtL
aFgAZJlX9afLTymWvfK0PsOz1nLhzUhPavl+yAmHxNYxbI4l3YZvLlSHuu+vjb6ACAJ7awGk0MqC
QI30KQ1dtjs1LAmfl3/G2ffqQBTDptNztVr+/I/iZvbaWmWWjo9GgBPHCseO7hZDH9Tf3DhAeS+P
dvbVaophJWgi8m7fj6Zig2TEKYyPPnToa3TIJYR+dM1PTgbmWKaVPowQYD7YYc/tBBYmpkv9Zlto
ut+PauPStuC/SyUcmggYpr7ZNGCX4+by052bSwoZKmCNCkuJk4WbIiyH2tInR5tUottu9MtuNyZz
JYi0rfwPtrfzgym+Ri3lUg6/f6i+GMjd8Kb4iIGq/YYftXFjFoGDO6zZbS8/17mPw7YcE2SBnoNn
nwzVWhO8LsPirQlTE2ZPq2k9htX0QPAIFH5EidUHb+zcOgFAsxXGCtq0zJPPscoKM3NRBB+7tsY1
OizG4fvUOAA7nQWuR5JgPdZ7ECDxUSV8blr5HBDz21y9TfOkwtGNX3EgCop9egQEjkal2M65soaN
xmDig7JbnB1NSVAR0qZZoSfPyYno5xNssyOU2npdAst/kcLFVsStrL2BgGvDJtAhMnem4dnuOgfj
ydDRDw3CxFs6lQqTJbLeaKaBLr8kRuVcX371YvkFp7sUdeYC+wApUUK/X2ZEwBYpyavpEck+5HAM
I64yo55/JbBv4MyJBKKwsh57j+BMDEdFS1YK9z65C4nluPxbzn3GXJ89l4/LAZE7eTXtMJgCK/X4
mBbkSeJhaOKFUgxmE/6Ds+7PgU7fSizHJikLrrKZ2XybS4xhNrIXQlx3BWz3D76uZfc5nWHyOLUL
TUIqlPzvZ9hsFLxQXYFC0Ikq1pBzDehOtePSaMJiDjiQfFGI4dE93kfN+vKcLq/vdHAci5Yjb7ne
yuVD/GP7b8cGOjQyyQPJ6AbiqNbTCEZS+aOJEcc/EDhhG8/4+k7xXpdBaL+gRqvk18s/4sxXQInP
NwD+hCpHnMxAVw5h3fDbDkpijIXZbdo5V3ar8peyQNbwwSOfmW+OACgFnHZAI6d36rTHVgIYzUMD
1NXPeG3i+CYqjE12CqVBtHHzBmOdPBjqT0YNSfAfnIHSpc6g2KAvDCz/fsrliHAxqWzvIGD36wUn
Z3ulbVB5j5MgQMe3YU8/KSIH8w/Op3PbDSY40nZcuEO01k4+5oWTVsX0Ww5O79Dd6zsp2GaC2Xso
M8jNO5DqIH9CtQTVUXuDcaCCRqphkuK3NXwPr3Cr7YfxU4BRELEn5dRZd9OIhuJ4eUGc/6F62YH5
1tnxTpalRYMSbav0Dx5GT8UelI6gbFP10wM2IiauKhOtONFr+na6Hefu2ofiN+zDKBrp15e98vdB
xZFForaXuHtWg96L1Iw/qOHOLVwQIY8TWPIFq5P5rBFEDn5p6sNgoBa10YJ9isjD+IFvSzf/56WT
pBzmjfy1D5/iawlGnIFJrPfB6nFepvk206ksq0HcGn0eVBiaNkNor8tOeNHny6/jzCaxfJ2KL9Oy
uQyfPCbJEaOkCvEO8Ohxc+hawi+GVHDrt3OYN5+bWhW/cRlIvzWlSJ9G7M7jq8s/4UxBAECkmGtE
PRgpnGzJKS1QhOm+d4BTR2cYqxo0zWVhf+38GTmO7GP9DbvwRF1fHvdM6UNljJOWsiw+mtOClRjv
Dmmh8A9ocgYYLpy7+eJch+V2MCfRHo/iKP/gWc9tUBgcC8FxoOk+nJRbs51gMlP6/iHBzTm6KXs6
ezEpLx7xg8hwUVN2NV0ttNsYv4X96+UnPremyfajEeCBVAt1MjqWbLlAm2Yc4syQ0wZlXzqQDaQr
K77q7baetpfHE8tfeHIE4R7ELDuWw4aoT771oWf1kPzuAxc3MIbRT7vXs58U4iWIR/Opr4rpOW6n
JSUgquDyjTK+0kaO62JGsjFTkxfm1tC++QGgfa70oeoBZjaFZf39YCY2hQSs0jIOCq+Pl6Ce+7uE
uaGhi2tkvOmbPsMZsHXwQcxTxK00272HNMQ2ah+ly3RdnqgzS5F2hUnvGhQahObk3PBdoCrCToxD
6tM24GKoYvvXnEYw9ECm6g3F+yg/WP5nliI3cWFhbUMbClnq+7Mqcx2TOMjAO3SVa90UZNiTs0vi
tt54TpVAjhuwi90DgAQ+dNMo9V8uP/OZko/HBUsF/TaFbS+L9Y/yRKTE6EEDcQ/GkGREo3olWuep
h6V1eZxzc0vnQuGQRTfekifbi4AvWBEo5h3SKIOtlU/C/OSGPXEgDY6sJA4Uff94ecgzO5rFngKC
w7jg3yePNoreK0KCFA4wuJrbeLCGcN9GMoGER/rhGsoWje0iGNh1Lg989ln/6p/gKMDusrzzP+ZU
dRBnvGHwDg3e1jdZ6VeQsSRGya7pul97EWB58A9GBH5nO7OEcPTJKuppmk94afgHLJe9G4N8xlfk
uyh3AG6xQCaBVewuj3hmE+Ok4hq+9L44NE7eZ90VUIX91jskbKa7AK/r20RGX5J67L5eHuncCqWS
ZOfik5Tqr0rmj9mEFVC1VHD6MNV2tEEBRZyJMUyz/AdvDXkszGKTbuXfdkncQ8HaM0Mf7Kpp9zYM
czyfOyd+sgzsYXd5YYhvl5/s3BzyQUDF+Ksxe3rkOqPoIjQLrJPFkA+NEX3ENSmkOJ5UPelW/zme
YSnhMY1gjAsa9X5ZjmEYxSR9AwBBpYPCWczwl8IBYxVTI4K5/Gzn3honugMLhCqTguL9YDEu0dhv
R95Bsxi3ikbNQnnCA/MfvLU/x5Hvx7H6arTSfvYOuEgNT6lH/t6usNC9YA20+DZo2WY/Lz/amde2
dFy0p5hHQc32fkgx6Z60E0sfDCnfbD/xDrM1H+qkch4vD3QOwGQk7XIT5eTGmP/9SFk+Yh+CO/jB
0+RaZm1t3hE6FbgrZdT5HlMWsmeVh8C3MCJ9UANsftmU6a/LP+PMdmaDCFCtKIpQ9xSwabnKETE1
sm5aXPCt2BFfB6Il14yX3QvCWD947DPzy0UZsBS0xkRFeLKZFWS0Rp3vGQeM/CnAZx08Jn4osNGR
aIIuP9uZZbrUnUqBmBISaJ6M5SWVn+XS9g/GnGPgTurYRHxvtKCmlwc6M4mKbDwB2EbBCRbx/lXi
HUjmWSyMg60bOL8Y2cMkrTNlNFdk/OXNVxFD+v7gWnGmuGDLWD53C8YA7b33gyIx8oO6nQOaQuRi
PYd5oLdCjkSkqAGj/A1pKTK8K8MgIix7rD5aOOfqO8Z3YX7QGIaAfLJ+if906mr0gyMyG9HvJAvJ
Q5HQLwkIMAwfhQrkNbBEBAM0J4MoGdP8FfE1btbI0UmW+M/fAT+F5rFHoWjaJx+uA0NE5q4RHBG7
IFQU2NbSWM1xvUhg7MdqFl8uDyjPvXVOZQpHICDEE8uf/3F2QborcbFyeQHawIAYXEQdMy5B1dU0
iNDF65B8y+AB4qhFsHlZxvaxT5HUkdZGsNPOxPIzvgqIcMEJQc8iusdYFe/bgY5YvfMcG9MokdkB
gQIzp/9wGDlB72LdGOKzbhaRFyeLmUAYTQfIsH5pu9sSWkfwCSOytv5++WnPbVcO5bNyqLZgdDkn
e/FkFJjUdnFwHGrq5JCkwycncOx4axMZZW+dBKMsRAL+cbL0LgghMe5UAVPmPy+pYclYJggGTh9U
DO8nPcD+qxnszjiQ1e67CXzUyhs/Z2LKv4x97j5mws2ux9RxP/XkRG0vT8K5zYtrFj6P+Bqy8E+W
fNXAtY885gAX/ObFjzAvItEub1YJiOsHYy1/18m9DlaVS4npgrRxiXr/oJhg4GKgJv+AiQZXVZwm
/BorDpyb8J8e7tw2QOavkEc3eKMP5rDCDd+OP/iozlTZdJvZPdlFJa2BE8zYkk1XT+1yucSkjVhb
kr6CZz8PzScOlHTYdIjy76ZWjdnv/3ymqS2WZhATAKz5/ukDN0Ob5Lb+wcflbus06IfJukWJZ4Zq
3l8e6y9q59+m2oMXRRMB1vUpQFNVCnI1mqFDakZH6MfRZx/fmeuozPxPpgGFFOOheHwQBYFYO61b
ideaQhhGViPsbbSi9Vh+AI2du9YrDWJDG4yG8d+IWjkpsoLAMnAER0efOlLqHmTpOXs9CQIafSN/
dsmpIFnEweEmU9aLk5LX2tTGzFaAx9gqGoPC++CcO7cceCkOKAY9Vwrb92+l8wAwul77h1Jm+IQ7
0L7Nq4JMe3NFukQpViZ+kHgLsRNcfkXnB/YUTQJqavuUUBK4XiVK0qgPUaoRMbrN2H02wyWqLqCl
sJ4NGGBbYrnJuL488Lk9XsPKU4qmK3yW5Yf9uceHgwrwSfQOVoLDpcaeaWV2LJA8Fte4zA8fvPaz
w+G8Sl242BidXofMuUDs3YYse6/OvjojgOyqjA25Hl2cXG44iaP+/vITnttn2Eip5GksQyY7+cRx
mxhKL+54pz251qvId/yViUNGcl/SHkRXWNkZkrikS7/WdpPv7LDVz5d/wrltlafFPpjaSfAJvp/k
AllaU4+Od4hIvrjqKdpaLF3dn10c9sXm8ljnqqbl2KBgAa9QpzBQlIDsOyOPq/CHuULMiDqJQ3n8
mZlQawSh4Mbj/yHtPJbjRoJ1/USIgDdbtGM3jSSSEpvcIEhpBA8UvHn680Fz7zlssKMR1ETMhBZc
VFehKisr8zfmWCPNbQuQpwuh5sxMKUyC/6A6aXKJzA5QpQBWKBFFf6onYlqvCqvYGV392kpFES7M
9OxYFB0cAILUQuXZqqbxiDQXrgXHMS3DfYwWD4qXOH1uDUPvioXIcGbjTt0GMhA6cFRdp7+/OydN
K/e46oThsS3s6NsER3MHL01uW3h5+IrlSz31M7v2T1MV5AXcng/oD9h4EWzQIjw2WqxBs47CHkHs
si6TG9Mf/qj5DeabnI76AQ5CEFz3coOf7uW9dG6Fp6LMVLtAov4DMhIz8xgLEDAE0tRmBwiXP3aA
P496JWsLkeFPX2t2SZnvB5ttnbqFmNT0anhE1c/5GYJPlndppDS7ckC1n5Qb8QmXqxz9EoO3+EOd
twjXuz3UMngesIKoQmuG+WpL+aiuIAgP5cIeOLscfAyuBwAcjqmd7gEt1oH4B/xC9CF6ZJ7KwNZ3
qVYjW04xHBWny6t/dsuBe5eJXLQjtdlw2PMZgO4chishZm8TFferbY8kNqqVgH6CG91s3i4Pef4j
OCba4BaNFFL/0yl6QeD7IFL8Y6Y6oKxcuGrmPZ48A6oGyGPnV62MjNC+RuboJksdE2cex4r/FaTp
9zI5A+WtIgaYhG2W+GU3eqcsYJ7PfQVqMtOFRfGOguHpT8yYP86v4NYDZB8iJMF0zCQwPbiSSsSB
Fr7B2cGmPjAozwmVNFsPJKettDKl8KhgD+p/qUaprrcjbqv1bkRS7vfl5Z8i1vwITI0EbcpEgZvN
LuOiNQYLn4PomBZZkKyNCuziPWp141KYPpcR0pAkz+ctqYChmY0EQt3osQtEabSQ0ACNKXm/IhkB
e03Fd7lYgX5Cc0IFQEvROer3nhaJDdjWHD9Io7hCz77dXp77ud1uAMDmxqJqxLP79LMmtWgCrZOj
o/0ShWV7MDKpuFO8IPQQYtGrpXh+9rlHndT4f+MZszJ3pVe+hkpGeNT1SGn32H016bbRejjnshlc
F1RbvK/Ya/gr06yxJ+IFAg8+DYo8+Isoa4JDpdwP6o3vfzrz6S4hc0EgTc3SYnBx0Y3WY9Zqvwwa
qavPrzIlW92khCqTg83281h3zghNNYLGY+A+UPVWik1lA8QPMZwCvwRSInkhJziTkVBI5RbRKB5N
oeV0fj0eYKqSp+Ex5W2Z3TpeH9c7BcnFW3Ra/XgbFp0/7BqB6CZuLX2G9v1fTNoEsgVWlKblHBgE
XaRRh5igNpqgJjCLkWCnygG/dRO2/mT3ShvGWxj0XOQAn6rYFECpfmrT398lDJJkNp7McT5qudT+
6MSAKXTicDGlbXq8PL9zQ1F7IbEzyPmUeRO6JI0GRlgFxwABsuhgovu3wbNC26ZZ3shXlwc7VxYD
FcODAfoZz/c/B+vdxLpeNHCvqAWmKtUPKjg5l0OmyeMhqBPUG2hF0PNDhkiSdzTNcH2A+ytABRqw
lqOKWSxkDuciBztag4QMIg/zktOVDrUms3Jv8BEYlKyDP5IXNYVuhRsxIDaypgOTfr28BtOOncdp
CiScH3Jdhp49KURdIqRelv4xVePSQOu5Qxd9QFovvxGS4a8KyW6TNdoPXbEQK86PTFvw35H/lOze
Lb7sxTLOpDZb2bYbbUNP12jvIU47ANh7ybpNnRR9EocUKNv8xZxtyyDRBh0FpuV0lXVsZiSuE/84
QGP6Bt7QO9gVep+vLX9yWxA/9sEa5eKfzw/7B+E5pSSqZc0+rgJukRJkHYDNVepti/yYGxK4rwJU
N360outrhByiePyL2do0BzlQcPLU+SsKdV2j6X2KrTleAw8eljkPFZZ+h0JGg20bpxguuX4iYdB3
ebrnyiJEC+71KUgDcJrO+rsPjHqSwX0bSk+NrHTDtY3U+R5RCaR0fLm2sIeEfJ/YYWldA7DFM9my
1lLBZlgpZTMiSCAL9XsNsNr/i6yLHg5NcPa9SoX09HdpqCZNyDD/WPc47rhcrPDEM9+Ljm2JMcJC
8Dx3pCnJaRZIninOzEYzEY1hH+v+0U86fILz1urbdVHCHrJapVknSDz9zQfX2dm80KF9m1Nq9m7d
KTDBW5KT8DjZ7tz3I463dij632oatwgH84Jfy9Jin/HsPHWqoIArpwg+290oOYToZAfBMRrD8Ugv
p5G/dk6hjfcekKZyrSNju9Rtn3bQPHiR0VJ7oUjAdThbWySOEC022vCIqEn1XEbVpHA52mJlaand
LHzIc/GK1zJD6WSb3Beny5qraRaWUAeh0AYVaiJYtnzDZgJvibzXymSbWDGCI2WYI551+SSdW9oJ
CkzVhfIAZcbTkbUxqnmkcf8GCAy9tnFg36CI1SLgrgYvxUADYSG1OreuFFi5FCeMKp/zdEBPSlTk
G7TgCAQW3LWK3418iCtD1BuEaqJwAX50JquimYlmPw9DKvbz7hSaZWKSBOK5zNO8uqlwxhKEA39A
YC0dq+GuaWJMSaxkUlcKcWAV28sLfGa+FnDDiWBIS4p2+Ol8NQSi8xG3riOaZ+paqIL3Qm3YvwYQ
jg+XhzrzLXkPsYUmVDdsmNndg00Sakt6Gh17PcOUdhx1RRwk6j+4Gdo90M/OyYa/uGqpJpjORKKk
FDw/m2aDeUlW6SFPpFZZO04ZOIgyKtZvFOaMa3Qrk52ngHFd2EZToJkdT54/vM3oz5M7zskoFkI/
rYTb6xOgWszPgAKX7TfcObp4IaKfOZqwCkzgGyZvIIiip99vMD3V9MsenLOOp/wqSSy8LmJKt97a
Rls7+YZxk1mt6NWD7v/89+RcTtQmygyKPQu2eqBiKjMkwCv8Lr9BdkzftpGoMRPQ1XWtSMNCFDq3
pkBHJtYND0wOzelU4WkVCdZcgAxaZIX3ihEDkLVE0i1gVM6VTxBIAFxBW0fjKTt7yqE2lkkO6ntP
YBG7fYQkO4J9UrcfrEFaIfkTP6opAkw7v8wRTe6kX5R3kLfxzdpEoc8w0REbrbrANlZrF/bVuXgB
z1EDA0GK/aHQX6QjmvZNZT+BFHLkQ4EnqX+lWnXXPEa4QUhuIenNPSAKrdjpdIL8/ee/OXkDFTiI
Vvw7++ZW2xoI/YGUxVgGv5mgGtYDcL3t0JvGCmOXvyAGW0B/QEQSOVR7jmUvUyXQsDTznirY5W+y
0NQcqV0T+4d1KEYpRJqTivF1P2LD/e3yVM9tN/AKXOvTzQNk8HS7eUhU0w1IpSfPAo210qSiaZHY
t6qffzEOdxzEtQkBMofietgkpWiP0rsZw/4qFqWVrHSKckvoj3ORnt4qog3UpixlXhTM0RBGYwMo
IoqH9QoBrvRak9F/hBAYfr88pfNDUXwk0eSJOe8PZWktofXMUJoUx1dtKr/FXtl9FxV36V+MBKYB
CBQJLaWX04+kopCFuW/oPaVhUK/jLMcSV7TyDXvYW7iqz02KKhvVh+lTfRAyKGKjHVNavE9KiB75
kFYpbvIhLrmuL5xu4a48F9bJQkCq8jaFHjv9mHeJLJLYlYZHgPRkBj6uVqHcYTNviXbEzBO79b1D
i288ONqYL3y6KbbNLy5niueOTPqsz6ssWkIN1gAMfORxUr5yPsRDYslvolGdGyUKPEThzUmPPxTF
TR3X5UI6cmbetkw+gugHtYAPPW7Jgw9b+y0PlNTJHqQq7YfV0DriWjXa5MUsnPChdBCcXAirZ1IT
nmtcLFPHmKt0VgqIEUQcfDsOjollZ89pg4eO3VWG55pSrN+TNUQLweXsgGzZKYTzJp7v2xp59FYY
EXkt9jw/kN32vvaV/6CkTaxwkST+wgQ/BjMwUBQmJ5Q7I84h3sUk5ZsjxfU0UMa5R+eR+4okTHu9
fBw/fD5oI3w5MBg8HWldTtN+t221SE4zCZPcYwU+4cHJFLt2294SgWsNWo3EnWaH6HIan9bKmI07
Sw1Q6Yh6Bf+KI/xuLgXPMr4hnJjvUoo62DqFMtryg/fZu3AalAqOojiEA9Dzp5NNejZmgJXKseVr
rnn66eu4RNwXFy31HlnN/LOxjvF4XgJrgi87xfDT8RQ4kFRHkacw4bC3cCSEJrs4zgrpSwjIJ/ns
UZyGm0qDFMdsbt5Zuo5BR65aXVyg1W4jRxN0+Rp3oeyKWlm5y4VurvAMthbOxccNxPHn9U58Bu8J
Oud0jkOfi1Q3+vw4FVD2vepcx16I1rHZUeFOi0hyo6ArFyCKHyK7xqC8ok2efURbY7ZrOy8vA7Ri
86OCcZS1DqhR3SdDJA/rol58BZ0dDMAunxKWBw320xmiJj+g9pGIY0G+86PJc/HNEiBREBqX+89m
zNPE3o01y9ba0C47dcjEMRmwjtmglo7wL0BD1FEvn/sP4WwaaILckaixgPNXpDqKiFZUh3KKEPa3
Lkb/FcPreOVZvorsqN0spOjntgksdJuqHo8BANCni9hzG5TAFbNjzeNoX7M59ojND52Lp6lxbeWV
9K0I683lSX7IvZnk+0Fn20QxQsw7tSg/pmU+3rAzJExmwx6ncBuLmR9NkfhvAdacbotF1EJgPbdr
kBwCTwiwTzOt+TMdvbYevYYcIEFWgZ1K7Hbdt2h2r2ln90+XJ/rhspgmSrqN+t+klDHXFPPsxAK9
XudHjACKbzH20Oiv51nmry+Pc3ZBYeDDxLdgYM0PuyppljRWTXYcB1qSToqdle+M/5Sy99bnljyg
CmsEtNJEliyE7g9Zzp8Z/v+R6aGd7p9ibFUfS7/siJ69/UPYFM/MEbCr2vjiKmla53HURI9tHjZg
3gSUlh4vT/3cgVFgPPGOYvci5Hj6A/QGwXeBA+MRIMS1qgr9TsXuGpMFjBPbXs1eLg935ryArUE8
kphK03BeZhIOQZuzj9JRrteukPsUc06boiTBI35EmNS+6bCB2F4e9cwk4dTxAmBsqLPzsmGMmknm
NHZ2BKpvXYdy7u0g1mUHCI/YLMZIghSfTXOALHERg6wGaWFxh5wuayG6spoyx2Mm6njTB6VaXJWo
7dafvopPx5nFnxyNlh4p2eyI7LWHFRAc813btCrWITXFj8vLeGaz8tjmu/ExQPPOc8UmDUkIwjw9
VpooFPjcTrNXmrL6OaGoj0UcQUvGqIDHmFtOvjL3EbaVzu7yjzj7LQ0oUGQf3M7zQmzZFEpI8Zdv
iZQ7paV43Pm1Z1+RkKALWoOZvzzemYAH9sxWQL8x5odkp1EkmM6tlh1FjPmIVBPl3IrO69U4Olm2
sG3OTg4cL4qGMuS1eSanGgVWrp6fE4jCBsOrfLynjy7vyypQ7nDc9BeO49nJ8cKaMGickLkokGL5
+NuOTC6P2/Kmb3SpckXTBdlaCntHWziG5w4/2pOUB2n90FeeZv8uKTeFapVJFeZHTgduvBGeL6Nn
yd8Uu2m+cqmPG0+rrN+f/36o/oGAQcuD4s0se/RNOYtxhueE6Ip96wgFihda/S+ZlS4phpz7evAp
4M3TY5IJNKfzU3KksLsBU6G6RlH9JtWiUDrkOIgNt+TIvfciNxLdxYU9c3ZVYayC6aIYyf+no2I2
QLka5s4xErL8CHrM1na13MdvSqHaj4UX3+ZygCj15WU9c2Uq6P8Sx//UVublXqvWgUlqVXqUvSr8
7uCA6taNKuy13YUKLqiZ4QRuMNhqfhVgmh0s5HlnJw0TDImASdhpzq6g15N7ioRoV5KgvO55GCG1
TuHZrlSXyqYJRuS1kxY97cuzPveFDUgzfyiRxJ5ZWEe0oA5w9CUYdGUKiskesXLKxFVUTJLuYGT+
YpoTmQEIF+GOd+zpt4XNpmX4ISLWp6jJM0YZxbqEm/x1lOt2b9SgSFex6osFiPO5b8senpQf6FPQ
lTkd1ZZkTwOdilSY6qGkPaALRBrkPykyRo5910ibRtPrn3EdxA+X1/fcZyWNtqnWmfwjz/YybjR4
U1aIlBVtbd0iko6VHLYHqSuEGNZqmYq1Y4glbbQz9xrRZcIDMCpNW+V0vmUrI94R+syXZO/K0Mzu
vsMZeJ0NsCnXYSWwfolxZsZIzPGM+6BsrbfL8572zUmxa1KXBRYAPJMNTcfv9BeMcavIXsEvyNTR
jg5hmwZf6J/Y/fbyOGfiPeNM7xS6FsoHsI0aBXpZWEgNFViilCvcO5pmX45lnOMPhxPC1V8MB3uR
cvIkbTAH4VGDUSnHm9ERyQt2Ug53S70xPd0b4ZnlCYJ+n49K7Nv/G3AW7MduNHkvo97dEGmxGLKk
3m0kp3oSJY9A3ONwmOvD7C0uunEBxHMmNDA0UBraqBMFZ3ZUrTJX49hCV0nzMShyzQZD+y0+Ic2P
wumcXzGa9gub5sxhYcQJSI2SHjD52YiolPe1jnnqsSzK4IusBRY4rR7HVZyhyt+Z1DpYh5k46lz+
qOdOy/thZ2vctLgJKroUHx2/fM1Fbl1neh3jXpO3xavwymugRF9wMmsO+LPmxeby6GeXmXI0sAqE
zEiUTk9KlQ2qp9Z84bEV/hG84XWR+sNrLesDNHWr+3x+zXMB4A5PNP6b72Aku2Mp6uLkaDb1W1Xm
uFFpvnKUWsVYkpo+E3VB9lHQR2wMaa75I0VpGi9z5AAN+EQ+eIVID1rp9Y1bSX6zC+uwxow48CZX
5M9joKfw827o2Sd1CjsO0V9OjkoZQWGxCsfaOJJuPNWkgQsrem7Xck+CBgfGQcSbXaFg0On9x3p0
zNOmxYZlVOv2oBZJi4mgZDnrWFKxTGsLXKauLm+dc8GPQhdtPDgQYEdnWydrfKdOJJDeIFqH696A
+mVDBvipN1WzkCecHYockFfgH9DXbCgPVfBGCaToCOy43NvFWO3bHLZlgpr4/V/MijYqU4ICxQ12
eiCkfDDiATvQI0a8qKZhR+j2caPfhRYXyV8MhX/zpJFIEX9OWLBGNq4yeSOUY4E9YxsP+tYMdLyo
gsTK+4U4c+48IPjyv6PNNko9xD3yj0gjqlji4REngHbdKl6nr8IEj4ACnyXPRULY2gmjyhZSoI94
bo4E8EBERFA2YL/MlnXEQl32W0ZPGxJCDNi7BBVPVe3QUoCShdmn16s3lOGMhxTncExBQPYfEhzG
l3gb5/YSomSEPLjEvGFmuYFaNAM2kFF6TLuq27ZBbF3TmC83poETtfv5LwyGHXkYGMOclFkgwMQa
hpUiJVwpWD6EaRMpKxFWAKmLmtbz5cHOrTE4HH3SokTvkwbG6dZNjEpIQ5ZHR/qm9QDoV4m7zSCP
zaZNykbfaabSdKsKy9nhoODtdudg5ybWoL6Kb5d/ypmgxPuQ2IsBBq4Jc4Cg70RBXyUIy4V5Yt1k
Yac5K0vqXMP76aXx9M1TdWl/n7nJaH5jWIhuzIRlm601nTATF1cAXgWo0zcDaJ6ytXDmtZ67qCwQ
BQjtLP787UmXD4QMStVThj9LGWo1R3V17MOj3WTRwRv7HG9rp+uvoHTKd34rS5+W4gbhMz1NDYab
FHJmkRA5BxnbUHCd0iBZLgRde4/1Z/IVmqi9MiO/WxrwTCoNZoYPSYqAbMa8OaV1dS5bLQNGSmSu
mlrt802sdIq8sJTntgzK1DyAeXRzoc02b6X4Zu8rNkvZSvE3NarwG09zvfOvO1qc/q4QNrVFD32J
/rMjc2JoTU34NcpEoBpOj00YgpZQFWg9WefwsG6pmwdIN2kiAcob+2iRYB9ergwns3598phM+4Zr
jScawo4YmpyOjPCQjNSw0xx9hfb4ysKQq6EzbQbQp0Oz11ZKNtbboVWWQsWHGMjAU9UIUAoQRaor
pwNHmW2HeZ92COLX5W2etwe/QYcY+/m0+2xJbEoqJ0VemhwKzcbZhsVXCndrJ7COsV4NTzhU9vch
NlYrpx2sz0bbaShawkQcAA6cktNZFWVn9K0SWceG1me3ySXwABstMPrrNMN47vK3+xBupmlRBSNr
BncDbup0MBFpZFSRnjzbMMI3fuWPv/XOHJ6CSs6/T/tsKZ/9cECmyakU1aj2Q2+cS7iPQkuqso6z
5y4w0o1eVmWAV5eTXieOGF8QIOv3yGw6fzFN3vHA0nBRggY1+3yeV5tZDxn8uXBKc51lsiS70E8S
FzGA9Arf3Vr5qxEN7FL4Soiczlo4gpMY0QxPnlMxdm4Pr/c2tRr/NsBWcStyu1sY70NexLqSN9uT
ysUkoTub4aCZopN6O33uoQRthiaUNrVs9N/ptjRbzGKDwk3jPuLh4HiftDDiwuAVD6sWPDJx/cOT
M82iALPmIXoQSonx5riql8yL5nwgUhxyLkoUXIuQCUl6TvcpEh5SY1aa8qr0xbDNS1E/U+p7UYdR
hpSsBc+ir6RtbMf1d+oO1U3UVN+AQ9WPl4/LHzmgdyUZfgdwvz9ahBPAkXh7+juyvAYpIo/Fi6Em
piRcTUr69hpX5wat9cZBZMrN4RSEG3QnZJgSceRrlWt5VdR9GRMdI3i/sfPmZ12jf7FOUTr+YeHV
92bFALtguGBEjvx+mANkANvqtHdlZ1b/gNU1nrBMlitX0dP2ThNmE/5cmNoUV06nhpkayBgIdFOo
m8ed2qw7EXpK+NJ3wJ3vQDrUL1jpYkxN2gu2frBkfxOjEm1chVqha5vC7OVE22RhlozXgywU5asV
SkHijoHVBeshi/wBdmc4ip005LF3pwCpzveRT9EDi0z0dfYiVVPlWxzzR8tsNWMBOTGLbtz1ACc4
8BO5fFKrnIoW71oLI4A+z7KK4RWocX6vNk7YuI6CtUKtOv7WzNoFkhiE1fkiIloKcAKoHwVSksd5
PA27TEog470YSSiMnVQNPMRcgPGFeRjT3vI3Ras7/soCFqPclg3UMQd9o2FjeLmSYdxt6em2jHz7
RQ4CSVl7zpBGLvCv1l4VoSmCbSQFZXafYrgZu10++l+MBu7HjWHXGob1tdNlu8AulOyp0j3Pvy5R
NBqLL2Nfi6K+xYg23ekaPZb7MUJQ8irOG+wosSWQBJ7Cetm3O7ox5UGOsrTCZLhXwq+j4ne3mVmq
tmtJTfRmVgE2i7lejo96hu7NupJazmRiJcU2Goa+vcIHNPZ2edSq1apP/Bz7uKSIom0jnL459PZY
UoHrtMEz7/I2TX7GlMVa11K9sthYGt6Fr4M+IChfxYkVrZI0Nny3R4dTj7Zm0nnhAzyQ5NkZWLLr
jEa5tSqMNIluRYFWd0OxQKc179ZGYUjXWuFZLxbpUbDRCif5UpRjUyOrgPH5zkA+zd9UzpDo+x6v
WbGuVXCTm7EtO7HB4zap3TrpnXukVVXhyp1ROTuQerHnDgb09FXvVxrWxUIb6i2cnibclxJ1GtQM
Rum+4jLzrnLUBlIX+FUfPDpFJ+xNppiBva4a0K03mSyLBLltM3XaDSoacrgCi9tb162eKxbNA5Tl
VkXhRdCDht7+oVEmNa+tQXWKR15PenNn5EamgwEY44PaoB3wIALO7E2Zlf2dbJRN4yZGEDro1I6l
vy9atXe4AMvC2OharqQ7qXGs6FaO1di8E2Ftgu5FWn+8qkI7ctzaDkCxp2MGKV/vpeuwoSG3auWo
y158VNGaVc81/2ablTWsCjMXXwmf06pFut9jJ64Gw7WGnkRyZ+Xd+Msf6wCd7Dq3BHbGSJYg+JDI
pWeprmjDzl5xZ5nDzsc8Jr0bO1lSEleLCa5iLaXIBtzqJCbeI1Y3SrMvCt9RbnW5lLK9hxN2n6+0
psjSRz9NJX/bo3sYvCqtWWRfKtlK6nxd1YmnbjpPFeg/WWkoRz88KWgC1e2UysrVVdqFqfEgAz00
r9MciNXeKnI/p2nE62HF0WvqR9mW1MzfqqOmCX/VhZLVul1q6t6h68wet5Iy9OMSRneb2FHtYieC
xGPpqXGwVs3Bo7KOsdJRDIEvfw/8Ur4faQ76bklciPYhoVnZIvmv/uPhGXatK6gDrGGI43SqtqWs
PY6BNHSviiY04Cit3ETfO6TG73RJC4obo+FucolQiCbbto+ja+F1Tr/yDbUu161jAs7p1DyV73FK
jv5pgLoad7LMu2igsme6vRSl4wp/WGM3IvGsuHJpmW/mmGlPBRIYCts7wKvbHEa8jj2hdQk0UKuq
3BxFIX+lFj52qIVV5RUqVzZyEnoqegBHY6ggmTs2P22suNNVFUvp1wrgou0GZm73VxnNlsFtK9/D
DNjK8vRQYElVbeWgDvajlmjKuqzxTnedoR5qVPCkqJE3JFV5ukad1v7SSqNUuJVuZspa94w82Gl6
pOqYKxv4Hm9LOKPxvoW5VIFFwMTReEaMJP3ptTrnOmmSKlgjSNvqX+Dj1c0hKdGivUGNPmrTbSSP
unkISy94MpJoqNbJqBkBQv0qLuVW4RuPUM+jbi2Ng4UtLZqPbe67hc07eqWimf3F12OvPiYOyKUV
bSI1wiFQnmaXi1Za09tXxZYsAEEs0RCivuWt2l7JXabyaCvhkqzSPkjH66pLvOYLFGxEEhI4useS
5tFvrjfd/+5nw7DtFZSkftaW6asroxqBeqHyn1Q7Q4zZV9mJHWOVm2VkbLReb8R2oOXUroRZ6P1W
orkJgjvGCdMdYpCPVwldkmCdebr1hB9sOFx39cQ3thNDb/ZN7Uw2qHCR3W6s6+ymjMF8bYQZ9uY+
Uzr2M5Rt1XTpI+blvR5modiBZWrNjSdnYNIrYUnKTduikKesK+ShlLchRRLqToZoiuif0UeJeuNP
hVTQAD7r6XBnNCuP14x4aqJO5OEOqjqu0OtEBGO6upwNzdoZNP4mPyTgLNS8qEbNhe5pnnuNM8Tj
a+QbVXuV+3XyWKAw3XzxNI8zbnON4KPNFPttXteacNOssT8pjTP9Cip85C1US5BnmbP98DlQsMM2
lVdPS3BPJugfldqJMygmS0KUH1IlhuLtTgUctiYvav00VYK8EAV+LdRXomJ2rIbav7aCsHypxTi0
O6FY8ZLByezFwuRMaqRAghFh5B0/LxvEyFLFJLbBm5PogeFKlujulDZVbmoJSTJf4CZg5QL3hL5W
xMLnnVUOpr4u1UWKFX/ehMYcYJcZHZ2hUore6lr0xSoezPA5pSS1NvskWXozTEt3kljbAIX/9OQA
CsG3npX0qtK3DfpT0asf1NJ9BCeqvuXuyPO1Ap/BXhs+hdxdZrSG8yVNIYBvCrku2k3pjyRlsRbB
LIBTVuw9QPmPOmjgljJv7bS/vS6wc30NWb8Jf3RSIMtbeCapvA+dsvpVZKaZEDftNL8eATm2V+R6
mbaAdf2wcaDrIyvC04zDyGN3Vndqo96skJEyXkey5XK6zRX/a6wG5XUntSWbtmjycqHW9eHzMeZE
YJ+Yk5PI2+wVVjaZPagUfF+nW6tx4Ud04aGRKJ24ueM3Swq4xvxpxOJQGpnq/rBg2TqzOfodUqNj
EMqvfYQT2lYIJWu+9lKFN7rBQ6bbGKUywurh6xnrTE3sF9AZrbqiOQNbapCSsE/cCEZn8hAUCN6Z
O5ikY3mniqxRrrDXNp37ET9xgUP65K6cuULTAvFPOAjPID1vYSf0KG3jPPldcJP5Gw8pjvTOsZM0
XalAF+ON2qjKM7qOneKaelGAnRR00XjkiKg65GkwBo96KYzyq5+peYN7u9Y3+RqUt+yvJPzDJXuF
RKYX7VMdUKmbh56K4TGkTWljqbERtavabBVrixIwnuerXq8s9HIIFhTIN2lrtJOdeV5nNNG8SLTV
vT5yhT05np9mb1ZQGtUna1fEqokoyPNOhhZD7WoWslAgjsKu7IZn+gX+JhwzHIuC0L6zRu0Ni0dp
oc81vxJM2G88kOFyUUhVaWmdRsi6DHqlC2r5Wcp5K2zNIfa3gxSrX+XESPydbI/tWrUTLXLjQCt8
tzLzWF/Y+PPDxm9AlZcQTQmEdttcSbTzZclPnEx99k1fW1l2HD9mXR64VPB1Ug6obAvFyA+Flz8j
crBBT6AfQGXgdNaxUBqjiCr12dLJKsIa8n4SlOG2yz3PlTpz3KHPoayysP4hhVJ0rTS6v7KLZElM
/8zMWXkOPZIVFJrUWT0tNYKUA55oz14dhnsZ5tVGb8vhG8Ar+bqpm+7qcgIwF6+iL8HhpKwFFJvl
5rY4nXg5WE1ndKb+PERO9cuqE/PO4d1jXkOnsWQ3bCLbWdd1PCY77L8knrilVG4atRXj2uvAp23B
WngLBY1Z9fTfH4WOKzwG6rX6nFjgY7/TQHXTn4EBBSsVfaWNnReN7I5t1r2kOVoE27HUPPlpYTWm
5X1/h02rQQcTug235kfp0CoewLcRGZ+DwPZ+gDEp0zVCluKqCGrN2QR5MIzr2IuC59jJyye6p9EG
4q2sfPK2+fM7GB+wEpVpaoKnX0V3wjwyut54bqrW/hqVqrXynMCsSQILi6TTzuNmd3nuszWnM0ZS
BDkfYTbKj7BeToeMm67WRiVQn7QHAozkYvMdfnEWKkez7f1hkFmlqg7gSxuSrz4ZuNtrysqXDshN
2ksdk4W5zG1iTauHAoa6IHPxr6x7+WHYL81kFibnM9FmdyWKnIZQk0h94tMEN0rtSvj3/PQf6+/q
/eUPMy38uz35YaTp1n5X3St6NbDkkpGUL/GBd4uxMW6DAwC2y8MsrdksAqpWFOV5x5p5t9k6WssP
cPsXUGJLQ8xiDZbutSd5ofpkroqVvvbcYCNtL8/iD+7r0mrNTk4IaBN8PtMoXou7YrcNERt3m+84
2pq/QskNj87eX0t7HteGWLhE5lXRD19q2v3vvlQaotZYd8wv8nelflV5qyH9KleTpayBHK/LDXpn
2Btf2yua5EpG4YJul+Trsdrym9cdUc585Dlb6Z9stn34ZdOXeffLZGBUUdKzhwLrLe2+VdlzUz5c
XvmzBwLWGQqIQOkJ4adDqEGjdkQt9k/sPqYH5cV58df+Nl+4sM7uoXfDzE5DPkShE8QMk/+Or/Kf
w1HaD7vLM1kaYnYSJFPUWpqyhZqNv5m2KdYT6/82xOwkoJpHJTOZhjiIG/+g7ot9vHQSpgX/cBLe
rdTsJJSBLqwSeRDiRua47U06uODUyzdRYuy6in/Jb/9tTrPdX/mOLNUpuz//PV5LP7RDtlv6+HNN
kH/38bs5zfaxFSuBkGjDPXkv4kbd5S/m1y5y+0NbbusfwXd9dOtjsABnW9oOs4uxjvO+DELGHIYV
SgDFWhIr59H8/t9Wb3YzZsJPqImxet2mv/p302n7y0NMH+DjhiDLm3q1VFlm+xpM4phWeaw+WeUh
lx5s/cHoRlfrnv/bMLO9jTGyh0AMw4hg4xi7KD4IsQoXVVfn2xvzDlqcEOlM0BiI6M3iTW2VTV8m
8vjsVHaQuUrYN988W6WKQ1Mm0Ld5llPL4e0QXknAm7J1THXrdxiXOmkH4JHXz816QlWC8KE0QCqN
qvEsLg1dX2pR7SnPdpwAmJf77EspCWn9P5Sd127kWJrnX2VQ9+yhN4vpviAZTt6lTN0QKaWS/tDb
Z9u7ebH5UdW7m0EVFJtooIBsSXGCh8d85m8MzM7czprHE5HUMou/vkzGg6tJzQxgCPWWdYhMbsrX
SZ3ozxD/dN0NkjiDBxtY04ljfTkljseh7rHw3ghFqZitG/wYa9PI1NXgpW9Uu0JN35E7+awrpNlW
PKssmt/EOBPuWwxFZ58qHc6MH5fsL1dVFkZWHNZZ+adW5QYOzKqQPVsC/2sZM6TJpC1PlVnWG3yh
HCAwBNsD7S2seVdbr0VaSJ5jLf7eqFJ8PkdpfG3CArmkBWRfo8tVXGQicE5E+J/e34KoXtzSoEei
qLM25Mm1TB4lWlXUPFV7U404rwKlUL2vV+WntweOgICeGcX1HkrLapNIpU2LOlfE91rCz8+jaVnc
OwsJdTdLQ37ixvn8SDY8kgVbBymJatVqMLsEtAFUMP9emqK7qCG63ArcMk5M3DocZrKovi2FCeDT
ZCqrU0wO5qGRqJt9UxQ67qVkGpe9FSt7a9Jbv4/NKfH0MMXkN8nLh69nc43ZpDqNJTsiDBQIyD5J
FNksv6xNQ87SSopC+1sVcSW4RTra9XdrlDv9UhRRRx/ArheflwqDHvFA/Q7lb9dEBVx6TzN+7cSE
f9RijjYnymZQChfVfhia4EaOvw9XYUAbWw8fW4lOUeIFaWOJndG1fXibz6Flndet0BXf0Oy68ULa
Ro4r66y8+xpNv/IdxmM34fJIrSFtXTMSdElcJ2vM5ixXG6P0haW0fe5NIQ3//aQ3if6bQFCmlMI/
rjXq8h+4n6tFU2UOIJAh1b9N6GZdUQ6iBdNTRn6q7RyjKNpIBQyor9/jpw0PNmqB+bL9ZKifa1Bx
zeKNbDO3v1H1STxwXIGLurN1RkdeOwSzWV3qmMIfvh50eRfH74r9Dq2MpyXBpsB2/K7UEZ+rNCmC
b6Xaz+amRoc7g3fUaMaeTr1t7bIBYcxDnPey2JrSPIY7eq/2KffNz9sHLgdwQvwN2Y0osh5/jX5J
wXQrlL7plSXmu0FqHc2Fr21qh6itHBRU6qEqNoVMl29TVKUR3H49D5+OJKYSlLWFLdMHdHQ1D3JS
6kYsq8XjnKLrRi81GcetUQUIoYrODE8dSp+GY66h+LO44H2h8bPaInZYW2CTrPQxw7sYDG4jUOKX
khKVg5R5P3FCfJpdvMQoIRJdfQA2P6ptvxwQQzrWoRF10jfAudNt1mmdV2aa2JVpOCAManb+lCWj
rwvYv19P6+ezyUFXaEEaLv9D6nW1kUYhG0GtZ/WjFtXSVZ07zoXeJ85VMXWGx0Pr51qaq7dKoEdX
uhL9VJU23339HT7tK26zRRYPxX2o/1jIHq8tx8hTXQorInEumsTNYy3dlOqQ/hgGQ5zpVfgSAyra
fD3oesrphC5C6AuEngYNzKjjQQ19WKKJznisy0LcNGFX3A75oPe3NFrnnwOqfKafG3OVXAXRHJzS
ZP00+tJMJOllfKYdE4Xj0ekjV2lvD+OjWVj2RZDFonttStXJvFhLatkFcj7mO66mYVdMtBB+961T
HeRWJ+5EBG+5nFZTHvThaMZmPD0OJEaKFyWqfSZSu0vPtB7Inlu02XQlQPXcJ1Vjnol+il+1Ihh/
07sbZtHikwpwGO7WQm9f7WrJUAZn6ir5sWparEUIEMp6N6htVh9aB38sjJDy8kSVePnMX09UhLSA
Y4M/g4QNmm/ND+7GHEwMwIZHTNZsv9V753qunDc7TyW/h8R7IpZar+5Ft2vhjRIFo2XKAXr8qlMD
6f2mKetH9IWp+fXtcDk38byVHCdU3YqFTkckb358vbyXF3j8kFBDFuVDLEQW48TVtg5TQystwqhH
lNk7zZ9GI3ky9Ek7dSf+3ThsHloBDEanabWQ825ACDt2NM7JXorPZiR4LS9X6/qUSNH6QNYW1vqi
IUyMxjm51tRrwJNpWdYpj2E64oWnBMVmoM3pRuix/+7RsAxFRE9rQ8NycS3X43SJ0IGkKo+0g4sL
bUbouxv0wE0NlqicyonfIjLxmvXOKVzF56UJTHlB7WO+wTtbV4cVyLdZ06nyI1Bzayuy2kIllIjD
dvFzMR+0DtDp1+vkb0akzboIBS3tfiLU49U5pEJOm14OH60obbaBabVbRxEOokgRGHCrmk+0CT/t
BhD7izQrbxG9YuLh4/FCIff5JLr5MSnUDFshSkp4ZEWezB45hLlsbsqie/76GT+tUcQBZeQQ0TC3
QCWv24IYjInIrsX8mBaOdJ1mmr7Vmqk4sWr+dhTEJCDtoAxIfHr8ZEEIBqSDYPHoKGPrT4i7AtCM
xsPXzwIsd72zKRKwQOEufmhnrVuORi9mLKz1+Fsg1VJ7HtQT9C5TK6r0dTSruJHdKJXRCnU1WMdO
4iKogfbCXPdGvvTP4cX9mIKkmfbmgIkBetFZBCcQ7Y2y8fByV51X2iDWlLrOiEXZM1pSuDd4UmQO
tePq6NdKXNGjac6eNg9Bft1oRZcE6BE2rbmry6ijyJUsCk7eMNWRkfoBNLhp9EbLKvPzsAxAWeDJ
q1H13TUIwwLjShD4N6m02wAsD+Dgqqhxg8JAJstDvqCfQS5metkb+w7KJJCmqVArxXQjIBypRVWy
iw23H7Q6v3AS8HxXGY3xevDTPBmrdGNUjZ2e4/MYFc9xohbFvagA7yQH4PB6IrzBlAMwqBNeyWHk
lgq23ahwdHVeSS7iThlQPky3evIcqTWxnxmMqjpQ1VCSpzlRUQBwo6Aka3XnoYzMjkyJWsU+l41p
vsb6uK1xfBN2+lPWCDlKssyql64DY+ooeULwSLY1MOL4LYhNITYx2Dpln8D2sPikkXd4NnCDBFsS
bzP5WYxtKm+rKBsGz6jm3nzUZqeuXM1I1Xw7xsUs39gh9nkXapgZMZg/rezS0M20CL87oDWQr1xL
x2jvqlWCDN7l2MGE3WdpbEn7MNTa/k6vszB/wfAd+pczOplxk9Yg2l5kmSLL6ClJrlSzJ1uJrtUs
ElHgjoD72js9RqQii0od402QaYOxNULwcDvHEZLsT2ozNvewMBqxmwh1o11JTX46RGaJXkQ5akHi
9yIKG9+ypVD3hmBAG7oLNfzxALU5g1dXGiBVPejL+gxijmnfp7bU2c9TMDn17CU9AkibUcqK0Ivr
LjJ2cSXnEeBO0+63xGNz6hl2AyUxm+26dyc+O/Z7RR7D1HNi8F2xq0fFYE2uag52WrPYARxv+sqs
oDLAC2mnGymSpPmMblTYXg99p8YvgLh1YzcEttV+m/tMg1sfZuPg5hkiQd/DBEbCBuRYlwuCumaB
u1N4a+SHSK8S00XCOjLtjW6heEXQVeja1jQh6F9KAF4NShJmL9sY7zb4UAlXzyaQaC6OXjgyaYh+
1A98BXs4jGStGYIqPQ6VHWJL+V3RSnP5XpHmp8ARC924mWylMmQvBm2lgHIdLMBHLD8gitWsT4VX
ppYxCU/OlLqhq09UnKO4LrQY3PwM1Oyq1CMLxmkWB33wZ8VXAsYoAUQPDD9Do915HSoRjN/1fhxR
lgmRdJhwv+EguEzSIA8PjYKkoekVJXYLo9dPArU4WbKUAm18ESaz4daW0XGnKiKUlH3fh7X4IXQD
R9R9qibMhK9W5EI/ZqWz442IrNB5/fp0/XQbIhT9FxGKPIwa6Sqa4TESoPCZ9KBkjbBdTc51zcNl
Zrw0s5ijRhZlfOJCXMc1oBQWNVD651AEWbSrQG2qtWmoail/SSKralG3V51620mxNr5BIDFOKTut
Ew99iQg1BgP8CmzyIx38JdPEUpTqGEJjDDc4jtcFZR29p6Mm7PO07jlt1DSxesErn9tmF6nGqLx8
PcefHvjDlBKVHABDi4bWco/+8g0MSy4xs0uypxJ4+5MTadEPOOvNrapX0B5+eyxYV5QyyXFkIBqr
O1lrIHxMrZU8dVli7YsSwzWfanTbu1FeYbH29Wif5hb0E1k0xW6sIKiwrVaPqk8SCPcufVKGAlS5
AyXyDh5fewNsPt9B3FBfCHBTjBqsrHj6euyPPP3XgH+hM2C+hGbMwuUBUHk8rbFuUJIhPnyaoiF4
KM2EwsXWaSs0bl0hwSXZZiESAB5cI/WtqKdwzOHTlFigeuqsj8ptbwXSeKLo+tFOOP5WSHiCl10Y
cAuneTUlDep3oJNr+TFefD/iXWQIGcqGsIlJbjitxjHbthPFBUo5yWxRRUyi2n4OERorvKrps6bw
mgBPGKazEna4pxQozNAHqs7popWDnP3ufiQbppYPfQ2dcAs66/E8Yts0Ldqk6vPYKIW5w+oxVfdD
6RADERtFp3KNT/UXolKVmJF4GHkICiDLovplO8QVKzGeDPk5T2Zdu6Loro5+YGtNuY3HKldydwg5
HnaqKrWJ4locQeFNWBqDtq0NC5bO1+vo0xrGFYAwGd23xQmPr3T8dcZKVsMW467npgmsjZKlIySX
ot8ZidL4Km4f22A2Km+UUnGiM/XpXKBdtFAXF6XEBVC6KtDz8qW4tPPomYSMSFPDUDU4LwNHhyEB
1DH/zSoAEmwE0PyHF42KwTotz9uhmXOC3mdrttIDtLX4YDaOdAdCODmYnZr9JoiF8RbHMI57jiEK
HquJRf6nxkpwbICoFwGQULPPH9GdC2q/rQq1dpvZqCFM5oF+QpXj87yS/FDXo4jJvLIVj9/oQPN2
OerHZyMGoHdWJY4kLqNYzIlviQSG3NcL6G8W9HKlLcLTCgrboAOPxxO0xfKhH+pnCQEm+SFOaLv4
TWWL4lyeQj05ozaAOmwxGgQYed62ox+B1o49u4jTU+WJ9YVO0ocEJQkTpRfqx2udvzzN7Sjth+iZ
xFDxJ8MMDo12VVuaF1LN2n/96J9nmrwCOXFqxjpOaWsz5DFQQf81k/OMonD1rSgH5SYpzS4jpprD
u6/H+gRY4sEwXgV2TfmMiVw/WWCK1jG7WnrOWxGSUVkGTKPYQ5DDof9ZlFk+3RZE9TlOvZ0swZLr
nOyxrGjiXZSaFIYtbR/VLlp6wFqhK9uSBES+wKMoys5yQGrTcweA2vgWjfZw//WXX00UJC15aXcv
vSdOPqq/x0tk1pJwJJwu7oYu0Q6wprN968hE4dhSnriTV0MtQhMsQuQP0AvALXgdAbQhxD5LyMoT
HSIrOmPpVS822WZ0rkDpk/zfejBGAwgKUwQ1po8myfJtfjnMtbyWGzPKzSekvowneIVg1UzJ2FSQ
e07ss2WOjm7Wj6FodONriVzuusE+GRPUvsBEbgo08ZLmhX6MZNI+z6oZx/pGdxNWzYFbPdmEs/6b
cvYfTwrVknbtUt9EVOP4STsDKFIaV/YTBtxAJebOESkRRhuR4oeyc0o589M+hnjNAUqTAIgr1cbV
xHaahK2VKktvttHhNtjPmpd0YXjGFDSbKhXJCfDOejxWDaZINMDp7FMlXqPS0hhmMXLy6muvmje2
3YdnNU7HD0ORP5FqnSJGfxqNnsfSCoAWjc043gvHk1k2Q5vSrBjfrFamoT/XMnREq3DinWqVcbmZ
EEQ4VWpcl6vAwCBqSHOfLjAH9lodJOvbeujSWX5znEDcIJUlzrsEJ4SvN8TfPBllb6SdOBPxSFv3
GWC9xUK3C/lN6oL+EQ4POvZOk/nFpCeZq0qnrCrX2x23Go6WRV6VZsKiEHI8kx207bEsg/QNRrns
Vk6UbXoMK90+qeYT8crnR6N9w0tju1OXJlo8HooKF3NbZ+2bGM16J6NjsSPnuSyJTy+nUfS/mcqQ
saEgTbubHEPWaCkcD0eMnFQT4kev4zCkmAbb7TbUw8wzC1P85j2GjhXvm5lcWgcELavliJmbnjK5
41tjdQV0+Xw+xJIaXkSwVR9/c33wotAMgzHCHc2NsIp+gxLOrzYb3dvUOhkCS82ZHWLLA/2mjfZ1
aJ64NZcg69dDE7Eqthc4IQrd3NPrRY/rDsAHJx7fQqu0nnFfxgxDGeUBfnFnjWLTURNDTwA80296
dyKTBUcE/X/+lnATJN3x69OHUp5mW+RvTsGF6hIkBu5Mku2NPeTcE2vl09JkJPoWCDejT70szuPB
ahMVhak2Js4T09mH6FT/tLpufrKzwPjWhcWp8+sTgtlY7BaNhW60uHx9ejpqZ1GmBIH0iiiiPSKB
kIn5gGogghmendWBaDxrntJS3cx1kw2HErfk0hNVXESHCfHuXnb7mMXolp3d5n7bx4loXagMImnP
E+4F1VXkWJY6VwgtyBW3wzHcAquTxY4EAazu6MzoVVT2D7+3PheQyWKDRfxAbUbXVtec3Ch5Ppki
/DkFynSHqEO2z5yp2oyqmb4YCp4VX4+3Pr+g5FIRIV6nQQm5dp0lyF0pBWpVa38GBSwyACeji9xA
ukMizzqVm69vANxhKBOgvI17A+CDtW1SEbMHdDLtV8jcvfleyghSd244hZ2U+V1IjWIbzhi+btXE
4Db0+hhk5ejGFVc10k5tP4rMy6U40RK/ASimX8yOXncux6+dnVrSn+obGBMtFBPqCMjKgABZnezc
nFGfBWX21mFcM7yrFXw/xIb7dIAuTZFYQgSqkdP3PpSg/iPy2oa3IURRKpopEXK4E1z3+am4ZHWg
LNTVpbCxTCDUVc7m451mBLoUBKXS3hWSNPqq1jvbKWuzw1iIzkub2KKEFjmbrxfJOsX6GBVGMCY0
ZBnImq1GzcM6CczMaO/w/hFbOxmifYa7yVmhUlupjaE/J4DotzqntmciSnkNG+0U2n11xizfARQU
gSd4RHbImiPcoVJSBLpT3ZVDWiZeawcKrqfdZO8sXAyu2jCOshOx/N9MNkVDhP9AIi0t2hXJDXDw
UI6FUt2l3aTdCFzQd1KfjrhwOS16Dhw5c6Cru68n+28HBWpJSw+kBFWa4zcsoYJRtvlQ3+VJKg5w
iLOdrFTxpRQL7ImXRoJUJMOJN7w6Bj4md/FoZFHBYgRzdTxoZdglxZ22uStSgSgdrXUP/uTs61Uu
nbjs1xvrr7FMqpW0pSBuruOYLJFq2idqfRcVkikOHfUJ2RVZoQfnMxJB4VboOZ1DtkGi3NVKok9+
FKh14uoofbSuAqG5OlGDW51Mf+WHyw3NGUhNzFnNuQyPVB1kUdzFWRxeSo7Sb7oiOhUBrzKoj1EW
QwxmYIk/PhqtvyRrrRJzIlSluBuLKbrsiuZtzqXxvpXDyA8dxEKRS2l3ZZRUewCTf369rNZveEmB
qRXrUOyh5tJ8P37DiRRaSR/q8Z00O8ktV6fkOcXcnxkxIdfXQ/3NbC7YweV2XoBe+ioaoN00ZpKR
F3dS32m0ksb2Ws2c9PvXo/zNbC4YEOoR4FsNRPqOHwgVokBuYqm8SxV4eVkk114SBKavIQu46Tu9
2veTTlO6WjjfkNNPmYevzyM0ubAYYBWziLkm1jd1VqWDBie1vYP0hrB3UNKTlrVYzvxJU8s/hREG
py7QZRf+Ek2ygBYwKHk4Gg3AGtaYSDAcZRpVanfXD5J0Hg3hGG6GWWp+APLBbgkksXIlgrZ7Q0lj
OOR0td46J8rflLgZXzMeI/4revjPt/F/he/FzV9jN//6L/79VpQTSjlRu/rnv67Ld3Hf1u/v7eX3
8r+WP/2/v3r8h/+6jN/qoil+tuvfOvojPv/f4/vf2+9H/9gIBLSn2+69nu7emy5rPwbgmy6/+f/7
w/94//iUh6l8/+cfb1Dr2+XTwrgQf/z7R4cf//zj41j6z18//98/vPqe83cP//2/6zSe3j/9yfv3
pv3nH7r+D5tcHmNMCtsExQsvdnhffqIa/+D+4xIFS6GBDF/aJqKo24g/Uv9Bh2qJkZDWW+JptmhT
dMuPNIPPMzBORutguYxIM//PVzt6Sf/vpf0HIjA3RSza5p9/rFYuxRuggBD1GYsok6bY8c6xnK7B
flnTPe7Rly4aLvrMOc8rNFPG4cQmRQTgeM1+DMat/ZEfMBGffAG7Rm2BhSFXQJl2vs+TEhtvPCPi
yKVNXAlXLUdVuYwMJ/mJx4Gwd3mkDf1GaTp7D69cymmdEcW6SEwF5a1kV51xSMMwaW5Uri2xFzGG
BVtjToV0qJrcHM+RJm+rvWkN1qUWZ1VxnXK8XxhN3IZXIgID4A9OPVbnkTGF1XbW1Szy+9wO8a5o
Z6PZKliW1K6S1PMmrdRZ+PB3lj8yABq4qBlp6a7t2vYG8IilbHstFdpZV+a4gGaiyvO9DnYr84BP
XxPa8kktyTmxdZmXL05qg1wv0lmjQNpYlY7OFJwtN+ka7SYpQjuhLT4YOBjWs1O6FR/gDWrWh1sO
a1nxKajLPQ0SOZIuh3GUDySARYeoyEDLz5tlPa12wkRH7KIvY4TI/Kwj4XaT2Qzag+qIJPBycLaO
i7Zgh2tpozj1LprpeLvKgKOg14S8RGCRiWO5RtOFj8PUzeIwF73+lEjInunEu69IBm4URboFImP6
tJtLXDrbifizlDYDOZirNuheZYtRERgUPikNhF9KjNgDII+HbqNLQvEypWn9LhpD12yNK6e07kIz
Kn0laB8dCSmydjRh3kbqc9RZDxAm7ko1vtSnhVuspj9wDMZYt0v7w6wmfpzOyZYVf6gm2zhQkg7c
OERLr5mR90sZ2k3i6iw2uzNnQtWtH9UtQXbqKlq7K/Iq9yQj9hJLuu7HASjAjGP0oO/pyqMnlw63
Y5Wcz3Ie+1EibZu8AOgyCr+Lx8AHfGb7Fe95yJvQlZt3ZVCTzYBKiDsG1EfnXL1UR+NOF2rqTmr4
PWrUs8kKqdxkpZ82Zu9jhZ3vFNFs9cq4WWSdkrEr/USRrnql24IeuZuU8CpFp2+fKerZPIVuYHcM
ZjXIrST1pakne02OEn8U084apv08iWtlqc6WhXmBv8SNoUbvlJG9MKprGB/9vYZilyGmK+xTIjfv
gm9Acc5lPdgj6zdvOnIe5i5A7SsBuJTJiFpYsT+r4LRkc16+E1YhkIg9FYgG0jjfYHddZ6nsuKFF
vUG0c+0ptmS6epqTI7A9/ExET3odwih2uuveBgJitRKIHln2nQhUveT8UCSnwNVvvLJiNHgio3lv
RmRh5aC33GGK7uFA+HU20xNURhfB+ctSyR/MFMkNo3LOB3W+EHN8U6jhBGvf8vpZvhoDEbr5ZAwM
lOoAREBgBWUxbgOtyF0ELh7V0sn82EbSxZmbnZ11rmG2z3zRC9XmUZyWmqWUogIUFTdzHP2cw+6+
GzCsV5x+V1fmuci6Z1Mb960GAEoXoLlio3mNEDDzIhTmtkBidW8qAskHfUF4qaIYyEPP5Tx6OcC7
DUTh5LItKaRPZnKDFpG+w/DvhqtdxU6i+tENqeTi+oBZZDXvO6kAKhJZ71iibfPCLs7RPrkjKRy9
aDSHDR7bM8WJAv5sXdteIeYLHVgT7eQCDJ2W/uwnTfBJzivUBq9vJZ41uEzHyTgETh9ssIXyILa9
F7GDu7CKIrgjga3Suw0yYBLycfHo1qhtZDHcosZSr6mO8/+08XkTyeUuRuBNw2Dbmyw7YlP02zmZ
PTvKz6JJO4RBei4ngJNSp93IfXDb4IPgznDoWGD5bRIkNYp9xuD1RtZ6qWY8ojqW8jMsUtpBtz3U
3yYfPOB9UFg3qpHaN8gVWpu2FOomKawHXamdfWRrWwTTHhtk2702rPZ0+Tf2UC1gP93VahMl1FSP
QRkq813KNe3Swbgkx3R2cVqGLmCFbDe04ueUicfCtH6IYSKhlyN/liOUXiJgpFoQST6nxtucKX4p
wOPp1II9kXbtJqzULcjs8UJuKsPTITgcRC8htQlZpSXGguRUpfIjQMho31ndNgjLja7RTtOT4Daz
wiszr98qg4Ve9BniP5GxcexqkzeLKpwdyJ48xQ+57PhqM1iuObQRaXjdcO6GV7Q+N9NUWxszj8YN
l4S4YtEXG0UeauVyzGbHU6Cm4UWTo3baRSHIrgREXwn8sO9pqsCqshxp3NRBYLiJ058XVXZWlVrj
1Y71UxvQDnCVNOVeDFWoQbbS2kxLdbCFRLdXyOeInxZurAfpvivGaK+K+DbM6hfIhZdFrjzAWmdZ
F9auRiN98OYZSTs8Gt6bJJeuBME2wMbsknLQpYgQhiyo13qZMW3tpnp1yuhBHQr9fcoz2TfM6toy
u+k2raZsN2rxlsvvFfDYS1tyRDt5NR0SSd4Hajb6RlDuo06oQE9R/ayH4iCgT+L+HLxOY7gfKuNn
X/By1b6094kelTd9ngznillqaNPbFHmURcwy4MbsyArwZco0JoqXJOTxm7AAS3Q9VOJmGN3MLO9U
Y9J8PVYu5yL7mQvEE5yuLNEr0a7ilE2V603n4RIL1nXOWyBpBtds3V13TgNOP8Qk1ker6Qnqhu6V
JSWOmjq5WzvdY0AHxQOJmrkiMiRX5MF0ZtUl4EWnPsgErrijxucJa8MVoQw+10peRCu6Qykb9IpL
ZyMXM3qh+a3EORXAOoVZ5dSXam6ovhan+oWspbOnjl3s9qCk/JzrBb7pGR3zW6zsLm1L3NPf1DYK
WlnLBYjkVqTqd7MzgRPM5cwLZzm7t835xRg71Z16fRcUWc67lKE5h1LlIy3X3VZIlZ3rqnRZNqXj
071/CdkRbqzI3YVJdZBj3cTkZsilH4NGJW4ciytljO+MGPRiYBHyOLakPFLW3IrBiHd6WUgegs8v
CISVW1BT1hYzqwLxQ157JU3atVa3uwb1XVdQ3Nn0cnBIW20DCuSgq901SJ3vgz5essL1CwATvW8G
2bYDnooKhnPV5QgTaJNdeGnLLZGnCiGzBVwxRUFCn8+V1AF0KfofhZxtqFqfZ7FRuxqpr5lq13Pt
XCdt/FD2uq/I2WUdyShPUmBMncoF4Jm5YWHKfjzL+zk2bqjr37YznBxVfx5n7PMsQgwCOY5Bu7Ld
MZO/t+jtI0NmPPK0BRqI42s/qN9kq63d2BrO81p5cFiIuSrXZ3pn9pTGB8nv6jBG2C5nKTp178GM
fkFvGAuuOVCvCr7MeEhqUktXL6es29n1WEa3qM/mXC+2ZIGkNAfxHg8qMJYoQsEWvb4svwtlNR0v
OZgHxYtTI4/8ejaM8zIGY7+TlAA5sILKurWHnCSL7ylV5qch6fCjcifoiD04ZUe7bDpdJiSkUOMl
dcOH6JYQzbWMiJJzovS9KrQtPWxUtUmawR4tio6rAi+6a0wfdQOvyJd6P+rIWJaz6C5EHwWhN8XT
SEnBCJoTjfQPUaRf0ngGhnwOYgNeId1XOibH+VdZt30HgABTD2URKFdLSY/dIWmrEmsIO9VcONDo
LCcT6kdeYua8d0HwKDPPTuPT7UnvKeShH4D+1nMKCGQ76IqAPZG3oT+nrY0s6CRRVEvBuJ5HMtd1
rqVWgvSP0FB3qQ35oauLsETWqB9/D3bEw5HZoi4AxQOMwKfWciWsyMp6q/PavM4eGwMMSC9ne3D+
3MKLvcizWaX2KZ+PdVFxeZkURT6wXFRN6ZIez2kqza0WyoOMW0mfxRAXS+2bVik6flXjYkFUq/2U
uIURs5Ny9FtLf5xsyVjOl8xjzdPV+bo8tZSfjl8y5llLwk7dmlb6uiXWU9DrJbWWvY7VfJ5b4F3H
tJEu0aKOb6SylC6rwsIMWBqgN3w99Kf8/qPosHQvNEAh1A2O5wJLK7tztLL1MmsIX/vQLjkucG0M
PU1NeOs1HlG2//WYq/IiIeUiTKCixQeYEcDEasxBHWvLCvTQ77L5LLf2yIBTQn0+Mch6y1INX7of
eA5QRIWdu9o5YBCRWbQQGVbunW3mz4fr3PR3jfv6Z38mtthju8otlwYGnLLqefaeQ3/79VeAVrMq
PKoQKRfZAGiUtJGBEK6+BB6BMUb1ReC1UXXupMVDFBB+lWnX+5pVBPdjNNQ+BdCzMUqvS7T1y5aj
N7fjZj9lJUImTbzcy2iBVC3HXGE5zdloRT9NCSnusMtSLwewzsGu4VhTz5GvNPSItTp6aksr5ZjX
y52OkqiF5NzcmNuGooExFfdFZpxZsXlTon1sLqrQUnHV1uq+zcoG/5f6UFRasQhT4PuKxk7bIzpP
XROODiHiBY5hNEvRGCZiH246LXjGWB1dlPyekt7bDM3A7m1cBIrgKjOHp9oYz4yMWTam/inohhe1
GV/kvnxCJgKyhDiXOF39pE02Vkl+OSrVoc+RhB4l5yEcVD8PeUeBvE1jc1fo44EWxzV6z9Z5Y9tv
iSptZ1TKvSGkKjVD+3f7LLlXohxOgLmFjr1rLPss12wEYgdIA/KfQ1DdR635Pa6CiyEN99Og3cUF
ePMemQPDbF5yheBQq5+YlYeiR4YddPwWzuoOT4WzXDKeidAukZ+6ivIJ7gi/LIUIYpXdU4/+cZrg
BkCCBgRC2hmR9JZyv1JPzbkk+/dCLx44px3svOfdEA9nAaKRHrvTl+DRgyKGQlG2mzlqPAByd5Gm
Phtp5A1d/jg7xVmX65lrwvNzcc3YWsDEo9J0kyA9FLXq96XzIuDBhjPHSFJdqVPyNITxEhvvQRpu
YUd8zwenh5ZU3GnxcJ9RiK5ybUMv+U/JtPZ24xC/8mL7bL5umuwhCpWzXK8y2t7N/3B0XsttI1kY
fiJUIYdbBGaKVJZ9g5LlMVIjNtAIT78f92ZrdndsUSDQOOeP0WYrvCOW3z7I14Zdpmx+uYVGRnkJ
BOEypkWenr8yUL7Po+xjELk+Ejp3ERSP8TxpwAvzeBut5i2b1nnX97gli3QQP01rebtBNy5picTI
bM5uPeHXp0uqxucQp1pxsTfvtASbCtOa7xh75JY8JGVb7u+1YW3DpoIPEdtldQormiz5rE3W+NTg
uQFgKJ8sX55ZiG+P8u/YXWt/p+X2qXS7M+vpKdh4zqbVK3dd0JahoTZvPw00ZJDrVxzyulpvVdtd
VFnt03TaQCpKNYb6jDlJEcgzSYY+a1uP9kAIAejY0e4n7RmU5l8pFKH7o/Y5ivF3a49etGkrDiXE
pceJpy0p2uLXGIxvbp3W0bK6Syy5Frq37TkPxmhdccsRpR41dXvRGjca0+rGdY2blqR2AqaDyN0w
RZsrLrC+XVz8Rcx9urkiMVqHxBbF1ZPpQbSb+bEuEPfrOr0F+Jv4v1Nc5Kr99Dtehj0w22UgPJtW
14mXXTeKWIyzb4XGOJ3l0v9LTedE52IP+tLmSU9tQUgY1zXIcRLI6ZNMXRwFQ5TJfCO1xyojj7gb
sE1J/m1qf9mD3p+0Pj8gNZnBJBwKRoIr+cMJ4ps39CKJQCqLtGzTqCjWQ1c5N91VT86S/ZKVGU5G
vx/M5WDUzr5LmaQJ8whJgf/c2vWpmIxbGjg70m4uQ1tQYzqSBK8lpjbh3HIirSf7l3SfZq1u01r8
qRuD5Ev9UAj7vlD2N/iEtK+ZExpC7PSg3fe+8Wvavo3c+Jy2rjwF5WgPe7sWWv4pB13tx9mjHcZi
PZgH6gkaSpTbeSAWqjMzPlzRJ5MX7I3a/c/V5kCw8Hf6ThirFxZlsR1T/LsycdFUfHsNsfLpkM0R
Ce/Nq/AK52WiMg5ImIsecDZmZnc2NNU892PRkbNeLPs1wDLWy+rDZjfk5l+rj4BOw7CTyxI1plm+
GUHV3wGR/46acYSlxSMcEJsya//o43EABdXi4M0sxvm4VWmazMN4J/zIj4zF0v8tGyDJKR8nkM5U
AMQtvn5tKzYFEppAGaj1cLJHZH6+bdeu0N8dUxkvul7KlJAE750WoykppQ3dJmbzjrdHBBgms/ns
D4+OOssb/xDg0J/KsluvWqpj+RJZlUakEJtx5mNhA0/Z90Ie3aA4N0q3I21Mx7D1ESZtKdvVOrvX
Qqk+ITD44s/+fZxNO3r432J09TLKH/kb2VSemsywQ2YB4pVnRtu8Gj5GaX31GDzCcaDp1vGkGaFM
0k6W3z/JZX5e1Xix6cmeQs8b2x9zHf9ayPL3Ruoakeo10OCaag+NjK50/BXoqsVD2gjtj8htH7/m
CAiq0FCFa9v/0ueuO6EhInY+91nPX2pjK4A6alHcwKrs/wxYh500ZJ8nZW8b9By4jQO0CINHPY89
llYst5XMZzR/4sMs0tvA0qAdOVpzBRoTGHUshU/jl8LlVkRZai+/i9z+mTLdqQ+BNxtPY1BPu4VY
sdjT6nSXaQAWcalkLneFvkhs61WXX8FPXAyZ+N1Ij3peu3nYoc9g76JVpZUJz3KRtJhe81DQBH9b
N0l3XC/6p3oysjTufU3G5DXogOat/0dOtZdUSnQvS1enx6woL07KMGPpy5Ofq0I7KsfCvMLcHbwo
5ou3UcuG02CKbULEU9TPqCm4kUsjXsCtYh/5zoWbkcysYdnZMr+vavH2vtZ+KJDtxSeC0t/MNDb1
pkhKUEqsfN3ez7Uqagtt/syd4cUIpjbKZw7AQs3uc9/XIpLKC760MSey3ipS+18D0vq21YO9JkgA
I3spb7WZRkHpJXbX6yTd0D7d9v5H33ZGqHE7Rt7QdFE/LOUhMBsPCHZsxSujiAgxqvvHfHbES1A3
+bu+Tuv6FrR2pkLEu0dMZ8t1Lnqbsoa8j1hE051Z21kSgHTtmzKoyDoa5sg30+VeGrOzr7ZgPtjB
VI0Hh9iEPetDjx2zVBzohk3bgMXzfFBB1yfpCEa6ZOrS+Mv8BS/mxss2vcIlbuQoUQ7Z6inhlmkV
+G+c+7fBm/sTRvKHWZYBLxqqfsb/5Po00bbgfZZ+rpzum0vza8mDp3Iyd3Bfx4HYqnJb9kYmvbj3
5nLX4+zVAdYH70ACg/+fcvLmkmbbrvQaDKu6oy/HYRrSfcZ9+Xh7qg3nu6nEeTE5RBsNY/AGI3aG
I+rDXKZ8XaXCYjur7YiO8jmtXMmVF+Suek53b711TyW5fG4QR+ArITxLBUlbiO4IN6KHsy1akhK2
K0/IGgXGNCRaP4+hHKpv3v71YdKpKs17f1e01feY8eWg+nTi3pzvkpb63Dce1IAXZvP0X+Y6L66p
SVaX4WQ25WU2H55ne7pXfvCDi2WLya4KV7CZWDljRizPQPRwZmCDLePBAvqlV4olO5uvejMQMD8H
p1IDTNby8dr7/j2rtKjYZHUgAQRHk1r2i12oZMmg9CA1eBsWwyGjmiPUpm1794303c5cM4K2m8Kh
md9E2vSJ5bS8dxvRGPAPzBBkrdDMRIjD75khrAofE6U1l9uhdTMIwrIw5qTrbYpgisAp7hOmWYgd
SzANUBdTOf59EKl19ehiR92ELwy4cjylkuKhpvbCR0ZMMvbMrxQEUTcLFtzQ2qUtPQrLwfGOXIUm
DOx+jWTjHWbapCIxIfMehjxXWQiR9BdLjthrwBW3sbGehbCXp6rxrVd9phu3X/x7J0W9c0i6/+3O
8qqWGrd0kO9nS9ue+4ZJNXOqd7IFPkanWOl7LScwU/vmpYg+GqMn0MRaT9kA/pvNw2/fHWVS62NA
ybLvyVs7repfU/VdzMnyqyyVdyp99NJSV19NlbIsbFVxqTOeo1Tv14MDHrDrB7ozU8nIOiMQjqVZ
lFjBW39XW9MW1iq7rynVSwBiT63eir+yq5dnOrO92PC6xPo/2pC2R7xr+4ozjykbGroed02pfWyU
TLdq4HJ3uyyYIjfDIV000o/K2eheCrlFzSgSqS9jHaZpPu4XfOd/RjQMoJj0BbY07oHerO4xF6os
Yoe3XhEJ185eLfJ0XhG+zB8uopBun4HDT3fltm0VdmOjxQulS8nWMM5PK1iha/My12MOeghTXpbm
TDHcXCaTCvbM191hs4pneMwwb+XNpbpsGcqkQnYz2XDVwDp7vbWoNPSgVAYZ/Bsqv5vCsRk/7VlT
0bx4ETCefh6WVNutRtFFZdtp0bRmYidLJG1m2xFosJkJlen1PqPM/ODCF3G0fCuDIKJKN6+taZNk
355Aln6gMuyEAzEpMs8miJj39Qw4GSKOQRqHtzzMl+GOx+I8Se6AVpWvoiFVBdqz9s0tDFrk7IPT
RGYHn+Zlw1M/msN9sYMz8vrqxRYSo0DD7JB64qj6+S7cTIaP1auHiujDqaL4pu70z2IdOSVJSV6U
/miRpetoMM3vXpjvjpY6LzDvDFREKv3yDIJjvGLA29hUGd9yjY3FdKA06U3Ucj+EoLCPRbG9aWvQ
PgcZWShU+vnJ7PhtOK5NuuPxOVJ31kaFmXU7SkjK0E3zHjJ20WNwRoNGL7a2Ms+/9JZxMVANVJFT
Xqh1q5PJYcaepysvPmIjnB6BQUNxmekqa2dCiodBYT5n2IdTjcvee/8Gk3pYrwyevcWlzKF3mIXa
KYso+DlLp3miAs/cC3+sEqHP0dqM93wLzo7b1seC2SbMAxYiGje3k+iKNUF6ViI146RwhzH4zyq0
O6lX3xMexMgh9tGS7pkGrOFetWADyvsYeQWzUljHAUr6KKR1MhroJcPKfB7e4aNfzS4c4W5ebL+8
V/BMV5XVPiDyTHjHPF2UNjl7ir+g5YFRzWgKNu/czwN4d96dVpcXpL12G2/lVUZyaARNkOZ6IKjq
FXZDC+0RHJ4hZJd27pjt9FJ7LgbnOGmq/kLsn+HwaBVdIha/b5PGQw6T2c1FOOrqdewHtBWZfBJC
+m/KKWHJqy2L0WUUSSd0g3fD1vINy49FTsuBpiL3REswO5WkaXLAthLlTXow2+KPvTXL33a2iU1o
nOC0VNsfneq/E3GEiN7KX31vAwN53a/aGu6b3jXJmLna0atnkSBVlnFddW+obv5LC2qIN87YpKmt
b6cgerLzRyNa4MgxbHqJX6JoWGQfbV1xymVvhuaS3UkKKyPCKSKH7MYdYaFPHqFp0QN5MG316i9U
MNEzFSuKWxc1HeQE35M77tmiay5y0r7a9xzHAM+3UqUtE3YX3ABqf2NPoJ3U9t/XyfgH3ziha22P
umnfc0PZB8xeVHQ57p79V0uKaehhw9wmWvCt7OdZ3Fe6AuOMaI1DUOe8pwqIUEvv/3QS1JwiCI2A
Fe1J2vYdpLqPmq66yZ4CnxILduhozh/MzPwIz6bRzN2yCMvcC5Zxn+J6XjjGpJ+bWu0rkU9hzgR4
ymej+StEY+5H/ohyy68JNyOjg3chRcO/im55rXKw9h77cjjJ7skkJSMatwK/qdm9973+vgbePauX
kNwUiw/yMF472hDhkH4znOI2dTzQmi6eob1/OyOzUOCU585a1mi2KGQbpuJM1s9ihW4lBh6YRyPZ
YtycrvqbUe4XF44W55XVcfcwIta9jviosACZVbCE6/BYc3xHi9ZZ2czn9NJuvFHWATWzzf8WinS9
yLV7z3vxunnoJPpSe8MT/9na+YGrSPWNwz+s4r50zRfD7zHo2XDZPYATh6WKV/Qc3CPBEvdER0XA
aHAco0YiTveq5uFdrMA8muyfSQFmTO2Gc9lnV0ufD1OphgNemJZ8remepsaZXMirH8iXphRdOEjn
w0ZjFA0astxSrz+JEQRpFbdyy989G/qqKxCgt+txScW37S/vZanv3QBRVmHVX+4gyg/qi9xwVvou
58JcYAskkF7dhi5v7TAby8syNYg6gBn5xu3yqDv2T7+gNcehvbPG5l5MHj9XfTkMqLKsWDHqUg+z
il45uhYjzbTB0ECUFtKkA3VzafleJ4mWJiMQx16+1dAeVk0xeZB2sptFoPivgLNtp7+qLv/ocwJK
qLE7260gnCZPRZKlfVLJNgUh858roV497tzAgGuePWJHfTUeyAa9uQsTpUY7XegsGnsgnALzF3w+
i/2Ofpg7iyFe3YeN0df8+2rXPRAThgsY06Qe3eorKMmF6y3RxjNHEN06QegPmpVYbt0nq+ZzOzXl
t8jkBfGe2rPm7joTPUTd0C3bLOreu+SfCklzQKZeZt/56gO0fIIWXZ6ueGyCeHPrnVjA99qCP1gG
QHREkzE64xlqRcXwaA/Db2cZfkROIDcb1sapuGiRvWVAMsIyUzPOG2c8zRzFmB8WfGmDfieAFVQ9
dVja0vS2OuKy6sTIW9U164GnrGEiOEZf/BfyZt7nZUZoLaZfNY2t8GTWXnfTE5q+MtTJeglbg4E+
nYhewcn9lG8qQJznfvuTgYVc8mPrtEsTf5qfH/6kcKREOnREP0boFU5VMH+QK/7WSpbWoK8v2H2K
uNCrN3u1U26I5iBqd4jJr3Ii2Fdg0fma6f1TN/tPXWqd9Vaz4lwUAlGe+hkJuCUYipaqRt/T3ch5
Se+s2fbqONsbnYySGSqHA1Yp9lvRyibeWv1jtHmr5z5a+dIsRlKxeqByU8RqLrxQ80kdzDo2CmSG
FlswiUwgNHogD4uG1gQVyLO5tUsiYJCuutW8rv1MiJCd+YfMYCGwcPJzqUwnSf3lQ9OaqKyW76DY
UIjJdLnpPeiZ3dacatY9C3L636lBfJE2r7uwMgvttC7pXzWggCBdp/6z1IZ29cZORJMeJMacnh/m
F1DQZn0x0g0sO5jO7RC4KJbaLlqkHpzzVlj7piPgfh6Kmyx1MDKauaje4rBZvelNpuAJpPdpiAk7
Y0dwWQTJ291SbtnQLlw3XuUjdSb30ffJXOs+kMvKNzdt5X0VenqfNaNNuqGZlkvqoqMwjGqyGLam
GasPwWvnjIBQn+NzP4KKspyrXREUHEDMcm3/x3EnO7Ig/S5WHgS7obXsEN51q2NPDcOFnLKXYtG3
qK/tb1H660Ftfnpg7mPX17+aJf2RWusee8d5p4isCJFl9aHhi79VnRWUVoI6Ve78a6uQf2y5e68W
fY0Nc/pA2/BZBK4KS6YIRE2P56brigTe7G+ddUZiTP2NsJaCMDW4Iauzs72hLV48yuXRpWP+Fpmh
8cjy67vjeJjz5WUgHOhIpIWZuJb5X1AZZaRMgzU7F2dNbRziPtorAkQB1oz+s88rJj+vTfTMP6OF
306dlr3bLPI7RIiYp7cmgS4cQ5tkr3Ayl3Lf/1/nAjgmU1TIKWkJA1Rps4l5t9HbGtkKgYwIjGOd
801VHickKXPJBKyDZo+hbiBzMJ50GxWh5/yZ8vTJtmdiucrCixFOOYSPjd2VJq+ZC7MSfuHkXDPj
1BHO86SBhcVWNgBzW/i7KNxsKjPynIEXhKV5UdNkEslG19/6uXl320en2yyEVsZ8NlHRZtpLQNes
byPXLSB5jNEw672jirpJBolYGdPKg01y2c3pHsb0c5I4NKLM6JF+PWDs3JCsrRX9TWb31Gx0TDup
2ya44VDyCciP0bXufQdtxalzVI2360i2ebJUuu2Cxu/pzSicmnwaBiGMu6Ey2G89tsJ40tbErOcT
HOSn0tw/dTdxu3ptH3Vt8G72VJj7wasGhC6yd0CIG5k+4mlFbRtPa9Bj7y/IIQ7sw4L8DWGWxiyb
26Q4EG+WD6G5MQuWRgoCpZkhZYnEqHZAGvUvJw324OFgTo64No7tEeTlOaGnjcd6Q6pG9gKq73k/
tMHbYLGsVJv5S5vVB5XZV+WyWbjsSqAW60Q/DdeLft01+0xz9aXmjV0O/H2pfX1nbMG7Z8nXmfvW
66Y1Bn8Hwg2SpeHpzJkpM/m7zpUO19XYSTp7DSGs7Nq2T0dy2n6gWElG1RzXMr1OSv9ZLPNlWAxS
K1ITnEEi8aV/MxKWemoQGQXeFs/0rU8dWWZOW72IWg40sSO15BP/Qz77pJe53ItUPVfzbEaEBiL2
rBfBjxQJbsZDtvnkKKJQwxE8ANKqb4tO5zBXRmwttCf3FqzbAvrUqbuV/66tR6HBpBH8TVAmZkk+
2Sek81sq/5tXtl4Wp1yrI3v4ycqRV1dgUgFS5IfWs7/oo3shJRzmLbNi3tHnDARVmvLEVnmgmuK3
sW1JKym73SZwpBHm1X+Z+jIPvXG8VnhkpZffFuAB7poje8ve6Yrf3iY77PRrcxSLdxgdA6nmcswN
+1h7eb7Hg/O6LYifpNmeCdptdj0aLFbIDW1GUf4n0uxf59T/aJe9p459Yyj/rApxNihqBMu2PjJd
IDD1UsJMMpvRfdNQrniVMV+INkPK6zDx2eb8XpI6whA2hmZu7Ng4zkEtcK0Bdepe27q7cnZ9LgzQ
b1Tp2820i+lqjCsYW63Urx5X7Y2NpX9xyIl85YyCoq7moopW2zhV3QA9Pxrcg1ZXx3apgfUv/hA3
mjeJRGij+08KM3sPsiHbVVsPSmeOY9RMej0fKdaNNqe1EnNt3s1i2xDOGmjl4HxpAU+mWfe62KpL
FTcYnGL6qJu9cjs9fqzwhZ+nUZp6P2k2969tA0oaTrmbkkvpzKBOhjclanMSzAP8umVnRW6+HcdB
zdySjlc0ERKZJfIyUBkxd4r6Zf03aOnA05gffN6tt82zOCI63dgz2P1I4QU33+q+NhtKh3zKpzGX
FKFro0Sf5pc7faRlKLf1lyIzndha3cuG1gApBGERiH1sUgytbuhei94tEZnXPHn2THgtYmir0/6a
XeHHjZvC1ku0aovTtU95R6am5gd7hNJ7fdlU4hH4hK7W+RnYmJ6wq715af6cekxyw/YDkukkRttr
yUYyIL9xBvr32IEsL/s7IWyPNWK6jmtu3twy+6Bo4SiC7lV2zmnucMc67eOY1OvvhpTGiXN6w2AM
iQrFMmQkUddD98UqTnHzQlppCi67t8pJ+1OS2wRwb/a7rrd8EEuCo9DSubUMEVID9hEmR1IiPz4b
m/NcYY7VNWJI1/yC+6EPM0TReDZ7KH23OuQjFpOWbTCisvBL07T3ze1u+urN0UJWZFNPC+yj60RO
uxhcKC/xNhhYm9rDEOvrEDsmK8YWPDMhxFArU1jk1mstCKxUi4ozrfnMGvnTVzXzWgs36F3qjeKV
jHRHA0epsMf71E5m4lEpvZNiSsTGGx3kHS926Q6h78B1Moieyw6bh5WtBLbRWZvo9nAiFDTJt2Zn
jCnBGiacb7cF207203H1rTrhOz+VK3GlQwtCXqYEvKvypNnWJ240N5ZaQCWuzO6bNamrtpa/hmJ8
f0RgHkfppwASZRblk0ORFWZj6q93gcjbiDrwJZqaiqdEt3cDwZGJA1wC6WfzOk0RHEyqP+vG9IXS
nNuMv6YNU3692DfEEM12vYVNWnrnctR23dTQf7Fm6SsBVtPDaPOFmmaKGLrvJT2Zc+WmyHrs5a8+
aZ+rnPjEk4OGFJ4lXFPLYzks8j1XA0uq75dfi63/lw/W+GqrBktDIzmQK3ODk0cesi4M9w3XVyeL
lkwzcsZqLYiosr4XeWa9mLgBSPiXDm8a+OtoQGkV5fkaPI6493nIL872mEAkg3frf8j64Xcf2Fer
oIJG73kr9kAYkE7rFIN3HkWbm6i9+hPVDGTb0gEaL3r9xtr7XNVuHReBMPdyhbDzGockdsRFdEtQ
ASLY7mWe0pmpOh0dnUan0R45pkl2Ib9Tdua734Jd0VFick2Rbza/DAEDSJynsdKFQVkDwCo5ws5Z
5A+gS5+qKbYQu2MMqurBxASqO9V1dVt+SLMtuGbIXaXxnMLM4m0xwSaTpcKFcoLoD8iCc5oxIkIs
sHhcLOjxCidUHjMErd+e6ZGnPLZG5yaGy8KUYEIvuQ9Wd0o2nwSKm6LU/j81MdFofceh3Y/8pZfC
8VaZeA4jHWabikdRBgwXbFBl+R916WXz0Sw839gukBXFeHan6b9aPGJLyUpxDqthb8Mn3eeRgAv8
ABflumfT+PjP7P9GZmutVqBnXJxh0xuadVhqMv6oV9D/2pNlQuCUzOOthPlNVVvXlyX31XCCE0Jh
ZGRr8IsYUj7X4qqNvxSZ+5/eGMv1ZzaV8n8WdCcfJC4SFGvzDPCxSHc4bBmj6YuaDeqnza2urpah
vJXoXNHuF1wW61UnjcuOfYb0Zu/OmdUniIGxgSDEQq3hsyVVkUF4q/7qGGrcm6k3DTs15X554J1J
9XxHf3C6qwZ39e6P7pngTJiPP/1i1ivITETa2UapqHU/nAN/1r5KWXR6uLjQijyoo6uDM+Tgb5rc
WqIEN+jguEBcn9hIxirEGl3KTEbfyz5bBWr+VM7Gm+2lQZHg7TC2vRKNRh2iklNx7VxPy4/BNEtk
QzgA67/AMfmyz4FlEBiV7sRgm89TZwHEVo1KT7DqFTXJguzTm4N3qn6VmusyUkEVL89tDSl9kjaC
+1j0GH9PmU0B5HX2sMgBi8B1YPBFdl0NlqaTaakvTkL/sPoBwGpmBi2/06+58pjldb0qgaz1ytRf
DHd1vsZsmNfEonjbQPwH9/tsDppo0NGV887P3AEuNJcGSoreMOPpIRs96ZPMB6QwgrBhwEgyykPf
VqaHxYMNw7wZiNnViys2l/5GWm/SHUwxD+PU+a138VjijhtC3CHiUpps/Uu3qlhD/OZDb2HBvxUN
E/ulMj2Xv2ugJbrVm808OhoFEU+bK3h9cKCjiw6MVs0H+q1RjupKgqtqOUKAsGhTDg4UhPmrXW0g
MHrldu/NkOUObJnY2muvd/65RNrzV1u7iTemk7UHOIX5glj/WtJi7Ye8/xCcKE2Nz3VHcCAxfU0H
leispBtrrc2QUKFlA+XT0PJncsOFAWx9Ul2tMMelWbmrZSNgQB+Mpb8UvA4FoHO40BJTxkgjGsYg
Kt0Lxb1o1H8Qixh/ipJXSmip/ysxmai02LZGx/7oHKUPO/azoLuSS0sIqL4qMaDS5+rca46yBwLZ
/bMauTX7pkDiHc36gkqtRMtrURDrmp+ag4khLDYPe0c+L2h0MulP5RFBKWt7adYCUV85ki7e+QWm
hsnVlhfHzd+qYkGXu5hYy+bQTGezOzVuPf/L+LnVUwNYAtJGEreRDHarUpZhmCqMmfabBOXoEWlV
zpiY3apt+CKKAbzCsfMfb+lp52noowynxvC/60p090UF8u7YGoBObpYQcsBXwEtLtr575cKjHMhq
NG9LyceJ4LjE0Sln343L0h5/WpOys3BYJmFeFSq/gy1qPDob0R+Y4Jx6PDEwVJAxUufwfORdn6Z8
qGYGNQvtFiOzJiMk8lCvdmFyfdGOIFc3kFRhcfi/4J2qkEuz1gYSBdmk0B7DQ8++pgvNNP3cP2Fr
5oiEVXkfR4nhxTKlm0gy6ftDsRLNGwVE/iCz9UftzcEvlMWlZVmH1Krzywjee2913E9E3tdeZKA/
6HejVxtv5hpMig+rFzhUNHGU6by+Tnlr3AEywMq7HqAyGnSSJH1RdNmxJal9QlnZjzb4FAjb3p3I
y8cPmqkbmqz2C50tRwh4kiThfrOZLC19y8d4mzPOR7antIvI/LH+w3hi5bE1FHY0FpWh4jJdtQBg
AiU3gfPlBbSnGXYdiW2Xodj8MQyCtT3Whqu+XOWjYCc6gPfQsIArt23LC7f1+Z6W1p1/D25b1pFr
137LDuI4c2hLQ17z1dX/IHFi5u+0FuTCzrMb0hr+mM0pgdFl0Vt0mIEI8rAnNulfjeSY9HJc5VE6
E6gc+mXhExi+AWcmHC/LsCsanGPhirWyDMUUKCoWGuaQk+7XGuoRngYKSKT2LbZS/ZLlgorXn5c7
Lmffj5nvxQdsoViT2ZAIPXUNpSgUb2Y/VZPLGU6Aup3GnWz9f7rsxicV4BZj9O2QQxFbvqOdamzw
U9T+L9Uu3Rvqp+laUCX1Z+i5ESLMCdxLtSkwrhaZdF9l46L1RPuHg89e/e90K+wvxHX8u43JBHH3
2bLyWOdgh3QhrP8loMMHHYL0xFuay4s9CjkmbODM6XJc3ppxzb8C2YNx6V5tIzKpctF8S91snhdN
1/84RBhehJrqP4Vr9IB1Do5trTJYosatA/MRU/0CcYLQTtc6K0bUpLdh1dnqKKfB/VeQaH1dV52p
hKgYcwf2Jj5QpRIyWTl5xjezocqpdaVb8WwszuskeqkdbFiWJ7AXlZgz3cOxbuXzC1vu20iBAYeV
PaNhHp21fFuJ0PpvUuJ7ojYkccHftmRTLwz82d3kbfTsQxlW59Ib0IUvRYCDOw8w4w7uEPWQoohL
iIG0vD6/93k7Xay2DeJKeKWHhkobnzZaIFGa50b+U2RBimTElu076SuslRuyngiWr8IErHzeK8Y2
PKOQ8P/ya2fPtpWiLRqzVrs4ndTfCVIrflrEJhqOOhJEdwpGGIbPc0bqSXk6j8X/uDuX5sSxLI9/
FXbdHTG4JYEEbDrCYGxn2ricxunqro1DgFLICAnrwatjImYzH2LWs+rF7GY5u/wm80nmdwXK4QoK
O60ble5yVVSlbfLo6j7OPY//+Z8mEXOsgap3PnaJ6IIk1NjaTzSkm3UMugxVz/xoZU0BsKyjmycc
iqi7BgK9vPAJanCgsnqJdTOdpxe1GqZ5XZ/qt4a1Zl9i7bHv9eUqsMCGTunS1vTJNqxieu18rCaB
+YXcfPUn3fWfiOdrlDFv/t7ca5G3pRbk+QwgxfoKYFfrl9RL9KG2phrtjKDc7G48TlsRtfG1iNAJ
cKMPk6qGzvCWUzSMT68YqhcBiF7UHmsgbeIGWP746ZnLJ+SGBm5k8jFNnCffDUKgmAYVvoZGYn8R
U/0LD2sVyBWEW233cYnBPaYpFdKJEAB4D3UTFMrT02QQgac5M/Un80p7ttC68zqMZO0x4bCPwXO1
idUKWGu4XM1r8XmSmn7QmVIu4OBYPPZCio/PGt5yda7RruTsCfaGDmYDWcDGmkBje6lB3dWGBYep
nGEzPxMdDZ4upi1jHrdpL20FXUoy/cEiwGeHJGdMSdHqMW6c6+GqmnRbhLq/gFE2rHbN1a2HBQcZ
Vab7zwuqdRv1WQdHYbzsxzCukb2rwW1EhIfyEKg258YoySYrSdZj2sPMQGFygE1wiLgibrvhJ0tC
ro/UYwU0AODuxH62omZAfaLPjCQ6IS3+2HzsAROvnmk0JuoE8B7fRpq3enpqA4mmAIGxQTUwmYaU
lE2f3KD12WpCDkaleb1vhORMl+nSfBhb8NSIFg5Trf2EL/fXur4MqGmsNwEtWcn40zherm8AVxmf
FmvLjc60JBBgdQpHvU8WENnHNsS0z/Vuq+piIkWr8fhTI23ptY+1ZLo+T58Jbfikix7GrQYVBV70
OQoBKEfN58lIXz+73MYAqInrWj0i/1jsngZclYKxyOBvW1TpPlNT758H8CoQIdPmbJdg5XN+1o/4
du0wJBnYpgVpeqdPV9HHWVT3bkhwDnVIP9KO5tKusuvOIdx4CI3JyupSr8GCQuLDPTKJEqN+qbXG
1ai7uf0XXgrMmmpMjpYHtv1sVl8tb9fpeDzrNB8jdvicCMv8qu6yS2kJQke5biMreWuJq6YXxNW4
dj5lp0RtWAcILmcCiH9zIkIKc0EbPIXx8tZ6djG5alADg01PTS6phRHyk/pyycGfTFrsS2rnda1D
49NxNekAydIGE7FXANhT3Whq2uo8sejL0rNgaZ70klVzSfMUvW5emSmMyVTJzJmgyeMzQqj45IJa
JKvl5LIW0Ui5C3mICSJjneIZG8liPrmcjZd8fqMFSMU8Wh+bsAm4OEiTZ+gCovqEUs9MgVFh0FiZ
xKBoc9F5TBaA5dJxHRZ1k/7MPAx0LFiYMOSRtOWcrBccOhI3aacZpGFduwS+CZQeqEIVRnxgMmPs
tLU5wZeAxBcTyifEtap3KPwlpt9pZgZhjPLRPk+T9WR2RXCgNr0FmtaCji0FjNihNNaYnLvw4rQu
W2NLdKKxBBRywUG9WD8GKK/VmnMByNmfPFSn3nPcIeJrkccF2MOuBqLptCLu0/YSGAfkIPPEanTS
BEOKpuCPa60TjPGrOrSSYyVX2swPrmerpf50mfo8ux1BEz8+q1bD6Gf2kEU4E9pvt7v0lykxqccI
AAo8d8DOjXrL7ScxhMZgkhP348yjp2Zbt2KNEmtowZMPz4ax8kkUAYlur9fESi7GukcZehtMoJF8
NvFAml3MIuoH02cLkBR8A+ycp8bcf9isYUT4PT73Y3eSXs6DiWa2n/l02MFfbQ3JTc5rF8SASAdr
tTi+NTzTT9EqzQSOg7GmgV9Jl9QE+eNHs3n+RD/gs4VG6fon/IXHxoW19DTqEhbT6bBmEdpE569W
U1orrAi0motEu3eDqP7cXwLMefyIZ8/2q0dLsi/goSYPca3FlveIvARn08bk8QN318L4CYjFo4+f
OIacg7CiH5MXnFDC30qXQesyXuq1X7Dym3+dPD92n5pV4FMelTUCyAvB9111xt5buMGD6xlLrhD/
Zr6oU+NRw+0hFNFurabunUtHpGeKzBKASskXI2r9jcpBNKJpclmfJ9ry56xib8sRJdEfDX+No+o+
nPJvkXZKoqr6VXIq6VMXTigIoOKiKDGa3advRyd4qV5isNr5aLfIb7Xh2toSXGV0Tvfh2z6U00WJ
Ee0Leh0nVosKaYkSKxOU0XEdE+DbsHalI1izTP1EgwqXDA0s/eKL+k4/DNztr3XthNQ+lGpN/Gbx
BQEWz9uZoP2R7/OAve0zx17AyZYlYwWrl52CWuvE1GoowFpj845Uj+5MAT0YTzS4JCh4J4ImvjYP
fFdzYJTdBrWTFog4ILibVxScYLtzYJyYdLWjuwyXZ/a1eeA7mgPR3bLUSahzEFotHQ44+dUbxglF
83ACCHYA8UVt9/s6AjXKoUu9usXyNuh1aeXLy+rurn7LOgGsoQvqgM0UvLvVF92SS01BFRbABgVT
8BRgw2Zf0hyw/Ce0jNcbpKWzOXh/ilCDAKDUHBj1E92gmQRemPTuUCdCSU0nWYgT3+e7iwZipV69
zg4X1KHw4kivbpzQNwy+fTqUfNsVPOgd6T1qdcu+O3c8O1uz8o1f0P01dL/gp9SJ0b7P5dcFZWep
9Te4/0iDtmoNDtGu6tM1dCP8n+Kf7BnvaekFB3+p1zZbUJ/WWwQMBZU3X/LS6xx8A61Pl57NrzcX
zTuaAl1nxKWmoM72Jrhuwin+bXfvbADdONEt8Yvt5f/+DGC9UXbzm8YJ7fkAigpVsvPuJjqR5vC0
sdqu/vtbfkFqU2r5OQGE3GjMkS8wR2pnCvB/IPbn8G+22Tva+aLNQLk3N09aBoEBfceo23nz5gnG
MEw7whzmOe/ozUuvuVVjv1uNhmVuD7Vs7mIJtgycYjM79xz97zD1XjFN3wIIHVJUoyx04DnxDoP2
ix/IAwf7ArYus/CLofL/RkidffAedu2N6I3zLL7/y3CXbDtb5J1fCo7xnW+lz27CLTu/zXfI7rO2
s7E/zoNvkP/w0nMiOxqOV93Myd++04bk+9R3ncizdzm+Mf3+fxh79OHfjshRqYEb+pJQNF1Zoe0w
iRd2IIkVXe5Ky3UCT+ZFRzeVFpoCJxt5uSCxgWoKxHbG9mhXpuBPLzvUO2eWDnxvWAm/VJKxU4Es
1w1zsWLgdTRW2YecOdNwGBElG1Zefp6CHdghghmRectHnr2Hgs0CUWIYhfGuWBM6+LLT00FAZPuV
0y+RN7SDb3OUSxbDN7GkSz/HnjmVBycaObmsTDKXflnJZ0/eACJ/acdb3ANl5Xbd1SzJxYjBiu65
pYU+p3YSovf8ykXqBY6kUwQZXukHgOmNZLENBUcV3mQvnMnquqHgdN5z7C9skBjSRDSxg8tOxIU9
kA9hU8HyXYwL10BTwZLtbwTc8/IT0Pn634lTGf3hwzz0IunUkdstL/7KCVbSotF+orzUa29QtApA
QiuQ68Q0qpAuF3p9KJDrDQqzIFrllN27PXtku3Y8tKNcltA/uuhqXV70KkwSeTsIks3ycn174eVy
suGaCua3Z/sFoQpOcY+LdDiUN4NopF1+DlK0r5dKlzQxB1WS7UBWk7qKa64XroX+fU7lPWEp2MY3
HiZ+/vLZllBxZWRSCxMhYn1lV2+jhqttL47tNBeXjVrEC8tKv/v6jxTogWQWkqxVIBjPZCQpYhAW
5cX2ndVw7Pi+I21mQogKRIu2S1uDM5cm5hlPPf9WeLRvcwD7TuC4tp8LyuSKjotl16+PKxvZlWsn
DKSDYugKlGc/nKLn5EUUnNalB52ObGnHGSpu/vtQ9tKMmoILuv/1P8MKMJKv/6iwnyu30df/Cobe
TJ5rQeZedk7uOYZxYa5rCg7MvR2siwqaHHz5AX929w54XcGGpj3NxAvsyrkdSzch8ePyYybE4xVs
esNUMMld4jAJYLF8hNnxVnHB/rLngxiiN2jZzfaLNx3Yg4W8iy0FE9HPdGh/73yLDELZQbe9qHKP
MScpUbOmQPLpYOVIa9cwRIsG0a6h0YIoDFzCiwfmUCTyW1B7Pz4pQ5i+//fb2RQbjfbbWAJ5bHM3
OnokuvrPEImNXLFlCvFNXcFGCn1vXlC1CnZRO7KpYMiHl62MggtIrKd0TlW4h53QD4vBDQFvKntE
u8PUHoWSbS0S52XFnkdOMByLyFQhzKFCrZzb/sQXd/uHWPxPsisbLx57jhhIzWOh/wsqkwt7WOR7
ys5JH58uIKabSxL7TW8qEHxrR7ab2itZsILL99aJUlmoAp+ZSp/iYMm85Y95u73+gL2+Th05ZwM+
/CXJP+4aoBCd5f/9XQMdTo/sSKqwXi/oXRyI854vqDg/IhNd9lz2nCWVZ7mc7FSqUIF92wuSyq3w
9pzME+mJ0AjZ9N0n0dcq//btO/9z4CXOqNJP7KTgZAscdNnp+ZbXIRtFYicXKObJaGjNYxcmmvlV
udaOHXmDgSN7mISugZ82jzkoG/k/8ACLSPXv7/yefnHJTnhxIi+IgqN2unaige09yYIV3FSn0ZQU
uLQ5FVxVbTtwfXvkxGNp1yuYiB4WxlQOyguUadmzCstkcdEUaAAIa2kUmI9OHPyagrGS3h6EI3nN
VIQj+pFXubaDibQZVGR+sOtlq1BFfOMSpELlSvynf3q3O8UwI+Tfvv1m+BCMiDIWglS66MpXdqch
WV46XUX48qM9k1WDbhy7X155vVytIpduKIWTQbSg/DTchBERaHhN5UQ5pXLlZW8iMwdkK9gYV/ba
hrxhb0oUnOtrW8aW0EGq/Fz07KEd7h0RFQ5wT0CFCiFzXUWEkYTjyJvLBpluKbjrEGyvimdaBaTk
xpnJ+Q69oWDphHc6dPxDzrreVCJ/smeq6C0FZ/uWOA5UFWBrsDM3+jIzepXEArzAtWeoDUmyrmB3
3I9tr+glGSpsi3v7ydufacKu+Su8/Zq6tz1yj7mcbJJVWBh0x50Is7Co5mhJmj/r7WP+vB44B6aj
rkCDPnhOQqAoH2M2HypU3U9xEoXzyocEYOes8ucKxHvwO6bbk7n7OIH/VvAi2wdepZDmjMkF/LmS
/9E79NBGXUWmpD8Do+mvDumbmk7BUv6eb1/6njca+U6la8dJLkysETQnR6VvvNWXw4/bWeuPvUnI
Bc2sffvjJuC5+1DA+A3KNPMflXgpcavYLFDk+f/7b/8RT8R3F9GKSA4juAQDN7XzVZP0ITEAq6Yi
gHfvgUutXjuxDCpqUIZU0xT4XCT0J/Yk3+7xn89oRbnCX/Iqn8A521IEqNUwoZxR8NCzcDIKmcB7
e4Ib6U0lr4TOxHVTBV7oyqbnmDfJd4HYjbqo3oPKJP/Z23fGrV31vepw7NlV+pPl8naeoSCE1cfT
PiBZgQ66tmfJuGDWbKbmxUvgxwWWNqqkbGRpd/xi+an02P1RV5RS5GUm0rPy3+Q/PJYsadvjiEin
tHgKlq2zmkWppGdUnJML3B7ipJE3k8arKXAyP0SyBZO1ki/tZceR7UgJSl3U45UWG9nPuZTsHIui
0bJCP4bRqDAFhgLNQGNI25PuWV0FgODaGdiBHIsnKV9+Fn6CljyXkk2tCozGJ9hgIkmqoGQpu2B9
Ox15ldPILuJrBGlAaeErShNyMWIiDBWRnG2mQ4y50p16GHoF38xQcN/9jAVSIfQrXaeUA+dv8/ab
9G8O7kguJpsUUbFZdqpvwgqb7g9xpej2mSr02gVVcEGlnw5G+FEkgKSjWDfoxVL+DUDSDQ7Z64J/
QG+0FMzR6SCt9NJY2pFb6Qp0/9/vuv3u3UP37F8rYvM4ERNW3P/U02t1sE+60aSAulmvv+fMtA7j
8O8xM33qo/VlvaTgijolyg6kNz8H4mC/aFu+7AaepuK8SVJ1Bdqt7fiul8rBBQUHjJaXTGyW5750
orXjhvNCtsRQoEAZvF0wC1XUCrVT3yUFLc11TcFwzxyR5JPuERUK/0PENMg4CBVFFt04CQuHo6Eg
jNpZO8J33D0dKoosoKcuToIgASh7mZ7bUegcuotUALXO8RGGTj7ITE8oONEX3oC624KFqCIAfpFy
k8XOanfALQXX5YUTYbDIYlXMAwAheXZVVMV0ohCguLR9ARfnU/J2W/AyJQMQSZOgqyhb+UCupaAc
IGkqP94Pie3LoxU0O2WP20cnKmww2rMoEIvJ2rNXsrGtq7iBru2kAESmcUv5AV97yTgtmia6CmqE
vh/O7UlhA6ugQ7j20OuJE2DvFsI/KnAR1+nSAR+SRm4+uUJd6irSK73QHzEnklxTgVojk2wXcISm
giNCujeRB6siS3LjwJMRCU0hBdky4qiyhxpQxKKARlZxNcMhXFRsKlzDWyAcaaHQT1eBK70jY1Kw
p6DKzLfd228OcaKLYDdDkF2WXTeC8GhNQOpSKsRQ4XX0Z4UYccYrVnrAcxuHLhrlr56FVAwVU7xw
RvLlYagIkfYXXgICsriNDRVX3ueJCMNLxqWh4v7YhtyuACyMQtltVAGqexB8Ouy7jpdI1oWhhEog
DLigHDeSN7QKr6YPkFW+VA0V7CgkeB1BYtQrRJFNSFjzXf52zbFBq4GlcoAFyqPXqZpTcFldhXE4
l2YbxjjaM7XKD/7rv4tzc8g1g6UbLm6IKoGaEfOElPnFxx3Kgx3Jjqms/WvBmPsq0LiopENDvlD3
Fw7Bzb/wmXfB0pbRQuXbQGhqwUZXuLO2r/xKXOdpgNM7FPojl5PZiEAi8u/zo/KdcgvgOi7XkhK7
aRTKFeibCGup19+c5tMDZRlZXVEp2VnwcY9JAKhHyYnYYFoPjHlTEltqzD+JkyBrNavWbNabRrMO
WXGjSfR9P2/2fVvjlkycW9SdlkBx1KnmqhuQQusNzTwWiMLeflVRDHvGLmxEq1lr1o1mi4vdgOXW
qh3N1L32QW0cDDjt+nvlQw0NwBTtDuE5N00q6VpHc2CvfVwPAqUZwKapvFTkR8wWXVpg2NRBNJmQ
kBZPcQrB3OrOcSE/efXDbPpJO4NcUqZ2arWG+If2Fq1Gq6HTSSv/da4u3vCgbyVMlV/xrJp1qplq
zKKg1NWgzzhq4Gze78fdUpvKrhz/0RGspGJyvpMrdHf827+++6MuZ08BAMXxvXXB7j2yoK88fZ0Q
1GjlrnC3qMCFd/1K3/bnxarrxt5luLMLXznoCygBHQhgpPtw/zb8fsFUqYyEOsrnNbtnVZQu3jDB
WfGyJPloUeEr5+KWIlQZbae/HLs+tDt/G7MQRfu7LCU8aKKZL2+dH7gSed3pP4X2O43SgXTcj11m
rzw62NUeJfpZMrdtRwO4YXaPpwJFdRq4qefLekpF8YMYLYpV1lMK3FpBLgrQEYUiiVYBaerYK8KE
h9xaFbHuTmF3qGBSPAunECfJTpeKkHQu9zB1sIrKKSgEiswEKiLIXLsjCvtT2cNTwfV3CfTR2z17
ugog/Ef2cWH9dBXAOWLHglKrSACpglya3EoSC968RJqNow7JK7XdLVnuJBSmnhS3MlSA5zYcEFce
zc0zbXrjzD1Zg6gos9k85Todyh6VoSKgd086wBvZo2z49+EA73d3BQwVOVVRp7WZnw77MowPKUNj
PwTz/WbsZqIePEAYUHOIaKIgi99ohb0yPxX0u/QgTbx4XHnwItc7qORBBebzecD7fOUW/tw/+gQF
F3ab3GaB+5lezOVH3sGroLI3FyT8CiVlN31btooM0b6MRSfL8PZp7gtCly6wPHIWcm2CoQLRtNmd
mDDJ+Os/fGe6ykcsZsVUgeHIXqBn8wQ5uQVvnor64c0LbG6Byh83YKc/7b5EjcjHi2mMH2f5i6DH
79IJE0jSYjBXRcKYCPSX0J9s9fXuSlskrCDvaVkW6Z9mk4D0sZBopuZ+3LofihKXdf6OEDn+qDY5
m0QB0HR7GkoOnQrV0gbTV/QTFdxsfUF7GB68OVXQd3RCYW788cohhhi4fzpkeKgwA7JMjagKEOgK
4lKHnqMCgdQJw/wwSlamChjSufckeSIqqCHOQVmIGp6cuyzLfHvDaJ+z5igN2CutpC0npWhFvseJ
oyLiuJWfpbjEYgv78luKUlASyVCrpgKAOZ6nBMnYT299v5F86YCo2e7Q7B16wzOsPz//mbSzSGPm
av/tdtUVtcsDbKpcUhZdVsHQ3RlHFC0RtDlwQ+kqAP43zqLSsf0DcAoVGJMbr9BKQQXC5MEOyBKk
0lyrMI5vbFglJKkqzqyY4F8cMhpyuQNwj/xRb992t14yxKk5eLmQXFXwAHtGFFW8woHGPGoq8/1i
gwkFx5FLKqZi/jBjj4ps0sZPuHR8onH/UjmN8cZjcrqbEIM4scRDYZ3opMFYslPIeZdflPtwAkBe
2qmGClPiHh4pebQqOMDuUyCOhcEq2Jk/s7zeJuRynibQs+TzmjngKoLEe0amoaJQtCMImUS4Lj+0
u+M28S5pS4uzAeZMA5OhAnS8hT9uwBGVHtjYqPJTCr8M9uJBM44WonVTo9SzifsjemS38jH+mqb6
gY7PAeBKWcdn923EGx8nndj9dHcXDqAQcXcINfPbvuWm2DNDUeQvmQ/gGLXGhRMSNpTOpgrCtLs0
LuCKDBVZhfuv/0MfkJWTb/dMlbxsZB3aAb9Nyv0QvClflt8G8XLo3Xea/kqDyTfOq36/DXWKJTiE
q5IEbw/pkYDFHrp0d9zv44w3DoC6fn9veQhD9s7ecndrHNiy29tg6ONk/uX/AAAA//8=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2F81D788-4E98-4901-BA3A-2BF9343EFB28}">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noFill/>
    </a:ln>
  </cx:spPr>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3.png"/><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219075</xdr:rowOff>
    </xdr:from>
    <xdr:to>
      <xdr:col>4</xdr:col>
      <xdr:colOff>609600</xdr:colOff>
      <xdr:row>3</xdr:row>
      <xdr:rowOff>0</xdr:rowOff>
    </xdr:to>
    <xdr:pic>
      <xdr:nvPicPr>
        <xdr:cNvPr id="2" name="Picture 4">
          <a:extLst>
            <a:ext uri="{FF2B5EF4-FFF2-40B4-BE49-F238E27FC236}">
              <a16:creationId xmlns:a16="http://schemas.microsoft.com/office/drawing/2014/main" id="{54DB6D73-9FE9-4881-9421-5720ECAC4C0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936" b="30645"/>
        <a:stretch/>
      </xdr:blipFill>
      <xdr:spPr>
        <a:xfrm>
          <a:off x="1066800" y="219075"/>
          <a:ext cx="1581150" cy="571500"/>
        </a:xfrm>
        <a:prstGeom prst="rect">
          <a:avLst/>
        </a:prstGeom>
      </xdr:spPr>
    </xdr:pic>
    <xdr:clientData/>
  </xdr:twoCellAnchor>
  <xdr:twoCellAnchor>
    <xdr:from>
      <xdr:col>36</xdr:col>
      <xdr:colOff>347382</xdr:colOff>
      <xdr:row>25</xdr:row>
      <xdr:rowOff>36634</xdr:rowOff>
    </xdr:from>
    <xdr:to>
      <xdr:col>40</xdr:col>
      <xdr:colOff>158750</xdr:colOff>
      <xdr:row>36</xdr:row>
      <xdr:rowOff>145676</xdr:rowOff>
    </xdr:to>
    <xdr:graphicFrame macro="">
      <xdr:nvGraphicFramePr>
        <xdr:cNvPr id="5" name="Chart 5">
          <a:extLst>
            <a:ext uri="{FF2B5EF4-FFF2-40B4-BE49-F238E27FC236}">
              <a16:creationId xmlns:a16="http://schemas.microsoft.com/office/drawing/2014/main" id="{4883C9AD-DCD9-4A8B-880E-8B0A37AB913E}"/>
            </a:ext>
            <a:ext uri="{147F2762-F138-4A5C-976F-8EAC2B608ADB}">
              <a16:predDERef xmlns:a16="http://schemas.microsoft.com/office/drawing/2014/main" pred="{54DB6D73-9FE9-4881-9421-5720ECAC4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638736</xdr:colOff>
      <xdr:row>45</xdr:row>
      <xdr:rowOff>119788</xdr:rowOff>
    </xdr:from>
    <xdr:to>
      <xdr:col>5</xdr:col>
      <xdr:colOff>648563</xdr:colOff>
      <xdr:row>56</xdr:row>
      <xdr:rowOff>93914</xdr:rowOff>
    </xdr:to>
    <xdr:graphicFrame macro="">
      <xdr:nvGraphicFramePr>
        <xdr:cNvPr id="41" name="Chart 9">
          <a:extLst>
            <a:ext uri="{FF2B5EF4-FFF2-40B4-BE49-F238E27FC236}">
              <a16:creationId xmlns:a16="http://schemas.microsoft.com/office/drawing/2014/main" id="{F4642457-7651-4A77-B2D6-7C3D2C57EB49}"/>
            </a:ext>
            <a:ext uri="{147F2762-F138-4A5C-976F-8EAC2B608ADB}">
              <a16:predDERef xmlns:a16="http://schemas.microsoft.com/office/drawing/2014/main" pred="{4883C9AD-DCD9-4A8B-880E-8B0A37AB9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154901</xdr:colOff>
      <xdr:row>45</xdr:row>
      <xdr:rowOff>93431</xdr:rowOff>
    </xdr:from>
    <xdr:to>
      <xdr:col>8</xdr:col>
      <xdr:colOff>785419</xdr:colOff>
      <xdr:row>56</xdr:row>
      <xdr:rowOff>135798</xdr:rowOff>
    </xdr:to>
    <xdr:graphicFrame macro="">
      <xdr:nvGraphicFramePr>
        <xdr:cNvPr id="40" name="Chart 10">
          <a:extLst>
            <a:ext uri="{FF2B5EF4-FFF2-40B4-BE49-F238E27FC236}">
              <a16:creationId xmlns:a16="http://schemas.microsoft.com/office/drawing/2014/main" id="{5FD0E85C-31FF-44A0-AE27-6F64F0D40182}"/>
            </a:ext>
            <a:ext uri="{147F2762-F138-4A5C-976F-8EAC2B608ADB}">
              <a16:predDERef xmlns:a16="http://schemas.microsoft.com/office/drawing/2014/main" pred="{F4642457-7651-4A77-B2D6-7C3D2C57E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179293</xdr:colOff>
      <xdr:row>58</xdr:row>
      <xdr:rowOff>33617</xdr:rowOff>
    </xdr:from>
    <xdr:to>
      <xdr:col>9</xdr:col>
      <xdr:colOff>11205</xdr:colOff>
      <xdr:row>76</xdr:row>
      <xdr:rowOff>168088</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97E51D6E-9C0E-D7B4-67C6-04481E6AF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295275</xdr:colOff>
      <xdr:row>58</xdr:row>
      <xdr:rowOff>0</xdr:rowOff>
    </xdr:from>
    <xdr:to>
      <xdr:col>18</xdr:col>
      <xdr:colOff>7620</xdr:colOff>
      <xdr:row>74</xdr:row>
      <xdr:rowOff>197</xdr:rowOff>
    </xdr:to>
    <xdr:pic>
      <xdr:nvPicPr>
        <xdr:cNvPr id="8" name="Picture 2">
          <a:extLst>
            <a:ext uri="{FF2B5EF4-FFF2-40B4-BE49-F238E27FC236}">
              <a16:creationId xmlns:a16="http://schemas.microsoft.com/office/drawing/2014/main" id="{AB046B67-EA3D-81B8-7FAC-BF429A023B6D}"/>
            </a:ext>
            <a:ext uri="{147F2762-F138-4A5C-976F-8EAC2B608ADB}">
              <a16:predDERef xmlns:a16="http://schemas.microsoft.com/office/drawing/2014/main" pred="{00000000-0008-0000-0000-000009000000}"/>
            </a:ext>
          </a:extLst>
        </xdr:cNvPr>
        <xdr:cNvPicPr>
          <a:picLocks noChangeAspect="1"/>
        </xdr:cNvPicPr>
      </xdr:nvPicPr>
      <xdr:blipFill>
        <a:blip xmlns:r="http://schemas.openxmlformats.org/officeDocument/2006/relationships" r:embed="rId6"/>
        <a:stretch>
          <a:fillRect/>
        </a:stretch>
      </xdr:blipFill>
      <xdr:spPr>
        <a:xfrm>
          <a:off x="7286625" y="11268075"/>
          <a:ext cx="7010400" cy="2952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9525</xdr:colOff>
      <xdr:row>25</xdr:row>
      <xdr:rowOff>9524</xdr:rowOff>
    </xdr:from>
    <xdr:to>
      <xdr:col>11</xdr:col>
      <xdr:colOff>190500</xdr:colOff>
      <xdr:row>30</xdr:row>
      <xdr:rowOff>57149</xdr:rowOff>
    </xdr:to>
    <xdr:graphicFrame macro="">
      <xdr:nvGraphicFramePr>
        <xdr:cNvPr id="4" name="Chart 1">
          <a:extLst>
            <a:ext uri="{FF2B5EF4-FFF2-40B4-BE49-F238E27FC236}">
              <a16:creationId xmlns:a16="http://schemas.microsoft.com/office/drawing/2014/main" i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25</xdr:row>
      <xdr:rowOff>19050</xdr:rowOff>
    </xdr:from>
    <xdr:to>
      <xdr:col>13</xdr:col>
      <xdr:colOff>866775</xdr:colOff>
      <xdr:row>30</xdr:row>
      <xdr:rowOff>66675</xdr:rowOff>
    </xdr:to>
    <xdr:graphicFrame macro="">
      <xdr:nvGraphicFramePr>
        <xdr:cNvPr id="5" name="Chart 2">
          <a:extLst>
            <a:ext uri="{FF2B5EF4-FFF2-40B4-BE49-F238E27FC236}">
              <a16:creationId xmlns:a16="http://schemas.microsoft.com/office/drawing/2014/main" id="{D1AAE182-763F-462A-9659-6C77C4F765F1}"/>
            </a:ext>
            <a:ext uri="{147F2762-F138-4A5C-976F-8EAC2B608ADB}">
              <a16:predDERef xmlns:a16="http://schemas.microsoft.com/office/drawing/2014/main" pred="{E0074C46-4840-49BD-9389-4223A615C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3</xdr:row>
      <xdr:rowOff>0</xdr:rowOff>
    </xdr:from>
    <xdr:to>
      <xdr:col>21</xdr:col>
      <xdr:colOff>879326</xdr:colOff>
      <xdr:row>27</xdr:row>
      <xdr:rowOff>166738</xdr:rowOff>
    </xdr:to>
    <mc:AlternateContent xmlns:mc="http://schemas.openxmlformats.org/markup-compatibility/2006">
      <mc:Choice xmlns="" xmlns:cx4="http://schemas.microsoft.com/office/drawing/2016/5/10/chartex" Requires="cx4">
        <xdr:graphicFrame macro="">
          <xdr:nvGraphicFramePr>
            <xdr:cNvPr id="62" name="Chart 2">
              <a:extLst>
                <a:ext uri="{FF2B5EF4-FFF2-40B4-BE49-F238E27FC236}">
                  <a16:creationId xmlns:a16="http://schemas.microsoft.com/office/drawing/2014/main" id="{732DD60B-D269-49C7-91BB-561BFEA241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13569950" y="609600"/>
              <a:ext cx="7591276" cy="5056238"/>
            </a:xfrm>
            <a:prstGeom prst="rect">
              <a:avLst/>
            </a:prstGeom>
            <a:solidFill>
              <a:prstClr val="white"/>
            </a:solidFill>
            <a:ln w="1">
              <a:solidFill>
                <a:prstClr val="green"/>
              </a:solidFill>
            </a:ln>
          </xdr:spPr>
          <xdr:txBody>
            <a:bodyPr vertOverflow="clip" horzOverflow="clip"/>
            <a:lstStyle/>
            <a:p>
              <a:r>
                <a:rPr lang="pt-PT"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208189</xdr:colOff>
      <xdr:row>43</xdr:row>
      <xdr:rowOff>126546</xdr:rowOff>
    </xdr:from>
    <xdr:to>
      <xdr:col>10</xdr:col>
      <xdr:colOff>884464</xdr:colOff>
      <xdr:row>73</xdr:row>
      <xdr:rowOff>40821</xdr:rowOff>
    </xdr:to>
    <xdr:graphicFrame macro="">
      <xdr:nvGraphicFramePr>
        <xdr:cNvPr id="2" name="Chart 1">
          <a:extLst>
            <a:ext uri="{FF2B5EF4-FFF2-40B4-BE49-F238E27FC236}">
              <a16:creationId xmlns:a16="http://schemas.microsoft.com/office/drawing/2014/main" id="{2B970C78-FE9E-D18A-443E-F057966A6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493486</xdr:colOff>
      <xdr:row>27</xdr:row>
      <xdr:rowOff>11794</xdr:rowOff>
    </xdr:from>
    <xdr:to>
      <xdr:col>15</xdr:col>
      <xdr:colOff>54429</xdr:colOff>
      <xdr:row>39</xdr:row>
      <xdr:rowOff>81644</xdr:rowOff>
    </xdr:to>
    <xdr:graphicFrame macro="">
      <xdr:nvGraphicFramePr>
        <xdr:cNvPr id="3" name="Chart 2">
          <a:extLst>
            <a:ext uri="{FF2B5EF4-FFF2-40B4-BE49-F238E27FC236}">
              <a16:creationId xmlns:a16="http://schemas.microsoft.com/office/drawing/2014/main" id="{7E1C6EAB-A86E-10DF-7988-04E61C398746}"/>
            </a:ext>
            <a:ext uri="{147F2762-F138-4A5C-976F-8EAC2B608ADB}">
              <a16:predDERef xmlns:a16="http://schemas.microsoft.com/office/drawing/2014/main" pred="{2B970C78-FE9E-D18A-443E-F057966A6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12</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D8C9DF03-DA08-4863-A26C-FDC75B601502}"/>
            </a:ext>
          </a:extLst>
        </xdr:cNvPr>
        <xdr:cNvSpPr>
          <a:spLocks noChangeAspect="1" noChangeArrowheads="1"/>
        </xdr:cNvSpPr>
      </xdr:nvSpPr>
      <xdr:spPr bwMode="auto">
        <a:xfrm>
          <a:off x="13296900" y="136874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FF7AFE3D-6EE3-477E-BF50-626D16901589}"/>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13296900" y="115347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95C6B25A-8596-4ABD-AC75-60E41803D40C}"/>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11153775" y="16716375"/>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27CB644A-C72E-410A-A774-B414C3629665}"/>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13296900" y="136874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915E61C7-2171-488F-8F0A-761586D1E368}"/>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13296900" y="115347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C8C94D2A-7BA8-439B-9B5E-C6AF4CDB3023}"/>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11153775" y="16716375"/>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1044407</xdr:colOff>
      <xdr:row>5</xdr:row>
      <xdr:rowOff>8355</xdr:rowOff>
    </xdr:from>
    <xdr:to>
      <xdr:col>1</xdr:col>
      <xdr:colOff>1349207</xdr:colOff>
      <xdr:row>6</xdr:row>
      <xdr:rowOff>93913</xdr:rowOff>
    </xdr:to>
    <xdr:sp macro="" textlink="">
      <xdr:nvSpPr>
        <xdr:cNvPr id="9" name="AutoShape 1" descr="Pilgrim's Pride Logo Vector Logo - Download Free SVG Icon | Worldvectorlogo">
          <a:extLst>
            <a:ext uri="{FF2B5EF4-FFF2-40B4-BE49-F238E27FC236}">
              <a16:creationId xmlns:a16="http://schemas.microsoft.com/office/drawing/2014/main" id="{FC049891-2D85-48FA-BFED-467BB4923281}"/>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1203158" y="1002632"/>
          <a:ext cx="304800" cy="3027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0</xdr:row>
      <xdr:rowOff>0</xdr:rowOff>
    </xdr:from>
    <xdr:to>
      <xdr:col>24</xdr:col>
      <xdr:colOff>304800</xdr:colOff>
      <xdr:row>1</xdr:row>
      <xdr:rowOff>152400</xdr:rowOff>
    </xdr:to>
    <xdr:sp macro="" textlink="">
      <xdr:nvSpPr>
        <xdr:cNvPr id="10" name="AutoShape 2" descr="Pilgrim's Pride Logo Vector Logo - Download Free SVG Icon | Worldvectorlogo">
          <a:extLst>
            <a:ext uri="{FF2B5EF4-FFF2-40B4-BE49-F238E27FC236}">
              <a16:creationId xmlns:a16="http://schemas.microsoft.com/office/drawing/2014/main" id="{1DBF6760-6CA6-42F1-A073-22F220F23BDF}"/>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32432625" y="48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12</xdr:row>
      <xdr:rowOff>0</xdr:rowOff>
    </xdr:from>
    <xdr:ext cx="304800" cy="308437"/>
    <xdr:sp macro="" textlink="">
      <xdr:nvSpPr>
        <xdr:cNvPr id="12" name="AutoShape 231" descr="Resultado de imagen para beer consumption trend">
          <a:extLst>
            <a:ext uri="{FF2B5EF4-FFF2-40B4-BE49-F238E27FC236}">
              <a16:creationId xmlns:a16="http://schemas.microsoft.com/office/drawing/2014/main" id="{B1E619D7-412F-414B-A5D4-9A0E21BBA939}"/>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12</xdr:row>
      <xdr:rowOff>0</xdr:rowOff>
    </xdr:from>
    <xdr:ext cx="304800" cy="308437"/>
    <xdr:sp macro="" textlink="">
      <xdr:nvSpPr>
        <xdr:cNvPr id="13" name="AutoShape 232" descr="Resultado de imagen para beer consumption trend">
          <a:extLst>
            <a:ext uri="{FF2B5EF4-FFF2-40B4-BE49-F238E27FC236}">
              <a16:creationId xmlns:a16="http://schemas.microsoft.com/office/drawing/2014/main" id="{0B74D170-E6E8-470A-9801-3D68BC0CB5AF}"/>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111567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12</xdr:row>
      <xdr:rowOff>0</xdr:rowOff>
    </xdr:from>
    <xdr:ext cx="304800" cy="305262"/>
    <xdr:sp macro="" textlink="">
      <xdr:nvSpPr>
        <xdr:cNvPr id="14" name="AutoShape 231" descr="Resultado de imagen para beer consumption trend">
          <a:extLst>
            <a:ext uri="{FF2B5EF4-FFF2-40B4-BE49-F238E27FC236}">
              <a16:creationId xmlns:a16="http://schemas.microsoft.com/office/drawing/2014/main" id="{FD744A21-B4FB-4607-A092-536B05DFCD96}"/>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111567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12</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7C8EDBC0-F902-4BA6-98B9-9EA1A713070C}"/>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111567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12</xdr:row>
      <xdr:rowOff>0</xdr:rowOff>
    </xdr:from>
    <xdr:ext cx="304800" cy="308437"/>
    <xdr:sp macro="" textlink="">
      <xdr:nvSpPr>
        <xdr:cNvPr id="16" name="AutoShape 231" descr="Resultado de imagen para beer consumption trend">
          <a:extLst>
            <a:ext uri="{FF2B5EF4-FFF2-40B4-BE49-F238E27FC236}">
              <a16:creationId xmlns:a16="http://schemas.microsoft.com/office/drawing/2014/main" id="{3E764D9C-5554-40B8-BB30-00320572AF54}"/>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12</xdr:row>
      <xdr:rowOff>0</xdr:rowOff>
    </xdr:from>
    <xdr:ext cx="304800" cy="308437"/>
    <xdr:sp macro="" textlink="">
      <xdr:nvSpPr>
        <xdr:cNvPr id="17" name="AutoShape 232" descr="Resultado de imagen para beer consumption trend">
          <a:extLst>
            <a:ext uri="{FF2B5EF4-FFF2-40B4-BE49-F238E27FC236}">
              <a16:creationId xmlns:a16="http://schemas.microsoft.com/office/drawing/2014/main" id="{88156D4E-2C43-49C6-87C0-841E5708809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068550"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12</xdr:row>
      <xdr:rowOff>0</xdr:rowOff>
    </xdr:from>
    <xdr:ext cx="304800" cy="305262"/>
    <xdr:sp macro="" textlink="">
      <xdr:nvSpPr>
        <xdr:cNvPr id="18" name="AutoShape 231" descr="Resultado de imagen para beer consumption trend">
          <a:extLst>
            <a:ext uri="{FF2B5EF4-FFF2-40B4-BE49-F238E27FC236}">
              <a16:creationId xmlns:a16="http://schemas.microsoft.com/office/drawing/2014/main" id="{35CC89AD-BD6E-4996-8A2A-B74F4FC8B037}"/>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068550"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11</xdr:col>
      <xdr:colOff>0</xdr:colOff>
      <xdr:row>12</xdr:row>
      <xdr:rowOff>0</xdr:rowOff>
    </xdr:from>
    <xdr:ext cx="304800" cy="309071"/>
    <xdr:sp macro="" textlink="">
      <xdr:nvSpPr>
        <xdr:cNvPr id="19" name="AutoShape 232" descr="Resultado de imagen para beer consumption trend">
          <a:extLst>
            <a:ext uri="{FF2B5EF4-FFF2-40B4-BE49-F238E27FC236}">
              <a16:creationId xmlns:a16="http://schemas.microsoft.com/office/drawing/2014/main" id="{225EEE83-9DC8-4E68-BCE0-8915C5FDC753}"/>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068550"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8437"/>
    <xdr:sp macro="" textlink="">
      <xdr:nvSpPr>
        <xdr:cNvPr id="20" name="AutoShape 231" descr="Resultado de imagen para beer consumption trend">
          <a:extLst>
            <a:ext uri="{FF2B5EF4-FFF2-40B4-BE49-F238E27FC236}">
              <a16:creationId xmlns:a16="http://schemas.microsoft.com/office/drawing/2014/main" id="{33BD7492-7FD0-49C7-B9B6-8D6416AF52EB}"/>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8437"/>
    <xdr:sp macro="" textlink="">
      <xdr:nvSpPr>
        <xdr:cNvPr id="21" name="AutoShape 232" descr="Resultado de imagen para beer consumption trend">
          <a:extLst>
            <a:ext uri="{FF2B5EF4-FFF2-40B4-BE49-F238E27FC236}">
              <a16:creationId xmlns:a16="http://schemas.microsoft.com/office/drawing/2014/main" id="{092A7679-008F-44AA-B377-CFF8F78C52CC}"/>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9021425" y="324802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5262"/>
    <xdr:sp macro="" textlink="">
      <xdr:nvSpPr>
        <xdr:cNvPr id="22" name="AutoShape 231" descr="Resultado de imagen para beer consumption trend">
          <a:extLst>
            <a:ext uri="{FF2B5EF4-FFF2-40B4-BE49-F238E27FC236}">
              <a16:creationId xmlns:a16="http://schemas.microsoft.com/office/drawing/2014/main" id="{F9BFD5E4-6430-4A57-BA5C-452AA1185D6E}"/>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9021425" y="324802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9071"/>
    <xdr:sp macro="" textlink="">
      <xdr:nvSpPr>
        <xdr:cNvPr id="23" name="AutoShape 232" descr="Resultado de imagen para beer consumption trend">
          <a:extLst>
            <a:ext uri="{FF2B5EF4-FFF2-40B4-BE49-F238E27FC236}">
              <a16:creationId xmlns:a16="http://schemas.microsoft.com/office/drawing/2014/main" id="{1CFF9D02-18D2-4666-9D9F-EDBD513B56AD}"/>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9021425" y="324802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8437"/>
    <xdr:sp macro="" textlink="">
      <xdr:nvSpPr>
        <xdr:cNvPr id="27" name="AutoShape 231" descr="Resultado de imagen para beer consumption trend">
          <a:extLst>
            <a:ext uri="{FF2B5EF4-FFF2-40B4-BE49-F238E27FC236}">
              <a16:creationId xmlns:a16="http://schemas.microsoft.com/office/drawing/2014/main" id="{D574E466-EF19-4AAA-B0F9-215A47A140FB}"/>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8437"/>
    <xdr:sp macro="" textlink="">
      <xdr:nvSpPr>
        <xdr:cNvPr id="28" name="AutoShape 232" descr="Resultado de imagen para beer consumption trend">
          <a:extLst>
            <a:ext uri="{FF2B5EF4-FFF2-40B4-BE49-F238E27FC236}">
              <a16:creationId xmlns:a16="http://schemas.microsoft.com/office/drawing/2014/main" id="{E6AF3547-11DC-4531-8A3C-049B26E53090}"/>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89916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5262"/>
    <xdr:sp macro="" textlink="">
      <xdr:nvSpPr>
        <xdr:cNvPr id="29" name="AutoShape 231" descr="Resultado de imagen para beer consumption trend">
          <a:extLst>
            <a:ext uri="{FF2B5EF4-FFF2-40B4-BE49-F238E27FC236}">
              <a16:creationId xmlns:a16="http://schemas.microsoft.com/office/drawing/2014/main" id="{D98E2B33-DA07-4B0E-B215-B8E03DF546B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89916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9071"/>
    <xdr:sp macro="" textlink="">
      <xdr:nvSpPr>
        <xdr:cNvPr id="30" name="AutoShape 232" descr="Resultado de imagen para beer consumption trend">
          <a:extLst>
            <a:ext uri="{FF2B5EF4-FFF2-40B4-BE49-F238E27FC236}">
              <a16:creationId xmlns:a16="http://schemas.microsoft.com/office/drawing/2014/main" id="{67998A09-ACB4-41BD-AA83-86AB4AA6D8CB}"/>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89916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12</xdr:row>
      <xdr:rowOff>0</xdr:rowOff>
    </xdr:from>
    <xdr:ext cx="304800" cy="308437"/>
    <xdr:sp macro="" textlink="">
      <xdr:nvSpPr>
        <xdr:cNvPr id="31" name="AutoShape 231" descr="Resultado de imagen para beer consumption trend">
          <a:extLst>
            <a:ext uri="{FF2B5EF4-FFF2-40B4-BE49-F238E27FC236}">
              <a16:creationId xmlns:a16="http://schemas.microsoft.com/office/drawing/2014/main" id="{2D7D8238-3BCF-4653-ACA9-5C09A0A3A469}"/>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12</xdr:row>
      <xdr:rowOff>0</xdr:rowOff>
    </xdr:from>
    <xdr:ext cx="304800" cy="308437"/>
    <xdr:sp macro="" textlink="">
      <xdr:nvSpPr>
        <xdr:cNvPr id="32" name="AutoShape 232" descr="Resultado de imagen para beer consumption trend">
          <a:extLst>
            <a:ext uri="{FF2B5EF4-FFF2-40B4-BE49-F238E27FC236}">
              <a16:creationId xmlns:a16="http://schemas.microsoft.com/office/drawing/2014/main" id="{5BED5983-2082-4FB4-9D13-5C051C89595A}"/>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198245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12</xdr:row>
      <xdr:rowOff>0</xdr:rowOff>
    </xdr:from>
    <xdr:ext cx="304800" cy="305262"/>
    <xdr:sp macro="" textlink="">
      <xdr:nvSpPr>
        <xdr:cNvPr id="33" name="AutoShape 231" descr="Resultado de imagen para beer consumption trend">
          <a:extLst>
            <a:ext uri="{FF2B5EF4-FFF2-40B4-BE49-F238E27FC236}">
              <a16:creationId xmlns:a16="http://schemas.microsoft.com/office/drawing/2014/main" id="{68FB8A10-3B5A-4E91-B2E4-951DFB44222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198245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12</xdr:row>
      <xdr:rowOff>0</xdr:rowOff>
    </xdr:from>
    <xdr:ext cx="304800" cy="309071"/>
    <xdr:sp macro="" textlink="">
      <xdr:nvSpPr>
        <xdr:cNvPr id="34" name="AutoShape 232" descr="Resultado de imagen para beer consumption trend">
          <a:extLst>
            <a:ext uri="{FF2B5EF4-FFF2-40B4-BE49-F238E27FC236}">
              <a16:creationId xmlns:a16="http://schemas.microsoft.com/office/drawing/2014/main" id="{AB4894ED-05C5-425B-BD0C-FE1769D4B92B}"/>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198245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8437"/>
    <xdr:sp macro="" textlink="">
      <xdr:nvSpPr>
        <xdr:cNvPr id="51" name="AutoShape 231" descr="Resultado de imagen para beer consumption trend">
          <a:extLst>
            <a:ext uri="{FF2B5EF4-FFF2-40B4-BE49-F238E27FC236}">
              <a16:creationId xmlns:a16="http://schemas.microsoft.com/office/drawing/2014/main" id="{AA6CF309-B24C-4FAC-A31B-A185A0BA276A}"/>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8437"/>
    <xdr:sp macro="" textlink="">
      <xdr:nvSpPr>
        <xdr:cNvPr id="52" name="AutoShape 232" descr="Resultado de imagen para beer consumption trend">
          <a:extLst>
            <a:ext uri="{FF2B5EF4-FFF2-40B4-BE49-F238E27FC236}">
              <a16:creationId xmlns:a16="http://schemas.microsoft.com/office/drawing/2014/main" id="{79BB585B-1768-4866-97DF-520A84C990C0}"/>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4973300"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5262"/>
    <xdr:sp macro="" textlink="">
      <xdr:nvSpPr>
        <xdr:cNvPr id="53" name="AutoShape 231" descr="Resultado de imagen para beer consumption trend">
          <a:extLst>
            <a:ext uri="{FF2B5EF4-FFF2-40B4-BE49-F238E27FC236}">
              <a16:creationId xmlns:a16="http://schemas.microsoft.com/office/drawing/2014/main" id="{A76D0278-CA0F-4F58-A7E7-4A2D0CB819BA}"/>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4973300"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9071"/>
    <xdr:sp macro="" textlink="">
      <xdr:nvSpPr>
        <xdr:cNvPr id="54" name="AutoShape 232" descr="Resultado de imagen para beer consumption trend">
          <a:extLst>
            <a:ext uri="{FF2B5EF4-FFF2-40B4-BE49-F238E27FC236}">
              <a16:creationId xmlns:a16="http://schemas.microsoft.com/office/drawing/2014/main" id="{C5812F1C-0B96-452B-B188-F1BD0DD60FAF}"/>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4973300"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8437"/>
    <xdr:sp macro="" textlink="">
      <xdr:nvSpPr>
        <xdr:cNvPr id="55" name="AutoShape 231" descr="Resultado de imagen para beer consumption trend">
          <a:extLst>
            <a:ext uri="{FF2B5EF4-FFF2-40B4-BE49-F238E27FC236}">
              <a16:creationId xmlns:a16="http://schemas.microsoft.com/office/drawing/2014/main" id="{3B3BB98E-453E-42AE-91A1-6910D265F1C1}"/>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8437"/>
    <xdr:sp macro="" textlink="">
      <xdr:nvSpPr>
        <xdr:cNvPr id="56" name="AutoShape 232" descr="Resultado de imagen para beer consumption trend">
          <a:extLst>
            <a:ext uri="{FF2B5EF4-FFF2-40B4-BE49-F238E27FC236}">
              <a16:creationId xmlns:a16="http://schemas.microsoft.com/office/drawing/2014/main" id="{B762A3DC-990B-40CD-ACCD-B6E84F39EDEF}"/>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12</xdr:col>
      <xdr:colOff>0</xdr:colOff>
      <xdr:row>12</xdr:row>
      <xdr:rowOff>0</xdr:rowOff>
    </xdr:from>
    <xdr:ext cx="304800" cy="305262"/>
    <xdr:sp macro="" textlink="">
      <xdr:nvSpPr>
        <xdr:cNvPr id="57" name="AutoShape 231" descr="Resultado de imagen para beer consumption trend">
          <a:extLst>
            <a:ext uri="{FF2B5EF4-FFF2-40B4-BE49-F238E27FC236}">
              <a16:creationId xmlns:a16="http://schemas.microsoft.com/office/drawing/2014/main" id="{1FC50CEC-9BA5-4DB9-A053-050227108D4C}"/>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8437"/>
    <xdr:sp macro="" textlink="">
      <xdr:nvSpPr>
        <xdr:cNvPr id="59" name="AutoShape 231" descr="Resultado de imagen para beer consumption trend">
          <a:extLst>
            <a:ext uri="{FF2B5EF4-FFF2-40B4-BE49-F238E27FC236}">
              <a16:creationId xmlns:a16="http://schemas.microsoft.com/office/drawing/2014/main" id="{02A20EF7-E9F4-4648-A9DC-B9D147176B04}"/>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8437"/>
    <xdr:sp macro="" textlink="">
      <xdr:nvSpPr>
        <xdr:cNvPr id="60" name="AutoShape 232" descr="Resultado de imagen para beer consumption trend">
          <a:extLst>
            <a:ext uri="{FF2B5EF4-FFF2-40B4-BE49-F238E27FC236}">
              <a16:creationId xmlns:a16="http://schemas.microsoft.com/office/drawing/2014/main" id="{3ED10B6F-8A0C-44B8-9978-680E6F17FB65}"/>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5262"/>
    <xdr:sp macro="" textlink="">
      <xdr:nvSpPr>
        <xdr:cNvPr id="61" name="AutoShape 231" descr="Resultado de imagen para beer consumption trend">
          <a:extLst>
            <a:ext uri="{FF2B5EF4-FFF2-40B4-BE49-F238E27FC236}">
              <a16:creationId xmlns:a16="http://schemas.microsoft.com/office/drawing/2014/main" id="{F004E243-F461-4E6E-8A12-4265190758FB}"/>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13</xdr:col>
      <xdr:colOff>0</xdr:colOff>
      <xdr:row>12</xdr:row>
      <xdr:rowOff>0</xdr:rowOff>
    </xdr:from>
    <xdr:ext cx="304800" cy="309071"/>
    <xdr:sp macro="" textlink="">
      <xdr:nvSpPr>
        <xdr:cNvPr id="62" name="AutoShape 232" descr="Resultado de imagen para beer consumption trend">
          <a:extLst>
            <a:ext uri="{FF2B5EF4-FFF2-40B4-BE49-F238E27FC236}">
              <a16:creationId xmlns:a16="http://schemas.microsoft.com/office/drawing/2014/main" id="{FBF804EE-814A-4039-9909-23C5879F4D2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12</xdr:row>
      <xdr:rowOff>0</xdr:rowOff>
    </xdr:from>
    <xdr:ext cx="304800" cy="308437"/>
    <xdr:sp macro="" textlink="">
      <xdr:nvSpPr>
        <xdr:cNvPr id="63" name="AutoShape 231" descr="Resultado de imagen para beer consumption trend">
          <a:extLst>
            <a:ext uri="{FF2B5EF4-FFF2-40B4-BE49-F238E27FC236}">
              <a16:creationId xmlns:a16="http://schemas.microsoft.com/office/drawing/2014/main" id="{999F8A09-15A0-4B22-876B-694CC2485B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12</xdr:row>
      <xdr:rowOff>0</xdr:rowOff>
    </xdr:from>
    <xdr:ext cx="304800" cy="308437"/>
    <xdr:sp macro="" textlink="">
      <xdr:nvSpPr>
        <xdr:cNvPr id="64" name="AutoShape 232" descr="Resultado de imagen para beer consumption trend">
          <a:extLst>
            <a:ext uri="{FF2B5EF4-FFF2-40B4-BE49-F238E27FC236}">
              <a16:creationId xmlns:a16="http://schemas.microsoft.com/office/drawing/2014/main" id="{B3A80241-FC17-469E-9232-FCF5FFCFDE57}"/>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6468725" y="3457575"/>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12</xdr:row>
      <xdr:rowOff>0</xdr:rowOff>
    </xdr:from>
    <xdr:ext cx="304800" cy="305262"/>
    <xdr:sp macro="" textlink="">
      <xdr:nvSpPr>
        <xdr:cNvPr id="65" name="AutoShape 231" descr="Resultado de imagen para beer consumption trend">
          <a:extLst>
            <a:ext uri="{FF2B5EF4-FFF2-40B4-BE49-F238E27FC236}">
              <a16:creationId xmlns:a16="http://schemas.microsoft.com/office/drawing/2014/main" id="{47BB418A-1085-4AE3-A2A4-C05210E1DB8B}"/>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6468725" y="3457575"/>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14</xdr:col>
      <xdr:colOff>0</xdr:colOff>
      <xdr:row>12</xdr:row>
      <xdr:rowOff>0</xdr:rowOff>
    </xdr:from>
    <xdr:ext cx="304800" cy="309071"/>
    <xdr:sp macro="" textlink="">
      <xdr:nvSpPr>
        <xdr:cNvPr id="66" name="AutoShape 232" descr="Resultado de imagen para beer consumption trend">
          <a:extLst>
            <a:ext uri="{FF2B5EF4-FFF2-40B4-BE49-F238E27FC236}">
              <a16:creationId xmlns:a16="http://schemas.microsoft.com/office/drawing/2014/main" id="{450A0AAB-9C64-4D39-B37C-8A369C4F973A}"/>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6468725" y="3457575"/>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19</xdr:col>
      <xdr:colOff>0</xdr:colOff>
      <xdr:row>12</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C73D7A2A-3F0C-4BB0-8363-8396C569BA34}"/>
            </a:ext>
          </a:extLst>
        </xdr:cNvPr>
        <xdr:cNvSpPr>
          <a:spLocks noChangeAspect="1" noChangeArrowheads="1"/>
        </xdr:cNvSpPr>
      </xdr:nvSpPr>
      <xdr:spPr bwMode="auto">
        <a:xfrm>
          <a:off x="912495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19</xdr:col>
      <xdr:colOff>0</xdr:colOff>
      <xdr:row>12</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582B0323-4A59-46FC-9807-3D87FA346F6E}"/>
            </a:ext>
            <a:ext uri="{147F2762-F138-4A5C-976F-8EAC2B608ADB}">
              <a16:predDERef xmlns:a16="http://schemas.microsoft.com/office/drawing/2014/main" pred="{D8C9DF03-DA08-4863-A26C-FDC75B601502}"/>
            </a:ext>
          </a:extLst>
        </xdr:cNvPr>
        <xdr:cNvSpPr>
          <a:spLocks noChangeAspect="1" noChangeArrowheads="1"/>
        </xdr:cNvSpPr>
      </xdr:nvSpPr>
      <xdr:spPr bwMode="auto">
        <a:xfrm>
          <a:off x="912495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12</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C6B12075-3097-48B4-ADC4-C535DB4237F9}"/>
            </a:ext>
            <a:ext uri="{147F2762-F138-4A5C-976F-8EAC2B608ADB}">
              <a16:predDERef xmlns:a16="http://schemas.microsoft.com/office/drawing/2014/main" pred="{FF7AFE3D-6EE3-477E-BF50-626D16901589}"/>
            </a:ext>
          </a:extLst>
        </xdr:cNvPr>
        <xdr:cNvSpPr>
          <a:spLocks noChangeAspect="1" noChangeArrowheads="1"/>
        </xdr:cNvSpPr>
      </xdr:nvSpPr>
      <xdr:spPr bwMode="auto">
        <a:xfrm>
          <a:off x="7629525" y="2414588"/>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19</xdr:col>
      <xdr:colOff>0</xdr:colOff>
      <xdr:row>12</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CAF0E09E-7D84-4E24-9B29-F992685F0654}"/>
            </a:ext>
            <a:ext uri="{147F2762-F138-4A5C-976F-8EAC2B608ADB}">
              <a16:predDERef xmlns:a16="http://schemas.microsoft.com/office/drawing/2014/main" pred="{95C6B25A-8596-4ABD-AC75-60E41803D40C}"/>
            </a:ext>
          </a:extLst>
        </xdr:cNvPr>
        <xdr:cNvSpPr>
          <a:spLocks noChangeAspect="1" noChangeArrowheads="1"/>
        </xdr:cNvSpPr>
      </xdr:nvSpPr>
      <xdr:spPr bwMode="auto">
        <a:xfrm>
          <a:off x="9124950"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19</xdr:col>
      <xdr:colOff>0</xdr:colOff>
      <xdr:row>12</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530BE2D6-A1DA-4357-8324-1AC9F60C81B5}"/>
            </a:ext>
            <a:ext uri="{147F2762-F138-4A5C-976F-8EAC2B608ADB}">
              <a16:predDERef xmlns:a16="http://schemas.microsoft.com/office/drawing/2014/main" pred="{27CB644A-C72E-410A-A774-B414C3629665}"/>
            </a:ext>
          </a:extLst>
        </xdr:cNvPr>
        <xdr:cNvSpPr>
          <a:spLocks noChangeAspect="1" noChangeArrowheads="1"/>
        </xdr:cNvSpPr>
      </xdr:nvSpPr>
      <xdr:spPr bwMode="auto">
        <a:xfrm>
          <a:off x="9124950"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18</xdr:col>
      <xdr:colOff>0</xdr:colOff>
      <xdr:row>12</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A913B12A-02D6-4A88-B336-860FF8A273F7}"/>
            </a:ext>
            <a:ext uri="{147F2762-F138-4A5C-976F-8EAC2B608ADB}">
              <a16:predDERef xmlns:a16="http://schemas.microsoft.com/office/drawing/2014/main" pred="{915E61C7-2171-488F-8F0A-761586D1E368}"/>
            </a:ext>
          </a:extLst>
        </xdr:cNvPr>
        <xdr:cNvSpPr>
          <a:spLocks noChangeAspect="1" noChangeArrowheads="1"/>
        </xdr:cNvSpPr>
      </xdr:nvSpPr>
      <xdr:spPr bwMode="auto">
        <a:xfrm>
          <a:off x="7629525" y="2414588"/>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1044407</xdr:colOff>
      <xdr:row>5</xdr:row>
      <xdr:rowOff>8355</xdr:rowOff>
    </xdr:from>
    <xdr:to>
      <xdr:col>1</xdr:col>
      <xdr:colOff>1349207</xdr:colOff>
      <xdr:row>6</xdr:row>
      <xdr:rowOff>93913</xdr:rowOff>
    </xdr:to>
    <xdr:sp macro="" textlink="">
      <xdr:nvSpPr>
        <xdr:cNvPr id="8" name="AutoShape 1" descr="Pilgrim's Pride Logo Vector Logo - Download Free SVG Icon | Worldvectorlogo">
          <a:extLst>
            <a:ext uri="{FF2B5EF4-FFF2-40B4-BE49-F238E27FC236}">
              <a16:creationId xmlns:a16="http://schemas.microsoft.com/office/drawing/2014/main" id="{AB4B8CA5-AA7C-47E4-B721-D8ED18EAFE94}"/>
            </a:ext>
            <a:ext uri="{147F2762-F138-4A5C-976F-8EAC2B608ADB}">
              <a16:predDERef xmlns:a16="http://schemas.microsoft.com/office/drawing/2014/main" pred="{C8C94D2A-7BA8-439B-9B5E-C6AF4CDB3023}"/>
            </a:ext>
          </a:extLst>
        </xdr:cNvPr>
        <xdr:cNvSpPr>
          <a:spLocks noChangeAspect="1" noChangeArrowheads="1"/>
        </xdr:cNvSpPr>
      </xdr:nvSpPr>
      <xdr:spPr bwMode="auto">
        <a:xfrm>
          <a:off x="1206332" y="908468"/>
          <a:ext cx="304800" cy="3046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0</xdr:colOff>
      <xdr:row>0</xdr:row>
      <xdr:rowOff>0</xdr:rowOff>
    </xdr:from>
    <xdr:to>
      <xdr:col>18</xdr:col>
      <xdr:colOff>304800</xdr:colOff>
      <xdr:row>1</xdr:row>
      <xdr:rowOff>152400</xdr:rowOff>
    </xdr:to>
    <xdr:sp macro="" textlink="">
      <xdr:nvSpPr>
        <xdr:cNvPr id="9" name="AutoShape 2" descr="Pilgrim's Pride Logo Vector Logo - Download Free SVG Icon | Worldvectorlogo">
          <a:extLst>
            <a:ext uri="{FF2B5EF4-FFF2-40B4-BE49-F238E27FC236}">
              <a16:creationId xmlns:a16="http://schemas.microsoft.com/office/drawing/2014/main" id="{4AF403AF-EF32-4898-AD9E-2F4FE5A1B0D0}"/>
            </a:ext>
            <a:ext uri="{147F2762-F138-4A5C-976F-8EAC2B608ADB}">
              <a16:predDERef xmlns:a16="http://schemas.microsoft.com/office/drawing/2014/main" pred="{FC049891-2D85-48FA-BFED-467BB4923281}"/>
            </a:ext>
          </a:extLst>
        </xdr:cNvPr>
        <xdr:cNvSpPr>
          <a:spLocks noChangeAspect="1" noChangeArrowheads="1"/>
        </xdr:cNvSpPr>
      </xdr:nvSpPr>
      <xdr:spPr bwMode="auto">
        <a:xfrm>
          <a:off x="27270075"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12</xdr:row>
      <xdr:rowOff>0</xdr:rowOff>
    </xdr:from>
    <xdr:ext cx="304800" cy="308437"/>
    <xdr:sp macro="" textlink="">
      <xdr:nvSpPr>
        <xdr:cNvPr id="10" name="AutoShape 231" descr="Resultado de imagen para beer consumption trend">
          <a:extLst>
            <a:ext uri="{FF2B5EF4-FFF2-40B4-BE49-F238E27FC236}">
              <a16:creationId xmlns:a16="http://schemas.microsoft.com/office/drawing/2014/main" id="{EFE24471-FA09-4C95-B89C-DD95733435C5}"/>
            </a:ext>
            <a:ext uri="{147F2762-F138-4A5C-976F-8EAC2B608ADB}">
              <a16:predDERef xmlns:a16="http://schemas.microsoft.com/office/drawing/2014/main" pred="{767F86A5-0936-4013-AEE3-9110DC0FC3C6}"/>
            </a:ext>
          </a:extLst>
        </xdr:cNvPr>
        <xdr:cNvSpPr>
          <a:spLocks noChangeAspect="1" noChangeArrowheads="1"/>
        </xdr:cNvSpPr>
      </xdr:nvSpPr>
      <xdr:spPr bwMode="auto">
        <a:xfrm>
          <a:off x="1211580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xdr:row>
      <xdr:rowOff>0</xdr:rowOff>
    </xdr:from>
    <xdr:ext cx="304800" cy="308437"/>
    <xdr:sp macro="" textlink="">
      <xdr:nvSpPr>
        <xdr:cNvPr id="11" name="AutoShape 232" descr="Resultado de imagen para beer consumption trend">
          <a:extLst>
            <a:ext uri="{FF2B5EF4-FFF2-40B4-BE49-F238E27FC236}">
              <a16:creationId xmlns:a16="http://schemas.microsoft.com/office/drawing/2014/main" id="{A83519F5-F517-437B-B8D5-28140092DDBA}"/>
            </a:ext>
            <a:ext uri="{147F2762-F138-4A5C-976F-8EAC2B608ADB}">
              <a16:predDERef xmlns:a16="http://schemas.microsoft.com/office/drawing/2014/main" pred="{B1E619D7-412F-414B-A5D4-9A0E21BBA939}"/>
            </a:ext>
          </a:extLst>
        </xdr:cNvPr>
        <xdr:cNvSpPr>
          <a:spLocks noChangeAspect="1" noChangeArrowheads="1"/>
        </xdr:cNvSpPr>
      </xdr:nvSpPr>
      <xdr:spPr bwMode="auto">
        <a:xfrm>
          <a:off x="1211580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xdr:row>
      <xdr:rowOff>0</xdr:rowOff>
    </xdr:from>
    <xdr:ext cx="304800" cy="305262"/>
    <xdr:sp macro="" textlink="">
      <xdr:nvSpPr>
        <xdr:cNvPr id="12" name="AutoShape 231" descr="Resultado de imagen para beer consumption trend">
          <a:extLst>
            <a:ext uri="{FF2B5EF4-FFF2-40B4-BE49-F238E27FC236}">
              <a16:creationId xmlns:a16="http://schemas.microsoft.com/office/drawing/2014/main" id="{FBE46CD3-A586-4AF6-A80B-14B8CF13FF9B}"/>
            </a:ext>
            <a:ext uri="{147F2762-F138-4A5C-976F-8EAC2B608ADB}">
              <a16:predDERef xmlns:a16="http://schemas.microsoft.com/office/drawing/2014/main" pred="{0B74D170-E6E8-470A-9801-3D68BC0CB5AF}"/>
            </a:ext>
          </a:extLst>
        </xdr:cNvPr>
        <xdr:cNvSpPr>
          <a:spLocks noChangeAspect="1" noChangeArrowheads="1"/>
        </xdr:cNvSpPr>
      </xdr:nvSpPr>
      <xdr:spPr bwMode="auto">
        <a:xfrm>
          <a:off x="12115800"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12</xdr:row>
      <xdr:rowOff>0</xdr:rowOff>
    </xdr:from>
    <xdr:ext cx="304800" cy="309071"/>
    <xdr:sp macro="" textlink="">
      <xdr:nvSpPr>
        <xdr:cNvPr id="13" name="AutoShape 232" descr="Resultado de imagen para beer consumption trend">
          <a:extLst>
            <a:ext uri="{FF2B5EF4-FFF2-40B4-BE49-F238E27FC236}">
              <a16:creationId xmlns:a16="http://schemas.microsoft.com/office/drawing/2014/main" id="{71F9854D-5DE8-468F-9B3B-F12986D67E0A}"/>
            </a:ext>
            <a:ext uri="{147F2762-F138-4A5C-976F-8EAC2B608ADB}">
              <a16:predDERef xmlns:a16="http://schemas.microsoft.com/office/drawing/2014/main" pred="{FD744A21-B4FB-4607-A092-536B05DFCD96}"/>
            </a:ext>
          </a:extLst>
        </xdr:cNvPr>
        <xdr:cNvSpPr>
          <a:spLocks noChangeAspect="1" noChangeArrowheads="1"/>
        </xdr:cNvSpPr>
      </xdr:nvSpPr>
      <xdr:spPr bwMode="auto">
        <a:xfrm>
          <a:off x="12115800"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xdr:row>
      <xdr:rowOff>0</xdr:rowOff>
    </xdr:from>
    <xdr:ext cx="304800" cy="308437"/>
    <xdr:sp macro="" textlink="">
      <xdr:nvSpPr>
        <xdr:cNvPr id="14" name="AutoShape 231" descr="Resultado de imagen para beer consumption trend">
          <a:extLst>
            <a:ext uri="{FF2B5EF4-FFF2-40B4-BE49-F238E27FC236}">
              <a16:creationId xmlns:a16="http://schemas.microsoft.com/office/drawing/2014/main" id="{D3AD8AFB-ED23-4208-B936-F532E8A4BCAA}"/>
            </a:ext>
            <a:ext uri="{147F2762-F138-4A5C-976F-8EAC2B608ADB}">
              <a16:predDERef xmlns:a16="http://schemas.microsoft.com/office/drawing/2014/main" pred="{7C8EDBC0-F902-4BA6-98B9-9EA1A713070C}"/>
            </a:ext>
          </a:extLst>
        </xdr:cNvPr>
        <xdr:cNvSpPr>
          <a:spLocks noChangeAspect="1" noChangeArrowheads="1"/>
        </xdr:cNvSpPr>
      </xdr:nvSpPr>
      <xdr:spPr bwMode="auto">
        <a:xfrm>
          <a:off x="1510665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xdr:row>
      <xdr:rowOff>0</xdr:rowOff>
    </xdr:from>
    <xdr:ext cx="304800" cy="308437"/>
    <xdr:sp macro="" textlink="">
      <xdr:nvSpPr>
        <xdr:cNvPr id="15" name="AutoShape 232" descr="Resultado de imagen para beer consumption trend">
          <a:extLst>
            <a:ext uri="{FF2B5EF4-FFF2-40B4-BE49-F238E27FC236}">
              <a16:creationId xmlns:a16="http://schemas.microsoft.com/office/drawing/2014/main" id="{80D03E17-D592-4D45-8BFF-42CD5C814E52}"/>
            </a:ext>
            <a:ext uri="{147F2762-F138-4A5C-976F-8EAC2B608ADB}">
              <a16:predDERef xmlns:a16="http://schemas.microsoft.com/office/drawing/2014/main" pred="{3E764D9C-5554-40B8-BB30-00320572AF54}"/>
            </a:ext>
          </a:extLst>
        </xdr:cNvPr>
        <xdr:cNvSpPr>
          <a:spLocks noChangeAspect="1" noChangeArrowheads="1"/>
        </xdr:cNvSpPr>
      </xdr:nvSpPr>
      <xdr:spPr bwMode="auto">
        <a:xfrm>
          <a:off x="1510665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7731D638-C918-4D93-A356-BB7A1C1566F5}"/>
            </a:ext>
            <a:ext uri="{147F2762-F138-4A5C-976F-8EAC2B608ADB}">
              <a16:predDERef xmlns:a16="http://schemas.microsoft.com/office/drawing/2014/main" pred="{88156D4E-2C43-49C6-87C0-841E57088092}"/>
            </a:ext>
          </a:extLst>
        </xdr:cNvPr>
        <xdr:cNvSpPr>
          <a:spLocks noChangeAspect="1" noChangeArrowheads="1"/>
        </xdr:cNvSpPr>
      </xdr:nvSpPr>
      <xdr:spPr bwMode="auto">
        <a:xfrm>
          <a:off x="15106650"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12</xdr:row>
      <xdr:rowOff>0</xdr:rowOff>
    </xdr:from>
    <xdr:ext cx="304800" cy="309071"/>
    <xdr:sp macro="" textlink="">
      <xdr:nvSpPr>
        <xdr:cNvPr id="17" name="AutoShape 232" descr="Resultado de imagen para beer consumption trend">
          <a:extLst>
            <a:ext uri="{FF2B5EF4-FFF2-40B4-BE49-F238E27FC236}">
              <a16:creationId xmlns:a16="http://schemas.microsoft.com/office/drawing/2014/main" id="{E4A034CE-AA34-4E7C-8EC4-C89B3BA5E06C}"/>
            </a:ext>
            <a:ext uri="{147F2762-F138-4A5C-976F-8EAC2B608ADB}">
              <a16:predDERef xmlns:a16="http://schemas.microsoft.com/office/drawing/2014/main" pred="{35CC89AD-BD6E-4996-8A2A-B74F4FC8B037}"/>
            </a:ext>
          </a:extLst>
        </xdr:cNvPr>
        <xdr:cNvSpPr>
          <a:spLocks noChangeAspect="1" noChangeArrowheads="1"/>
        </xdr:cNvSpPr>
      </xdr:nvSpPr>
      <xdr:spPr bwMode="auto">
        <a:xfrm>
          <a:off x="15106650"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18" name="AutoShape 231" descr="Resultado de imagen para beer consumption trend">
          <a:extLst>
            <a:ext uri="{FF2B5EF4-FFF2-40B4-BE49-F238E27FC236}">
              <a16:creationId xmlns:a16="http://schemas.microsoft.com/office/drawing/2014/main" id="{673EF38E-BB9F-4A02-9089-34B0A028DFFE}"/>
            </a:ext>
            <a:ext uri="{147F2762-F138-4A5C-976F-8EAC2B608ADB}">
              <a16:predDERef xmlns:a16="http://schemas.microsoft.com/office/drawing/2014/main" pred="{225EEE83-9DC8-4E68-BCE0-8915C5FDC753}"/>
            </a:ext>
          </a:extLst>
        </xdr:cNvPr>
        <xdr:cNvSpPr>
          <a:spLocks noChangeAspect="1" noChangeArrowheads="1"/>
        </xdr:cNvSpPr>
      </xdr:nvSpPr>
      <xdr:spPr bwMode="auto">
        <a:xfrm>
          <a:off x="1809750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19" name="AutoShape 232" descr="Resultado de imagen para beer consumption trend">
          <a:extLst>
            <a:ext uri="{FF2B5EF4-FFF2-40B4-BE49-F238E27FC236}">
              <a16:creationId xmlns:a16="http://schemas.microsoft.com/office/drawing/2014/main" id="{DB3C6C9F-DB0D-48AE-8C9C-9B8D583DCE80}"/>
            </a:ext>
            <a:ext uri="{147F2762-F138-4A5C-976F-8EAC2B608ADB}">
              <a16:predDERef xmlns:a16="http://schemas.microsoft.com/office/drawing/2014/main" pred="{33BD7492-7FD0-49C7-B9B6-8D6416AF52EB}"/>
            </a:ext>
          </a:extLst>
        </xdr:cNvPr>
        <xdr:cNvSpPr>
          <a:spLocks noChangeAspect="1" noChangeArrowheads="1"/>
        </xdr:cNvSpPr>
      </xdr:nvSpPr>
      <xdr:spPr bwMode="auto">
        <a:xfrm>
          <a:off x="1809750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5262"/>
    <xdr:sp macro="" textlink="">
      <xdr:nvSpPr>
        <xdr:cNvPr id="20" name="AutoShape 231" descr="Resultado de imagen para beer consumption trend">
          <a:extLst>
            <a:ext uri="{FF2B5EF4-FFF2-40B4-BE49-F238E27FC236}">
              <a16:creationId xmlns:a16="http://schemas.microsoft.com/office/drawing/2014/main" id="{82537202-8031-404E-B597-E56A1D72E365}"/>
            </a:ext>
            <a:ext uri="{147F2762-F138-4A5C-976F-8EAC2B608ADB}">
              <a16:predDERef xmlns:a16="http://schemas.microsoft.com/office/drawing/2014/main" pred="{092A7679-008F-44AA-B377-CFF8F78C52CC}"/>
            </a:ext>
          </a:extLst>
        </xdr:cNvPr>
        <xdr:cNvSpPr>
          <a:spLocks noChangeAspect="1" noChangeArrowheads="1"/>
        </xdr:cNvSpPr>
      </xdr:nvSpPr>
      <xdr:spPr bwMode="auto">
        <a:xfrm>
          <a:off x="18097500"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9071"/>
    <xdr:sp macro="" textlink="">
      <xdr:nvSpPr>
        <xdr:cNvPr id="21" name="AutoShape 232" descr="Resultado de imagen para beer consumption trend">
          <a:extLst>
            <a:ext uri="{FF2B5EF4-FFF2-40B4-BE49-F238E27FC236}">
              <a16:creationId xmlns:a16="http://schemas.microsoft.com/office/drawing/2014/main" id="{FAE03AA4-EC36-41E2-BB89-8951B28AE696}"/>
            </a:ext>
            <a:ext uri="{147F2762-F138-4A5C-976F-8EAC2B608ADB}">
              <a16:predDERef xmlns:a16="http://schemas.microsoft.com/office/drawing/2014/main" pred="{F9BFD5E4-6430-4A57-BA5C-452AA1185D6E}"/>
            </a:ext>
          </a:extLst>
        </xdr:cNvPr>
        <xdr:cNvSpPr>
          <a:spLocks noChangeAspect="1" noChangeArrowheads="1"/>
        </xdr:cNvSpPr>
      </xdr:nvSpPr>
      <xdr:spPr bwMode="auto">
        <a:xfrm>
          <a:off x="18097500"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20</xdr:col>
      <xdr:colOff>0</xdr:colOff>
      <xdr:row>12</xdr:row>
      <xdr:rowOff>0</xdr:rowOff>
    </xdr:from>
    <xdr:ext cx="304800" cy="308437"/>
    <xdr:sp macro="" textlink="">
      <xdr:nvSpPr>
        <xdr:cNvPr id="22" name="AutoShape 231" descr="Resultado de imagen para beer consumption trend">
          <a:extLst>
            <a:ext uri="{FF2B5EF4-FFF2-40B4-BE49-F238E27FC236}">
              <a16:creationId xmlns:a16="http://schemas.microsoft.com/office/drawing/2014/main" id="{D641B541-AC59-420F-A801-BCE1D7599268}"/>
            </a:ext>
            <a:ext uri="{147F2762-F138-4A5C-976F-8EAC2B608ADB}">
              <a16:predDERef xmlns:a16="http://schemas.microsoft.com/office/drawing/2014/main" pred="{48860EEF-0E46-8F71-3C77-95DD878ADDC4}"/>
            </a:ext>
          </a:extLst>
        </xdr:cNvPr>
        <xdr:cNvSpPr>
          <a:spLocks noChangeAspect="1" noChangeArrowheads="1"/>
        </xdr:cNvSpPr>
      </xdr:nvSpPr>
      <xdr:spPr bwMode="auto">
        <a:xfrm>
          <a:off x="1062037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20</xdr:col>
      <xdr:colOff>0</xdr:colOff>
      <xdr:row>12</xdr:row>
      <xdr:rowOff>0</xdr:rowOff>
    </xdr:from>
    <xdr:ext cx="304800" cy="308437"/>
    <xdr:sp macro="" textlink="">
      <xdr:nvSpPr>
        <xdr:cNvPr id="23" name="AutoShape 232" descr="Resultado de imagen para beer consumption trend">
          <a:extLst>
            <a:ext uri="{FF2B5EF4-FFF2-40B4-BE49-F238E27FC236}">
              <a16:creationId xmlns:a16="http://schemas.microsoft.com/office/drawing/2014/main" id="{404C28D6-0B71-49E4-B1D8-337C2FF3BFF2}"/>
            </a:ext>
            <a:ext uri="{147F2762-F138-4A5C-976F-8EAC2B608ADB}">
              <a16:predDERef xmlns:a16="http://schemas.microsoft.com/office/drawing/2014/main" pred="{D574E466-EF19-4AAA-B0F9-215A47A140FB}"/>
            </a:ext>
          </a:extLst>
        </xdr:cNvPr>
        <xdr:cNvSpPr>
          <a:spLocks noChangeAspect="1" noChangeArrowheads="1"/>
        </xdr:cNvSpPr>
      </xdr:nvSpPr>
      <xdr:spPr bwMode="auto">
        <a:xfrm>
          <a:off x="1062037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20</xdr:col>
      <xdr:colOff>0</xdr:colOff>
      <xdr:row>12</xdr:row>
      <xdr:rowOff>0</xdr:rowOff>
    </xdr:from>
    <xdr:ext cx="304800" cy="305262"/>
    <xdr:sp macro="" textlink="">
      <xdr:nvSpPr>
        <xdr:cNvPr id="24" name="AutoShape 231" descr="Resultado de imagen para beer consumption trend">
          <a:extLst>
            <a:ext uri="{FF2B5EF4-FFF2-40B4-BE49-F238E27FC236}">
              <a16:creationId xmlns:a16="http://schemas.microsoft.com/office/drawing/2014/main" id="{C0D31AC9-9443-4BAF-93E9-6FD9F59EB217}"/>
            </a:ext>
            <a:ext uri="{147F2762-F138-4A5C-976F-8EAC2B608ADB}">
              <a16:predDERef xmlns:a16="http://schemas.microsoft.com/office/drawing/2014/main" pred="{E6AF3547-11DC-4531-8A3C-049B26E53090}"/>
            </a:ext>
          </a:extLst>
        </xdr:cNvPr>
        <xdr:cNvSpPr>
          <a:spLocks noChangeAspect="1" noChangeArrowheads="1"/>
        </xdr:cNvSpPr>
      </xdr:nvSpPr>
      <xdr:spPr bwMode="auto">
        <a:xfrm>
          <a:off x="10620375"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20</xdr:col>
      <xdr:colOff>0</xdr:colOff>
      <xdr:row>12</xdr:row>
      <xdr:rowOff>0</xdr:rowOff>
    </xdr:from>
    <xdr:ext cx="304800" cy="309071"/>
    <xdr:sp macro="" textlink="">
      <xdr:nvSpPr>
        <xdr:cNvPr id="25" name="AutoShape 232" descr="Resultado de imagen para beer consumption trend">
          <a:extLst>
            <a:ext uri="{FF2B5EF4-FFF2-40B4-BE49-F238E27FC236}">
              <a16:creationId xmlns:a16="http://schemas.microsoft.com/office/drawing/2014/main" id="{E1F9C697-79D2-4E34-89F5-C01801ECAB7C}"/>
            </a:ext>
            <a:ext uri="{147F2762-F138-4A5C-976F-8EAC2B608ADB}">
              <a16:predDERef xmlns:a16="http://schemas.microsoft.com/office/drawing/2014/main" pred="{D98E2B33-DA07-4B0E-B215-B8E03DF546B7}"/>
            </a:ext>
          </a:extLst>
        </xdr:cNvPr>
        <xdr:cNvSpPr>
          <a:spLocks noChangeAspect="1" noChangeArrowheads="1"/>
        </xdr:cNvSpPr>
      </xdr:nvSpPr>
      <xdr:spPr bwMode="auto">
        <a:xfrm>
          <a:off x="10620375"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304800" cy="308437"/>
    <xdr:sp macro="" textlink="">
      <xdr:nvSpPr>
        <xdr:cNvPr id="26" name="AutoShape 231" descr="Resultado de imagen para beer consumption trend">
          <a:extLst>
            <a:ext uri="{FF2B5EF4-FFF2-40B4-BE49-F238E27FC236}">
              <a16:creationId xmlns:a16="http://schemas.microsoft.com/office/drawing/2014/main" id="{05AD8738-7F24-46E9-B1E1-A90CDF314ADF}"/>
            </a:ext>
            <a:ext uri="{147F2762-F138-4A5C-976F-8EAC2B608ADB}">
              <a16:predDERef xmlns:a16="http://schemas.microsoft.com/office/drawing/2014/main" pred="{67998A09-ACB4-41BD-AA83-86AB4AA6D8CB}"/>
            </a:ext>
          </a:extLst>
        </xdr:cNvPr>
        <xdr:cNvSpPr>
          <a:spLocks noChangeAspect="1" noChangeArrowheads="1"/>
        </xdr:cNvSpPr>
      </xdr:nvSpPr>
      <xdr:spPr bwMode="auto">
        <a:xfrm>
          <a:off x="1361122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304800" cy="308437"/>
    <xdr:sp macro="" textlink="">
      <xdr:nvSpPr>
        <xdr:cNvPr id="27" name="AutoShape 232" descr="Resultado de imagen para beer consumption trend">
          <a:extLst>
            <a:ext uri="{FF2B5EF4-FFF2-40B4-BE49-F238E27FC236}">
              <a16:creationId xmlns:a16="http://schemas.microsoft.com/office/drawing/2014/main" id="{31E032A3-1BFB-4E44-AF06-1260DBEA6588}"/>
            </a:ext>
            <a:ext uri="{147F2762-F138-4A5C-976F-8EAC2B608ADB}">
              <a16:predDERef xmlns:a16="http://schemas.microsoft.com/office/drawing/2014/main" pred="{2D7D8238-3BCF-4653-ACA9-5C09A0A3A469}"/>
            </a:ext>
          </a:extLst>
        </xdr:cNvPr>
        <xdr:cNvSpPr>
          <a:spLocks noChangeAspect="1" noChangeArrowheads="1"/>
        </xdr:cNvSpPr>
      </xdr:nvSpPr>
      <xdr:spPr bwMode="auto">
        <a:xfrm>
          <a:off x="1361122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304800" cy="305262"/>
    <xdr:sp macro="" textlink="">
      <xdr:nvSpPr>
        <xdr:cNvPr id="28" name="AutoShape 231" descr="Resultado de imagen para beer consumption trend">
          <a:extLst>
            <a:ext uri="{FF2B5EF4-FFF2-40B4-BE49-F238E27FC236}">
              <a16:creationId xmlns:a16="http://schemas.microsoft.com/office/drawing/2014/main" id="{63778FBB-DF6B-498B-83DE-F29365528E78}"/>
            </a:ext>
            <a:ext uri="{147F2762-F138-4A5C-976F-8EAC2B608ADB}">
              <a16:predDERef xmlns:a16="http://schemas.microsoft.com/office/drawing/2014/main" pred="{5BED5983-2082-4FB4-9D13-5C051C89595A}"/>
            </a:ext>
          </a:extLst>
        </xdr:cNvPr>
        <xdr:cNvSpPr>
          <a:spLocks noChangeAspect="1" noChangeArrowheads="1"/>
        </xdr:cNvSpPr>
      </xdr:nvSpPr>
      <xdr:spPr bwMode="auto">
        <a:xfrm>
          <a:off x="13611225"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304800" cy="309071"/>
    <xdr:sp macro="" textlink="">
      <xdr:nvSpPr>
        <xdr:cNvPr id="29" name="AutoShape 232" descr="Resultado de imagen para beer consumption trend">
          <a:extLst>
            <a:ext uri="{FF2B5EF4-FFF2-40B4-BE49-F238E27FC236}">
              <a16:creationId xmlns:a16="http://schemas.microsoft.com/office/drawing/2014/main" id="{DD13CE86-498E-43EA-AEB5-A70C32966C96}"/>
            </a:ext>
            <a:ext uri="{147F2762-F138-4A5C-976F-8EAC2B608ADB}">
              <a16:predDERef xmlns:a16="http://schemas.microsoft.com/office/drawing/2014/main" pred="{68FB8A10-3B5A-4E91-B2E4-951DFB442228}"/>
            </a:ext>
          </a:extLst>
        </xdr:cNvPr>
        <xdr:cNvSpPr>
          <a:spLocks noChangeAspect="1" noChangeArrowheads="1"/>
        </xdr:cNvSpPr>
      </xdr:nvSpPr>
      <xdr:spPr bwMode="auto">
        <a:xfrm>
          <a:off x="13611225"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8437"/>
    <xdr:sp macro="" textlink="">
      <xdr:nvSpPr>
        <xdr:cNvPr id="30" name="AutoShape 231" descr="Resultado de imagen para beer consumption trend">
          <a:extLst>
            <a:ext uri="{FF2B5EF4-FFF2-40B4-BE49-F238E27FC236}">
              <a16:creationId xmlns:a16="http://schemas.microsoft.com/office/drawing/2014/main" id="{D9B16202-74EA-4A3C-8883-A271D862276C}"/>
            </a:ext>
            <a:ext uri="{147F2762-F138-4A5C-976F-8EAC2B608ADB}">
              <a16:predDERef xmlns:a16="http://schemas.microsoft.com/office/drawing/2014/main" pred="{AB4894ED-05C5-425B-BD0C-FE1769D4B92B}"/>
            </a:ext>
          </a:extLst>
        </xdr:cNvPr>
        <xdr:cNvSpPr>
          <a:spLocks noChangeAspect="1" noChangeArrowheads="1"/>
        </xdr:cNvSpPr>
      </xdr:nvSpPr>
      <xdr:spPr bwMode="auto">
        <a:xfrm>
          <a:off x="1660207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8437"/>
    <xdr:sp macro="" textlink="">
      <xdr:nvSpPr>
        <xdr:cNvPr id="31" name="AutoShape 232" descr="Resultado de imagen para beer consumption trend">
          <a:extLst>
            <a:ext uri="{FF2B5EF4-FFF2-40B4-BE49-F238E27FC236}">
              <a16:creationId xmlns:a16="http://schemas.microsoft.com/office/drawing/2014/main" id="{74ACA792-C1F7-4667-A9FB-025FFB7EF913}"/>
            </a:ext>
            <a:ext uri="{147F2762-F138-4A5C-976F-8EAC2B608ADB}">
              <a16:predDERef xmlns:a16="http://schemas.microsoft.com/office/drawing/2014/main" pred="{AA6CF309-B24C-4FAC-A31B-A185A0BA276A}"/>
            </a:ext>
          </a:extLst>
        </xdr:cNvPr>
        <xdr:cNvSpPr>
          <a:spLocks noChangeAspect="1" noChangeArrowheads="1"/>
        </xdr:cNvSpPr>
      </xdr:nvSpPr>
      <xdr:spPr bwMode="auto">
        <a:xfrm>
          <a:off x="1660207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5262"/>
    <xdr:sp macro="" textlink="">
      <xdr:nvSpPr>
        <xdr:cNvPr id="32" name="AutoShape 231" descr="Resultado de imagen para beer consumption trend">
          <a:extLst>
            <a:ext uri="{FF2B5EF4-FFF2-40B4-BE49-F238E27FC236}">
              <a16:creationId xmlns:a16="http://schemas.microsoft.com/office/drawing/2014/main" id="{AC5A0E05-39F1-4220-A751-0F2E974D0B1B}"/>
            </a:ext>
            <a:ext uri="{147F2762-F138-4A5C-976F-8EAC2B608ADB}">
              <a16:predDERef xmlns:a16="http://schemas.microsoft.com/office/drawing/2014/main" pred="{79BB585B-1768-4866-97DF-520A84C990C0}"/>
            </a:ext>
          </a:extLst>
        </xdr:cNvPr>
        <xdr:cNvSpPr>
          <a:spLocks noChangeAspect="1" noChangeArrowheads="1"/>
        </xdr:cNvSpPr>
      </xdr:nvSpPr>
      <xdr:spPr bwMode="auto">
        <a:xfrm>
          <a:off x="16602075"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9071"/>
    <xdr:sp macro="" textlink="">
      <xdr:nvSpPr>
        <xdr:cNvPr id="33" name="AutoShape 232" descr="Resultado de imagen para beer consumption trend">
          <a:extLst>
            <a:ext uri="{FF2B5EF4-FFF2-40B4-BE49-F238E27FC236}">
              <a16:creationId xmlns:a16="http://schemas.microsoft.com/office/drawing/2014/main" id="{152525EC-F811-40A4-B8CC-B07C7DCC129C}"/>
            </a:ext>
            <a:ext uri="{147F2762-F138-4A5C-976F-8EAC2B608ADB}">
              <a16:predDERef xmlns:a16="http://schemas.microsoft.com/office/drawing/2014/main" pred="{A76D0278-CA0F-4F58-A7E7-4A2D0CB819BA}"/>
            </a:ext>
          </a:extLst>
        </xdr:cNvPr>
        <xdr:cNvSpPr>
          <a:spLocks noChangeAspect="1" noChangeArrowheads="1"/>
        </xdr:cNvSpPr>
      </xdr:nvSpPr>
      <xdr:spPr bwMode="auto">
        <a:xfrm>
          <a:off x="16602075"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8437"/>
    <xdr:sp macro="" textlink="">
      <xdr:nvSpPr>
        <xdr:cNvPr id="34" name="AutoShape 231" descr="Resultado de imagen para beer consumption trend">
          <a:extLst>
            <a:ext uri="{FF2B5EF4-FFF2-40B4-BE49-F238E27FC236}">
              <a16:creationId xmlns:a16="http://schemas.microsoft.com/office/drawing/2014/main" id="{8E525E81-8B61-4656-BBF4-601999C427A5}"/>
            </a:ext>
            <a:ext uri="{147F2762-F138-4A5C-976F-8EAC2B608ADB}">
              <a16:predDERef xmlns:a16="http://schemas.microsoft.com/office/drawing/2014/main" pred="{C5812F1C-0B96-452B-B188-F1BD0DD60FAF}"/>
            </a:ext>
          </a:extLst>
        </xdr:cNvPr>
        <xdr:cNvSpPr>
          <a:spLocks noChangeAspect="1" noChangeArrowheads="1"/>
        </xdr:cNvSpPr>
      </xdr:nvSpPr>
      <xdr:spPr bwMode="auto">
        <a:xfrm>
          <a:off x="1660207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8437"/>
    <xdr:sp macro="" textlink="">
      <xdr:nvSpPr>
        <xdr:cNvPr id="35" name="AutoShape 232" descr="Resultado de imagen para beer consumption trend">
          <a:extLst>
            <a:ext uri="{FF2B5EF4-FFF2-40B4-BE49-F238E27FC236}">
              <a16:creationId xmlns:a16="http://schemas.microsoft.com/office/drawing/2014/main" id="{EA08BA12-4B7D-4AF4-85B9-CD5DC76E2FEE}"/>
            </a:ext>
            <a:ext uri="{147F2762-F138-4A5C-976F-8EAC2B608ADB}">
              <a16:predDERef xmlns:a16="http://schemas.microsoft.com/office/drawing/2014/main" pred="{3B3BB98E-453E-42AE-91A1-6910D265F1C1}"/>
            </a:ext>
          </a:extLst>
        </xdr:cNvPr>
        <xdr:cNvSpPr>
          <a:spLocks noChangeAspect="1" noChangeArrowheads="1"/>
        </xdr:cNvSpPr>
      </xdr:nvSpPr>
      <xdr:spPr bwMode="auto">
        <a:xfrm>
          <a:off x="1660207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5262"/>
    <xdr:sp macro="" textlink="">
      <xdr:nvSpPr>
        <xdr:cNvPr id="36" name="AutoShape 231" descr="Resultado de imagen para beer consumption trend">
          <a:extLst>
            <a:ext uri="{FF2B5EF4-FFF2-40B4-BE49-F238E27FC236}">
              <a16:creationId xmlns:a16="http://schemas.microsoft.com/office/drawing/2014/main" id="{C4A72689-E31E-49DD-8D6D-A636F8B764F7}"/>
            </a:ext>
            <a:ext uri="{147F2762-F138-4A5C-976F-8EAC2B608ADB}">
              <a16:predDERef xmlns:a16="http://schemas.microsoft.com/office/drawing/2014/main" pred="{B762A3DC-990B-40CD-ACCD-B6E84F39EDEF}"/>
            </a:ext>
          </a:extLst>
        </xdr:cNvPr>
        <xdr:cNvSpPr>
          <a:spLocks noChangeAspect="1" noChangeArrowheads="1"/>
        </xdr:cNvSpPr>
      </xdr:nvSpPr>
      <xdr:spPr bwMode="auto">
        <a:xfrm>
          <a:off x="16602075"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12</xdr:row>
      <xdr:rowOff>0</xdr:rowOff>
    </xdr:from>
    <xdr:ext cx="304800" cy="309071"/>
    <xdr:sp macro="" textlink="">
      <xdr:nvSpPr>
        <xdr:cNvPr id="37" name="AutoShape 232" descr="Resultado de imagen para beer consumption trend">
          <a:extLst>
            <a:ext uri="{FF2B5EF4-FFF2-40B4-BE49-F238E27FC236}">
              <a16:creationId xmlns:a16="http://schemas.microsoft.com/office/drawing/2014/main" id="{FD88205D-851E-4913-95A9-558AA28BE462}"/>
            </a:ext>
            <a:ext uri="{147F2762-F138-4A5C-976F-8EAC2B608ADB}">
              <a16:predDERef xmlns:a16="http://schemas.microsoft.com/office/drawing/2014/main" pred="{1FC50CEC-9BA5-4DB9-A053-050227108D4C}"/>
            </a:ext>
          </a:extLst>
        </xdr:cNvPr>
        <xdr:cNvSpPr>
          <a:spLocks noChangeAspect="1" noChangeArrowheads="1"/>
        </xdr:cNvSpPr>
      </xdr:nvSpPr>
      <xdr:spPr bwMode="auto">
        <a:xfrm>
          <a:off x="16602075"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38" name="AutoShape 231" descr="Resultado de imagen para beer consumption trend">
          <a:extLst>
            <a:ext uri="{FF2B5EF4-FFF2-40B4-BE49-F238E27FC236}">
              <a16:creationId xmlns:a16="http://schemas.microsoft.com/office/drawing/2014/main" id="{C1FD0465-40FD-4CB3-8EA4-914C87B658E8}"/>
            </a:ext>
            <a:ext uri="{147F2762-F138-4A5C-976F-8EAC2B608ADB}">
              <a16:predDERef xmlns:a16="http://schemas.microsoft.com/office/drawing/2014/main" pred="{73A174AE-F196-43B6-B33F-AE251C210FFE}"/>
            </a:ext>
          </a:extLst>
        </xdr:cNvPr>
        <xdr:cNvSpPr>
          <a:spLocks noChangeAspect="1" noChangeArrowheads="1"/>
        </xdr:cNvSpPr>
      </xdr:nvSpPr>
      <xdr:spPr bwMode="auto">
        <a:xfrm>
          <a:off x="1809750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8437"/>
    <xdr:sp macro="" textlink="">
      <xdr:nvSpPr>
        <xdr:cNvPr id="39" name="AutoShape 232" descr="Resultado de imagen para beer consumption trend">
          <a:extLst>
            <a:ext uri="{FF2B5EF4-FFF2-40B4-BE49-F238E27FC236}">
              <a16:creationId xmlns:a16="http://schemas.microsoft.com/office/drawing/2014/main" id="{35BDE851-AE50-424B-B219-20BF69A80FAE}"/>
            </a:ext>
            <a:ext uri="{147F2762-F138-4A5C-976F-8EAC2B608ADB}">
              <a16:predDERef xmlns:a16="http://schemas.microsoft.com/office/drawing/2014/main" pred="{02A20EF7-E9F4-4648-A9DC-B9D147176B04}"/>
            </a:ext>
          </a:extLst>
        </xdr:cNvPr>
        <xdr:cNvSpPr>
          <a:spLocks noChangeAspect="1" noChangeArrowheads="1"/>
        </xdr:cNvSpPr>
      </xdr:nvSpPr>
      <xdr:spPr bwMode="auto">
        <a:xfrm>
          <a:off x="18097500"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5262"/>
    <xdr:sp macro="" textlink="">
      <xdr:nvSpPr>
        <xdr:cNvPr id="40" name="AutoShape 231" descr="Resultado de imagen para beer consumption trend">
          <a:extLst>
            <a:ext uri="{FF2B5EF4-FFF2-40B4-BE49-F238E27FC236}">
              <a16:creationId xmlns:a16="http://schemas.microsoft.com/office/drawing/2014/main" id="{18AFE117-41B9-4072-A873-AD34D4BD865E}"/>
            </a:ext>
            <a:ext uri="{147F2762-F138-4A5C-976F-8EAC2B608ADB}">
              <a16:predDERef xmlns:a16="http://schemas.microsoft.com/office/drawing/2014/main" pred="{3ED10B6F-8A0C-44B8-9978-680E6F17FB65}"/>
            </a:ext>
          </a:extLst>
        </xdr:cNvPr>
        <xdr:cNvSpPr>
          <a:spLocks noChangeAspect="1" noChangeArrowheads="1"/>
        </xdr:cNvSpPr>
      </xdr:nvSpPr>
      <xdr:spPr bwMode="auto">
        <a:xfrm>
          <a:off x="18097500"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12</xdr:row>
      <xdr:rowOff>0</xdr:rowOff>
    </xdr:from>
    <xdr:ext cx="304800" cy="309071"/>
    <xdr:sp macro="" textlink="">
      <xdr:nvSpPr>
        <xdr:cNvPr id="41" name="AutoShape 232" descr="Resultado de imagen para beer consumption trend">
          <a:extLst>
            <a:ext uri="{FF2B5EF4-FFF2-40B4-BE49-F238E27FC236}">
              <a16:creationId xmlns:a16="http://schemas.microsoft.com/office/drawing/2014/main" id="{ED13FF13-EAC7-49E8-B1A9-9911CA48D38C}"/>
            </a:ext>
            <a:ext uri="{147F2762-F138-4A5C-976F-8EAC2B608ADB}">
              <a16:predDERef xmlns:a16="http://schemas.microsoft.com/office/drawing/2014/main" pred="{F004E243-F461-4E6E-8A12-4265190758FB}"/>
            </a:ext>
          </a:extLst>
        </xdr:cNvPr>
        <xdr:cNvSpPr>
          <a:spLocks noChangeAspect="1" noChangeArrowheads="1"/>
        </xdr:cNvSpPr>
      </xdr:nvSpPr>
      <xdr:spPr bwMode="auto">
        <a:xfrm>
          <a:off x="18097500"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8437"/>
    <xdr:sp macro="" textlink="">
      <xdr:nvSpPr>
        <xdr:cNvPr id="42" name="AutoShape 231" descr="Resultado de imagen para beer consumption trend">
          <a:extLst>
            <a:ext uri="{FF2B5EF4-FFF2-40B4-BE49-F238E27FC236}">
              <a16:creationId xmlns:a16="http://schemas.microsoft.com/office/drawing/2014/main" id="{BF5AC3E8-5724-4509-8585-78F281A36D79}"/>
            </a:ext>
            <a:ext uri="{147F2762-F138-4A5C-976F-8EAC2B608ADB}">
              <a16:predDERef xmlns:a16="http://schemas.microsoft.com/office/drawing/2014/main" pred="{FBF804EE-814A-4039-9909-23C5879F4D2C}"/>
            </a:ext>
          </a:extLst>
        </xdr:cNvPr>
        <xdr:cNvSpPr>
          <a:spLocks noChangeAspect="1" noChangeArrowheads="1"/>
        </xdr:cNvSpPr>
      </xdr:nvSpPr>
      <xdr:spPr bwMode="auto">
        <a:xfrm>
          <a:off x="1959292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8437"/>
    <xdr:sp macro="" textlink="">
      <xdr:nvSpPr>
        <xdr:cNvPr id="43" name="AutoShape 232" descr="Resultado de imagen para beer consumption trend">
          <a:extLst>
            <a:ext uri="{FF2B5EF4-FFF2-40B4-BE49-F238E27FC236}">
              <a16:creationId xmlns:a16="http://schemas.microsoft.com/office/drawing/2014/main" id="{DE71803F-FADF-4CA6-9F59-F8D60786695E}"/>
            </a:ext>
            <a:ext uri="{147F2762-F138-4A5C-976F-8EAC2B608ADB}">
              <a16:predDERef xmlns:a16="http://schemas.microsoft.com/office/drawing/2014/main" pred="{999F8A09-15A0-4B22-876B-694CC2485B79}"/>
            </a:ext>
          </a:extLst>
        </xdr:cNvPr>
        <xdr:cNvSpPr>
          <a:spLocks noChangeAspect="1" noChangeArrowheads="1"/>
        </xdr:cNvSpPr>
      </xdr:nvSpPr>
      <xdr:spPr bwMode="auto">
        <a:xfrm>
          <a:off x="19592925" y="2414588"/>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5262"/>
    <xdr:sp macro="" textlink="">
      <xdr:nvSpPr>
        <xdr:cNvPr id="44" name="AutoShape 231" descr="Resultado de imagen para beer consumption trend">
          <a:extLst>
            <a:ext uri="{FF2B5EF4-FFF2-40B4-BE49-F238E27FC236}">
              <a16:creationId xmlns:a16="http://schemas.microsoft.com/office/drawing/2014/main" id="{A61232E3-84B1-4B69-8DD8-2953799D744D}"/>
            </a:ext>
            <a:ext uri="{147F2762-F138-4A5C-976F-8EAC2B608ADB}">
              <a16:predDERef xmlns:a16="http://schemas.microsoft.com/office/drawing/2014/main" pred="{B3A80241-FC17-469E-9232-FCF5FFCFDE57}"/>
            </a:ext>
          </a:extLst>
        </xdr:cNvPr>
        <xdr:cNvSpPr>
          <a:spLocks noChangeAspect="1" noChangeArrowheads="1"/>
        </xdr:cNvSpPr>
      </xdr:nvSpPr>
      <xdr:spPr bwMode="auto">
        <a:xfrm>
          <a:off x="19592925" y="2414588"/>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8</xdr:col>
      <xdr:colOff>0</xdr:colOff>
      <xdr:row>12</xdr:row>
      <xdr:rowOff>0</xdr:rowOff>
    </xdr:from>
    <xdr:ext cx="304800" cy="309071"/>
    <xdr:sp macro="" textlink="">
      <xdr:nvSpPr>
        <xdr:cNvPr id="45" name="AutoShape 232" descr="Resultado de imagen para beer consumption trend">
          <a:extLst>
            <a:ext uri="{FF2B5EF4-FFF2-40B4-BE49-F238E27FC236}">
              <a16:creationId xmlns:a16="http://schemas.microsoft.com/office/drawing/2014/main" id="{064DB536-B42C-42F1-8EA5-C333D9BA6877}"/>
            </a:ext>
            <a:ext uri="{147F2762-F138-4A5C-976F-8EAC2B608ADB}">
              <a16:predDERef xmlns:a16="http://schemas.microsoft.com/office/drawing/2014/main" pred="{47BB418A-1085-4AE3-A2A4-C05210E1DB8B}"/>
            </a:ext>
          </a:extLst>
        </xdr:cNvPr>
        <xdr:cNvSpPr>
          <a:spLocks noChangeAspect="1" noChangeArrowheads="1"/>
        </xdr:cNvSpPr>
      </xdr:nvSpPr>
      <xdr:spPr bwMode="auto">
        <a:xfrm>
          <a:off x="19592925" y="2414588"/>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28</xdr:col>
      <xdr:colOff>447646</xdr:colOff>
      <xdr:row>96</xdr:row>
      <xdr:rowOff>0</xdr:rowOff>
    </xdr:from>
    <xdr:to>
      <xdr:col>31</xdr:col>
      <xdr:colOff>643167</xdr:colOff>
      <xdr:row>101</xdr:row>
      <xdr:rowOff>117205</xdr:rowOff>
    </xdr:to>
    <xdr:pic>
      <xdr:nvPicPr>
        <xdr:cNvPr id="2" name="Imagem 1">
          <a:extLst>
            <a:ext uri="{FF2B5EF4-FFF2-40B4-BE49-F238E27FC236}">
              <a16:creationId xmlns:a16="http://schemas.microsoft.com/office/drawing/2014/main" id="{86171600-BFAA-486F-896C-DEB4EC8527AC}"/>
            </a:ext>
          </a:extLst>
        </xdr:cNvPr>
        <xdr:cNvPicPr>
          <a:picLocks noChangeAspect="1"/>
        </xdr:cNvPicPr>
      </xdr:nvPicPr>
      <xdr:blipFill>
        <a:blip xmlns:r="http://schemas.openxmlformats.org/officeDocument/2006/relationships" r:embed="rId1"/>
        <a:stretch>
          <a:fillRect/>
        </a:stretch>
      </xdr:blipFill>
      <xdr:spPr>
        <a:xfrm>
          <a:off x="25974646" y="17078325"/>
          <a:ext cx="1881446" cy="925469"/>
        </a:xfrm>
        <a:prstGeom prst="rect">
          <a:avLst/>
        </a:prstGeom>
      </xdr:spPr>
    </xdr:pic>
    <xdr:clientData/>
  </xdr:twoCellAnchor>
  <xdr:twoCellAnchor>
    <xdr:from>
      <xdr:col>4</xdr:col>
      <xdr:colOff>57150</xdr:colOff>
      <xdr:row>16</xdr:row>
      <xdr:rowOff>74839</xdr:rowOff>
    </xdr:from>
    <xdr:to>
      <xdr:col>11</xdr:col>
      <xdr:colOff>807356</xdr:colOff>
      <xdr:row>30</xdr:row>
      <xdr:rowOff>143517</xdr:rowOff>
    </xdr:to>
    <xdr:graphicFrame macro="">
      <xdr:nvGraphicFramePr>
        <xdr:cNvPr id="9" name="Gráfico 2">
          <a:extLst>
            <a:ext uri="{FF2B5EF4-FFF2-40B4-BE49-F238E27FC236}">
              <a16:creationId xmlns:a16="http://schemas.microsoft.com/office/drawing/2014/main" id="{813747F1-65E3-4D83-8C5A-286DA008C844}"/>
            </a:ext>
            <a:ext uri="{147F2762-F138-4A5C-976F-8EAC2B608ADB}">
              <a16:predDERef xmlns:a16="http://schemas.microsoft.com/office/drawing/2014/main" pred="{86171600-BFAA-486F-896C-DEB4EC852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38100</xdr:rowOff>
    </xdr:from>
    <xdr:to>
      <xdr:col>15</xdr:col>
      <xdr:colOff>752475</xdr:colOff>
      <xdr:row>29</xdr:row>
      <xdr:rowOff>85725</xdr:rowOff>
    </xdr:to>
    <xdr:graphicFrame macro="">
      <xdr:nvGraphicFramePr>
        <xdr:cNvPr id="10" name="Gráfico 2">
          <a:extLst>
            <a:ext uri="{FF2B5EF4-FFF2-40B4-BE49-F238E27FC236}">
              <a16:creationId xmlns:a16="http://schemas.microsoft.com/office/drawing/2014/main" id="{C7A6B119-2FBF-41F9-87EE-A53D83641B6A}"/>
            </a:ext>
            <a:ext uri="{147F2762-F138-4A5C-976F-8EAC2B608ADB}">
              <a16:predDERef xmlns:a16="http://schemas.microsoft.com/office/drawing/2014/main" pred="{813747F1-65E3-4D83-8C5A-286DA008C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707570</xdr:colOff>
      <xdr:row>16</xdr:row>
      <xdr:rowOff>81643</xdr:rowOff>
    </xdr:from>
    <xdr:to>
      <xdr:col>18</xdr:col>
      <xdr:colOff>616584</xdr:colOff>
      <xdr:row>30</xdr:row>
      <xdr:rowOff>150321</xdr:rowOff>
    </xdr:to>
    <xdr:graphicFrame macro="">
      <xdr:nvGraphicFramePr>
        <xdr:cNvPr id="11" name="Gráfico 2">
          <a:extLst>
            <a:ext uri="{FF2B5EF4-FFF2-40B4-BE49-F238E27FC236}">
              <a16:creationId xmlns:a16="http://schemas.microsoft.com/office/drawing/2014/main" id="{6A195EDE-DF04-4F4F-8F8A-ABD766638B49}"/>
            </a:ext>
            <a:ext uri="{147F2762-F138-4A5C-976F-8EAC2B608ADB}">
              <a16:predDERef xmlns:a16="http://schemas.microsoft.com/office/drawing/2014/main" pred="{C7A6B119-2FBF-41F9-87EE-A53D836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68036</xdr:colOff>
      <xdr:row>16</xdr:row>
      <xdr:rowOff>81643</xdr:rowOff>
    </xdr:from>
    <xdr:to>
      <xdr:col>21</xdr:col>
      <xdr:colOff>814580</xdr:colOff>
      <xdr:row>30</xdr:row>
      <xdr:rowOff>150321</xdr:rowOff>
    </xdr:to>
    <xdr:graphicFrame macro="">
      <xdr:nvGraphicFramePr>
        <xdr:cNvPr id="3" name="Gráfico 5">
          <a:extLst>
            <a:ext uri="{FF2B5EF4-FFF2-40B4-BE49-F238E27FC236}">
              <a16:creationId xmlns:a16="http://schemas.microsoft.com/office/drawing/2014/main" id="{F3638278-5944-4261-813D-C5BE2FF7B09C}"/>
            </a:ext>
            <a:ext uri="{147F2762-F138-4A5C-976F-8EAC2B608ADB}">
              <a16:predDERef xmlns:a16="http://schemas.microsoft.com/office/drawing/2014/main" pred="{6A195EDE-DF04-4F4F-8F8A-ABD766638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35</xdr:col>
      <xdr:colOff>963704</xdr:colOff>
      <xdr:row>23</xdr:row>
      <xdr:rowOff>22412</xdr:rowOff>
    </xdr:from>
    <xdr:to>
      <xdr:col>43</xdr:col>
      <xdr:colOff>22411</xdr:colOff>
      <xdr:row>39</xdr:row>
      <xdr:rowOff>54908</xdr:rowOff>
    </xdr:to>
    <xdr:graphicFrame macro="">
      <xdr:nvGraphicFramePr>
        <xdr:cNvPr id="6" name="Chart 1">
          <a:extLst>
            <a:ext uri="{FF2B5EF4-FFF2-40B4-BE49-F238E27FC236}">
              <a16:creationId xmlns:a16="http://schemas.microsoft.com/office/drawing/2014/main" id="{B9E7335F-3A67-7ABC-D907-E775A0E4A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0</xdr:colOff>
      <xdr:row>56</xdr:row>
      <xdr:rowOff>0</xdr:rowOff>
    </xdr:from>
    <xdr:to>
      <xdr:col>43</xdr:col>
      <xdr:colOff>145677</xdr:colOff>
      <xdr:row>83</xdr:row>
      <xdr:rowOff>133349</xdr:rowOff>
    </xdr:to>
    <xdr:graphicFrame macro="">
      <xdr:nvGraphicFramePr>
        <xdr:cNvPr id="3" name="Chart 2">
          <a:extLst>
            <a:ext uri="{FF2B5EF4-FFF2-40B4-BE49-F238E27FC236}">
              <a16:creationId xmlns:a16="http://schemas.microsoft.com/office/drawing/2014/main" id="{EC9B98D6-203F-4273-AD59-364848272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0</xdr:colOff>
      <xdr:row>57</xdr:row>
      <xdr:rowOff>0</xdr:rowOff>
    </xdr:from>
    <xdr:to>
      <xdr:col>51</xdr:col>
      <xdr:colOff>661148</xdr:colOff>
      <xdr:row>85</xdr:row>
      <xdr:rowOff>88526</xdr:rowOff>
    </xdr:to>
    <xdr:graphicFrame macro="">
      <xdr:nvGraphicFramePr>
        <xdr:cNvPr id="4" name="Chart 3">
          <a:extLst>
            <a:ext uri="{FF2B5EF4-FFF2-40B4-BE49-F238E27FC236}">
              <a16:creationId xmlns:a16="http://schemas.microsoft.com/office/drawing/2014/main" id="{01A1CCF3-1355-4297-A2CD-1A1BEFFDB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301423</xdr:colOff>
      <xdr:row>6</xdr:row>
      <xdr:rowOff>2530</xdr:rowOff>
    </xdr:from>
    <xdr:to>
      <xdr:col>22</xdr:col>
      <xdr:colOff>602848</xdr:colOff>
      <xdr:row>29</xdr:row>
      <xdr:rowOff>156739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0695A3-3E01-4CD9-A375-1D96DB0C5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não está disponível na sua versão do Excel.
Editar esta forma ou guardar este livro num formato de ficheiro diferente irá indisponibilizar o gráfico de forma permanente.</a:t>
              </a:r>
            </a:p>
          </xdr:txBody>
        </xdr:sp>
      </mc:Fallback>
    </mc:AlternateContent>
    <xdr:clientData/>
  </xdr:twoCellAnchor>
  <xdr:twoCellAnchor>
    <xdr:from>
      <xdr:col>14</xdr:col>
      <xdr:colOff>286525</xdr:colOff>
      <xdr:row>8</xdr:row>
      <xdr:rowOff>19359</xdr:rowOff>
    </xdr:from>
    <xdr:to>
      <xdr:col>14</xdr:col>
      <xdr:colOff>308239</xdr:colOff>
      <xdr:row>24</xdr:row>
      <xdr:rowOff>107656</xdr:rowOff>
    </xdr:to>
    <xdr:cxnSp macro="">
      <xdr:nvCxnSpPr>
        <xdr:cNvPr id="2" name="Straight Connector 1">
          <a:extLst>
            <a:ext uri="{FF2B5EF4-FFF2-40B4-BE49-F238E27FC236}">
              <a16:creationId xmlns:a16="http://schemas.microsoft.com/office/drawing/2014/main" id="{C39BCA04-5C37-46D0-8692-2FB0531EF1D0}"/>
            </a:ext>
          </a:extLst>
        </xdr:cNvPr>
        <xdr:cNvCxnSpPr/>
      </xdr:nvCxnSpPr>
      <xdr:spPr>
        <a:xfrm>
          <a:off x="9943171" y="1494573"/>
          <a:ext cx="21714" cy="2895461"/>
        </a:xfrm>
        <a:prstGeom prst="line">
          <a:avLst/>
        </a:prstGeom>
        <a:ln w="19050"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503354</xdr:colOff>
      <xdr:row>6</xdr:row>
      <xdr:rowOff>85184</xdr:rowOff>
    </xdr:from>
    <xdr:to>
      <xdr:col>15</xdr:col>
      <xdr:colOff>54772</xdr:colOff>
      <xdr:row>7</xdr:row>
      <xdr:rowOff>160015</xdr:rowOff>
    </xdr:to>
    <xdr:sp macro="" textlink="">
      <xdr:nvSpPr>
        <xdr:cNvPr id="5" name="TextBox 4">
          <a:extLst>
            <a:ext uri="{FF2B5EF4-FFF2-40B4-BE49-F238E27FC236}">
              <a16:creationId xmlns:a16="http://schemas.microsoft.com/office/drawing/2014/main" id="{4FDDAB5F-EDCF-486B-9F0A-677306CCD40A}"/>
            </a:ext>
          </a:extLst>
        </xdr:cNvPr>
        <xdr:cNvSpPr txBox="1"/>
      </xdr:nvSpPr>
      <xdr:spPr>
        <a:xfrm>
          <a:off x="9482409" y="1219666"/>
          <a:ext cx="906601" cy="245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lumMod val="50000"/>
                </a:schemeClr>
              </a:solidFill>
            </a:rPr>
            <a:t>$110,06</a:t>
          </a:r>
        </a:p>
        <a:p>
          <a:pPr algn="ctr"/>
          <a:endParaRPr lang="en-US" sz="1100" b="1">
            <a:solidFill>
              <a:schemeClr val="bg1">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Mariana Januário Gomes" id="{738BC6A3-6E31-8846-82DF-B0290507C6ED}" userId="S::l63852@aln.iseg.ulisboa.pt::fe7fbe43-633d-4d1c-8164-791d0749648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40">
  <a r="1">
    <v t="i">0</v>
  </a>
  <a r="1">
    <v>9.5969999999999995</v>
  </a>
  <a r="1">
    <v>9.7988</v>
  </a>
  <a r="1">
    <v>13.690200000000001</v>
  </a>
  <a r="1">
    <v>13.8538</v>
  </a>
  <a r="1">
    <v>9.84</v>
  </a>
  <a r="1">
    <v>9.3699999999999992</v>
  </a>
  <a r="1">
    <v>82.35</v>
  </a>
  <a r="1">
    <v>25.83</v>
  </a>
  <a r="1">
    <v>26.3</v>
  </a>
  <a r="1">
    <v>26.46</v>
  </a>
  <a r="1">
    <v>8.66</v>
  </a>
  <a r="1">
    <v>16.13</v>
  </a>
  <a r="1">
    <v>26.83</v>
  </a>
  <a r="1">
    <v>26.94</v>
  </a>
  <a r="1">
    <v>26.58</v>
  </a>
  <a r="1">
    <v>191.97</v>
  </a>
  <a r="1">
    <v>80.42</v>
  </a>
  <a r="1">
    <v>29.04</v>
  </a>
  <a r="1">
    <v>22.31</v>
  </a>
  <a r="1">
    <v>17.815000000000001</v>
  </a>
  <a r="1">
    <v>16.47</v>
  </a>
  <a r="1">
    <v>17.337</v>
  </a>
  <a r="1">
    <v>429.16</v>
  </a>
  <a r="1">
    <v>557.82000000000005</v>
  </a>
  <a r="1">
    <v>529.5</v>
  </a>
  <a r="1">
    <v>122.99</v>
  </a>
  <a r="1">
    <v>133.72</v>
  </a>
  <a r="1">
    <v>135.91</v>
  </a>
  <a r="1">
    <v>73.98</v>
  </a>
  <a r="1">
    <v>88.77</v>
  </a>
  <a r="1">
    <v>87.46</v>
  </a>
  <a r="1">
    <v>338.1</v>
  </a>
  <a r="1">
    <v>404.4</v>
  </a>
  <a r="1">
    <v>374.2</v>
  </a>
  <a r="1">
    <v>6.86</v>
  </a>
  <a r="1">
    <v>3.94</v>
  </a>
  <a r="1">
    <v>4.38</v>
  </a>
  <a r="1">
    <v>-99999901</v>
  </a>
  <a r="1">
    <v>0.8962</v>
  </a>
</arrayData>
</file>

<file path=xl/richData/rdrichvalue.xml><?xml version="1.0" encoding="utf-8"?>
<rvData xmlns="http://schemas.microsoft.com/office/spreadsheetml/2017/richdata" count="70">
  <rv s="0">
    <v>12</v>
    <v>Name</v>
    <v>0</v>
  </rv>
  <rv s="1">
    <v>https://www.bing.com/financeapi/forcetrigger?t=a1runm&amp;q=XNYS%3aELF&amp;form=skydnc</v>
    <v>Learn more on Bing</v>
  </rv>
  <rv s="2">
    <v>en-US</v>
    <v>a1runm</v>
    <v>268435456</v>
    <v>1</v>
    <v>Powered by Refinitiv</v>
    <v>0</v>
    <v>E.L.F. BEAUTY, INC. (XNYS:ELF)</v>
    <v>2</v>
    <v>3</v>
    <v>Finance</v>
    <v>4</v>
    <v>150.99</v>
    <v>49.4</v>
    <v>1.6084000000000001</v>
    <v>0.71</v>
    <v>5.2510000000000005E-3</v>
    <v>USD</v>
    <v>e.l.f. Beauty, Inc. is a multi-brand beauty company. The Company offers inclusive, accessible, clean, vegan, and cruelty-free cosmetics and skincare products. The Company's family of brands includes e.l.f. Cosmetics, e.l.f. SKIN, Naturium, Well People, Keys Soulcare, and rhode. Its e.l.f. SKIN is an ingredient-focused, dermatologist-developed formulas for every eye, lip and face. The Company operates across beauty categories including eye, lip, and face makeup, beauty tools and accessories, and skincare products. Its color cosmetics and skin care products are broadly sold through food, drug, and mass channels, as well as through department stores and direct and specialty channels. The Company sells its products with retailers in the United States, as well as internationally. It also sells its products online through its own direct e-commerce channels, as well as through other e-commerce Websites.</v>
    <v>633</v>
    <v>New York Stock Exchange</v>
    <v>XNYS</v>
    <v>XNYS</v>
    <v>570 10th St, OAKLAND, CA, 94607-4038 US</v>
    <v>136.75</v>
    <v>Specialty Retailers</v>
    <v>Stock</v>
    <v>45932.996896573437</v>
    <v>1</v>
    <v>132.47</v>
    <v>7710840259</v>
    <v>E.L.F. BEAUTY, INC.</v>
    <v>E.L.F. BEAUTY, INC.</v>
    <v>135.77000000000001</v>
    <v>80.825199999999995</v>
    <v>135.19999999999999</v>
    <v>135.91</v>
    <v>56734900</v>
    <v>ELF</v>
    <v>E.L.F. BEAUTY, INC. (XNYS:ELF)</v>
    <v>48</v>
    <v>1753233</v>
    <v>2013</v>
  </rv>
  <rv s="3">
    <v>2</v>
  </rv>
  <rv s="1">
    <v>https://www.bing.com/financeapi/forcetrigger?t=ae9qim&amp;q=XPAR%3aOR&amp;form=skydnc</v>
    <v>Learn more on Bing</v>
  </rv>
  <rv s="2">
    <v>en-US</v>
    <v>ae9qim</v>
    <v>268435456</v>
    <v>1</v>
    <v>Powered by Refinitiv</v>
    <v>0</v>
    <v>L'Oreal SA (XPAR:OR)</v>
    <v>2</v>
    <v>5</v>
    <v>Finance</v>
    <v>6</v>
    <v>408.45</v>
    <v>316.3</v>
    <v>0.84799999999999998</v>
    <v>0.75</v>
    <v>2.0040000000000001E-3</v>
    <v>EUR</v>
    <v>L'Oreal SA is a France-based cosmetic group company. The Company is predominantly engaged and offers skin care products, makeup products, hair care products, perfumes, colouring products and others. Its products are marketed through mass distribution and distance selling, selective distribution, hair salons and pharmacies. Its cosmetics division is organized into four divisions, consumer cosmetics: brands L'Oral paris, Garnier, Maybelline New York and NYX professional makeup, Stylenanda, Essie and Mixa, luxury cosmetics: Lancome, Kiehl's, Giorgio Armani Beauty, Yves Saint Laurent Beaute, Biotherm, Helena Rubinstein, Shu Uemura, IT Cosmetics, Urban Decay, Ralph Lauren, Mugler, Viktor&amp;Rolf, Valentino, Azzaro, Prada, Takami and Aesop, active cosmetic products : La Roche-Posay, Vichy, CeraVe, SkinCeuticals and Skinbetter Science and professional products : L'Oreal Professionnel, Kerastase, Redken, Matrix and PureOlogy.</v>
    <v>94397</v>
    <v>Euronext Paris</v>
    <v>XPAR</v>
    <v>XPAR</v>
    <v>41 rue Martre, Clichy Cedex, CLICHY, ILE-DE-FRANCE, 92117 FR</v>
    <v>376.05</v>
    <v>Personal &amp; Household Products &amp; Services</v>
    <v>Stock</v>
    <v>45933.397743055553</v>
    <v>4</v>
    <v>373</v>
    <v>199525300000</v>
    <v>L'Oreal SA</v>
    <v>L'Oreal SA</v>
    <v>375.9</v>
    <v>32.715600000000002</v>
    <v>374.2</v>
    <v>374.95</v>
    <v>533204900</v>
    <v>OR</v>
    <v>L'Oreal SA (XPAR:OR)</v>
    <v>21904</v>
    <v>445660</v>
    <v>1963</v>
  </rv>
  <rv s="3">
    <v>5</v>
  </rv>
  <rv s="1">
    <v>https://www.bing.com/financeapi/forcetrigger?t=a1ruc7&amp;q=XNYS%3aEL&amp;form=skydnc</v>
    <v>Learn more on Bing</v>
  </rv>
  <rv s="4">
    <v>en-US</v>
    <v>a1ruc7</v>
    <v>268435456</v>
    <v>1</v>
    <v>Powered by Refinitiv</v>
    <v>7</v>
    <v>THE ESTEE LAUDER COMPANIES INC. (XNYS:EL)</v>
    <v>2</v>
    <v>8</v>
    <v>Finance</v>
    <v>4</v>
    <v>97.44</v>
    <v>48.370100000000001</v>
    <v>1.1779999999999999</v>
    <v>2.57</v>
    <v>2.9813999999999997E-2</v>
    <v>USD</v>
    <v>The Estee Lauder Companies Inc. is a manufacturer, marketer and seller of skin care, makeup, fragrance and hair care products. Its product categories include skin care, makeup, fragrance, hair care and others. Its products are sold in approximately 150 countries and territories under a number of brand names, including Estee Lauder, Aramis, Clinique, Lab Series, Origins, M.A.C, Bobbi Brown Cosmetics, La Mer, Aveda, Jo Malone London, Bumble and bumble, Darphin Paris, TOM FORD, Smashbox, AERIN Beauty, Le Labo, Editions de Parfums Frederic Malle, GLAMGLOW, Kilian Paris, Too Faced, Dr.Jart+, and the DECIEM family of brands, including The Ordinary and NIOD. It is a licensee for fragrances, cosmetics and/or related products for AERIN, BALMAIN, and Dr. Andrew Weil. Its skin care products include moisturizers, serums, cleansers, toners, exfoliators, facial masks, body care, sun care products and others. Its makeup products include lipsticks, lip glosses, mascaras, foundations and others.</v>
    <v>57000</v>
    <v>New York Stock Exchange</v>
    <v>XNYS</v>
    <v>XNYS</v>
    <v>767 Fifth Avenue, NEW YORK, NY, 10153 US</v>
    <v>89.26</v>
    <v>Personal &amp; Household Products &amp; Services</v>
    <v>Stock</v>
    <v>45932.996321133593</v>
    <v>7</v>
    <v>85.78</v>
    <v>31988899767</v>
    <v>THE ESTEE LAUDER COMPANIES INC.</v>
    <v>THE ESTEE LAUDER COMPANIES INC.</v>
    <v>86</v>
    <v>86.2</v>
    <v>88.77</v>
    <v>360357100</v>
    <v>EL</v>
    <v>THE ESTEE LAUDER COMPANIES INC. (XNYS:EL)</v>
    <v>649</v>
    <v>3036012</v>
    <v>1976</v>
  </rv>
  <rv s="3">
    <v>8</v>
  </rv>
  <rv s="1">
    <v>https://www.bing.com/financeapi/forcetrigger?t=a1q6sm&amp;q=XNYS%3aCOTY&amp;form=skydnc</v>
    <v>Learn more on Bing</v>
  </rv>
  <rv s="4">
    <v>en-US</v>
    <v>a1q6sm</v>
    <v>268435456</v>
    <v>1</v>
    <v>Powered by Refinitiv</v>
    <v>7</v>
    <v>COTY INC. (XNYS:COTY)</v>
    <v>2</v>
    <v>8</v>
    <v>Finance</v>
    <v>4</v>
    <v>9.56</v>
    <v>3.67</v>
    <v>2.0169999999999999</v>
    <v>-0.03</v>
    <v>-7.5570000000000003E-3</v>
    <v>USD</v>
    <v>Coty Inc. is a beauty company with a portfolio of brands across fragrance, color cosmetics, and skin and body care. The Company has a diverse portfolio of brands, which includes both owned and licensed. Its brand portfolio is classified into two segments: Consumer beauty and Prestige. The consumer beauty brands include Adidas, Beckham, Bozzano, Bourjois, Bruno Banani, CoverGirl, Jovan, Mexx, LeGer by Lena Gercke, Monange, Nautica, Paixao, Rimmel, Risque, Sally Hansen, and Vera Wang. Its prestige brands include Burberry, Calvin Klein, Chloe, Davidoff, Escada, Gucci, Hugo Boss, Jil Sander, Kylie Cosmetics by Kylie Jenner, Lancaster, Marc Jacobs, Miu Miu, Orveda, and Tiffany &amp; Co. Its mass beauty brands are primarily sold through hypermarkets, supermarkets, drug stores and pharmacies, mid-tier department stores, traditional food and drug retailers, and dedicated e-commerce retailers. It markets, sells and distributes its products in over 120 countries and territories.</v>
    <v>11636</v>
    <v>New York Stock Exchange</v>
    <v>XNYS</v>
    <v>XNYS</v>
    <v>350 Fifth Avenue, NEW YORK, NY, 10118 US</v>
    <v>4</v>
    <v>Personal &amp; Household Products &amp; Services</v>
    <v>Stock</v>
    <v>45932.999696330466</v>
    <v>10</v>
    <v>3.89</v>
    <v>3442998550</v>
    <v>COTY INC.</v>
    <v>COTY INC.</v>
    <v>3.94</v>
    <v>3.97</v>
    <v>3.94</v>
    <v>873857500</v>
    <v>COTY</v>
    <v>COTY INC. (XNYS:COTY)</v>
    <v>141</v>
    <v>8311985</v>
    <v>1995</v>
  </rv>
  <rv s="3">
    <v>11</v>
  </rv>
  <rv s="1">
    <v>https://www.bing.com/financeapi/forcetrigger?t=a24war&amp;q=XNAS%3aULTA&amp;form=skydnc</v>
    <v>Learn more on Bing</v>
  </rv>
  <rv s="2">
    <v>en-US</v>
    <v>a24war</v>
    <v>268435456</v>
    <v>1</v>
    <v>Powered by Refinitiv</v>
    <v>0</v>
    <v>ULTA BEAUTY, INC. (XNAS:ULTA)</v>
    <v>2</v>
    <v>3</v>
    <v>Finance</v>
    <v>4</v>
    <v>559.41499999999996</v>
    <v>309.01</v>
    <v>1.0561</v>
    <v>1.78</v>
    <v>3.2009999999999999E-3</v>
    <v>USD</v>
    <v>Ulta Beauty, Inc. is a specialty United States beauty retailer and the premier beauty destination for cosmetics, fragrance, skincare products, haircare products and salon services. The Company operates approximately 1,451 retail stores across 50 states and distributes products through its Website, which includes a collection of tips, tutorials, and social content. The Company’s business includes a differentiated assortment of approximately 29,000 beauty products across a variety of categories and price points, as well as a variety of beauty services, including salon services, in more than 1,400 stores predominantly located in convenient, high-traffic locations. It also offers digital experiences delivered through its Website, Ulta.com, and its mobile applications. The Company’s brands include Ulta Beauty Collection, about-face, Ariana Grande, CHANEL, FENTY BEAUTY by Rihanna, It Cosmetics, LolaVie, OUAI, PAT McGRATH LABS, Tula, and NYX Professional Makeup.</v>
    <v>20000</v>
    <v>Nasdaq Stock Market</v>
    <v>XNAS</v>
    <v>XNAS</v>
    <v>1000 Remington Blvd, Suite 120, BOLINGBROOK, IL, 60440 US</v>
    <v>557.82000000000005</v>
    <v>Specialty Retailers</v>
    <v>Stock</v>
    <v>45932.996184282034</v>
    <v>13</v>
    <v>551.00009999999997</v>
    <v>25011733975</v>
    <v>ULTA BEAUTY, INC.</v>
    <v>ULTA BEAUTY, INC.</v>
    <v>553</v>
    <v>21.4117</v>
    <v>556.04</v>
    <v>557.82000000000005</v>
    <v>44838360</v>
    <v>ULTA</v>
    <v>ULTA BEAUTY, INC. (XNAS:ULTA)</v>
    <v>328327</v>
    <v>839408</v>
    <v>2016</v>
  </rv>
  <rv s="3">
    <v>14</v>
  </rv>
  <rv s="1">
    <v>https://www.bing.com/financeapi/forcetrigger?t=buaoa2&amp;q=XFRA%3aSHDA&amp;form=skydnc</v>
    <v>Learn more on Bing</v>
  </rv>
  <rv s="5">
    <v>en-US</v>
    <v>buaoa2</v>
    <v>268435456</v>
    <v>1</v>
    <v>Powered by Refinitiv</v>
    <v>9</v>
    <v>Shiseido Company, Limited (XFRA:SHDA)</v>
    <v>2</v>
    <v>10</v>
    <v>Finance</v>
    <v>6</v>
    <v>0.45240000000000002</v>
    <v>-2.1</v>
    <v>-0.130435</v>
    <v>EUR</v>
    <v>Shiseido Co Ltd is a Japan-based company engaged in the manufacture and sale of cosmetics, toiletries, personal care products, barber and beauty products. The Company operates through six business segments. The Japan segment is engaged in the sale of cosmetics, fragrance, toiletries, personal care products, beauty food and over-the-counter drugs in Japan. China segment and Asia Pacific segment is engaged in the manufacture and sale of cosmetics, toiletries and personal care products respectively in China and Asia-Oceania other region. Americas segment and Europe segment is engaged in the manufacture and sale of cosmetics and toiletries respectively in the Americas, as well as Europe, the Middle East and Africa. Travel Retail segment is engaged in the sale of cosmetics and toiletries in duty free shops around the world. The Company also conducts manufacturing businesses and food and beverage businesses.</v>
    <v>27908</v>
    <v>Deutsche Boerse AG</v>
    <v>XFRA</v>
    <v>XFRA</v>
    <v>1-6-2, Higashi-Shimbashi, MINATO-KU, TOKYO-TO, 105-8310 JP</v>
    <v>14</v>
    <v>Personal &amp; Household Products &amp; Services</v>
    <v>Stock</v>
    <v>45933.255486111113</v>
    <v>16</v>
    <v>14</v>
    <v>6755916000</v>
    <v>Shiseido Company, Limited</v>
    <v>Shiseido Company, Limited</v>
    <v>14</v>
    <v>16.100000000000001</v>
    <v>14</v>
    <v>400000000</v>
    <v>SHDA</v>
    <v>Shiseido Company, Limited (XFRA:SHDA)</v>
    <v>1</v>
    <v>32300</v>
    <v>1927</v>
  </rv>
  <rv s="3">
    <v>17</v>
  </rv>
  <rv s="6">
    <v>en-US</v>
    <v>cbooyc</v>
    <v>268435456</v>
    <v>1</v>
    <v>Powered by Refinitiv</v>
    <v>11</v>
    <v>Natura &amp;Co Holding SA (BVMF:NTCO3Q)</v>
    <v>12</v>
    <v>13</v>
    <v>Finance</v>
    <v>14</v>
    <v>17.3</v>
    <v>14.2</v>
    <v>1.2257</v>
    <v>0.51</v>
    <v>3.7253000000000001E-2</v>
    <v>BRL</v>
    <v>Natura &amp;Co Holding SA, formerly Natura Holding SA is a Brazil-based beauty company that unites Natura and Avon brands. The Company's activities are carried out through two operating segments: Natura &amp;Co LATAM, that operates five industrial units for the manufacture of cosmetics, three located in Brazil, one in Mexico and another in Argentina, and Avon International, that operates two industrial units, one in Poland and the other in Russia. The Natura brand’s portfolio includes fragrances, makeup, body and face care products as well as sunscreens, deodorants, body oils, hair care and homecare products. The Avon brand’s portfolio includes makeup, face and daily care products, as well as fragrance, hair, home &amp; style products. Natura &amp;Co Holding SA operates through subsidiaries, including Natura &amp;Co International Sarl and Natura Cosmeticos SA.</v>
    <v>1709</v>
    <v>B3 - Brazil Stock Exchange</v>
    <v>BVMF</v>
    <v>BVMF</v>
    <v>Av Alexandre Colares 1188 Sala A17 Bloco A, Parque Anhanguera, SAO PAULO, SAO PAULO, 05.106-000 BR</v>
    <v>14.2</v>
    <v>Personal &amp; Household Products &amp; Services</v>
    <v>Stock</v>
    <v>45708.596688935155</v>
    <v>14.2</v>
    <v>19693241600</v>
    <v>Natura &amp;Co Holding SA</v>
    <v>Natura &amp;Co Holding SA</v>
    <v>14.2</v>
    <v>13.69</v>
    <v>14.2</v>
    <v>1374118000</v>
    <v>NTCO3Q</v>
    <v>Natura &amp;Co Holding SA (BVMF:NTCO3Q)</v>
    <v>219200</v>
    <v>10715210</v>
    <v>1969</v>
  </rv>
  <rv s="3">
    <v>19</v>
  </rv>
  <rv s="7">
    <v>en-US</v>
    <v>av2elh</v>
    <v>268435456</v>
    <v>1</v>
    <v>Powered by Refinitiv</v>
    <v>15</v>
    <v>BRL/USD</v>
    <v>16</v>
    <v>17</v>
    <v>Finance</v>
    <v>18</v>
    <v>0.1898</v>
    <v>0.15840000000000001</v>
    <v>-6.0000000000000002E-5</v>
    <v>-3.2039999999999998E-4</v>
    <v>USD</v>
    <v>BRL</v>
    <v>0.18740000000000001</v>
    <v>Currency Pair</v>
    <v>45933.375335648147</v>
    <v>0.18729999999999999</v>
    <v>Brazilian Real/US Dollar FX Cross Rate</v>
    <v>0.18720000000000001</v>
    <v>0.18729999999999999</v>
    <v>0.18720000000000001</v>
    <v>BRLUSD</v>
    <v>BRL/USD</v>
  </rv>
  <rv s="3">
    <v>21</v>
  </rv>
  <rv s="1">
    <v>https://www.bing.com/financeapi/forcetrigger?t=c1dhcw&amp;q=XBUE%3aNTCOD2&amp;form=skydnc</v>
    <v>Learn more on Bing</v>
  </rv>
  <rv s="8">
    <v>en-GB</v>
    <v>c1dhcw</v>
    <v>268435456</v>
    <v>1</v>
    <v>Powered by Refinitiv</v>
    <v>19</v>
    <v>Natura Cosmeticos SA (XBUE:NTCO)</v>
    <v>2</v>
    <v>20</v>
    <v>Finance</v>
    <v>0</v>
    <v>0</v>
    <v>1.2257</v>
    <v>USD</v>
    <v>Natura Cosmeticos SA is a Brazil-based company engaged in the personal products manufacture. The Company focuses on the development, production and distribution of cosmetics, fragrances and personal hygiene products through direct sale by Natura Beauty Consultants. The Company's product lines include deodorants, makeup accessories, sunscreens, shaving creams, shampoos, soaps, lotions, creams, lipsticks and perfumes, among others. Its portfolio comprises various brand names, such as Ekos, Tododia, Chronos, Erva Doce, Homem, Seve and Luna. In addition, the Company operates the Aesop brand name, through which it retails cosmetics. It is present in the Americas, Europe, Southeast Asia and Australia.</v>
    <v>1709</v>
    <v>Bolsa de Comercio de Buenos Aires</v>
    <v>XBUE</v>
    <v>XBUE</v>
    <v>Av Alexandre Colares 1188 N/A, Vila Jaguara, SAO PAULO, SAO PAULO, 05.106-000 BR</v>
    <v>Personal &amp; Household Products &amp; Services</v>
    <v>Stock</v>
    <v>23</v>
    <v>Natura Cosmeticos SA</v>
    <v>Natura Cosmeticos SA</v>
    <v>1374118000</v>
    <v>NTCO</v>
    <v>Natura Cosmeticos SA (XBUE:NTCO)</v>
    <v>17850740</v>
    <v>1969</v>
  </rv>
  <rv s="3">
    <v>24</v>
  </rv>
  <rv s="1">
    <v>https://www.bing.com/financeapi/forcetrigger?t=a2wz8m&amp;q=OTCM%3aSSDOY&amp;form=skydnc</v>
    <v>Learn more on Bing</v>
  </rv>
  <rv s="2">
    <v>en-US</v>
    <v>a2wz8m</v>
    <v>268435456</v>
    <v>1</v>
    <v>Powered by Refinitiv</v>
    <v>0</v>
    <v>Shiseido Company, Limited (OTCM:SSDOY)</v>
    <v>2</v>
    <v>3</v>
    <v>Finance</v>
    <v>6</v>
    <v>27.2</v>
    <v>15.32</v>
    <v>0.45240000000000002</v>
    <v>0.23699999999999999</v>
    <v>1.3859999999999999E-2</v>
    <v>USD</v>
    <v>Shiseido Co Ltd is a Japan-based company engaged in the manufacture and sale of cosmetics, toiletries, personal care products, barber and beauty products. The Company operates through six business segments. The Japan segment is engaged in the sale of cosmetics, fragrance, toiletries, personal care products, beauty food and over-the-counter drugs in Japan. China segment and Asia Pacific segment is engaged in the manufacture and sale of cosmetics, toiletries and personal care products respectively in China and Asia-Oceania other region. Americas segment and Europe segment is engaged in the manufacture and sale of cosmetics and toiletries respectively in the Americas, as well as Europe, the Middle East and Africa. Travel Retail segment is engaged in the sale of cosmetics and toiletries in duty free shops around the world. The Company also conducts manufacturing businesses and food and beverage businesses.</v>
    <v>27908</v>
    <v>OTC Markets</v>
    <v>OTCM</v>
    <v>OTCM</v>
    <v>1-6-2, Higashi-Shimbashi, MINATO-KU, TOKYO-TO, 105-8310 JP</v>
    <v>17.690000000000001</v>
    <v>Personal &amp; Household Products &amp; Services</v>
    <v>Stock</v>
    <v>45933.006944444445</v>
    <v>26</v>
    <v>17.3</v>
    <v>6755916000</v>
    <v>Shiseido Company, Limited</v>
    <v>Shiseido Company, Limited</v>
    <v>17.350000000000001</v>
    <v>0</v>
    <v>17.100000000000001</v>
    <v>17.337</v>
    <v>400000000</v>
    <v>SSDOY</v>
    <v>Shiseido Company, Limited (OTCM:SSDOY)</v>
    <v>39806</v>
    <v>32300</v>
    <v>1927</v>
  </rv>
  <rv s="3">
    <v>27</v>
  </rv>
  <rv s="9">
    <v>21</v>
    <v>CMG</v>
    <v>Daily</v>
    <v>42369</v>
    <v>42369</v>
    <v>0</v>
    <v>1</v>
    <v>635871168000000000,638780830444378323,0</v>
    <v>0</v>
    <v>a1pxbh</v>
    <v>XNYS:CMG</v>
    <v>1</v>
  </rv>
  <rv s="9">
    <v>21</v>
    <v>CMG</v>
    <v>Daily</v>
    <v>42367</v>
    <v>42367</v>
    <v>0</v>
    <v>1</v>
    <v>635869440000000000,638780830444686310,0</v>
    <v>0</v>
    <v>a1pxbh</v>
    <v>XNYS:CMG</v>
    <v>2</v>
  </rv>
  <rv s="9">
    <v>21</v>
    <v>CMG</v>
    <v>Daily</v>
    <v>42004</v>
    <v>42004</v>
    <v>0</v>
    <v>1</v>
    <v>635555808000000000,638808439422357630,0</v>
    <v>0</v>
    <v>a1pxbh</v>
    <v>XNYS:CMG</v>
    <v>3</v>
  </rv>
  <rv s="9">
    <v>21</v>
    <v>CMG</v>
    <v>Daily</v>
    <v>42002</v>
    <v>42002</v>
    <v>0</v>
    <v>1</v>
    <v>635554080000000000,638808598080656303,0</v>
    <v>0</v>
    <v>a1pxbh</v>
    <v>XNYS:CMG</v>
    <v>4</v>
  </rv>
  <rv s="9">
    <v>21</v>
    <v>a1runm</v>
    <v>Daily</v>
    <v>43921</v>
    <v>43921</v>
    <v>0</v>
    <v>1</v>
    <v>637212096000000000,638807670176933540,0</v>
    <v>0</v>
    <v>a1runm</v>
    <v>XNYS:ELF</v>
    <v>5</v>
  </rv>
  <rv s="9">
    <v>21</v>
    <v>a1runm</v>
    <v>Daily</v>
    <v>43922</v>
    <v>43922</v>
    <v>0</v>
    <v>1</v>
    <v>637212960000000000,638807670187945840,0</v>
    <v>0</v>
    <v>a1runm</v>
    <v>XNYS:ELF</v>
    <v>6</v>
  </rv>
  <rv s="9">
    <v>21</v>
    <v>a1runm</v>
    <v>Daily</v>
    <v>45016</v>
    <v>45016</v>
    <v>0</v>
    <v>1</v>
    <v>638158176000000000,638807670176472644,0</v>
    <v>0</v>
    <v>a1runm</v>
    <v>XNYS:ELF</v>
    <v>7</v>
  </rv>
  <rv s="9">
    <v>21</v>
    <v>a1runm</v>
    <v>Daily</v>
    <v>44651</v>
    <v>44651</v>
    <v>0</v>
    <v>1</v>
    <v>637842816000000000,638804192996604906,0</v>
    <v>0</v>
    <v>a1runm</v>
    <v>XNYS:ELF</v>
    <v>8</v>
  </rv>
  <rv s="9">
    <v>21</v>
    <v>a1runm</v>
    <v>Daily</v>
    <v>44652</v>
    <v>44652</v>
    <v>0</v>
    <v>1</v>
    <v>637843680000000000,638804193021859690,0</v>
    <v>0</v>
    <v>a1runm</v>
    <v>XNYS:ELF</v>
    <v>9</v>
  </rv>
  <rv s="9">
    <v>21</v>
    <v>a1runm</v>
    <v>Daily</v>
    <v>44649</v>
    <v>44649</v>
    <v>0</v>
    <v>1</v>
    <v>637841088000000000,638807670176553457,0</v>
    <v>0</v>
    <v>a1runm</v>
    <v>XNYS:ELF</v>
    <v>10</v>
  </rv>
  <rv s="9">
    <v>21</v>
    <v>a1runm</v>
    <v>Daily</v>
    <v>43465</v>
    <v>43465</v>
    <v>0</v>
    <v>1</v>
    <v>636818112000000000,638804192996754284,0</v>
    <v>0</v>
    <v>a1runm</v>
    <v>XNYS:ELF</v>
    <v>11</v>
  </rv>
  <rv s="9">
    <v>21</v>
    <v>a1runm</v>
    <v>Daily</v>
    <v>43830</v>
    <v>43830</v>
    <v>0</v>
    <v>1</v>
    <v>637133472000000000,638804192996455563,0</v>
    <v>0</v>
    <v>a1runm</v>
    <v>XNYS:ELF</v>
    <v>12</v>
  </rv>
  <rv s="9">
    <v>21</v>
    <v>a1runm</v>
    <v>Daily</v>
    <v>44286</v>
    <v>44286</v>
    <v>0</v>
    <v>1</v>
    <v>637527456000000000,638804192996146930,0</v>
    <v>0</v>
    <v>a1runm</v>
    <v>XNYS:ELF</v>
    <v>13</v>
  </rv>
  <rv s="9">
    <v>21</v>
    <v>a1runm</v>
    <v>Daily</v>
    <v>44287</v>
    <v>44287</v>
    <v>0</v>
    <v>1</v>
    <v>637528320000000000,638804193021169021,0</v>
    <v>0</v>
    <v>a1runm</v>
    <v>XNYS:ELF</v>
    <v>14</v>
  </rv>
  <rv s="9">
    <v>21</v>
    <v>a1runm</v>
    <v>Daily</v>
    <v>44284</v>
    <v>44284</v>
    <v>0</v>
    <v>1</v>
    <v>637525728000000000,638804193025532638,0</v>
    <v>0</v>
    <v>a1runm</v>
    <v>XNYS:ELF</v>
    <v>15</v>
  </rv>
  <rv s="9">
    <v>21</v>
    <v>a1runm</v>
    <v>Daily</v>
    <v>45383</v>
    <v>45383</v>
    <v>0</v>
    <v>1</v>
    <v>638475264000000000,638804193020701092,0</v>
    <v>0</v>
    <v>a1runm</v>
    <v>XNYS:ELF</v>
    <v>16</v>
  </rv>
  <rv s="9">
    <v>21</v>
    <v>a1runm</v>
    <v>Daily</v>
    <v>45014</v>
    <v>45014</v>
    <v>0</v>
    <v>1</v>
    <v>638156448000000000,638807670197164924,0</v>
    <v>0</v>
    <v>a1runm</v>
    <v>XNYS:ELF</v>
    <v>17</v>
  </rv>
  <rv s="9">
    <v>21</v>
    <v>a1runm</v>
    <v>Daily</v>
    <v>42733</v>
    <v>42733</v>
    <v>0</v>
    <v>1</v>
    <v>636185664000000000,638804192975931782,0</v>
    <v>0</v>
    <v>a1runm</v>
    <v>XNYS:ELF</v>
    <v>18</v>
  </rv>
  <rv s="9">
    <v>21</v>
    <v>a1runm</v>
    <v>Daily</v>
    <v>43098</v>
    <v>43098</v>
    <v>0</v>
    <v>1</v>
    <v>636501024000000000,638804193026359009,0</v>
    <v>0</v>
    <v>a1runm</v>
    <v>XNYS:ELF</v>
    <v>19</v>
  </rv>
  <rv s="9">
    <v>21</v>
    <v>SSDOY</v>
    <v>Daily</v>
    <v>45659</v>
    <v>45659</v>
    <v>0</v>
    <v>1</v>
    <v>638713728000000000,638809457628222403,0</v>
    <v>0</v>
    <v>a2wz8m</v>
    <v>OTCM:SSDOY</v>
    <v>20</v>
  </rv>
  <rv s="9">
    <v>21</v>
    <v>SSDOY</v>
    <v>Daily</v>
    <v>45904</v>
    <v>45904</v>
    <v>0</v>
    <v>1</v>
    <v>638925408000000000,638950816661771777,0</v>
    <v>0</v>
    <v>a2wz8m</v>
    <v>OTCM:SSDOY</v>
    <v>21</v>
  </rv>
  <rv s="9">
    <v>21</v>
    <v>SSDOY</v>
    <v>Daily</v>
    <v>45932</v>
    <v>45932</v>
    <v>0</v>
    <v>1</v>
    <v>638949600000000000,638950816661972342,0</v>
    <v>0</v>
    <v>a2wz8m</v>
    <v>OTCM:SSDOY</v>
    <v>22</v>
  </rv>
  <rv s="9">
    <v>21</v>
    <v>ULTA</v>
    <v>Daily</v>
    <v>45659</v>
    <v>45659</v>
    <v>0</v>
    <v>1</v>
    <v>638713728000000000,638809457548654217,0</v>
    <v>0</v>
    <v>a24war</v>
    <v>XNAS:ULTA</v>
    <v>23</v>
  </rv>
  <rv s="9">
    <v>21</v>
    <v>ULTA</v>
    <v>Daily</v>
    <v>45932</v>
    <v>45932</v>
    <v>0</v>
    <v>1</v>
    <v>638949600000000000,638950816661955768,0</v>
    <v>0</v>
    <v>a24war</v>
    <v>XNAS:ULTA</v>
    <v>24</v>
  </rv>
  <rv s="9">
    <v>21</v>
    <v>ULTA</v>
    <v>Daily</v>
    <v>45904</v>
    <v>45904</v>
    <v>0</v>
    <v>1</v>
    <v>638925408000000000,638950816662022199,0</v>
    <v>0</v>
    <v>a24war</v>
    <v>XNAS:ULTA</v>
    <v>25</v>
  </rv>
  <rv s="9">
    <v>21</v>
    <v>ELF</v>
    <v>Daily</v>
    <v>45659</v>
    <v>45659</v>
    <v>0</v>
    <v>1</v>
    <v>638713728000000000,638781224420340535,0</v>
    <v>0</v>
    <v>a1runm</v>
    <v>XNYS:ELF</v>
    <v>26</v>
  </rv>
  <rv s="9">
    <v>21</v>
    <v>ELF</v>
    <v>Daily</v>
    <v>45904</v>
    <v>45904</v>
    <v>0</v>
    <v>1</v>
    <v>638925408000000000,638950816663511569,0</v>
    <v>0</v>
    <v>a1runm</v>
    <v>XNYS:ELF</v>
    <v>27</v>
  </rv>
  <rv s="9">
    <v>21</v>
    <v>ELF</v>
    <v>Daily</v>
    <v>45932</v>
    <v>45932</v>
    <v>0</v>
    <v>1</v>
    <v>638949600000000000,638950816664020988,0</v>
    <v>0</v>
    <v>a1runm</v>
    <v>XNYS:ELF</v>
    <v>28</v>
  </rv>
  <rv s="9">
    <v>21</v>
    <v>EL</v>
    <v>Daily</v>
    <v>45659</v>
    <v>45659</v>
    <v>0</v>
    <v>1</v>
    <v>638713728000000000,638809457421661572,0</v>
    <v>0</v>
    <v>a1ruc7</v>
    <v>XNYS:EL</v>
    <v>29</v>
  </rv>
  <rv s="9">
    <v>21</v>
    <v>EL</v>
    <v>Daily</v>
    <v>45932</v>
    <v>45932</v>
    <v>0</v>
    <v>1</v>
    <v>638949600000000000,638950816665047193,0</v>
    <v>0</v>
    <v>a1ruc7</v>
    <v>XNYS:EL</v>
    <v>30</v>
  </rv>
  <rv s="9">
    <v>21</v>
    <v>EL</v>
    <v>Daily</v>
    <v>45904</v>
    <v>45904</v>
    <v>0</v>
    <v>1</v>
    <v>638925408000000000,638950816666057414,0</v>
    <v>0</v>
    <v>a1ruc7</v>
    <v>XNYS:EL</v>
    <v>31</v>
  </rv>
  <rv s="9">
    <v>22</v>
    <v>OR</v>
    <v>Daily</v>
    <v>45659</v>
    <v>45659</v>
    <v>0</v>
    <v>1</v>
    <v>638713728000000000,638809457118988120,0</v>
    <v>0</v>
    <v>ae9qim</v>
    <v>XPAR:OR</v>
    <v>32</v>
  </rv>
  <rv s="9">
    <v>22</v>
    <v>OR</v>
    <v>Daily</v>
    <v>45904</v>
    <v>45904</v>
    <v>0</v>
    <v>1</v>
    <v>638925408000000000,638950816661866131,0</v>
    <v>0</v>
    <v>ae9qim</v>
    <v>XPAR:OR</v>
    <v>33</v>
  </rv>
  <rv s="9">
    <v>22</v>
    <v>OR</v>
    <v>Daily</v>
    <v>45932</v>
    <v>45932</v>
    <v>0</v>
    <v>1</v>
    <v>638949600000000000,638950816661887172,0</v>
    <v>0</v>
    <v>ae9qim</v>
    <v>XPAR:OR</v>
    <v>34</v>
  </rv>
  <rv s="9">
    <v>21</v>
    <v>COTY</v>
    <v>Daily</v>
    <v>45659</v>
    <v>45659</v>
    <v>0</v>
    <v>1</v>
    <v>638713728000000000,638809457506297754,0</v>
    <v>0</v>
    <v>a1q6sm</v>
    <v>XNYS:COTY</v>
    <v>35</v>
  </rv>
  <rv s="9">
    <v>21</v>
    <v>COTY</v>
    <v>Daily</v>
    <v>45932</v>
    <v>45932</v>
    <v>0</v>
    <v>1</v>
    <v>638949600000000000,638950816662992678,0</v>
    <v>0</v>
    <v>a1q6sm</v>
    <v>XNYS:COTY</v>
    <v>36</v>
  </rv>
  <rv s="9">
    <v>21</v>
    <v>COTY</v>
    <v>Daily</v>
    <v>45904</v>
    <v>45904</v>
    <v>0</v>
    <v>1</v>
    <v>638925408000000000,638950816666566037,0</v>
    <v>0</v>
    <v>a1q6sm</v>
    <v>XNYS:COTY</v>
    <v>37</v>
  </rv>
  <rv s="9">
    <v>23</v>
    <v>NTCO3Q</v>
    <v>Daily</v>
    <v>45659</v>
    <v>45659</v>
    <v>0</v>
    <v>1</v>
    <v>638713728000000000,638950884069752059,0</v>
    <v>0</v>
    <v>cbooyc</v>
    <v>BVMF:NTCO3Q</v>
    <v>38</v>
  </rv>
  <rv s="9">
    <v>23</v>
    <v>NTCO3Q</v>
    <v>Daily</v>
    <v>45932</v>
    <v>45932</v>
    <v>0</v>
    <v>1</v>
    <v>638949600000000000,638950884070132140,0</v>
    <v>0</v>
    <v>cbooyc</v>
    <v>BVMF:NTCO3Q</v>
    <v>38</v>
  </rv>
  <rv s="9">
    <v>23</v>
    <v>NTCO3Q</v>
    <v>Daily</v>
    <v>45904</v>
    <v>45904</v>
    <v>0</v>
    <v>1</v>
    <v>638925408000000000,638950884069879820,0</v>
    <v>0</v>
    <v>cbooyc</v>
    <v>BVMF:NTCO3Q</v>
    <v>38</v>
  </rv>
  <rv s="9">
    <v>24</v>
    <v>4911</v>
    <v>Daily</v>
    <v>45904</v>
    <v>45904</v>
    <v>0</v>
    <v>1</v>
    <v>638925408000000000,638950884069366757,0</v>
    <v>0</v>
    <v>cfxktc</v>
    <v>4911</v>
    <v>39</v>
  </rv>
</rvData>
</file>

<file path=xl/richData/rdrichvaluestructure.xml><?xml version="1.0" encoding="utf-8"?>
<rvStructures xmlns="http://schemas.microsoft.com/office/spreadsheetml/2017/richdata" count="10">
  <s t="_error">
    <k n="errorType" t="i"/>
    <k n="field" t="s"/>
    <k n="subType"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52 week high"/>
    <k n="52 week low"/>
    <k n="Beta"/>
    <k n="Currency" t="s"/>
    <k n="Description" t="s"/>
    <k n="Employees"/>
    <k n="Exchange" t="s"/>
    <k n="Exchange abbreviation" t="s"/>
    <k n="ExchangeID" t="s"/>
    <k n="Headquarters" t="s"/>
    <k n="Industry" t="s"/>
    <k n="Instrument type" t="s"/>
    <k n="LearnMoreOnLink" t="r"/>
    <k n="Name" t="s"/>
    <k n="Official name" t="s"/>
    <k n="Shares outstanding"/>
    <k n="Ticker symbol" t="s"/>
    <k n="UniqueName" t="s"/>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0">
      <v t="s">%EntityServiceId</v>
      <v t="s">_Format</v>
      <v t="s">%IsRefreshable</v>
      <v t="s">%EntityCulture</v>
      <v t="s">%EntityId</v>
      <v t="s">_Icon</v>
      <v t="s">_Display</v>
      <v t="s">Name</v>
      <v t="s">Exchange</v>
      <v t="s">Official name</v>
      <v t="s">Ticker symbol</v>
      <v t="s">Exchange abbreviation</v>
      <v t="s">Currency</v>
      <v t="s">52 week high</v>
      <v t="s">52 week low</v>
      <v t="s">Volume average</v>
      <v t="s">Beta</v>
      <v t="s">Shares outstanding</v>
      <v t="s">Description</v>
      <v t="s">Employees</v>
      <v t="s">Headquarters</v>
      <v t="s">Industry</v>
      <v t="s">Instrument type</v>
      <v t="s">Year incorporated</v>
      <v t="s">_Flags</v>
      <v t="s">UniqueName</v>
      <v t="s">_DisplayString</v>
      <v t="s">LearnMoreOnLink</v>
      <v t="s">ExchangeID</v>
      <v t="s">%ProviderInfo</v>
    </a>
  </spbArrays>
  <spbData count="25">
    <spb s="0">
      <v>0</v>
      <v>Name</v>
      <v>LearnMoreOnLink</v>
    </spb>
    <spb s="1">
      <v>0</v>
      <v>0</v>
      <v>0</v>
    </spb>
    <spb s="2">
      <v>1</v>
      <v>1</v>
      <v>1</v>
      <v>1</v>
    </spb>
    <spb s="3">
      <v>1</v>
      <v>2</v>
      <v>2</v>
      <v>1</v>
      <v>3</v>
      <v>1</v>
      <v>1</v>
      <v>1</v>
      <v>4</v>
      <v>4</v>
      <v>5</v>
      <v>6</v>
      <v>1</v>
      <v>1</v>
      <v>1</v>
      <v>4</v>
      <v>7</v>
      <v>8</v>
      <v>9</v>
      <v>4</v>
    </spb>
    <spb s="4">
      <v>Delayed 15 minutes</v>
      <v>from previous close</v>
      <v>from previous close</v>
      <v>Source: Nasdaq</v>
      <v>GMT</v>
    </spb>
    <spb s="3">
      <v>10</v>
      <v>2</v>
      <v>2</v>
      <v>10</v>
      <v>3</v>
      <v>10</v>
      <v>10</v>
      <v>10</v>
      <v>4</v>
      <v>4</v>
      <v>5</v>
      <v>11</v>
      <v>10</v>
      <v>10</v>
      <v>10</v>
      <v>4</v>
      <v>7</v>
      <v>8</v>
      <v>9</v>
      <v>4</v>
    </spb>
    <spb s="5">
      <v>Delayed 15 minutes</v>
      <v>from previous close</v>
      <v>from previous close</v>
      <v>GMT</v>
    </spb>
    <spb s="0">
      <v>1</v>
      <v>Name</v>
      <v>LearnMoreOnLink</v>
    </spb>
    <spb s="6">
      <v>1</v>
      <v>2</v>
      <v>1</v>
      <v>3</v>
      <v>1</v>
      <v>1</v>
      <v>1</v>
      <v>4</v>
      <v>4</v>
      <v>5</v>
      <v>6</v>
      <v>1</v>
      <v>1</v>
      <v>1</v>
      <v>4</v>
      <v>7</v>
      <v>8</v>
      <v>9</v>
      <v>4</v>
    </spb>
    <spb s="0">
      <v>2</v>
      <v>Name</v>
      <v>LearnMoreOnLink</v>
    </spb>
    <spb s="7">
      <v>10</v>
      <v>2</v>
      <v>10</v>
      <v>3</v>
      <v>10</v>
      <v>10</v>
      <v>10</v>
      <v>4</v>
      <v>4</v>
      <v>5</v>
      <v>6</v>
      <v>10</v>
      <v>4</v>
      <v>7</v>
      <v>8</v>
      <v>9</v>
      <v>4</v>
    </spb>
    <spb s="8">
      <v>3</v>
      <v>Name</v>
    </spb>
    <spb s="9">
      <v>1</v>
      <v>1</v>
      <v>1</v>
    </spb>
    <spb s="6">
      <v>12</v>
      <v>2</v>
      <v>12</v>
      <v>3</v>
      <v>12</v>
      <v>12</v>
      <v>12</v>
      <v>4</v>
      <v>4</v>
      <v>5</v>
      <v>13</v>
      <v>12</v>
      <v>12</v>
      <v>12</v>
      <v>4</v>
      <v>7</v>
      <v>8</v>
      <v>9</v>
      <v>4</v>
    </spb>
    <spb s="5">
      <v>Delayed 30 minutes</v>
      <v>from previous close</v>
      <v>from previous close</v>
      <v>GMT</v>
    </spb>
    <spb s="8">
      <v>4</v>
      <v>Name</v>
    </spb>
    <spb s="10">
      <v>1</v>
      <v>1</v>
    </spb>
    <spb s="11">
      <v>1</v>
      <v>1</v>
      <v>3</v>
      <v>1</v>
      <v>1</v>
      <v>1</v>
      <v>5</v>
      <v>1</v>
      <v>1</v>
      <v>1</v>
      <v>7</v>
      <v>9</v>
    </spb>
    <spb s="12">
      <v>GMT</v>
    </spb>
    <spb s="0">
      <v>5</v>
      <v>Name</v>
      <v>LearnMoreOnLink</v>
    </spb>
    <spb s="13">
      <v>2</v>
      <v>3</v>
      <v>4</v>
      <v>1</v>
      <v>1</v>
      <v>4</v>
      <v>8</v>
      <v>9</v>
      <v>4</v>
    </spb>
    <spb s="14">
      <v>14</v>
      <v>1</v>
    </spb>
    <spb s="14">
      <v>14</v>
      <v>10</v>
    </spb>
    <spb s="14">
      <v>14</v>
      <v>12</v>
    </spb>
    <spb s="14">
      <v>14</v>
      <v>15</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
    <k n="^Order" t="spba"/>
    <k n="TitleProperty" t="s"/>
  </s>
  <s>
    <k n="ExchangeID" t="spb"/>
    <k n="UniqueName" t="spb"/>
    <k n="`%ProviderInfo" t="spb"/>
  </s>
  <s>
    <k n="UniqueName" t="spb"/>
    <k n="`%ProviderInfo" t="spb"/>
  </s>
  <s>
    <k n="Low" t="i"/>
    <k n="High" t="i"/>
    <k n="Name" t="i"/>
    <k n="Open" t="i"/>
    <k n="Price" t="i"/>
    <k n="Change" t="i"/>
    <k n="Change (%)" t="i"/>
    <k n="52 week low" t="i"/>
    <k n="52 week high" t="i"/>
    <k n="Previous close" t="i"/>
    <k n="Last trade time" t="i"/>
    <k n="`%EntityServiceId" t="i"/>
  </s>
  <s>
    <k n="Last trade time" t="s"/>
  </s>
  <s>
    <k n="Beta" t="i"/>
    <k n="Name" t="i"/>
    <k n="Employees" t="i"/>
    <k n="52 week low" t="i"/>
    <k n="52 week high" t="i"/>
    <k n="Volume average" t="i"/>
    <k n="Year incorporated" t="i"/>
    <k n="`%EntityServiceId" t="i"/>
    <k n="Shares outstanding"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m/d/yyyy"/>
    </x:dxf>
    <x:dxf>
      <x:numFmt numFmtId="2" formatCode="0.00"/>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0">
      <rpv i="0">_([$$-en-US]* #,##0.00_);_([$$-en-US]* (#,##0.00);_([$$-en-US]* "-"??_);_(@_)</rpv>
    </rSty>
    <rSty dxfid="6">
      <rpv i="0">#,##0.00</rpv>
    </rSty>
    <rSty>
      <rpv i="1">1</rpv>
    </rSty>
    <rSty dxfid="5">
      <rpv i="0">#,##0</rpv>
    </rSty>
    <rSty dxfid="4"/>
    <rSty dxfid="0">
      <rpv i="0">_([$$-en-US]* #,##0_);_([$$-en-US]* (#,##0);_([$$-en-US]* "-"_);_(@_)</rpv>
    </rSty>
    <rSty dxfid="3"/>
    <rSty dxfid="7">
      <rpv i="0">0</rpv>
    </rSty>
    <rSty dxfid="2">
      <rpv i="0">0.00</rpv>
    </rSty>
    <rSty dxfid="0">
      <rpv i="0">_([$€-x-euro2] * #,##0.00_);_([$€-x-euro2] * (#,##0.00);_([$€-x-euro2] * "-"??_);_(@_)</rpv>
    </rSty>
    <rSty dxfid="0">
      <rpv i="0">_([$€-x-euro2] * #,##0_);_([$€-x-euro2] * (#,##0);_([$€-x-euro2] * "-"_);_(@_)</rpv>
    </rSty>
    <rSty dxfid="0">
      <rpv i="0">_-[$R$-pt-BR] * #,##0.00_-;-[$R$-pt-BR] * #,##0.00_-;_-[$R$-pt-BR] * "-"??_-;_-@_-</rpv>
    </rSty>
    <rSty dxfid="0">
      <rpv i="0">_-[$R$-pt-BR] * #,##0_-;-[$R$-pt-BR] * #,##0_-;_-[$R$-pt-BR] * "-"_-;_-@_-</rpv>
    </rSty>
    <rSty dxfid="1"/>
    <rSty dxfid="0">
      <rpv i="0">_-[$$-es-AR] * #,##0.00_-;-[$$-es-AR] * #,##0.00_-;_-[$$-es-AR] * "-"??_-;_-@_-</rpv>
    </rSty>
  </richStyles>
</richStyleShee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36" dT="2025-04-16T14:58:25.80" personId="{738BC6A3-6E31-8846-82DF-B0290507C6ED}" id="{D7EECACE-ADB5-4C07-880B-5A112B571DA9}">
    <text>There are inconsistent values: it seems that scope 1 and 2 have a reduction of approximately 9% (from FY 2022 to FY 2023) by the inputs found in the impact reports. However, it was reported there was a reduction of 94%.</text>
  </threadedComment>
  <threadedComment ref="H42" dT="2025-04-12T10:08:23.37" personId="{738BC6A3-6E31-8846-82DF-B0290507C6ED}" id="{4B45E022-6555-D646-95BA-9D7611FD510A}">
    <text>Source: beautypackaging</text>
  </threadedComment>
  <threadedComment ref="O49" dT="2025-04-12T17:33:42.11" personId="{738BC6A3-6E31-8846-82DF-B0290507C6ED}" id="{0DCC861D-C8C0-6A49-8E81-901021EF7FC0}">
    <text>Source: glassdoor</text>
  </threadedComment>
  <threadedComment ref="H55" dT="2025-04-13T08:32:44.25" personId="{738BC6A3-6E31-8846-82DF-B0290507C6ED}" id="{F4C35B29-1860-164F-8C5C-CB764A4E93CD}">
    <text>Didn’t find specific targets</text>
  </threadedComment>
  <threadedComment ref="K57" dT="2025-04-13T12:47:50.38" personId="{738BC6A3-6E31-8846-82DF-B0290507C6ED}" id="{C1400E50-E0A3-F047-86DE-E3890B7B9B91}">
    <text>In 2019, e.l.f. beauty inc. was fined for violating sanctions against North Korea, by using its labor through Chinese suppliers.</text>
  </threadedComment>
  <threadedComment ref="O59" dT="2025-04-12T10:03:59.58" personId="{738BC6A3-6E31-8846-82DF-B0290507C6ED}" id="{B303D0E3-16B5-2E43-8B18-F99D8D17AE7F}">
    <text>Source: beautypackaging</text>
  </threadedComment>
  <threadedComment ref="K61" dT="2025-04-13T20:48:31.45" personId="{738BC6A3-6E31-8846-82DF-B0290507C6ED}" id="{3AFCCE97-A530-584E-934E-C6E18481E9A3}">
    <text>Source: official SEC filing, 2024 proxy statement</text>
  </threadedComment>
  <threadedComment ref="H63" dT="2025-04-13T13:09:45.29" personId="{738BC6A3-6E31-8846-82DF-B0290507C6ED}" id="{FCFD1CD3-A114-484B-8748-A0C7DFA06D85}">
    <text>“Mica is a naturally occurring mineral used to provide opacity and pearlescent appearance” in their products. - 2024 impact report</text>
  </threadedComment>
  <threadedComment ref="O69" dT="2025-04-13T21:30:47.12" personId="{738BC6A3-6E31-8846-82DF-B0290507C6ED}" id="{E33829B0-71C1-084D-82B1-9BF4EE41D08C}">
    <text>Source: top class actions</text>
  </threadedComment>
  <threadedComment ref="O80" dT="2025-04-14T13:08:33.54" personId="{738BC6A3-6E31-8846-82DF-B0290507C6ED}" id="{8B731E24-AF61-4F4D-B1E6-EC41CC63E1A4}">
    <text>Source: Street Insider</text>
  </threadedComment>
  <threadedComment ref="H84" dT="2025-04-14T14:17:01.01" personId="{738BC6A3-6E31-8846-82DF-B0290507C6ED}" id="{3388313D-577A-5846-BD2E-7360BA41E6C1}">
    <text>I couldn’t find any specific targets related to this topic</text>
  </threadedComment>
  <threadedComment ref="E92" dT="2025-04-16T14:57:07.46" personId="{738BC6A3-6E31-8846-82DF-B0290507C6ED}" id="{8C3E7A14-83E7-4597-AD01-26920EE51D77}">
    <text>I could not find any bonuses to employees and mangers for esg-compensation related</text>
  </threadedComment>
</ThreadedComments>
</file>

<file path=xl/threadedComments/threadedComment2.xml><?xml version="1.0" encoding="utf-8"?>
<ThreadedComments xmlns="http://schemas.microsoft.com/office/spreadsheetml/2018/threadedcomments" xmlns:x="http://schemas.openxmlformats.org/spreadsheetml/2006/main">
  <threadedComment ref="Q6" dT="2025-04-13T16:40:54.74" personId="{738BC6A3-6E31-8846-82DF-B0290507C6ED}" id="{D5951190-896D-CE4C-BB93-1B8CE513EDF2}">
    <text>Source : https://www.elfbeauty.com/pdfs/e-l-f-beauty-climate-change-and-emissions-policy-sept-2024-vdraft.pdf</text>
    <extLst>
      <x:ext xmlns:xltc2="http://schemas.microsoft.com/office/spreadsheetml/2020/threadedcomments2" uri="{F7C98A9C-CBB3-438F-8F68-D28B6AF4A901}">
        <xltc2:checksum>2405744293</xltc2:checksum>
        <xltc2:hyperlink startIndex="9" length="100" url="https://www.elfbeauty.com/pdfs/e-l-f-beauty-climate-change-and-emissions-policy-sept-2024-vdraft.pdf"/>
      </x:ext>
    </extLst>
  </threadedComment>
  <threadedComment ref="B35" dT="2025-04-13T17:44:44.89" personId="{738BC6A3-6E31-8846-82DF-B0290507C6ED}" id="{FC9F2173-54E2-B742-A70F-951B9D4AB6CD}">
    <text>In the report, there is only available the total energy consumption, in kwh</text>
  </threadedComment>
  <threadedComment ref="B37" dT="2025-04-16T15:01:33.57" personId="{738BC6A3-6E31-8846-82DF-B0290507C6ED}" id="{B3DFF976-F9D3-49BC-B60E-09297130ABF0}">
    <text>I converted the values reported in gigajoules to kwh</text>
  </threadedComment>
  <threadedComment ref="N63" dT="2025-04-13T17:52:33.74" personId="{738BC6A3-6E31-8846-82DF-B0290507C6ED}" id="{6BB4F896-D12D-AB42-937B-4E5E2B7879C6}">
    <text>In tons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l61121@aln.iseg.ulisboa.pt" TargetMode="External"/><Relationship Id="rId2" Type="http://schemas.openxmlformats.org/officeDocument/2006/relationships/hyperlink" Target="mailto:l61474@aln.iseg.ulisboa.pt" TargetMode="External"/><Relationship Id="rId1" Type="http://schemas.openxmlformats.org/officeDocument/2006/relationships/hyperlink" Target="mailto:l61728@aln.iseg.ulisboa.pt"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l63852@aln.iseg.ulisboa.p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statista.com/outlook/cmo/beauty-personal-care/personal-care/worldwide?currency=USD" TargetMode="External"/><Relationship Id="rId2" Type="http://schemas.openxmlformats.org/officeDocument/2006/relationships/hyperlink" Target="https://www.statista.com/outlook/cmo/beauty-personal-care/skin-care/worldwide" TargetMode="External"/><Relationship Id="rId1" Type="http://schemas.openxmlformats.org/officeDocument/2006/relationships/hyperlink" Target="https://www.grandviewresearch.com/industry-analysis/color-cosmetics-market"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elfbeauty.com/pdfs/e-l-f-beauty-climate-change-and-emissions-policy-sept-2024-vdraft.pdf" TargetMode="Externa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fortunebusinessinsights.com/u-s-cosmetics-market-108012" TargetMode="External"/><Relationship Id="rId7" Type="http://schemas.openxmlformats.org/officeDocument/2006/relationships/comments" Target="../comments4.xml"/><Relationship Id="rId2" Type="http://schemas.openxmlformats.org/officeDocument/2006/relationships/hyperlink" Target="https://www.statista.com/outlook/emo/beauty-personal-care/worldwide" TargetMode="External"/><Relationship Id="rId1" Type="http://schemas.openxmlformats.org/officeDocument/2006/relationships/hyperlink" Target="https://www.fortunebusinessinsights.com/cosmetics-market-102614" TargetMode="External"/><Relationship Id="rId6" Type="http://schemas.openxmlformats.org/officeDocument/2006/relationships/vmlDrawing" Target="../drawings/vmlDrawing4.vml"/><Relationship Id="rId5" Type="http://schemas.openxmlformats.org/officeDocument/2006/relationships/printerSettings" Target="../printerSettings/printerSettings7.bin"/><Relationship Id="rId4" Type="http://schemas.openxmlformats.org/officeDocument/2006/relationships/hyperlink" Target="https://www.statista.com/outlook/emo/beauty-personal-care/united-states"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fortunebusinessinsights.com/u-s-cosmetics-market-108012" TargetMode="External"/><Relationship Id="rId7" Type="http://schemas.openxmlformats.org/officeDocument/2006/relationships/comments" Target="../comments5.xml"/><Relationship Id="rId2" Type="http://schemas.openxmlformats.org/officeDocument/2006/relationships/hyperlink" Target="https://www.statista.com/outlook/emo/beauty-personal-care/worldwide" TargetMode="External"/><Relationship Id="rId1" Type="http://schemas.openxmlformats.org/officeDocument/2006/relationships/hyperlink" Target="https://www.fortunebusinessinsights.com/cosmetics-market-102614" TargetMode="External"/><Relationship Id="rId6" Type="http://schemas.openxmlformats.org/officeDocument/2006/relationships/vmlDrawing" Target="../drawings/vmlDrawing5.vml"/><Relationship Id="rId5" Type="http://schemas.openxmlformats.org/officeDocument/2006/relationships/printerSettings" Target="../printerSettings/printerSettings8.bin"/><Relationship Id="rId4" Type="http://schemas.openxmlformats.org/officeDocument/2006/relationships/hyperlink" Target="https://www.statista.com/outlook/emo/beauty-personal-care/united-states" TargetMode="External"/></Relationships>
</file>

<file path=xl/worksheets/_rels/sheet11.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www.fortunebusinessinsights.com/u-s-cosmetics-market-108012" TargetMode="External"/><Relationship Id="rId7" Type="http://schemas.openxmlformats.org/officeDocument/2006/relationships/vmlDrawing" Target="../drawings/vmlDrawing6.vml"/><Relationship Id="rId2" Type="http://schemas.openxmlformats.org/officeDocument/2006/relationships/hyperlink" Target="https://www.statista.com/outlook/emo/beauty-personal-care/worldwide" TargetMode="External"/><Relationship Id="rId1" Type="http://schemas.openxmlformats.org/officeDocument/2006/relationships/hyperlink" Target="https://www.fortunebusinessinsights.com/cosmetics-market-102614" TargetMode="External"/><Relationship Id="rId6" Type="http://schemas.openxmlformats.org/officeDocument/2006/relationships/drawing" Target="../drawings/drawing7.xml"/><Relationship Id="rId5" Type="http://schemas.openxmlformats.org/officeDocument/2006/relationships/printerSettings" Target="../printerSettings/printerSettings9.bin"/><Relationship Id="rId4" Type="http://schemas.openxmlformats.org/officeDocument/2006/relationships/hyperlink" Target="https://www.statista.com/outlook/emo/beauty-personal-care/united-states"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314"/>
  </sheetPr>
  <dimension ref="A1:AI1048576"/>
  <sheetViews>
    <sheetView showGridLines="0" topLeftCell="Q5" zoomScale="71" zoomScaleNormal="115" workbookViewId="0">
      <selection activeCell="V11" sqref="V11"/>
    </sheetView>
  </sheetViews>
  <sheetFormatPr defaultColWidth="15.625" defaultRowHeight="14.1"/>
  <cols>
    <col min="1" max="1" width="11.625" style="532" customWidth="1"/>
    <col min="2" max="2" width="0.625" style="530" customWidth="1"/>
    <col min="3" max="3" width="2.5" style="528" customWidth="1"/>
    <col min="4" max="4" width="11.875" style="528" customWidth="1"/>
    <col min="5" max="5" width="14.625" style="528" customWidth="1"/>
    <col min="6" max="9" width="12.625" style="528" customWidth="1"/>
    <col min="10" max="10" width="4" style="528" customWidth="1"/>
    <col min="11" max="12" width="12.625" style="528" customWidth="1"/>
    <col min="13" max="13" width="3.625" style="528" customWidth="1"/>
    <col min="14" max="18" width="12.625" style="528" customWidth="1"/>
    <col min="19" max="19" width="3.875" style="581" customWidth="1"/>
    <col min="20" max="20" width="4" style="528" customWidth="1"/>
    <col min="21" max="21" width="32.375" style="528" customWidth="1"/>
    <col min="22" max="22" width="9.875" style="528" customWidth="1"/>
    <col min="23" max="16384" width="15.625" style="528"/>
  </cols>
  <sheetData>
    <row r="1" spans="1:22" ht="24.75" customHeight="1">
      <c r="A1" s="655"/>
      <c r="B1" s="656"/>
      <c r="C1" s="440"/>
      <c r="D1" s="440"/>
      <c r="E1" s="440"/>
      <c r="F1" s="440"/>
      <c r="G1" s="440"/>
      <c r="H1" s="440"/>
      <c r="I1" s="440"/>
      <c r="J1" s="440"/>
      <c r="K1" s="440"/>
      <c r="L1" s="440"/>
      <c r="M1" s="440"/>
      <c r="N1" s="440"/>
      <c r="O1" s="440"/>
      <c r="P1" s="440"/>
      <c r="Q1" s="440"/>
      <c r="R1" s="440"/>
      <c r="S1" s="440"/>
      <c r="T1" s="440"/>
      <c r="U1" s="440"/>
      <c r="V1" s="440"/>
    </row>
    <row r="2" spans="1:22" ht="24" customHeight="1">
      <c r="A2" s="655"/>
      <c r="B2" s="656"/>
      <c r="C2" s="440"/>
      <c r="D2" s="440"/>
      <c r="E2" s="685" t="s">
        <v>0</v>
      </c>
      <c r="F2" s="440"/>
      <c r="G2" s="440"/>
      <c r="H2" s="440"/>
      <c r="I2" s="440"/>
      <c r="J2" s="440"/>
      <c r="K2" s="440"/>
      <c r="L2" s="440"/>
      <c r="M2" s="440"/>
      <c r="N2" s="440"/>
      <c r="O2" s="440"/>
      <c r="P2" s="440"/>
      <c r="Q2" s="440"/>
      <c r="R2" s="440"/>
      <c r="S2" s="440"/>
      <c r="T2" s="440"/>
      <c r="U2" s="601" t="s">
        <v>1</v>
      </c>
      <c r="V2" s="440"/>
    </row>
    <row r="3" spans="1:22">
      <c r="A3" s="655"/>
      <c r="B3" s="656"/>
      <c r="C3" s="440"/>
      <c r="D3" s="440"/>
      <c r="E3" s="440"/>
      <c r="F3" s="440"/>
      <c r="G3" s="440"/>
      <c r="H3" s="440"/>
      <c r="I3" s="440"/>
      <c r="J3" s="440"/>
      <c r="K3" s="440"/>
      <c r="L3" s="440"/>
      <c r="M3" s="440"/>
      <c r="N3" s="440"/>
      <c r="O3" s="440"/>
      <c r="P3" s="440"/>
      <c r="Q3" s="440"/>
      <c r="R3" s="440"/>
      <c r="S3" s="440"/>
      <c r="T3" s="440"/>
      <c r="U3" s="587" t="s">
        <v>2</v>
      </c>
      <c r="V3" s="440"/>
    </row>
    <row r="4" spans="1:22">
      <c r="A4" s="655"/>
      <c r="B4" s="656"/>
      <c r="C4" s="440"/>
      <c r="D4" s="440"/>
      <c r="E4" s="440"/>
      <c r="F4" s="440"/>
      <c r="G4" s="440"/>
      <c r="H4" s="440"/>
      <c r="I4" s="440"/>
      <c r="J4" s="440"/>
      <c r="K4" s="440"/>
      <c r="L4" s="440"/>
      <c r="M4" s="440"/>
      <c r="N4" s="440"/>
      <c r="O4" s="440"/>
      <c r="P4" s="440"/>
      <c r="Q4" s="440"/>
      <c r="R4" s="440"/>
      <c r="S4" s="440"/>
      <c r="T4" s="440"/>
      <c r="U4" s="587"/>
      <c r="V4" s="440"/>
    </row>
    <row r="5" spans="1:22">
      <c r="A5" s="655"/>
      <c r="B5" s="656"/>
      <c r="C5" s="440"/>
      <c r="D5" s="440"/>
      <c r="E5" s="440"/>
      <c r="F5" s="440"/>
      <c r="G5" s="440"/>
      <c r="H5" s="440"/>
      <c r="I5"/>
      <c r="J5" s="440"/>
      <c r="K5" s="440"/>
      <c r="L5" s="440"/>
      <c r="M5" s="440"/>
      <c r="N5" s="440"/>
      <c r="O5" s="440"/>
      <c r="P5" s="440"/>
      <c r="Q5" s="440"/>
      <c r="R5" s="440"/>
      <c r="S5" s="440"/>
      <c r="T5" s="440"/>
      <c r="U5" s="440"/>
      <c r="V5" s="440"/>
    </row>
    <row r="6" spans="1:22" s="529" customFormat="1" ht="15.95" customHeight="1">
      <c r="A6" s="533"/>
      <c r="B6" s="534"/>
      <c r="D6" s="536" t="str" cm="1">
        <f t="array" aca="1" ref="D6" ca="1">+_FV(DCF!R4,"Name")</f>
        <v>E.L.F. BEAUTY, INC.</v>
      </c>
      <c r="S6" s="657"/>
      <c r="U6" s="586" t="s">
        <v>3</v>
      </c>
    </row>
    <row r="7" spans="1:22" ht="3.75" customHeight="1">
      <c r="A7" s="655"/>
      <c r="B7" s="656"/>
      <c r="C7" s="440"/>
      <c r="D7" s="440"/>
      <c r="E7" s="440"/>
      <c r="F7" s="440"/>
      <c r="G7" s="440"/>
      <c r="H7" s="440"/>
      <c r="I7" s="440"/>
      <c r="J7" s="440"/>
      <c r="K7" s="440"/>
      <c r="L7" s="440"/>
      <c r="M7" s="440"/>
      <c r="N7" s="440"/>
      <c r="O7" s="440"/>
      <c r="P7" s="440"/>
      <c r="Q7" s="440"/>
      <c r="R7" s="440"/>
      <c r="S7" s="657"/>
      <c r="T7" s="440"/>
      <c r="U7" s="529"/>
      <c r="V7" s="440"/>
    </row>
    <row r="8" spans="1:22" ht="14.25" customHeight="1">
      <c r="A8" s="655"/>
      <c r="B8" s="656"/>
      <c r="C8" s="440"/>
      <c r="D8" s="1012" t="s">
        <v>4</v>
      </c>
      <c r="E8" s="1012"/>
      <c r="F8" s="1012"/>
      <c r="G8" s="1012"/>
      <c r="H8" s="1012"/>
      <c r="I8" s="1012"/>
      <c r="J8" s="1012"/>
      <c r="K8" s="1012"/>
      <c r="L8" s="1012"/>
      <c r="M8" s="1012"/>
      <c r="N8" s="1012"/>
      <c r="O8" s="1012"/>
      <c r="P8" s="1012"/>
      <c r="Q8" s="1012"/>
      <c r="R8" s="1012"/>
      <c r="S8" s="658"/>
      <c r="T8" s="440"/>
      <c r="U8" s="659" t="s">
        <v>5</v>
      </c>
      <c r="V8" s="440"/>
    </row>
    <row r="9" spans="1:22" ht="14.25" customHeight="1">
      <c r="A9" s="655"/>
      <c r="B9" s="656"/>
      <c r="C9" s="440"/>
      <c r="D9" s="1012"/>
      <c r="E9" s="1012"/>
      <c r="F9" s="1012"/>
      <c r="G9" s="1012"/>
      <c r="H9" s="1012"/>
      <c r="I9" s="1012"/>
      <c r="J9" s="1012"/>
      <c r="K9" s="1012"/>
      <c r="L9" s="1012"/>
      <c r="M9" s="1012"/>
      <c r="N9" s="1012"/>
      <c r="O9" s="1012"/>
      <c r="P9" s="1012"/>
      <c r="Q9" s="1012"/>
      <c r="R9" s="1012"/>
      <c r="S9" s="658"/>
      <c r="T9" s="440"/>
      <c r="U9" s="535" t="str" cm="1">
        <f t="array" aca="1" ref="U9" ca="1">+"Price (19 April 25): $"&amp;_FV(DCF!$R$4,"Price")</f>
        <v>Price (19 April 25): $135.91</v>
      </c>
      <c r="V9" s="440"/>
    </row>
    <row r="10" spans="1:22" ht="20.100000000000001" customHeight="1">
      <c r="A10" s="655"/>
      <c r="B10" s="656"/>
      <c r="C10" s="440"/>
      <c r="D10" s="536" t="s">
        <v>6</v>
      </c>
      <c r="E10" s="660"/>
      <c r="F10" s="660"/>
      <c r="G10" s="660"/>
      <c r="H10" s="660"/>
      <c r="I10" s="660"/>
      <c r="J10" s="660"/>
      <c r="K10" s="660"/>
      <c r="L10" s="660"/>
      <c r="M10" s="660"/>
      <c r="N10" s="660"/>
      <c r="O10" s="660"/>
      <c r="P10" s="660"/>
      <c r="Q10" s="660"/>
      <c r="R10" s="660"/>
      <c r="S10" s="661"/>
      <c r="T10" s="440"/>
      <c r="U10" s="1" t="str">
        <f ca="1">"Price Target: $" &amp; ROUND(IF(Summary!G25="FCFF",DCF!Q226,IF(Summary!G25="FCFE",DCF!Q269,IF(Summary!G25="Tax Shield",DCF!Q242,DCF!Q285))),2) &amp;" "&amp;IF(Summary!G25="FCFF","(FCFF)",IF(Summary!G25="FCFE","(FCFE)",IF(Summary!G25="Tax Shield","(APV)","(DDM)")))</f>
        <v>Price Target: $107.57 (FCFF)</v>
      </c>
      <c r="V10" s="440"/>
    </row>
    <row r="11" spans="1:22" ht="14.25" customHeight="1">
      <c r="A11" s="655"/>
      <c r="B11" s="656"/>
      <c r="C11" s="440"/>
      <c r="D11" s="1013" t="s">
        <v>7</v>
      </c>
      <c r="E11" s="1012"/>
      <c r="F11" s="1012"/>
      <c r="G11" s="1012"/>
      <c r="H11" s="1012"/>
      <c r="I11" s="1012"/>
      <c r="J11" s="1012"/>
      <c r="K11" s="1012"/>
      <c r="L11" s="1012"/>
      <c r="M11" s="1012"/>
      <c r="N11" s="1012"/>
      <c r="O11" s="1012"/>
      <c r="P11" s="1012"/>
      <c r="Q11" s="1012"/>
      <c r="R11" s="1012"/>
      <c r="S11" s="658"/>
      <c r="T11" s="440"/>
      <c r="U11" s="535" t="str">
        <f ca="1">+"Upside (Downside): "&amp;ROUND((DCF!$Q$229*100),2)&amp;"%"</f>
        <v>Upside (Downside): -20.85%</v>
      </c>
      <c r="V11" s="440"/>
    </row>
    <row r="12" spans="1:22" ht="3.75" customHeight="1">
      <c r="A12" s="655"/>
      <c r="B12" s="656"/>
      <c r="C12" s="440"/>
      <c r="D12" s="1012"/>
      <c r="E12" s="1012"/>
      <c r="F12" s="1012"/>
      <c r="G12" s="1012"/>
      <c r="H12" s="1012"/>
      <c r="I12" s="1012"/>
      <c r="J12" s="1012"/>
      <c r="K12" s="1012"/>
      <c r="L12" s="1012"/>
      <c r="M12" s="1012"/>
      <c r="N12" s="1012"/>
      <c r="O12" s="1012"/>
      <c r="P12" s="1012"/>
      <c r="Q12" s="1012"/>
      <c r="R12" s="1012"/>
      <c r="S12" s="658"/>
      <c r="T12" s="440"/>
      <c r="U12" s="440"/>
      <c r="V12" s="440"/>
    </row>
    <row r="13" spans="1:22" ht="17.25" customHeight="1">
      <c r="A13" s="655"/>
      <c r="B13" s="656"/>
      <c r="C13" s="440"/>
      <c r="D13" s="1012"/>
      <c r="E13" s="1012"/>
      <c r="F13" s="1012"/>
      <c r="G13" s="1012"/>
      <c r="H13" s="1012"/>
      <c r="I13" s="1012"/>
      <c r="J13" s="1012"/>
      <c r="K13" s="1012"/>
      <c r="L13" s="1012"/>
      <c r="M13" s="1012"/>
      <c r="N13" s="1012"/>
      <c r="O13" s="1012"/>
      <c r="P13" s="1012"/>
      <c r="Q13" s="1012"/>
      <c r="R13" s="1012"/>
      <c r="S13" s="658"/>
      <c r="T13" s="440"/>
      <c r="U13" s="440"/>
      <c r="V13" s="440"/>
    </row>
    <row r="14" spans="1:22" ht="15" customHeight="1">
      <c r="A14" s="655"/>
      <c r="B14" s="656"/>
      <c r="C14" s="440"/>
      <c r="D14" s="1012"/>
      <c r="E14" s="1012"/>
      <c r="F14" s="1012"/>
      <c r="G14" s="1012"/>
      <c r="H14" s="1012"/>
      <c r="I14" s="1012"/>
      <c r="J14" s="1012"/>
      <c r="K14" s="1012"/>
      <c r="L14" s="1012"/>
      <c r="M14" s="1012"/>
      <c r="N14" s="1012"/>
      <c r="O14" s="1012"/>
      <c r="P14" s="1012"/>
      <c r="Q14" s="1012"/>
      <c r="R14" s="1012"/>
      <c r="S14" s="658"/>
      <c r="T14" s="440"/>
      <c r="U14" s="662" t="str">
        <f>+Industry!E28&amp;", "&amp;ESG!C9</f>
        <v>United States, Consumer Staples</v>
      </c>
      <c r="V14" s="656"/>
    </row>
    <row r="15" spans="1:22" ht="15" customHeight="1">
      <c r="A15" s="655"/>
      <c r="B15" s="656"/>
      <c r="C15" s="440"/>
      <c r="D15" s="1012"/>
      <c r="E15" s="1012"/>
      <c r="F15" s="1012"/>
      <c r="G15" s="1012"/>
      <c r="H15" s="1012"/>
      <c r="I15" s="1012"/>
      <c r="J15" s="1012"/>
      <c r="K15" s="1012"/>
      <c r="L15" s="1012"/>
      <c r="M15" s="1012"/>
      <c r="N15" s="1012"/>
      <c r="O15" s="1012"/>
      <c r="P15" s="1012"/>
      <c r="Q15" s="1012"/>
      <c r="R15" s="1012"/>
      <c r="S15" s="658"/>
      <c r="T15" s="440"/>
      <c r="U15" s="662" t="str">
        <f>+ESG!C10</f>
        <v>Personal Care Products</v>
      </c>
      <c r="V15" s="656"/>
    </row>
    <row r="16" spans="1:22" ht="3.75" customHeight="1">
      <c r="A16" s="655"/>
      <c r="B16" s="656"/>
      <c r="C16" s="440"/>
      <c r="D16" s="440"/>
      <c r="E16" s="1"/>
      <c r="F16" s="440"/>
      <c r="G16" s="440"/>
      <c r="H16" s="440"/>
      <c r="I16" s="440"/>
      <c r="J16" s="440"/>
      <c r="K16" s="440"/>
      <c r="L16" s="440"/>
      <c r="M16" s="440"/>
      <c r="N16" s="440"/>
      <c r="O16" s="440"/>
      <c r="P16" s="440"/>
      <c r="Q16" s="440"/>
      <c r="R16" s="440"/>
      <c r="S16" s="657"/>
      <c r="T16" s="440"/>
      <c r="U16" s="663"/>
      <c r="V16" s="440"/>
    </row>
    <row r="17" spans="4:22" ht="14.25" customHeight="1">
      <c r="D17" s="2" t="s">
        <v>8</v>
      </c>
      <c r="E17" s="3"/>
      <c r="F17" s="4">
        <v>2023</v>
      </c>
      <c r="G17" s="9">
        <f>+F17+1</f>
        <v>2024</v>
      </c>
      <c r="H17" s="5">
        <f>+G17+1</f>
        <v>2025</v>
      </c>
      <c r="I17" s="5">
        <f>+H17+1</f>
        <v>2026</v>
      </c>
      <c r="J17" s="440"/>
      <c r="K17" s="7" t="s">
        <v>9</v>
      </c>
      <c r="L17" s="4"/>
      <c r="M17" s="4"/>
      <c r="N17" s="4">
        <v>2022</v>
      </c>
      <c r="O17" s="4">
        <f>+N17+1</f>
        <v>2023</v>
      </c>
      <c r="P17" s="353">
        <f>+O17+1</f>
        <v>2024</v>
      </c>
      <c r="Q17" s="5">
        <f>+P17+1</f>
        <v>2025</v>
      </c>
      <c r="R17" s="5">
        <f>+Q17+1</f>
        <v>2026</v>
      </c>
      <c r="S17" s="582"/>
      <c r="T17" s="440"/>
      <c r="U17" s="664" t="s">
        <v>10</v>
      </c>
      <c r="V17" s="440"/>
    </row>
    <row r="18" spans="4:22" ht="15.6">
      <c r="D18" s="1023" t="s">
        <v>11</v>
      </c>
      <c r="E18" s="1023"/>
      <c r="F18" s="815">
        <f>DCF!F34</f>
        <v>8.3067615517275553E-3</v>
      </c>
      <c r="G18" s="815">
        <f>DCF!G34</f>
        <v>1.3151745827414772E-2</v>
      </c>
      <c r="H18" s="816">
        <f>DCF!H34</f>
        <v>1.6383066409133694E-2</v>
      </c>
      <c r="I18" s="816">
        <f>DCF!I34</f>
        <v>1.7106453127306954E-2</v>
      </c>
      <c r="J18" s="440"/>
      <c r="K18" s="15" t="s">
        <v>12</v>
      </c>
      <c r="L18"/>
      <c r="M18"/>
      <c r="N18" s="378">
        <f ca="1">IFERROR(_xlfn.XLOOKUP($K18,Multiples!$B:$B,Multiples!N:N),"")</f>
        <v>3.5253620601733804</v>
      </c>
      <c r="O18" s="378">
        <f ca="1">IFERROR(_xlfn.XLOOKUP($K18,Multiples!$B:$B,Multiples!O:O),"")</f>
        <v>7.3930114029025571</v>
      </c>
      <c r="P18" s="354">
        <f ca="1">IFERROR(_xlfn.XLOOKUP($K18,Multiples!$B:$B,Multiples!P:P),"")</f>
        <v>10.335832600839925</v>
      </c>
      <c r="Q18" s="361">
        <f ca="1">IFERROR(_xlfn.XLOOKUP($K18,Multiples!$B:$B,Multiples!Q:Q),"")</f>
        <v>5.0181315147302268</v>
      </c>
      <c r="R18" s="361">
        <f ca="1">IFERROR(_xlfn.XLOOKUP($K18,Multiples!$B:$B,Multiples!R:R),"")</f>
        <v>4.5757922997981515</v>
      </c>
      <c r="S18" s="583"/>
      <c r="T18" s="440"/>
      <c r="U18" s="796" t="s">
        <v>13</v>
      </c>
      <c r="V18" s="440"/>
    </row>
    <row r="19" spans="4:22" ht="15.6">
      <c r="D19" s="1023" t="s">
        <v>14</v>
      </c>
      <c r="E19" s="1023"/>
      <c r="F19" s="815">
        <f>DCF!F39</f>
        <v>3.7643626811811529E-4</v>
      </c>
      <c r="G19" s="815">
        <f>DCF!G39</f>
        <v>8.1384972011394477E-4</v>
      </c>
      <c r="H19" s="816">
        <f>DCF!H39</f>
        <v>8.1140927289787587E-4</v>
      </c>
      <c r="I19" s="816">
        <f>DCF!I39</f>
        <v>1.0491274183183007E-3</v>
      </c>
      <c r="J19" s="440"/>
      <c r="K19" s="18" t="s">
        <v>15</v>
      </c>
      <c r="L19"/>
      <c r="M19"/>
      <c r="N19" s="378">
        <f ca="1">IFERROR(_xlfn.XLOOKUP($K19,Multiples!$B:$B,Multiples!N:N),"")</f>
        <v>3.3522361040285564</v>
      </c>
      <c r="O19" s="378">
        <f ca="1">IFERROR(_xlfn.XLOOKUP($K19,Multiples!$B:$B,Multiples!O:O),"")</f>
        <v>7.4695490670352456</v>
      </c>
      <c r="P19" s="354">
        <f ca="1">IFERROR(_xlfn.XLOOKUP($K19,Multiples!$B:$B,Multiples!P:P),"")</f>
        <v>10.255648989159099</v>
      </c>
      <c r="Q19" s="361">
        <f ca="1">IFERROR(_xlfn.XLOOKUP($K19,Multiples!$B:$B,Multiples!Q:Q),"")</f>
        <v>4.9661552290673683</v>
      </c>
      <c r="R19" s="361">
        <f ca="1">IFERROR(_xlfn.XLOOKUP($K19,Multiples!$B:$B,Multiples!R:R),"")</f>
        <v>4.6350115619262153</v>
      </c>
      <c r="S19" s="583"/>
      <c r="T19" s="440"/>
      <c r="U19" s="572" t="s">
        <v>16</v>
      </c>
      <c r="V19" s="440"/>
    </row>
    <row r="20" spans="4:22" ht="14.25" customHeight="1">
      <c r="D20" s="1024"/>
      <c r="E20" s="1024"/>
      <c r="F20" s="19"/>
      <c r="G20" s="20"/>
      <c r="H20" s="21"/>
      <c r="I20" s="21"/>
      <c r="J20" s="440"/>
      <c r="K20" s="22" t="s">
        <v>17</v>
      </c>
      <c r="L20"/>
      <c r="M20"/>
      <c r="N20" s="378">
        <f ca="1">IFERROR(_xlfn.XLOOKUP($K20,Multiples!$B:$B,Multiples!N:N),"")</f>
        <v>47.028809523809549</v>
      </c>
      <c r="O20" s="378">
        <f ca="1">IFERROR(_xlfn.XLOOKUP($K20,Multiples!$B:$B,Multiples!O:O),"")</f>
        <v>62.835168869309868</v>
      </c>
      <c r="P20" s="354">
        <f ca="1">IFERROR(_xlfn.XLOOKUP($K20,Multiples!$B:$B,Multiples!P:P),"")</f>
        <v>70.693780895123609</v>
      </c>
      <c r="Q20" s="361">
        <f ca="1">IFERROR(_xlfn.XLOOKUP($K20,Multiples!$B:$B,Multiples!Q:Q),"")</f>
        <v>56.481906061804771</v>
      </c>
      <c r="R20" s="361">
        <f ca="1">IFERROR(_xlfn.XLOOKUP($K20,Multiples!$B:$B,Multiples!R:R),"")</f>
        <v>40.154923134742809</v>
      </c>
      <c r="S20" s="583"/>
      <c r="T20" s="440"/>
      <c r="U20" s="23" t="s">
        <v>18</v>
      </c>
      <c r="V20" s="440"/>
    </row>
    <row r="21" spans="4:22" ht="15.6">
      <c r="D21" s="1024"/>
      <c r="E21" s="1024"/>
      <c r="F21" s="527"/>
      <c r="G21" s="526"/>
      <c r="H21" s="525"/>
      <c r="I21" s="525"/>
      <c r="J21" s="440"/>
      <c r="K21" s="22" t="s">
        <v>19</v>
      </c>
      <c r="L21"/>
      <c r="M21"/>
      <c r="N21" s="378">
        <f ca="1">IFERROR(_xlfn.XLOOKUP($K21,Multiples!$B:$B,Multiples!N:N),"")</f>
        <v>601.15086956522362</v>
      </c>
      <c r="O21" s="378">
        <f ca="1">IFERROR(_xlfn.XLOOKUP($K21,Multiples!$B:$B,Multiples!O:O),"")</f>
        <v>93.226034858387877</v>
      </c>
      <c r="P21" s="354">
        <f ca="1">IFERROR(_xlfn.XLOOKUP($K21,Multiples!$B:$B,Multiples!P:P),"")</f>
        <v>92.995246045694245</v>
      </c>
      <c r="Q21" s="361">
        <f ca="1">IFERROR(_xlfn.XLOOKUP($K21,Multiples!$B:$B,Multiples!Q:Q),"")</f>
        <v>83.137541217419468</v>
      </c>
      <c r="R21" s="361">
        <f ca="1">IFERROR(_xlfn.XLOOKUP($K21,Multiples!$B:$B,Multiples!R:R),"")</f>
        <v>51.71921563092355</v>
      </c>
      <c r="S21" s="583"/>
      <c r="T21" s="440"/>
      <c r="U21" s="796" t="s">
        <v>20</v>
      </c>
      <c r="V21" s="440"/>
    </row>
    <row r="22" spans="4:22" ht="15.6">
      <c r="D22" s="10"/>
      <c r="E22" s="11"/>
      <c r="F22" s="12"/>
      <c r="G22" s="13"/>
      <c r="H22" s="14"/>
      <c r="I22" s="14"/>
      <c r="J22" s="440"/>
      <c r="K22" s="18" t="s">
        <v>21</v>
      </c>
      <c r="L22"/>
      <c r="M22"/>
      <c r="N22" s="378">
        <f ca="1">IFERROR(_xlfn.XLOOKUP($K22,Multiples!$B:$B,Multiples!N:N),"")</f>
        <v>60.034109589041151</v>
      </c>
      <c r="O22" s="378">
        <f ca="1">IFERROR(_xlfn.XLOOKUP($K22,Multiples!$B:$B,Multiples!O:O),"")</f>
        <v>70.298780487804933</v>
      </c>
      <c r="P22" s="354">
        <f ca="1">IFERROR(_xlfn.XLOOKUP($K22,Multiples!$B:$B,Multiples!P:P),"")</f>
        <v>82.229906029757288</v>
      </c>
      <c r="Q22" s="361">
        <f ca="1">IFERROR(_xlfn.XLOOKUP($K22,Multiples!$B:$B,Multiples!Q:Q),"")</f>
        <v>104.7352108554834</v>
      </c>
      <c r="R22" s="361">
        <f ca="1">IFERROR(_xlfn.XLOOKUP($K22,Multiples!$B:$B,Multiples!R:R),"")</f>
        <v>63.351550631152826</v>
      </c>
      <c r="S22" s="583"/>
      <c r="T22" s="440"/>
      <c r="U22" s="572" t="s">
        <v>22</v>
      </c>
      <c r="V22" s="440"/>
    </row>
    <row r="23" spans="4:22" ht="14.25" customHeight="1">
      <c r="D23" s="10"/>
      <c r="E23" s="11"/>
      <c r="F23" s="12"/>
      <c r="G23" s="13"/>
      <c r="H23" s="14"/>
      <c r="I23" s="14"/>
      <c r="J23" s="440"/>
      <c r="K23" s="22" t="s">
        <v>23</v>
      </c>
      <c r="L23"/>
      <c r="M23"/>
      <c r="N23" s="378">
        <f ca="1">IFERROR(_xlfn.XLOOKUP($K23,Multiples!$B:$B,Multiples!N:N),"")</f>
        <v>4.2085371318822009</v>
      </c>
      <c r="O23" s="378">
        <f ca="1">IFERROR(_xlfn.XLOOKUP($K23,Multiples!$B:$B,Multiples!O:O),"")</f>
        <v>10.519160583941606</v>
      </c>
      <c r="P23" s="354">
        <f ca="1">IFERROR(_xlfn.XLOOKUP($K23,Multiples!$B:$B,Multiples!P:P),"")</f>
        <v>16.341050420168063</v>
      </c>
      <c r="Q23" s="361">
        <f ca="1">IFERROR(_xlfn.XLOOKUP($K23,Multiples!$B:$B,Multiples!Q:Q),"")</f>
        <v>9.6851816166283715</v>
      </c>
      <c r="R23" s="361">
        <f ca="1">IFERROR(_xlfn.XLOOKUP($K23,Multiples!$B:$B,Multiples!R:R),"")</f>
        <v>9.7175502961463778</v>
      </c>
      <c r="S23" s="583"/>
      <c r="T23" s="440"/>
      <c r="U23" s="23" t="s">
        <v>24</v>
      </c>
      <c r="V23" s="440"/>
    </row>
    <row r="24" spans="4:22" ht="15.6">
      <c r="D24"/>
      <c r="E24"/>
      <c r="F24"/>
      <c r="G24"/>
      <c r="H24"/>
      <c r="I24"/>
      <c r="J24"/>
      <c r="K24" s="22"/>
      <c r="L24"/>
      <c r="M24"/>
      <c r="N24"/>
      <c r="O24"/>
      <c r="P24"/>
      <c r="Q24"/>
      <c r="R24"/>
      <c r="S24" s="584"/>
      <c r="T24" s="440"/>
      <c r="U24" s="796" t="s">
        <v>25</v>
      </c>
      <c r="V24" s="440"/>
    </row>
    <row r="25" spans="4:22" ht="14.25" customHeight="1">
      <c r="D25" s="28" t="s">
        <v>26</v>
      </c>
      <c r="E25" s="537" t="s">
        <v>27</v>
      </c>
      <c r="F25" s="538" t="s">
        <v>28</v>
      </c>
      <c r="G25" s="538" t="s">
        <v>29</v>
      </c>
      <c r="H25" s="538" t="str">
        <f>+IF(Summary!$G$25="FCFF",DCF!AB6,IF(Summary!$G$25="FCFE",DCF!AC6,DCF!AD6))</f>
        <v>NOPAT</v>
      </c>
      <c r="I25" s="539" t="s">
        <v>30</v>
      </c>
      <c r="J25" s="440"/>
      <c r="K25" s="7" t="s">
        <v>31</v>
      </c>
      <c r="L25" s="4"/>
      <c r="M25" s="4"/>
      <c r="N25" s="4">
        <v>2022</v>
      </c>
      <c r="O25" s="4">
        <f>+N25+1</f>
        <v>2023</v>
      </c>
      <c r="P25" s="353">
        <f>+O25+1</f>
        <v>2024</v>
      </c>
      <c r="Q25" s="5">
        <f>+P25+1</f>
        <v>2025</v>
      </c>
      <c r="R25" s="5">
        <f>+Q25+1</f>
        <v>2026</v>
      </c>
      <c r="S25" s="582"/>
      <c r="T25" s="440"/>
      <c r="U25" s="572" t="s">
        <v>32</v>
      </c>
      <c r="V25" s="440"/>
    </row>
    <row r="26" spans="4:22" ht="15.6">
      <c r="D26" s="29">
        <v>2022</v>
      </c>
      <c r="E26" s="540">
        <f>+DCF!E48</f>
        <v>392.2</v>
      </c>
      <c r="F26" s="541">
        <f>+DCF!E78</f>
        <v>5.8643549209586327E-3</v>
      </c>
      <c r="G26" s="542">
        <f>+INDEX(DCF!X7:AA7,MATCH(Summary!$G$25,{"FCFF","FCFE","Tax Shield","Total Payout"},0))</f>
        <v>7.4733333333331622</v>
      </c>
      <c r="H26" s="542">
        <f>+IF(Summary!$G$25="FCFF",DCF!AB7,IF(Summary!$G$25="FCFE",DCF!AC7,DCF!AD7))</f>
        <v>7.9733333333331586</v>
      </c>
      <c r="I26" s="543">
        <f>+DCF!E152</f>
        <v>-4.8</v>
      </c>
      <c r="J26" s="440"/>
      <c r="K26" s="22" t="s">
        <v>33</v>
      </c>
      <c r="L26"/>
      <c r="M26"/>
      <c r="N26" s="378">
        <f>IFERROR(_xlfn.XLOOKUP($K26,Multiples!$B:$B,Multiples!N:N),"")</f>
        <v>4.427820460978564E-2</v>
      </c>
      <c r="O26" s="378">
        <f>IFERROR(_xlfn.XLOOKUP($K26,Multiples!$B:$B,Multiples!O:O),"")</f>
        <v>0.10325721961047675</v>
      </c>
      <c r="P26" s="354">
        <f>IFERROR(_xlfn.XLOOKUP($K26,Multiples!$B:$B,Multiples!P:P),"")</f>
        <v>0.11307889843265732</v>
      </c>
      <c r="Q26" s="361">
        <f>IFERROR(_xlfn.XLOOKUP($K26,Multiples!$B:$B,Multiples!Q:Q),"")</f>
        <v>5.1614206056356172E-2</v>
      </c>
      <c r="R26" s="361">
        <f>IFERROR(_xlfn.XLOOKUP($K26,Multiples!$B:$B,Multiples!R:R),"")</f>
        <v>9.1052146540158724E-2</v>
      </c>
      <c r="S26" s="583"/>
      <c r="T26" s="440"/>
      <c r="U26" s="23" t="s">
        <v>34</v>
      </c>
      <c r="V26" s="440"/>
    </row>
    <row r="27" spans="4:22" ht="14.25" customHeight="1">
      <c r="D27" s="29">
        <f t="shared" ref="D27:D33" si="0">+D26+1</f>
        <v>2023</v>
      </c>
      <c r="E27" s="544">
        <f>+DCF!F48</f>
        <v>578.79999999999995</v>
      </c>
      <c r="F27" s="545">
        <f>+DCF!F78</f>
        <v>7.9302004146509966E-2</v>
      </c>
      <c r="G27" s="546">
        <f>+INDEX(DCF!X8:AA8,MATCH(Summary!$G$25,{"FCFF","FCFE","Tax Shield","Total Payout"},0))</f>
        <v>91.954784688995176</v>
      </c>
      <c r="H27" s="547">
        <f>+IF(Summary!$G$25="FCFF",DCF!AB8,IF(Summary!$G$25="FCFE",DCF!AC8,DCF!AD8))</f>
        <v>43.154784688995178</v>
      </c>
      <c r="I27" s="543">
        <f>+DCF!F152</f>
        <v>-1.7</v>
      </c>
      <c r="J27" s="440"/>
      <c r="K27" s="22" t="s">
        <v>35</v>
      </c>
      <c r="L27"/>
      <c r="M27"/>
      <c r="N27" s="378">
        <f>IFERROR(_xlfn.XLOOKUP($K27,Multiples!$B:$B,Multiples!N:N),"")</f>
        <v>7.0102432778489029E-2</v>
      </c>
      <c r="O27" s="378">
        <f>IFERROR(_xlfn.XLOOKUP($K27,Multiples!$B:$B,Multiples!O:O),"")</f>
        <v>0.14963503649635027</v>
      </c>
      <c r="P27" s="354">
        <f>IFERROR(_xlfn.XLOOKUP($K27,Multiples!$B:$B,Multiples!P:P),"")</f>
        <v>0.19872393401805152</v>
      </c>
      <c r="Q27" s="361">
        <f>IFERROR(_xlfn.XLOOKUP($K27,Multiples!$B:$B,Multiples!Q:Q),"")</f>
        <v>-1.6230198424081697E-8</v>
      </c>
      <c r="R27" s="361">
        <f>IFERROR(_xlfn.XLOOKUP($K27,Multiples!$B:$B,Multiples!R:R),"")</f>
        <v>-2.8631543875183814E-8</v>
      </c>
      <c r="S27" s="583"/>
      <c r="T27" s="440"/>
      <c r="U27" s="796" t="s">
        <v>36</v>
      </c>
      <c r="V27" s="440"/>
    </row>
    <row r="28" spans="4:22" ht="15.6">
      <c r="D28" s="401">
        <f t="shared" si="0"/>
        <v>2024</v>
      </c>
      <c r="E28" s="548">
        <f>+DCF!G48</f>
        <v>1023.9</v>
      </c>
      <c r="F28" s="549">
        <f>+DCF!G78</f>
        <v>0.11114366637366924</v>
      </c>
      <c r="G28" s="550">
        <f>+INDEX(DCF!X9:AA9,MATCH(Summary!$G$25,{"FCFF","FCFE","Tax Shield","Total Payout"},0))</f>
        <v>49.699048525214003</v>
      </c>
      <c r="H28" s="551">
        <f>+IF(Summary!$G$25="FCFF",DCF!AB9,IF(Summary!$G$25="FCFE",DCF!AC9,DCF!AD9))</f>
        <v>99.399048525213999</v>
      </c>
      <c r="I28" s="574">
        <f>+DCF!G152</f>
        <v>-8.6999999999999993</v>
      </c>
      <c r="J28" s="440"/>
      <c r="K28" s="125" t="s">
        <v>37</v>
      </c>
      <c r="L28"/>
      <c r="M28"/>
      <c r="N28" s="378">
        <f>IFERROR(_xlfn.XLOOKUP($K28,Multiples!$B:$B,Multiples!N:N),"")</f>
        <v>1.8818346314215618E-2</v>
      </c>
      <c r="O28" s="378">
        <f>IFERROR(_xlfn.XLOOKUP($K28,Multiples!$B:$B,Multiples!O:O),"")</f>
        <v>8.8522635259477289E-2</v>
      </c>
      <c r="P28" s="354">
        <f>IFERROR(_xlfn.XLOOKUP($K28,Multiples!$B:$B,Multiples!P:P),"")</f>
        <v>0.11934091550632007</v>
      </c>
      <c r="Q28" s="361">
        <f ca="1">IFERROR(_xlfn.XLOOKUP($K28,Multiples!$B:$B,Multiples!Q:Q),"")</f>
        <v>-1.8735422037838293E-8</v>
      </c>
      <c r="R28" s="361">
        <f ca="1">IFERROR(_xlfn.XLOOKUP($K28,Multiples!$B:$B,Multiples!R:R),"")</f>
        <v>-3.1274562470564488E-8</v>
      </c>
      <c r="S28" s="583"/>
      <c r="T28" s="440"/>
      <c r="U28" s="797" t="s">
        <v>38</v>
      </c>
      <c r="V28" s="665"/>
    </row>
    <row r="29" spans="4:22" ht="15.6">
      <c r="D29" s="30">
        <f t="shared" si="0"/>
        <v>2025</v>
      </c>
      <c r="E29" s="552">
        <f>+DCF!H48</f>
        <v>1308.9000000000001</v>
      </c>
      <c r="F29" s="553">
        <f>+DCF!H78</f>
        <v>6.0359392895766785E-2</v>
      </c>
      <c r="G29" s="554">
        <f ca="1">+INDEX(DCF!X10:AA10,MATCH(Summary!$G$25,{"FCFF","FCFE","Tax Shield","Total Payout"},0))</f>
        <v>8.5855594800104029</v>
      </c>
      <c r="H29" s="552">
        <f ca="1">+IF(Summary!$G$25="FCFF",DCF!AB10,IF(Summary!$G$25="FCFE",DCF!AC10,DCF!AD10))</f>
        <v>71.642985529332208</v>
      </c>
      <c r="I29" s="692">
        <f>+DCF!H152</f>
        <v>-8.6999999999999993</v>
      </c>
      <c r="J29" s="440"/>
      <c r="K29" s="31" t="s">
        <v>39</v>
      </c>
      <c r="L29"/>
      <c r="M29"/>
      <c r="N29" s="378">
        <f>IFERROR(_xlfn.XLOOKUP($K29,Multiples!$B:$B,Multiples!N:N),"")</f>
        <v>7.4961754207037171E-2</v>
      </c>
      <c r="O29" s="378">
        <f>IFERROR(_xlfn.XLOOKUP($K29,Multiples!$B:$B,Multiples!O:O),"")</f>
        <v>0.11765722183828606</v>
      </c>
      <c r="P29" s="354">
        <f>IFERROR(_xlfn.XLOOKUP($K29,Multiples!$B:$B,Multiples!P:P),"")</f>
        <v>0.14620568414884261</v>
      </c>
      <c r="Q29" s="361">
        <f>IFERROR(_xlfn.XLOOKUP($K29,Multiples!$B:$B,Multiples!Q:Q),"")</f>
        <v>8.8844939284435376E-2</v>
      </c>
      <c r="R29" s="361">
        <f>IFERROR(_xlfn.XLOOKUP($K29,Multiples!$B:$B,Multiples!R:R),"")</f>
        <v>0.11395345682629605</v>
      </c>
      <c r="S29" s="583"/>
      <c r="T29" s="440"/>
      <c r="U29" s="440"/>
      <c r="V29" s="440"/>
    </row>
    <row r="30" spans="4:22" ht="15.6">
      <c r="D30" s="30">
        <f t="shared" si="0"/>
        <v>2026</v>
      </c>
      <c r="E30" s="552">
        <f>+DCF!I48</f>
        <v>1496.4472470555245</v>
      </c>
      <c r="F30" s="553">
        <f>+DCF!I78</f>
        <v>8.8473737352316478E-2</v>
      </c>
      <c r="G30" s="554">
        <f ca="1">+INDEX(DCF!X11:AA11,MATCH(Summary!$G$25,{"FCFF","FCFE","Tax Shield","Total Payout"},0))</f>
        <v>216.49659843796945</v>
      </c>
      <c r="H30" s="552">
        <f ca="1">+IF(Summary!$G$25="FCFF",DCF!AB11,IF(Summary!$G$25="FCFE",DCF!AC11,DCF!AD11))</f>
        <v>119.59180925342454</v>
      </c>
      <c r="I30" s="692">
        <f>+DCF!I152</f>
        <v>-9.36</v>
      </c>
      <c r="J30" s="440"/>
      <c r="K30" s="18" t="s">
        <v>28</v>
      </c>
      <c r="L30"/>
      <c r="M30"/>
      <c r="N30" s="378">
        <f>IFERROR(_xlfn.XLOOKUP($K30,Multiples!$B:$B,Multiples!N:N),"")</f>
        <v>5.8643549209586327E-3</v>
      </c>
      <c r="O30" s="378">
        <f>IFERROR(_xlfn.XLOOKUP($K30,Multiples!$B:$B,Multiples!O:O),"")</f>
        <v>7.9302004146509966E-2</v>
      </c>
      <c r="P30" s="354">
        <f>IFERROR(_xlfn.XLOOKUP($K30,Multiples!$B:$B,Multiples!P:P),"")</f>
        <v>0.11114366637366924</v>
      </c>
      <c r="Q30" s="361">
        <f>IFERROR(_xlfn.XLOOKUP($K30,Multiples!$B:$B,Multiples!Q:Q),"")</f>
        <v>6.0359392895766785E-2</v>
      </c>
      <c r="R30" s="361">
        <f>IFERROR(_xlfn.XLOOKUP($K30,Multiples!$B:$B,Multiples!R:R),"")</f>
        <v>8.8473737352316478E-2</v>
      </c>
      <c r="S30" s="583"/>
      <c r="T30" s="440"/>
      <c r="U30" s="684" t="s">
        <v>40</v>
      </c>
      <c r="V30" s="656"/>
    </row>
    <row r="31" spans="4:22" ht="14.25" customHeight="1">
      <c r="D31" s="30">
        <f t="shared" si="0"/>
        <v>2027</v>
      </c>
      <c r="E31" s="552">
        <f>+DCF!J48</f>
        <v>1683.4558649267403</v>
      </c>
      <c r="F31" s="553">
        <f>+DCF!J78</f>
        <v>0.10307539653135123</v>
      </c>
      <c r="G31" s="554">
        <f ca="1">+INDEX(DCF!X12:AA12,MATCH(Summary!$G$25,{"FCFF","FCFE","Tax Shield","Total Payout"},0))</f>
        <v>236.39082657132468</v>
      </c>
      <c r="H31" s="552">
        <f ca="1">+IF(Summary!$G$25="FCFF",DCF!AB12,IF(Summary!$G$25="FCFE",DCF!AC12,DCF!AD12))</f>
        <v>156.19554514230168</v>
      </c>
      <c r="I31" s="692">
        <f>+DCF!J152</f>
        <v>-9.8879999999999999</v>
      </c>
      <c r="J31" s="440"/>
      <c r="K31" s="18" t="s">
        <v>41</v>
      </c>
      <c r="L31"/>
      <c r="M31"/>
      <c r="N31" s="378">
        <f>IFERROR(_xlfn.XLOOKUP($K31,Multiples!$B:$B,Multiples!N:N),"")</f>
        <v>0.64201937786843444</v>
      </c>
      <c r="O31" s="378">
        <f>IFERROR(_xlfn.XLOOKUP($K31,Multiples!$B:$B,Multiples!O:O),"")</f>
        <v>0.67449896337249482</v>
      </c>
      <c r="P31" s="354">
        <f>IFERROR(_xlfn.XLOOKUP($K31,Multiples!$B:$B,Multiples!P:P),"")</f>
        <v>0.70719796855161632</v>
      </c>
      <c r="Q31" s="361">
        <f>IFERROR(_xlfn.XLOOKUP($K31,Multiples!$B:$B,Multiples!Q:Q),"")</f>
        <v>0.65</v>
      </c>
      <c r="R31" s="361">
        <f>IFERROR(_xlfn.XLOOKUP($K31,Multiples!$B:$B,Multiples!R:R),"")</f>
        <v>0.67500000000000004</v>
      </c>
      <c r="S31" s="583"/>
      <c r="T31" s="440"/>
      <c r="U31" s="25" t="s">
        <v>42</v>
      </c>
      <c r="V31" s="34">
        <f ca="1">Peers!D68</f>
        <v>1.6084000000000001</v>
      </c>
    </row>
    <row r="32" spans="4:22" ht="14.25" customHeight="1">
      <c r="D32" s="30">
        <f t="shared" si="0"/>
        <v>2028</v>
      </c>
      <c r="E32" s="552">
        <f>+DCF!K48</f>
        <v>1867.7453121216429</v>
      </c>
      <c r="F32" s="553">
        <f>+DCF!K78</f>
        <v>0.11086000921402006</v>
      </c>
      <c r="G32" s="554">
        <f ca="1">+INDEX(DCF!X13:AA13,MATCH(Summary!$G$25,{"FCFF","FCFE","Tax Shield","Total Payout"},0))</f>
        <v>256.05524438544359</v>
      </c>
      <c r="H32" s="552">
        <f ca="1">+IF(Summary!$G$25="FCFF",DCF!AB13,IF(Summary!$G$25="FCFE",DCF!AC13,DCF!AD13))</f>
        <v>185.80374086947748</v>
      </c>
      <c r="I32" s="692">
        <f>+DCF!K152</f>
        <v>-10.3104</v>
      </c>
      <c r="J32" s="440"/>
      <c r="K32" s="18" t="s">
        <v>43</v>
      </c>
      <c r="L32"/>
      <c r="M32"/>
      <c r="N32" s="378">
        <f>IFERROR(_xlfn.XLOOKUP($K32,Multiples!$B:$B,Multiples!N:N),"")</f>
        <v>0.56578276389597149</v>
      </c>
      <c r="O32" s="378">
        <f>IFERROR(_xlfn.XLOOKUP($K32,Multiples!$B:$B,Multiples!O:O),"")</f>
        <v>0.55684174153420873</v>
      </c>
      <c r="P32" s="354">
        <f>IFERROR(_xlfn.XLOOKUP($K32,Multiples!$B:$B,Multiples!P:P),"")</f>
        <v>0.56099228440277371</v>
      </c>
      <c r="Q32" s="361">
        <f>IFERROR(_xlfn.XLOOKUP($K32,Multiples!$B:$B,Multiples!Q:Q),"")</f>
        <v>0.56120559661098468</v>
      </c>
      <c r="R32" s="361">
        <f>IFERROR(_xlfn.XLOOKUP($K32,Multiples!$B:$B,Multiples!R:R),"")</f>
        <v>0.55967987418265575</v>
      </c>
      <c r="S32" s="583"/>
      <c r="T32" s="440"/>
      <c r="U32" s="35" t="s">
        <v>44</v>
      </c>
      <c r="V32" s="32">
        <f>+Peers!D67</f>
        <v>0.97925531914893615</v>
      </c>
    </row>
    <row r="33" spans="4:30" ht="14.25" customHeight="1">
      <c r="D33" s="30">
        <f t="shared" si="0"/>
        <v>2029</v>
      </c>
      <c r="E33" s="552">
        <f>+DCF!L48</f>
        <v>2051.2896527869721</v>
      </c>
      <c r="F33" s="553">
        <f>+DCF!L78</f>
        <v>0.11529762776006894</v>
      </c>
      <c r="G33" s="554">
        <f ca="1">+INDEX(DCF!X14:AA14,MATCH(Summary!$G$25,{"FCFF","FCFE","Tax Shield","Total Payout"},0))</f>
        <v>309.19978191749311</v>
      </c>
      <c r="H33" s="552">
        <f ca="1">+IF(Summary!$G$25="FCFF",DCF!AB14,IF(Summary!$G$25="FCFE",DCF!AC14,DCF!AD14))</f>
        <v>211.64387821170277</v>
      </c>
      <c r="I33" s="692">
        <f>+DCF!L152</f>
        <v>-10.64832</v>
      </c>
      <c r="J33" s="440"/>
      <c r="K33" s="18" t="s">
        <v>45</v>
      </c>
      <c r="L33"/>
      <c r="M33"/>
      <c r="N33" s="378">
        <f>IFERROR(_xlfn.XLOOKUP($K33,Multiples!$B:$B,Multiples!N:N),"")</f>
        <v>5.5838857725650122E-2</v>
      </c>
      <c r="O33" s="378">
        <f>IFERROR(_xlfn.XLOOKUP($K33,Multiples!$B:$B,Multiples!O:O),"")</f>
        <v>0.10625431928127153</v>
      </c>
      <c r="P33" s="354">
        <f>IFERROR(_xlfn.XLOOKUP($K33,Multiples!$B:$B,Multiples!P:P),"")</f>
        <v>0.12471921086043553</v>
      </c>
      <c r="Q33" s="361">
        <f>IFERROR(_xlfn.XLOOKUP($K33,Multiples!$B:$B,Multiples!Q:Q),"")</f>
        <v>4.7416290935049621E-2</v>
      </c>
      <c r="R33" s="361">
        <f>IFERROR(_xlfn.XLOOKUP($K33,Multiples!$B:$B,Multiples!R:R),"")</f>
        <v>7.3163348264548553E-2</v>
      </c>
      <c r="S33" s="583"/>
      <c r="T33" s="440"/>
      <c r="U33" s="25" t="s">
        <v>46</v>
      </c>
      <c r="V33" s="32">
        <f>Peers!D70</f>
        <v>2.64E-2</v>
      </c>
      <c r="W33" s="440"/>
      <c r="X33" s="440"/>
      <c r="Y33" s="440"/>
      <c r="Z33" s="440"/>
      <c r="AA33" s="440"/>
      <c r="AB33" s="440"/>
      <c r="AC33" s="440"/>
      <c r="AD33" s="440"/>
    </row>
    <row r="34" spans="4:30" ht="14.25" customHeight="1">
      <c r="D34" s="440"/>
      <c r="E34" s="440"/>
      <c r="F34" s="440"/>
      <c r="G34" s="440"/>
      <c r="H34" s="440"/>
      <c r="I34" s="440"/>
      <c r="J34" s="440"/>
      <c r="K34" s="440"/>
      <c r="L34" s="440"/>
      <c r="M34" s="440"/>
      <c r="N34" s="440"/>
      <c r="O34" s="440"/>
      <c r="P34" s="440"/>
      <c r="Q34" s="440"/>
      <c r="R34" s="440"/>
      <c r="S34" s="657"/>
      <c r="T34" s="440"/>
      <c r="U34" s="25" t="s">
        <v>47</v>
      </c>
      <c r="V34" s="32">
        <f>Peers!D71</f>
        <v>0.96160000000000001</v>
      </c>
      <c r="W34" s="440"/>
      <c r="X34" s="440"/>
      <c r="Y34" s="440"/>
      <c r="Z34" s="440"/>
      <c r="AA34" s="440"/>
      <c r="AB34" s="440"/>
      <c r="AC34" s="440"/>
      <c r="AD34" s="440"/>
    </row>
    <row r="35" spans="4:30" ht="14.25" customHeight="1">
      <c r="D35" s="7" t="s">
        <v>48</v>
      </c>
      <c r="E35" s="4"/>
      <c r="F35" s="4"/>
      <c r="G35" s="4"/>
      <c r="H35" s="4"/>
      <c r="I35" s="4"/>
      <c r="J35" s="440"/>
      <c r="K35" s="7" t="s">
        <v>49</v>
      </c>
      <c r="L35" s="4"/>
      <c r="M35" s="4"/>
      <c r="N35" s="4">
        <v>2022</v>
      </c>
      <c r="O35" s="4">
        <f>+N35+1</f>
        <v>2023</v>
      </c>
      <c r="P35" s="353">
        <f>+O35+1</f>
        <v>2024</v>
      </c>
      <c r="Q35" s="5">
        <f>+P35+1</f>
        <v>2025</v>
      </c>
      <c r="R35" s="5">
        <f>+Q35+1</f>
        <v>2026</v>
      </c>
      <c r="S35" s="582"/>
      <c r="T35" s="440"/>
      <c r="U35" s="36" t="s">
        <v>50</v>
      </c>
      <c r="V35" s="560">
        <f>+Peers!D72</f>
        <v>0.1837</v>
      </c>
      <c r="W35" s="440"/>
      <c r="X35" s="440"/>
      <c r="Y35" s="440"/>
      <c r="Z35" s="440"/>
      <c r="AA35" s="440"/>
      <c r="AB35" s="440"/>
      <c r="AC35" s="440"/>
      <c r="AD35" s="440"/>
    </row>
    <row r="36" spans="4:30" ht="14.25" customHeight="1">
      <c r="D36" s="556" t="s">
        <v>51</v>
      </c>
      <c r="E36" s="556"/>
      <c r="F36" s="557"/>
      <c r="G36" s="556" t="s">
        <v>52</v>
      </c>
      <c r="H36" s="556"/>
      <c r="I36" s="556"/>
      <c r="J36" s="440"/>
      <c r="K36" s="33" t="s">
        <v>53</v>
      </c>
      <c r="L36"/>
      <c r="M36"/>
      <c r="N36" s="378">
        <f>IFERROR(_xlfn.XLOOKUP($K36,Multiples!$B:$B,Multiples!N:N),"")</f>
        <v>0.6676923076923077</v>
      </c>
      <c r="O36" s="378">
        <f>IFERROR(_xlfn.XLOOKUP($K36,Multiples!$B:$B,Multiples!O:O),"")</f>
        <v>1.1185185185185185</v>
      </c>
      <c r="P36" s="354">
        <f>IFERROR(_xlfn.XLOOKUP($K36,Multiples!$B:$B,Multiples!P:P),"")</f>
        <v>0.36175192243396853</v>
      </c>
      <c r="Q36" s="361">
        <f>IFERROR(_xlfn.XLOOKUP($K36,Multiples!$B:$B,Multiples!Q:Q),"")</f>
        <v>0.34007723649887339</v>
      </c>
      <c r="R36" s="361">
        <f>IFERROR(_xlfn.XLOOKUP($K36,Multiples!$B:$B,Multiples!R:R),"")</f>
        <v>1.078885180819277</v>
      </c>
      <c r="S36" s="583"/>
      <c r="T36" s="440"/>
      <c r="U36" s="440"/>
      <c r="V36" s="440"/>
      <c r="W36" s="561">
        <v>120.87</v>
      </c>
      <c r="X36" s="440"/>
      <c r="Y36" s="440"/>
      <c r="Z36" s="440"/>
      <c r="AA36" s="440"/>
      <c r="AB36" s="440"/>
      <c r="AC36" s="440"/>
      <c r="AD36" s="440"/>
    </row>
    <row r="37" spans="4:30" ht="15" customHeight="1">
      <c r="D37" s="1014" t="s">
        <v>54</v>
      </c>
      <c r="E37" s="1014"/>
      <c r="F37" s="1015"/>
      <c r="G37" s="1018" t="s">
        <v>55</v>
      </c>
      <c r="H37" s="1014"/>
      <c r="I37" s="1014"/>
      <c r="J37" s="440"/>
      <c r="K37" s="18" t="s">
        <v>56</v>
      </c>
      <c r="L37"/>
      <c r="M37"/>
      <c r="N37" s="378">
        <f>IFERROR(_xlfn.XLOOKUP($K37,Multiples!$B:$B,Multiples!N:N),"")</f>
        <v>1.3692307692307693</v>
      </c>
      <c r="O37" s="378">
        <f>IFERROR(_xlfn.XLOOKUP($K37,Multiples!$B:$B,Multiples!O:O),"")</f>
        <v>1.747222222222222</v>
      </c>
      <c r="P37" s="354">
        <f>IFERROR(_xlfn.XLOOKUP($K37,Multiples!$B:$B,Multiples!P:P),"")</f>
        <v>0.77566031427616178</v>
      </c>
      <c r="Q37" s="361">
        <f>IFERROR(_xlfn.XLOOKUP($K37,Multiples!$B:$B,Multiples!Q:Q),"")</f>
        <v>1.0044039676485865</v>
      </c>
      <c r="R37" s="361">
        <f>IFERROR(_xlfn.XLOOKUP($K37,Multiples!$B:$B,Multiples!R:R),"")</f>
        <v>1.8426952497790705</v>
      </c>
      <c r="S37" s="583"/>
      <c r="T37" s="440"/>
      <c r="U37" s="684" t="s">
        <v>57</v>
      </c>
      <c r="V37" s="656"/>
      <c r="W37" s="561">
        <v>113.63</v>
      </c>
      <c r="X37" s="440"/>
      <c r="Y37" s="440"/>
      <c r="Z37" s="440"/>
      <c r="AA37" s="440"/>
      <c r="AB37" s="440"/>
      <c r="AC37" s="440"/>
      <c r="AD37" s="440"/>
    </row>
    <row r="38" spans="4:30" ht="15" customHeight="1">
      <c r="D38" s="1016"/>
      <c r="E38" s="1016"/>
      <c r="F38" s="1017"/>
      <c r="G38" s="1019"/>
      <c r="H38" s="1016"/>
      <c r="I38" s="1016"/>
      <c r="J38" s="440"/>
      <c r="K38" s="18" t="s">
        <v>58</v>
      </c>
      <c r="L38"/>
      <c r="M38"/>
      <c r="N38" s="378">
        <f>IFERROR(_xlfn.XLOOKUP($K38,Multiples!$B:$B,Multiples!N:N),"")</f>
        <v>2.9692307692307693</v>
      </c>
      <c r="O38" s="378">
        <f>IFERROR(_xlfn.XLOOKUP($K38,Multiples!$B:$B,Multiples!O:O),"")</f>
        <v>2.8083333333333336</v>
      </c>
      <c r="P38" s="354">
        <f>IFERROR(_xlfn.XLOOKUP($K38,Multiples!$B:$B,Multiples!P:P),"")</f>
        <v>1.5951186894015379</v>
      </c>
      <c r="Q38" s="361">
        <f>IFERROR(_xlfn.XLOOKUP($K38,Multiples!$B:$B,Multiples!Q:Q),"")</f>
        <v>2.2947213464965821</v>
      </c>
      <c r="R38" s="361">
        <f>IFERROR(_xlfn.XLOOKUP($K38,Multiples!$B:$B,Multiples!R:R),"")</f>
        <v>2.2947213464965821</v>
      </c>
      <c r="S38" s="583"/>
      <c r="T38" s="440"/>
      <c r="U38" s="70" t="s">
        <v>59</v>
      </c>
      <c r="V38" s="807">
        <v>0.14219999999999999</v>
      </c>
      <c r="W38" s="561"/>
      <c r="X38" s="440"/>
      <c r="Y38" s="440"/>
      <c r="Z38" s="440"/>
      <c r="AA38" s="440"/>
      <c r="AB38" s="440"/>
      <c r="AC38" s="440"/>
      <c r="AD38" s="440"/>
    </row>
    <row r="39" spans="4:30" ht="35.25" customHeight="1">
      <c r="D39" s="1016"/>
      <c r="E39" s="1016"/>
      <c r="F39" s="1017"/>
      <c r="G39" s="1019"/>
      <c r="H39" s="1016"/>
      <c r="I39" s="1016"/>
      <c r="J39" s="440"/>
      <c r="K39"/>
      <c r="L39"/>
      <c r="M39"/>
      <c r="N39"/>
      <c r="O39"/>
      <c r="P39"/>
      <c r="Q39"/>
      <c r="R39"/>
      <c r="S39" s="584"/>
      <c r="T39" s="440"/>
      <c r="U39" s="70" t="s">
        <v>60</v>
      </c>
      <c r="V39" s="807">
        <v>9.7600000000000006E-2</v>
      </c>
      <c r="W39" s="561"/>
      <c r="X39" s="440"/>
      <c r="Y39" s="440"/>
      <c r="Z39" s="440"/>
      <c r="AA39" s="440"/>
      <c r="AB39" s="440"/>
      <c r="AC39" s="440"/>
      <c r="AD39" s="440"/>
    </row>
    <row r="40" spans="4:30" ht="15" customHeight="1">
      <c r="D40" s="801" t="s">
        <v>61</v>
      </c>
      <c r="E40" s="801"/>
      <c r="F40" s="802"/>
      <c r="G40" s="556" t="s">
        <v>62</v>
      </c>
      <c r="H40" s="556"/>
      <c r="I40" s="556"/>
      <c r="J40" s="440"/>
      <c r="K40" s="7" t="s">
        <v>63</v>
      </c>
      <c r="L40" s="4"/>
      <c r="M40" s="4"/>
      <c r="N40" s="4">
        <v>2022</v>
      </c>
      <c r="O40" s="4">
        <f>+N40+1</f>
        <v>2023</v>
      </c>
      <c r="P40" s="353">
        <f>+O40+1</f>
        <v>2024</v>
      </c>
      <c r="Q40" s="5">
        <f>+P40+1</f>
        <v>2025</v>
      </c>
      <c r="R40" s="5">
        <f>+Q40+1</f>
        <v>2026</v>
      </c>
      <c r="S40" s="582"/>
      <c r="T40" s="440"/>
      <c r="U40" s="70" t="s">
        <v>64</v>
      </c>
      <c r="V40" s="807">
        <v>9.4799999999999995E-2</v>
      </c>
      <c r="W40" s="561"/>
      <c r="X40" s="440"/>
      <c r="Y40" s="440"/>
      <c r="Z40" s="440"/>
      <c r="AA40" s="440"/>
      <c r="AB40" s="440"/>
      <c r="AC40" s="440"/>
      <c r="AD40" s="440"/>
    </row>
    <row r="41" spans="4:30" ht="15" customHeight="1">
      <c r="D41" s="1022" t="s">
        <v>65</v>
      </c>
      <c r="E41" s="1022"/>
      <c r="F41" s="1022"/>
      <c r="G41" s="1020" t="s">
        <v>66</v>
      </c>
      <c r="H41" s="1020"/>
      <c r="I41" s="1020"/>
      <c r="J41" s="440"/>
      <c r="K41" s="22" t="s">
        <v>67</v>
      </c>
      <c r="L41"/>
      <c r="M41"/>
      <c r="N41" s="378">
        <f>IFERROR(_xlfn.XLOOKUP($K41,Multiples!$B:$B,Multiples!N:N),"")</f>
        <v>244.24502332521197</v>
      </c>
      <c r="O41" s="378">
        <f>IFERROR(_xlfn.XLOOKUP($K41,Multiples!$B:$B,Multiples!O:O),"")</f>
        <v>180.52541167977674</v>
      </c>
      <c r="P41" s="354">
        <f>IFERROR(_xlfn.XLOOKUP($K41,Multiples!$B:$B,Multiples!P:P),"")</f>
        <v>248.36879940339821</v>
      </c>
      <c r="Q41" s="361">
        <f>IFERROR(_xlfn.XLOOKUP($K41,Multiples!$B:$B,Multiples!Q:Q),"")</f>
        <v>176.69485391365941</v>
      </c>
      <c r="R41" s="361">
        <f>IFERROR(_xlfn.XLOOKUP($K41,Multiples!$B:$B,Multiples!R:R),"")</f>
        <v>164.86016259058255</v>
      </c>
      <c r="S41" s="583"/>
      <c r="T41" s="440"/>
      <c r="U41" s="70" t="s">
        <v>68</v>
      </c>
      <c r="V41" s="807">
        <v>5.0500000000000003E-2</v>
      </c>
      <c r="W41" s="561"/>
      <c r="X41" s="440"/>
      <c r="Y41" s="440"/>
      <c r="Z41" s="440"/>
      <c r="AA41" s="440"/>
      <c r="AB41" s="440"/>
      <c r="AC41" s="440"/>
      <c r="AD41" s="440"/>
    </row>
    <row r="42" spans="4:30" ht="15" customHeight="1">
      <c r="D42" s="1016"/>
      <c r="E42" s="1016"/>
      <c r="F42" s="1016"/>
      <c r="G42" s="1021"/>
      <c r="H42" s="1021"/>
      <c r="I42" s="1021"/>
      <c r="J42" s="440"/>
      <c r="K42" s="18" t="s">
        <v>69</v>
      </c>
      <c r="L42"/>
      <c r="M42"/>
      <c r="N42" s="378">
        <f>IFERROR(_xlfn.XLOOKUP($K42,Multiples!$B:$B,Multiples!N:N),"")</f>
        <v>1.123076923076922</v>
      </c>
      <c r="O42" s="378">
        <f>IFERROR(_xlfn.XLOOKUP($K42,Multiples!$B:$B,Multiples!O:O),"")</f>
        <v>0.60353287536800737</v>
      </c>
      <c r="P42" s="354">
        <f>IFERROR(_xlfn.XLOOKUP($K42,Multiples!$B:$B,Multiples!P:P),"")</f>
        <v>1.7935393258426957</v>
      </c>
      <c r="Q42" s="361">
        <f>IFERROR(_xlfn.XLOOKUP($K42,Multiples!$B:$B,Multiples!Q:Q),"")</f>
        <v>-10.245195453558237</v>
      </c>
      <c r="R42" s="361">
        <f>IFERROR(_xlfn.XLOOKUP($K42,Multiples!$B:$B,Multiples!R:R),"")</f>
        <v>0.54538403845845174</v>
      </c>
      <c r="S42" s="583"/>
      <c r="T42" s="440"/>
      <c r="U42" s="70" t="s">
        <v>70</v>
      </c>
      <c r="V42" s="807">
        <v>4.0899999999999999E-2</v>
      </c>
      <c r="W42" s="561"/>
      <c r="X42" s="666"/>
      <c r="Y42" s="440"/>
      <c r="Z42" s="440"/>
      <c r="AA42" s="440"/>
      <c r="AB42" s="440"/>
      <c r="AC42" s="440"/>
      <c r="AD42" s="440"/>
    </row>
    <row r="43" spans="4:30" ht="15" customHeight="1">
      <c r="D43" s="1016"/>
      <c r="E43" s="1016"/>
      <c r="F43" s="1016"/>
      <c r="G43" s="1021"/>
      <c r="H43" s="1021"/>
      <c r="I43" s="1021"/>
      <c r="J43" s="440"/>
      <c r="K43" s="33" t="s">
        <v>71</v>
      </c>
      <c r="L43"/>
      <c r="M43"/>
      <c r="N43" s="378">
        <f>IFERROR(_xlfn.XLOOKUP($K43,Multiples!$B:$B,Multiples!N:N),"")</f>
        <v>-0.7384615384615385</v>
      </c>
      <c r="O43" s="378">
        <f>IFERROR(_xlfn.XLOOKUP($K43,Multiples!$B:$B,Multiples!O:O),"")</f>
        <v>0.75956820412168791</v>
      </c>
      <c r="P43" s="354">
        <f>IFERROR(_xlfn.XLOOKUP($K43,Multiples!$B:$B,Multiples!P:P),"")</f>
        <v>-0.17696629213483145</v>
      </c>
      <c r="Q43" s="361">
        <f>IFERROR(_xlfn.XLOOKUP($K43,Multiples!$B:$B,Multiples!Q:Q),"")</f>
        <v>4.7792657050964733</v>
      </c>
      <c r="R43" s="361">
        <f>IFERROR(_xlfn.XLOOKUP($K43,Multiples!$B:$B,Multiples!R:R),"")</f>
        <v>0.85761241133026611</v>
      </c>
      <c r="S43" s="583"/>
      <c r="T43" s="440"/>
      <c r="U43" s="70" t="s">
        <v>72</v>
      </c>
      <c r="V43" s="807">
        <v>3.9699999999999999E-2</v>
      </c>
      <c r="W43" s="561"/>
      <c r="X43" s="440"/>
      <c r="Y43" s="440"/>
      <c r="Z43" s="440"/>
      <c r="AA43" s="440"/>
      <c r="AB43" s="440"/>
      <c r="AC43" s="440"/>
      <c r="AD43" s="440"/>
    </row>
    <row r="44" spans="4:30" ht="34.5" customHeight="1">
      <c r="D44" s="1016"/>
      <c r="E44" s="1016"/>
      <c r="F44" s="1016"/>
      <c r="G44" s="1021"/>
      <c r="H44" s="1021"/>
      <c r="I44" s="1021"/>
      <c r="J44" s="440"/>
      <c r="K44"/>
      <c r="L44"/>
      <c r="M44"/>
      <c r="N44"/>
      <c r="O44"/>
      <c r="P44"/>
      <c r="Q44"/>
      <c r="R44"/>
      <c r="S44" s="584"/>
      <c r="T44" s="440"/>
      <c r="U44" s="70" t="s">
        <v>73</v>
      </c>
      <c r="V44" s="807">
        <v>3.95E-2</v>
      </c>
      <c r="W44" s="561"/>
      <c r="X44" s="440"/>
      <c r="Y44" s="440"/>
      <c r="Z44" s="440"/>
      <c r="AA44" s="440"/>
      <c r="AB44" s="440"/>
      <c r="AC44" s="440"/>
      <c r="AD44" s="440"/>
    </row>
    <row r="45" spans="4:30" ht="15" customHeight="1">
      <c r="D45" s="558" t="s">
        <v>74</v>
      </c>
      <c r="E45" s="4"/>
      <c r="F45" s="4"/>
      <c r="G45" s="4" t="s">
        <v>75</v>
      </c>
      <c r="H45" s="4"/>
      <c r="I45" s="4"/>
      <c r="J45" s="440"/>
      <c r="K45" s="7" t="s">
        <v>76</v>
      </c>
      <c r="L45" s="4"/>
      <c r="M45" s="4"/>
      <c r="N45" s="4">
        <v>2022</v>
      </c>
      <c r="O45" s="4">
        <f>+N45+1</f>
        <v>2023</v>
      </c>
      <c r="P45" s="353">
        <f>+O45+1</f>
        <v>2024</v>
      </c>
      <c r="Q45" s="5">
        <f>+P45+1</f>
        <v>2025</v>
      </c>
      <c r="R45" s="5">
        <f>+Q45+1</f>
        <v>2026</v>
      </c>
      <c r="S45" s="582"/>
      <c r="T45" s="440"/>
      <c r="U45" s="70" t="s">
        <v>77</v>
      </c>
      <c r="V45" s="807">
        <v>3.2500000000000001E-2</v>
      </c>
      <c r="W45" s="561"/>
      <c r="X45" s="440"/>
      <c r="Y45" s="440"/>
      <c r="Z45" s="440"/>
      <c r="AA45" s="440"/>
      <c r="AB45" s="440"/>
      <c r="AC45" s="440"/>
      <c r="AD45" s="440"/>
    </row>
    <row r="46" spans="4:30" ht="15" customHeight="1">
      <c r="D46" s="440"/>
      <c r="E46" s="668"/>
      <c r="F46" s="440"/>
      <c r="G46" s="667"/>
      <c r="H46" s="440"/>
      <c r="I46" s="440"/>
      <c r="J46" s="440"/>
      <c r="K46" s="18" t="s">
        <v>78</v>
      </c>
      <c r="L46"/>
      <c r="M46"/>
      <c r="N46" s="378">
        <f>IFERROR(_xlfn.XLOOKUP($K46,Multiples!$B:$B,Multiples!N:N),"")</f>
        <v>356.27400768245838</v>
      </c>
      <c r="O46" s="378">
        <f>IFERROR(_xlfn.XLOOKUP($K46,Multiples!$B:$B,Multiples!O:O),"")</f>
        <v>186.13138686131387</v>
      </c>
      <c r="P46" s="354">
        <f>IFERROR(_xlfn.XLOOKUP($K46,Multiples!$B:$B,Multiples!P:P),"")</f>
        <v>296.14067849361959</v>
      </c>
      <c r="Q46" s="361">
        <f>IFERROR(_xlfn.XLOOKUP($K46,Multiples!$B:$B,Multiples!Q:Q),"")</f>
        <v>-4.9765522820614364E-8</v>
      </c>
      <c r="R46" s="361">
        <f>IFERROR(_xlfn.XLOOKUP($K46,Multiples!$B:$B,Multiples!R:R),"")</f>
        <v>-5.1188146732208613E-8</v>
      </c>
      <c r="S46" s="583"/>
      <c r="T46" s="440"/>
      <c r="U46" s="70" t="s">
        <v>79</v>
      </c>
      <c r="V46" s="807">
        <v>3.1E-2</v>
      </c>
      <c r="W46" s="440"/>
      <c r="X46" s="440"/>
      <c r="Y46"/>
      <c r="Z46" s="440"/>
      <c r="AA46" s="440"/>
      <c r="AB46" s="440"/>
      <c r="AC46" s="440"/>
      <c r="AD46"/>
    </row>
    <row r="47" spans="4:30" ht="15" customHeight="1">
      <c r="D47" s="440"/>
      <c r="E47" s="668"/>
      <c r="F47" s="440"/>
      <c r="G47" s="667"/>
      <c r="H47" s="440"/>
      <c r="I47" s="440"/>
      <c r="J47" s="440"/>
      <c r="K47" s="247" t="s">
        <v>80</v>
      </c>
      <c r="L47" s="440"/>
      <c r="M47" s="440"/>
      <c r="N47" s="378">
        <f>IFERROR(_xlfn.XLOOKUP($K47,Multiples!$B:$B,Multiples!N:N),"")</f>
        <v>0.99720102784278453</v>
      </c>
      <c r="O47" s="378">
        <f>IFERROR(_xlfn.XLOOKUP($K47,Multiples!$B:$B,Multiples!O:O),"")</f>
        <v>0.99465616101727972</v>
      </c>
      <c r="P47" s="354">
        <f>IFERROR(_xlfn.XLOOKUP($K47,Multiples!$B:$B,Multiples!P:P),"")</f>
        <v>0.99663459070945926</v>
      </c>
      <c r="Q47" s="361">
        <f>IFERROR(_xlfn.XLOOKUP($K47,Multiples!$B:$B,Multiples!Q:Q),"")</f>
        <v>-4.9765525297221751E-8</v>
      </c>
      <c r="R47" s="361">
        <f>IFERROR(_xlfn.XLOOKUP($K47,Multiples!$B:$B,Multiples!R:R),"")</f>
        <v>-5.1188149352435116E-8</v>
      </c>
      <c r="S47" s="583"/>
      <c r="T47" s="440"/>
      <c r="U47" s="808" t="s">
        <v>81</v>
      </c>
      <c r="V47" s="809">
        <v>2.1100000000000001E-2</v>
      </c>
      <c r="W47" s="559"/>
      <c r="X47" s="559"/>
      <c r="Y47" s="559"/>
      <c r="Z47" s="559"/>
      <c r="AA47" s="559"/>
      <c r="AB47" s="559"/>
      <c r="AC47" s="440"/>
      <c r="AD47"/>
    </row>
    <row r="48" spans="4:30" ht="14.25" customHeight="1">
      <c r="D48" s="440"/>
      <c r="E48" s="668"/>
      <c r="F48" s="440"/>
      <c r="G48" s="667"/>
      <c r="H48" s="440"/>
      <c r="I48" s="440"/>
      <c r="J48" s="440"/>
      <c r="K48" s="22" t="s">
        <v>82</v>
      </c>
      <c r="L48"/>
      <c r="M48"/>
      <c r="N48" s="378">
        <f>IFERROR(_xlfn.XLOOKUP($K48,Multiples!$B:$B,Multiples!N:N),"")</f>
        <v>0.36837848766680142</v>
      </c>
      <c r="O48" s="378">
        <f>IFERROR(_xlfn.XLOOKUP($K48,Multiples!$B:$B,Multiples!O:O),"")</f>
        <v>0.3099395567494963</v>
      </c>
      <c r="P48" s="354">
        <f>IFERROR(_xlfn.XLOOKUP($K48,Multiples!$B:$B,Multiples!P:P),"")</f>
        <v>0.43097494022846006</v>
      </c>
      <c r="Q48" s="361">
        <f>IFERROR(_xlfn.XLOOKUP($K48,Multiples!$B:$B,Multiples!Q:Q),"")</f>
        <v>3180135.013628148</v>
      </c>
      <c r="R48" s="361">
        <f>IFERROR(_xlfn.XLOOKUP($K48,Multiples!$B:$B,Multiples!R:R),"")</f>
        <v>3180135.013628148</v>
      </c>
      <c r="S48" s="583"/>
      <c r="T48" s="440"/>
      <c r="U48" s="440"/>
      <c r="V48" s="440"/>
      <c r="W48" s="559"/>
      <c r="X48" s="559"/>
      <c r="Y48" s="559"/>
      <c r="Z48" s="559"/>
      <c r="AA48" s="559"/>
      <c r="AB48" s="559"/>
      <c r="AC48" s="440"/>
      <c r="AD48"/>
    </row>
    <row r="49" spans="4:35" ht="14.25" customHeight="1">
      <c r="D49" s="440"/>
      <c r="E49" s="440"/>
      <c r="F49" s="440"/>
      <c r="G49" s="440"/>
      <c r="H49" s="440"/>
      <c r="I49" s="440"/>
      <c r="J49" s="440"/>
      <c r="K49" s="18" t="s">
        <v>83</v>
      </c>
      <c r="L49"/>
      <c r="M49"/>
      <c r="N49" s="378">
        <f>IFERROR(_xlfn.XLOOKUP($K49,Multiples!$B:$B,Multiples!N:N),"")</f>
        <v>3.7857142857142891</v>
      </c>
      <c r="O49" s="378">
        <f>IFERROR(_xlfn.XLOOKUP($K49,Multiples!$B:$B,Multiples!O:O),"")</f>
        <v>1.1233480176211459</v>
      </c>
      <c r="P49" s="354">
        <f>IFERROR(_xlfn.XLOOKUP($K49,Multiples!$B:$B,Multiples!P:P),"")</f>
        <v>1.27120908483634</v>
      </c>
      <c r="Q49" s="361">
        <f>IFERROR(_xlfn.XLOOKUP($K49,Multiples!$B:$B,Multiples!Q:Q),"")</f>
        <v>1.6364382634135448</v>
      </c>
      <c r="R49" s="361">
        <f>IFERROR(_xlfn.XLOOKUP($K49,Multiples!$B:$B,Multiples!R:R),"")</f>
        <v>1.1478647192671898</v>
      </c>
      <c r="S49" s="583"/>
      <c r="T49" s="440"/>
      <c r="U49" s="684" t="s">
        <v>84</v>
      </c>
      <c r="V49" s="656"/>
      <c r="W49" s="559"/>
      <c r="X49" s="559"/>
      <c r="Y49" s="559"/>
      <c r="Z49" s="559"/>
      <c r="AA49" s="559"/>
      <c r="AB49" s="559"/>
      <c r="AC49" s="440"/>
      <c r="AD49"/>
      <c r="AE49" s="440"/>
      <c r="AF49" s="440"/>
      <c r="AG49" s="440"/>
      <c r="AH49" s="440"/>
      <c r="AI49" s="440"/>
    </row>
    <row r="50" spans="4:35" ht="14.25" customHeight="1">
      <c r="D50" s="440"/>
      <c r="E50" s="440"/>
      <c r="F50" s="440"/>
      <c r="G50" s="440"/>
      <c r="H50" s="440"/>
      <c r="I50" s="440"/>
      <c r="J50" s="440"/>
      <c r="K50" s="18" t="s">
        <v>85</v>
      </c>
      <c r="L50" s="440"/>
      <c r="M50" s="440"/>
      <c r="N50" s="378">
        <f>IFERROR(_xlfn.XLOOKUP($K50,Multiples!$B:$B,Multiples!N:N),"")</f>
        <v>4.5243902439024435</v>
      </c>
      <c r="O50" s="378">
        <f>IFERROR(_xlfn.XLOOKUP($K50,Multiples!$B:$B,Multiples!O:O),"")</f>
        <v>1.1521084337349403</v>
      </c>
      <c r="P50" s="354">
        <f>IFERROR(_xlfn.XLOOKUP($K50,Multiples!$B:$B,Multiples!P:P),"")</f>
        <v>1.3496453900709227</v>
      </c>
      <c r="Q50" s="361">
        <f>IFERROR(_xlfn.XLOOKUP($K50,Multiples!$B:$B,Multiples!Q:Q),"")</f>
        <v>1.7687658640940611</v>
      </c>
      <c r="R50" s="361">
        <f>IFERROR(_xlfn.XLOOKUP($K50,Multiples!$B:$B,Multiples!R:R),"")</f>
        <v>1.2145292638170453</v>
      </c>
      <c r="S50" s="583"/>
      <c r="T50" s="440"/>
      <c r="U50" s="1010" t="s">
        <v>86</v>
      </c>
      <c r="V50" s="1010"/>
      <c r="W50" s="559"/>
      <c r="X50" s="559"/>
      <c r="Y50" s="559"/>
      <c r="Z50" s="559"/>
      <c r="AA50" s="559"/>
      <c r="AB50" s="559"/>
      <c r="AC50" s="440"/>
      <c r="AD50"/>
      <c r="AE50" s="440"/>
      <c r="AF50" s="440"/>
      <c r="AG50" s="440"/>
      <c r="AH50" s="440"/>
      <c r="AI50" s="440"/>
    </row>
    <row r="51" spans="4:35" ht="14.25" customHeight="1">
      <c r="D51" s="440"/>
      <c r="E51" s="440"/>
      <c r="F51" s="440"/>
      <c r="G51" s="440"/>
      <c r="H51" s="440"/>
      <c r="I51" s="531"/>
      <c r="J51" s="440"/>
      <c r="K51" t="s">
        <v>87</v>
      </c>
      <c r="L51"/>
      <c r="M51"/>
      <c r="N51" s="378">
        <f>IFERROR(_xlfn.XLOOKUP($K50,Multiples!$B:$B,Multiples!N:N),"")</f>
        <v>4.5243902439024435</v>
      </c>
      <c r="O51" s="378">
        <f>IFERROR(_xlfn.XLOOKUP($K50,Multiples!$B:$B,Multiples!O:O),"")</f>
        <v>1.1521084337349403</v>
      </c>
      <c r="P51" s="354">
        <f>IFERROR(_xlfn.XLOOKUP($K50,Multiples!$B:$B,Multiples!P:P),"")</f>
        <v>1.3496453900709227</v>
      </c>
      <c r="Q51" s="361">
        <f>IFERROR(_xlfn.XLOOKUP($K50,Multiples!$B:$B,Multiples!Q:Q),"")</f>
        <v>1.7687658640940611</v>
      </c>
      <c r="R51" s="361">
        <f>IFERROR(_xlfn.XLOOKUP($K50,Multiples!$B:$B,Multiples!R:R),"")</f>
        <v>1.2145292638170453</v>
      </c>
      <c r="S51" s="583"/>
      <c r="T51" s="440"/>
      <c r="U51" s="1010"/>
      <c r="V51" s="1010"/>
      <c r="W51" s="559"/>
      <c r="X51" s="559"/>
      <c r="Y51" s="559"/>
      <c r="Z51" s="559"/>
      <c r="AA51" s="559"/>
      <c r="AB51" s="559"/>
      <c r="AC51" s="440"/>
      <c r="AD51"/>
      <c r="AE51" s="440"/>
      <c r="AF51" s="440"/>
      <c r="AG51" s="440"/>
      <c r="AH51" s="440"/>
      <c r="AI51" s="440"/>
    </row>
    <row r="52" spans="4:35">
      <c r="D52" s="440"/>
      <c r="E52" s="440"/>
      <c r="F52" s="440"/>
      <c r="G52" s="440"/>
      <c r="H52" s="440"/>
      <c r="I52" s="1"/>
      <c r="J52" s="440"/>
      <c r="K52" s="440"/>
      <c r="L52" s="440"/>
      <c r="M52" s="440"/>
      <c r="N52" s="440"/>
      <c r="O52" s="440"/>
      <c r="P52" s="440"/>
      <c r="Q52" s="440"/>
      <c r="R52" s="440"/>
      <c r="S52" s="657"/>
      <c r="T52" s="440"/>
      <c r="U52" s="1010"/>
      <c r="V52" s="1010"/>
      <c r="W52" s="559"/>
      <c r="X52" s="559"/>
      <c r="Y52" s="559"/>
      <c r="Z52" s="559"/>
      <c r="AA52" s="559"/>
      <c r="AB52" s="559"/>
      <c r="AC52" s="440"/>
      <c r="AD52"/>
      <c r="AE52" s="440"/>
      <c r="AF52" s="440"/>
      <c r="AG52" s="440"/>
      <c r="AH52" s="440"/>
      <c r="AI52" s="440"/>
    </row>
    <row r="53" spans="4:35" ht="15.6">
      <c r="D53" s="440"/>
      <c r="E53" s="440"/>
      <c r="F53" s="440"/>
      <c r="G53" s="440"/>
      <c r="H53" s="440"/>
      <c r="I53" s="668"/>
      <c r="J53" s="440"/>
      <c r="K53" s="7" t="s">
        <v>88</v>
      </c>
      <c r="L53" s="4"/>
      <c r="M53" s="4"/>
      <c r="N53" s="4">
        <v>2022</v>
      </c>
      <c r="O53" s="4">
        <f>+N53+1</f>
        <v>2023</v>
      </c>
      <c r="P53" s="353">
        <f>+O53+1</f>
        <v>2024</v>
      </c>
      <c r="Q53" s="5">
        <f>+P53+1</f>
        <v>2025</v>
      </c>
      <c r="R53" s="5">
        <f>+Q53+1</f>
        <v>2026</v>
      </c>
      <c r="S53" s="582"/>
      <c r="T53" s="669"/>
      <c r="U53" s="1010"/>
      <c r="V53" s="1010"/>
      <c r="W53" s="440"/>
      <c r="X53" s="440"/>
      <c r="Y53"/>
      <c r="Z53" s="440"/>
      <c r="AA53" s="440"/>
      <c r="AB53" s="440"/>
      <c r="AC53" s="440"/>
      <c r="AD53"/>
      <c r="AE53" s="440"/>
      <c r="AF53" s="440"/>
      <c r="AG53" s="440"/>
      <c r="AH53" s="440"/>
      <c r="AI53" s="440"/>
    </row>
    <row r="54" spans="4:35" ht="15.6">
      <c r="D54" s="440"/>
      <c r="E54" s="440"/>
      <c r="F54" s="440"/>
      <c r="G54" s="440"/>
      <c r="H54" s="440"/>
      <c r="I54" s="670"/>
      <c r="J54" s="671"/>
      <c r="K54" s="22" t="s">
        <v>89</v>
      </c>
      <c r="L54"/>
      <c r="M54"/>
      <c r="N54" s="378">
        <f>IFERROR(_xlfn.XLOOKUP($K54,Multiples!$B:$B,Multiples!N:N),"")</f>
        <v>0.95833333333332327</v>
      </c>
      <c r="O54" s="378">
        <f>IFERROR(_xlfn.XLOOKUP($K54,Multiples!$B:$B,Multiples!O:O),"")</f>
        <v>22.949999999999982</v>
      </c>
      <c r="P54" s="354">
        <f>IFERROR(_xlfn.XLOOKUP($K54,Multiples!$B:$B,Multiples!P:P),"")</f>
        <v>16.257142857142846</v>
      </c>
      <c r="Q54" s="361" t="str">
        <f>IFERROR(_xlfn.XLOOKUP($K54,Multiples!$B:$B,Multiples!Q:Q),"")</f>
        <v>N/A</v>
      </c>
      <c r="R54" s="361">
        <f>IFERROR(_xlfn.XLOOKUP($K54,Multiples!$B:$B,Multiples!R:R),"")</f>
        <v>0</v>
      </c>
      <c r="S54" s="583"/>
      <c r="T54" s="672"/>
      <c r="U54" s="1010"/>
      <c r="V54" s="1010"/>
      <c r="W54" s="440"/>
      <c r="X54" s="440"/>
      <c r="Y54"/>
      <c r="Z54" s="440"/>
      <c r="AA54" s="440"/>
      <c r="AB54" s="440"/>
      <c r="AC54" s="440"/>
      <c r="AD54"/>
      <c r="AE54" s="440"/>
      <c r="AF54" s="440"/>
      <c r="AG54" s="440"/>
      <c r="AH54" s="440"/>
      <c r="AI54" s="440"/>
    </row>
    <row r="55" spans="4:35" ht="15.6">
      <c r="D55" s="440"/>
      <c r="E55" s="440"/>
      <c r="F55" s="440"/>
      <c r="G55" s="440"/>
      <c r="H55" s="440"/>
      <c r="I55" s="673"/>
      <c r="J55" s="440"/>
      <c r="K55" s="18" t="s">
        <v>90</v>
      </c>
      <c r="L55" s="440"/>
      <c r="M55" s="440"/>
      <c r="N55" s="378">
        <f>IFERROR(_xlfn.XLOOKUP($K55,Multiples!$B:$B,Multiples!N:N),"")</f>
        <v>12.249999999999991</v>
      </c>
      <c r="O55" s="378">
        <f>IFERROR(_xlfn.XLOOKUP($K55,Multiples!$B:$B,Multiples!O:O),"")</f>
        <v>34.049999999999983</v>
      </c>
      <c r="P55" s="354">
        <f>IFERROR(_xlfn.XLOOKUP($K55,Multiples!$B:$B,Multiples!P:P),"")</f>
        <v>21.385714285714275</v>
      </c>
      <c r="Q55" s="361">
        <f>IFERROR(_xlfn.XLOOKUP($K55,Multiples!$B:$B,Multiples!Q:Q),"")</f>
        <v>15.791572654725346</v>
      </c>
      <c r="R55" s="361">
        <f>IFERROR(_xlfn.XLOOKUP($K55,Multiples!$B:$B,Multiples!R:R),"")</f>
        <v>21.822707734808592</v>
      </c>
      <c r="S55" s="583"/>
      <c r="T55" s="440"/>
      <c r="U55" s="1010"/>
      <c r="V55" s="1010"/>
      <c r="W55" s="440"/>
      <c r="X55" s="440"/>
      <c r="Y55"/>
      <c r="Z55" s="440"/>
      <c r="AA55" s="440"/>
      <c r="AB55" s="440"/>
      <c r="AC55" s="440"/>
      <c r="AD55"/>
      <c r="AE55" s="440"/>
      <c r="AF55" s="440"/>
      <c r="AG55" s="440"/>
      <c r="AH55" s="440"/>
      <c r="AI55" s="143"/>
    </row>
    <row r="56" spans="4:35" ht="15" customHeight="1">
      <c r="D56" s="440"/>
      <c r="E56" s="440"/>
      <c r="F56" s="440"/>
      <c r="G56" s="440"/>
      <c r="H56" s="440"/>
      <c r="I56" s="673"/>
      <c r="J56" s="440"/>
      <c r="K56" s="18" t="s">
        <v>91</v>
      </c>
      <c r="L56"/>
      <c r="M56"/>
      <c r="N56" s="378">
        <f>IFERROR(_xlfn.XLOOKUP($K56,Multiples!$B:$B,Multiples!N:N),"")</f>
        <v>14.249999999999989</v>
      </c>
      <c r="O56" s="378">
        <f>IFERROR(_xlfn.XLOOKUP($K56,Multiples!$B:$B,Multiples!O:O),"")</f>
        <v>34.899999999999984</v>
      </c>
      <c r="P56" s="354">
        <f>IFERROR(_xlfn.XLOOKUP($K56,Multiples!$B:$B,Multiples!P:P),"")</f>
        <v>22.628571428571416</v>
      </c>
      <c r="Q56" s="361">
        <f>IFERROR(_xlfn.XLOOKUP($K56,Multiples!$B:$B,Multiples!Q:Q),"")</f>
        <v>16.972995794323388</v>
      </c>
      <c r="R56" s="361">
        <f>IFERROR(_xlfn.XLOOKUP($K56,Multiples!$B:$B,Multiples!R:R),"")</f>
        <v>23.020538791932278</v>
      </c>
      <c r="S56" s="583"/>
      <c r="T56" s="440"/>
      <c r="U56" s="1010"/>
      <c r="V56" s="1010"/>
      <c r="W56" s="440"/>
      <c r="X56" s="440"/>
      <c r="Y56" s="440"/>
      <c r="Z56" s="440"/>
      <c r="AA56" s="440"/>
      <c r="AB56" s="440"/>
      <c r="AC56" s="440"/>
      <c r="AD56" s="440"/>
      <c r="AE56" s="440"/>
      <c r="AF56" s="440"/>
      <c r="AG56" s="440"/>
      <c r="AH56" s="440"/>
      <c r="AI56" s="674"/>
    </row>
    <row r="57" spans="4:35" ht="14.25" customHeight="1">
      <c r="D57" s="440"/>
      <c r="E57" s="440"/>
      <c r="F57" s="440"/>
      <c r="G57" s="440"/>
      <c r="H57" s="440"/>
      <c r="I57" s="673"/>
      <c r="J57" s="440"/>
      <c r="K57" s="440"/>
      <c r="L57" s="440"/>
      <c r="M57" s="440"/>
      <c r="N57" s="440"/>
      <c r="O57" s="440"/>
      <c r="P57" s="440"/>
      <c r="Q57" s="440"/>
      <c r="R57" s="440"/>
      <c r="S57" s="657"/>
      <c r="T57" s="440"/>
      <c r="U57" s="1010"/>
      <c r="V57" s="1010"/>
      <c r="W57" s="440"/>
      <c r="X57" s="440"/>
      <c r="Y57" s="440"/>
      <c r="Z57" s="440"/>
      <c r="AA57" s="440"/>
      <c r="AB57" s="440"/>
      <c r="AC57" s="440"/>
      <c r="AD57" s="440"/>
      <c r="AE57" s="440"/>
      <c r="AF57" s="440"/>
      <c r="AG57" s="440"/>
      <c r="AH57" s="440"/>
      <c r="AI57" s="440"/>
    </row>
    <row r="58" spans="4:35" ht="14.25" customHeight="1">
      <c r="D58" s="558" t="s">
        <v>92</v>
      </c>
      <c r="E58" s="4"/>
      <c r="F58" s="4"/>
      <c r="G58" s="4"/>
      <c r="H58" s="4"/>
      <c r="I58" s="4"/>
      <c r="J58" s="440"/>
      <c r="K58" s="558" t="s">
        <v>93</v>
      </c>
      <c r="L58" s="4"/>
      <c r="M58" s="4"/>
      <c r="N58" s="4"/>
      <c r="O58" s="4"/>
      <c r="P58" s="4"/>
      <c r="Q58" s="4"/>
      <c r="R58" s="4"/>
      <c r="S58" s="585"/>
      <c r="T58" s="440"/>
      <c r="U58" s="1011"/>
      <c r="V58" s="1011"/>
      <c r="W58" s="440"/>
      <c r="X58" s="440"/>
      <c r="Y58" s="440"/>
      <c r="Z58" s="440"/>
      <c r="AA58" s="440"/>
      <c r="AB58" s="440"/>
      <c r="AC58" s="440"/>
      <c r="AD58" s="440"/>
      <c r="AE58" s="440"/>
      <c r="AF58" s="440"/>
      <c r="AG58" s="440"/>
      <c r="AH58" s="440"/>
      <c r="AI58" s="440"/>
    </row>
    <row r="59" spans="4:35" ht="14.25" customHeight="1">
      <c r="D59" s="440"/>
      <c r="E59" s="440"/>
      <c r="F59" s="440"/>
      <c r="G59" s="440"/>
      <c r="H59" s="440"/>
      <c r="I59" s="673"/>
      <c r="J59" s="440"/>
      <c r="K59" s="440"/>
      <c r="L59" s="440"/>
      <c r="M59" s="440"/>
      <c r="N59" s="440"/>
      <c r="O59" s="440"/>
      <c r="P59" s="440"/>
      <c r="Q59" s="440"/>
      <c r="R59" s="440"/>
      <c r="S59" s="657"/>
      <c r="T59" s="440"/>
      <c r="U59" s="440"/>
      <c r="V59" s="440"/>
      <c r="W59" s="440"/>
      <c r="X59" s="440"/>
      <c r="Y59" s="440"/>
      <c r="Z59" s="440"/>
      <c r="AA59" s="440"/>
      <c r="AB59" s="440"/>
      <c r="AC59" s="440"/>
      <c r="AD59" s="440"/>
      <c r="AE59" s="440"/>
      <c r="AF59" s="440"/>
      <c r="AG59" s="440"/>
      <c r="AH59" s="440"/>
      <c r="AI59" s="440"/>
    </row>
    <row r="60" spans="4:35" ht="14.25" customHeight="1" thickBot="1">
      <c r="D60" s="440"/>
      <c r="E60" s="440"/>
      <c r="F60" s="440"/>
      <c r="G60" s="440"/>
      <c r="H60" s="440"/>
      <c r="I60" s="673"/>
      <c r="J60" s="440"/>
      <c r="K60" s="440"/>
      <c r="L60" s="440"/>
      <c r="M60" s="440"/>
      <c r="N60" s="440"/>
      <c r="O60" s="440"/>
      <c r="P60" s="440"/>
      <c r="Q60" s="440"/>
      <c r="R60" s="440"/>
      <c r="S60" s="657"/>
      <c r="T60" s="440"/>
      <c r="U60" s="662" t="s">
        <v>94</v>
      </c>
      <c r="V60" s="656"/>
      <c r="W60" s="440"/>
      <c r="X60" s="440"/>
      <c r="Y60" s="440"/>
      <c r="Z60" s="440"/>
      <c r="AA60" s="440"/>
      <c r="AB60" s="440"/>
      <c r="AC60" s="440"/>
      <c r="AD60" s="440"/>
      <c r="AE60" s="440"/>
      <c r="AF60" s="440"/>
      <c r="AG60" s="440"/>
      <c r="AH60" s="440"/>
      <c r="AI60" s="440"/>
    </row>
    <row r="61" spans="4:35" ht="14.25" customHeight="1" thickTop="1">
      <c r="D61" s="440"/>
      <c r="E61" s="440"/>
      <c r="F61" s="440"/>
      <c r="G61" s="440"/>
      <c r="H61" s="440"/>
      <c r="I61" s="673"/>
      <c r="J61" s="440"/>
      <c r="K61" s="440"/>
      <c r="L61" s="440"/>
      <c r="M61" s="440"/>
      <c r="N61" s="440"/>
      <c r="O61" s="440"/>
      <c r="P61" s="440"/>
      <c r="Q61" s="440"/>
      <c r="R61" s="440"/>
      <c r="S61" s="657"/>
      <c r="T61" s="440"/>
      <c r="U61" s="47" t="s">
        <v>95</v>
      </c>
      <c r="V61" s="677">
        <f>ESG!C14</f>
        <v>45</v>
      </c>
      <c r="W61" s="440"/>
      <c r="X61" s="440"/>
      <c r="Y61" s="440"/>
      <c r="Z61" s="440"/>
      <c r="AA61" s="440"/>
      <c r="AB61" s="440"/>
      <c r="AC61" s="440"/>
      <c r="AD61" s="440"/>
      <c r="AE61" s="440"/>
      <c r="AF61" s="440"/>
      <c r="AG61" s="440"/>
      <c r="AH61" s="440"/>
      <c r="AI61" s="440"/>
    </row>
    <row r="62" spans="4:35" ht="14.25" customHeight="1">
      <c r="D62" s="440"/>
      <c r="E62" s="440"/>
      <c r="F62" s="440"/>
      <c r="G62" s="440"/>
      <c r="H62" s="440"/>
      <c r="I62" s="673"/>
      <c r="J62" s="440"/>
      <c r="K62" s="440"/>
      <c r="L62" s="440"/>
      <c r="M62" s="440"/>
      <c r="N62" s="440"/>
      <c r="O62" s="440"/>
      <c r="P62" s="440"/>
      <c r="Q62" s="440"/>
      <c r="R62" s="440"/>
      <c r="S62" s="657"/>
      <c r="T62" s="440"/>
      <c r="U62" s="25" t="s">
        <v>96</v>
      </c>
      <c r="V62" s="676">
        <f>ESG!C15</f>
        <v>49</v>
      </c>
      <c r="W62" s="440"/>
      <c r="X62" s="440"/>
      <c r="Y62" s="440"/>
      <c r="Z62" s="440"/>
      <c r="AA62" s="440"/>
      <c r="AB62" s="440"/>
      <c r="AC62" s="440"/>
      <c r="AD62" s="440"/>
      <c r="AE62" s="440"/>
      <c r="AF62" s="440"/>
      <c r="AG62" s="440"/>
      <c r="AH62" s="440"/>
      <c r="AI62" s="440"/>
    </row>
    <row r="63" spans="4:35">
      <c r="D63" s="440"/>
      <c r="E63" s="440"/>
      <c r="F63" s="440"/>
      <c r="G63" s="440"/>
      <c r="H63" s="440"/>
      <c r="I63" s="440"/>
      <c r="J63" s="440"/>
      <c r="K63" s="440"/>
      <c r="L63" s="440"/>
      <c r="M63" s="440"/>
      <c r="N63" s="440"/>
      <c r="O63" s="440"/>
      <c r="P63" s="440"/>
      <c r="Q63" s="440"/>
      <c r="R63" s="440"/>
      <c r="S63" s="657"/>
      <c r="T63" s="440"/>
      <c r="U63" s="25" t="s">
        <v>97</v>
      </c>
      <c r="V63" s="676">
        <f>ESG!C16</f>
        <v>50</v>
      </c>
      <c r="W63" s="440"/>
      <c r="X63" s="440"/>
      <c r="Y63" s="440"/>
      <c r="Z63" s="440"/>
      <c r="AA63" s="440"/>
      <c r="AB63" s="440"/>
      <c r="AC63" s="440"/>
      <c r="AD63" s="440"/>
      <c r="AE63" s="440"/>
      <c r="AF63" s="440"/>
      <c r="AG63" s="440"/>
      <c r="AH63" s="440"/>
      <c r="AI63" s="440"/>
    </row>
    <row r="64" spans="4:35">
      <c r="D64" s="440"/>
      <c r="E64" s="440"/>
      <c r="F64" s="440"/>
      <c r="G64" s="440"/>
      <c r="H64" s="440"/>
      <c r="I64" s="440"/>
      <c r="J64" s="440"/>
      <c r="K64" s="440"/>
      <c r="L64" s="440"/>
      <c r="M64" s="440"/>
      <c r="N64" s="440"/>
      <c r="O64" s="440"/>
      <c r="P64" s="440"/>
      <c r="Q64" s="440"/>
      <c r="R64" s="440"/>
      <c r="S64" s="657"/>
      <c r="T64" s="440"/>
      <c r="U64" s="25" t="s">
        <v>98</v>
      </c>
      <c r="V64" s="676">
        <f>ESG!C17</f>
        <v>39</v>
      </c>
      <c r="W64" s="440"/>
      <c r="X64" s="440"/>
      <c r="Y64" s="440"/>
      <c r="Z64" s="440"/>
      <c r="AA64" s="440"/>
      <c r="AB64" s="440"/>
      <c r="AC64" s="440"/>
      <c r="AD64" s="440"/>
      <c r="AE64" s="440"/>
      <c r="AF64" s="440"/>
      <c r="AG64" s="440"/>
      <c r="AH64" s="440"/>
      <c r="AI64" s="440"/>
    </row>
    <row r="65" spans="4:22">
      <c r="D65" s="440"/>
      <c r="E65" s="440"/>
      <c r="F65" s="440"/>
      <c r="G65" s="440"/>
      <c r="H65" s="440"/>
      <c r="I65" s="440"/>
      <c r="J65" s="440"/>
      <c r="K65" s="440"/>
      <c r="L65" s="440"/>
      <c r="M65" s="440"/>
      <c r="N65" s="440"/>
      <c r="O65" s="440"/>
      <c r="P65" s="440"/>
      <c r="Q65" s="440"/>
      <c r="R65" s="440"/>
      <c r="S65" s="657"/>
      <c r="T65" s="440"/>
      <c r="U65" s="23" t="s">
        <v>99</v>
      </c>
      <c r="V65" s="678">
        <f>ESG!C18</f>
        <v>26</v>
      </c>
    </row>
    <row r="66" spans="4:22">
      <c r="D66" s="440"/>
      <c r="E66" s="440"/>
      <c r="F66" s="440"/>
      <c r="G66" s="440"/>
      <c r="H66" s="440"/>
      <c r="I66" s="440"/>
      <c r="J66" s="440"/>
      <c r="K66" s="440"/>
      <c r="L66" s="440"/>
      <c r="M66" s="440"/>
      <c r="N66" s="440"/>
      <c r="O66" s="440"/>
      <c r="P66" s="440"/>
      <c r="Q66" s="440"/>
      <c r="R66" s="440"/>
      <c r="S66" s="657"/>
      <c r="T66" s="440"/>
      <c r="U66" s="25" t="s">
        <v>100</v>
      </c>
      <c r="V66" s="44">
        <f>ESG!C19</f>
        <v>16</v>
      </c>
    </row>
    <row r="67" spans="4:22">
      <c r="D67" s="440"/>
      <c r="E67" s="440"/>
      <c r="F67" s="440"/>
      <c r="G67" s="440"/>
      <c r="H67" s="440"/>
      <c r="I67" s="440"/>
      <c r="J67" s="440"/>
      <c r="K67" s="440"/>
      <c r="L67" s="440"/>
      <c r="M67" s="440"/>
      <c r="N67" s="440"/>
      <c r="O67" s="440"/>
      <c r="P67" s="440"/>
      <c r="Q67" s="440"/>
      <c r="R67" s="440"/>
      <c r="S67" s="657"/>
      <c r="T67" s="440"/>
      <c r="U67" s="25" t="s">
        <v>101</v>
      </c>
      <c r="V67" s="44">
        <f>ESG!C20</f>
        <v>28</v>
      </c>
    </row>
    <row r="68" spans="4:22">
      <c r="D68" s="440"/>
      <c r="E68" s="440"/>
      <c r="F68" s="440"/>
      <c r="G68" s="440"/>
      <c r="H68" s="440"/>
      <c r="I68" s="440"/>
      <c r="J68" s="440"/>
      <c r="K68" s="440"/>
      <c r="L68" s="440"/>
      <c r="M68" s="440"/>
      <c r="N68" s="440"/>
      <c r="O68" s="440"/>
      <c r="P68" s="440"/>
      <c r="Q68" s="440"/>
      <c r="R68" s="440"/>
      <c r="S68" s="657"/>
      <c r="T68" s="440"/>
      <c r="U68" s="25" t="s">
        <v>102</v>
      </c>
      <c r="V68" s="44">
        <f>ESG!C21</f>
        <v>33</v>
      </c>
    </row>
    <row r="69" spans="4:22">
      <c r="D69" s="440"/>
      <c r="E69" s="440"/>
      <c r="F69" s="440"/>
      <c r="G69" s="440"/>
      <c r="H69" s="440"/>
      <c r="I69" s="440"/>
      <c r="J69" s="440"/>
      <c r="K69" s="440"/>
      <c r="L69" s="440"/>
      <c r="M69" s="440"/>
      <c r="N69" s="440"/>
      <c r="O69" s="440"/>
      <c r="P69" s="440"/>
      <c r="Q69" s="440"/>
      <c r="R69" s="440"/>
      <c r="S69" s="657"/>
      <c r="T69" s="440"/>
      <c r="U69" s="23" t="s">
        <v>103</v>
      </c>
      <c r="V69" s="49">
        <f>ESG!C22</f>
        <v>21.5</v>
      </c>
    </row>
    <row r="70" spans="4:22">
      <c r="D70" s="440"/>
      <c r="E70" s="440"/>
      <c r="F70" s="440"/>
      <c r="G70" s="440"/>
      <c r="H70" s="440"/>
      <c r="I70" s="440"/>
      <c r="J70" s="440"/>
      <c r="K70" s="440"/>
      <c r="L70" s="440"/>
      <c r="M70" s="440"/>
      <c r="N70" s="440"/>
      <c r="O70" s="440"/>
      <c r="P70" s="440"/>
      <c r="Q70" s="440"/>
      <c r="R70" s="440"/>
      <c r="S70" s="657"/>
      <c r="T70" s="440"/>
      <c r="U70" s="23" t="s">
        <v>104</v>
      </c>
      <c r="V70" s="50" t="str">
        <f>ESG!C23</f>
        <v>C-</v>
      </c>
    </row>
    <row r="71" spans="4:22">
      <c r="D71" s="440"/>
      <c r="E71" s="440"/>
      <c r="F71" s="440"/>
      <c r="G71" s="440"/>
      <c r="H71" s="440"/>
      <c r="I71" s="440"/>
      <c r="J71" s="440"/>
      <c r="K71" s="440"/>
      <c r="L71" s="440"/>
      <c r="M71" s="440"/>
      <c r="N71" s="440"/>
      <c r="O71" s="440"/>
      <c r="P71" s="440"/>
      <c r="Q71" s="440"/>
      <c r="R71" s="440"/>
      <c r="S71" s="657"/>
      <c r="T71" s="440"/>
      <c r="U71" s="25" t="s">
        <v>105</v>
      </c>
      <c r="V71" s="44">
        <f>ESG!C24</f>
        <v>0.2</v>
      </c>
    </row>
    <row r="72" spans="4:22">
      <c r="D72" s="440"/>
      <c r="E72" s="440"/>
      <c r="F72" s="440"/>
      <c r="G72" s="440"/>
      <c r="H72" s="440"/>
      <c r="I72" s="440"/>
      <c r="J72" s="440"/>
      <c r="K72" s="440"/>
      <c r="L72" s="440"/>
      <c r="M72" s="440"/>
      <c r="N72" s="440"/>
      <c r="O72" s="440"/>
      <c r="P72" s="440"/>
      <c r="Q72" s="440"/>
      <c r="R72" s="440"/>
      <c r="S72" s="657"/>
      <c r="T72" s="440"/>
      <c r="U72" s="25" t="s">
        <v>106</v>
      </c>
      <c r="V72" s="43">
        <f>ESG!C25</f>
        <v>7</v>
      </c>
    </row>
    <row r="73" spans="4:22">
      <c r="D73" s="440"/>
      <c r="E73" s="440"/>
      <c r="F73" s="440"/>
      <c r="G73" s="440"/>
      <c r="H73" s="440"/>
      <c r="I73" s="440"/>
      <c r="J73" s="440"/>
      <c r="K73" s="440"/>
      <c r="L73" s="440"/>
      <c r="M73" s="440"/>
      <c r="N73" s="440"/>
      <c r="O73" s="440"/>
      <c r="P73" s="440"/>
      <c r="Q73" s="440"/>
      <c r="R73" s="440"/>
      <c r="S73" s="657"/>
      <c r="T73" s="440"/>
      <c r="U73" s="23" t="s">
        <v>107</v>
      </c>
      <c r="V73" s="697" t="str">
        <f>ESG!C26</f>
        <v>BBB</v>
      </c>
    </row>
    <row r="75" spans="4:22">
      <c r="D75" s="440"/>
      <c r="E75" s="440"/>
      <c r="F75" s="440"/>
      <c r="G75" s="440"/>
      <c r="H75" s="440"/>
      <c r="I75" s="440"/>
      <c r="J75" s="440"/>
      <c r="K75" s="440"/>
      <c r="L75" s="440"/>
      <c r="M75" s="440"/>
      <c r="N75" s="440"/>
      <c r="O75" s="440"/>
      <c r="P75" s="440"/>
      <c r="Q75" s="440"/>
      <c r="R75" s="440"/>
      <c r="S75" s="657"/>
      <c r="T75" s="440"/>
      <c r="U75" s="1025" t="s">
        <v>108</v>
      </c>
      <c r="V75" s="1025"/>
    </row>
    <row r="76" spans="4:22">
      <c r="D76" s="440"/>
      <c r="E76" s="440"/>
      <c r="F76" s="440"/>
      <c r="G76" s="440"/>
      <c r="H76" s="440"/>
      <c r="I76" s="440"/>
      <c r="J76" s="440"/>
      <c r="K76" s="440"/>
      <c r="L76" s="440"/>
      <c r="M76" s="440"/>
      <c r="N76" s="440"/>
      <c r="O76" s="440"/>
      <c r="P76" s="440"/>
      <c r="Q76" s="440"/>
      <c r="R76" s="440"/>
      <c r="S76" s="657"/>
      <c r="T76" s="440"/>
      <c r="U76" s="1025"/>
      <c r="V76" s="1025"/>
    </row>
    <row r="77" spans="4:22">
      <c r="D77" s="440"/>
      <c r="E77" s="440"/>
      <c r="F77" s="440"/>
      <c r="G77" s="440"/>
      <c r="H77" s="440"/>
      <c r="I77" s="440"/>
      <c r="J77" s="440"/>
      <c r="K77" s="440"/>
      <c r="L77" s="440"/>
      <c r="M77" s="440"/>
      <c r="N77" s="440"/>
      <c r="O77" s="440"/>
      <c r="P77" s="440"/>
      <c r="Q77" s="440"/>
      <c r="R77" s="440"/>
      <c r="S77" s="657"/>
      <c r="T77" s="440"/>
      <c r="U77" s="1025"/>
      <c r="V77" s="1025"/>
    </row>
    <row r="78" spans="4:22">
      <c r="D78" s="440"/>
      <c r="E78" s="440"/>
      <c r="F78" s="440"/>
      <c r="G78" s="440"/>
      <c r="H78" s="440"/>
      <c r="I78" s="440"/>
      <c r="J78" s="440"/>
      <c r="K78" s="440"/>
      <c r="L78" s="440"/>
      <c r="M78" s="440"/>
      <c r="N78" s="440"/>
      <c r="O78" s="440"/>
      <c r="P78" s="440"/>
      <c r="Q78" s="440"/>
      <c r="R78" s="440"/>
      <c r="S78" s="657"/>
      <c r="T78" s="440"/>
      <c r="U78" s="1025"/>
      <c r="V78" s="1025"/>
    </row>
    <row r="79" spans="4:22">
      <c r="D79" s="440"/>
      <c r="E79" s="440"/>
      <c r="F79" s="440"/>
      <c r="G79" s="440"/>
      <c r="H79" s="440"/>
      <c r="I79" s="440"/>
      <c r="J79" s="440"/>
      <c r="K79" s="440"/>
      <c r="L79" s="440"/>
      <c r="M79" s="440"/>
      <c r="N79" s="440"/>
      <c r="O79" s="440"/>
      <c r="P79" s="440"/>
      <c r="Q79" s="440"/>
      <c r="R79" s="440"/>
      <c r="S79" s="657"/>
      <c r="T79" s="440"/>
      <c r="U79" s="1025"/>
      <c r="V79" s="1025"/>
    </row>
    <row r="80" spans="4:22" ht="14.25" customHeight="1">
      <c r="D80" s="687" t="s">
        <v>109</v>
      </c>
      <c r="E80" s="68"/>
      <c r="F80" s="67"/>
      <c r="G80" s="67"/>
      <c r="H80" s="67"/>
      <c r="I80" s="67"/>
      <c r="J80" s="67"/>
      <c r="K80" s="67"/>
      <c r="L80" s="67"/>
      <c r="M80" s="67"/>
      <c r="N80" s="67"/>
      <c r="O80" s="67"/>
      <c r="P80" s="67"/>
      <c r="Q80" s="67"/>
      <c r="R80" s="67"/>
      <c r="S80" s="657"/>
      <c r="T80" s="440"/>
      <c r="U80" s="1025"/>
      <c r="V80" s="1025"/>
    </row>
    <row r="81" spans="4:22" ht="3.95" customHeight="1">
      <c r="D81" s="69"/>
      <c r="E81" s="69"/>
      <c r="F81" s="69"/>
      <c r="G81" s="69"/>
      <c r="H81" s="69"/>
      <c r="I81" s="69"/>
      <c r="J81" s="69"/>
      <c r="K81" s="69"/>
      <c r="L81" s="69"/>
      <c r="M81" s="69"/>
      <c r="N81" s="69"/>
      <c r="O81" s="69"/>
      <c r="P81" s="69"/>
      <c r="Q81" s="69"/>
      <c r="R81" s="69"/>
      <c r="S81" s="657"/>
      <c r="T81" s="440"/>
      <c r="U81" s="1025"/>
      <c r="V81" s="1025"/>
    </row>
    <row r="82" spans="4:22">
      <c r="D82" s="1026"/>
      <c r="E82" s="1026"/>
      <c r="F82" s="1026"/>
      <c r="G82" s="1026"/>
      <c r="H82" s="1026"/>
      <c r="I82" s="1026"/>
      <c r="J82" s="1026"/>
      <c r="K82" s="1026"/>
      <c r="L82" s="1026"/>
      <c r="M82" s="1026"/>
      <c r="N82" s="1026"/>
      <c r="O82" s="1026"/>
      <c r="P82" s="1026"/>
      <c r="Q82" s="1026"/>
      <c r="R82" s="1026"/>
      <c r="S82" s="657"/>
      <c r="T82" s="440"/>
      <c r="U82" s="1025"/>
      <c r="V82" s="1025"/>
    </row>
    <row r="83" spans="4:22">
      <c r="D83" s="1026"/>
      <c r="E83" s="1026"/>
      <c r="F83" s="1026"/>
      <c r="G83" s="1026"/>
      <c r="H83" s="1026"/>
      <c r="I83" s="1026"/>
      <c r="J83" s="1026"/>
      <c r="K83" s="1026"/>
      <c r="L83" s="1026"/>
      <c r="M83" s="1026"/>
      <c r="N83" s="1026"/>
      <c r="O83" s="1026"/>
      <c r="P83" s="1026"/>
      <c r="Q83" s="1026"/>
      <c r="R83" s="1026"/>
      <c r="S83" s="657"/>
      <c r="T83" s="440"/>
      <c r="U83" s="1025"/>
      <c r="V83" s="1025"/>
    </row>
    <row r="84" spans="4:22">
      <c r="D84" s="1026"/>
      <c r="E84" s="1026"/>
      <c r="F84" s="1026"/>
      <c r="G84" s="1026"/>
      <c r="H84" s="1026"/>
      <c r="I84" s="1026"/>
      <c r="J84" s="1026"/>
      <c r="K84" s="1026"/>
      <c r="L84" s="1026"/>
      <c r="M84" s="1026"/>
      <c r="N84" s="1026"/>
      <c r="O84" s="1026"/>
      <c r="P84" s="1026"/>
      <c r="Q84" s="1026"/>
      <c r="R84" s="1026"/>
      <c r="S84" s="657"/>
      <c r="T84" s="440"/>
      <c r="U84" s="1025"/>
      <c r="V84" s="1025"/>
    </row>
    <row r="85" spans="4:22">
      <c r="D85" s="1026"/>
      <c r="E85" s="1026"/>
      <c r="F85" s="1026"/>
      <c r="G85" s="1026"/>
      <c r="H85" s="1026"/>
      <c r="I85" s="1026"/>
      <c r="J85" s="1026"/>
      <c r="K85" s="1026"/>
      <c r="L85" s="1026"/>
      <c r="M85" s="1026"/>
      <c r="N85" s="1026"/>
      <c r="O85" s="1026"/>
      <c r="P85" s="1026"/>
      <c r="Q85" s="1026"/>
      <c r="R85" s="1026"/>
      <c r="S85" s="657"/>
      <c r="T85" s="440"/>
      <c r="U85" s="1025"/>
      <c r="V85" s="1025"/>
    </row>
    <row r="86" spans="4:22">
      <c r="D86" s="1026"/>
      <c r="E86" s="1026"/>
      <c r="F86" s="1026"/>
      <c r="G86" s="1026"/>
      <c r="H86" s="1026"/>
      <c r="I86" s="1026"/>
      <c r="J86" s="1026"/>
      <c r="K86" s="1026"/>
      <c r="L86" s="1026"/>
      <c r="M86" s="1026"/>
      <c r="N86" s="1026"/>
      <c r="O86" s="1026"/>
      <c r="P86" s="1026"/>
      <c r="Q86" s="1026"/>
      <c r="R86" s="1026"/>
      <c r="S86" s="657"/>
      <c r="T86" s="440"/>
      <c r="U86" s="1025"/>
      <c r="V86" s="1025"/>
    </row>
    <row r="87" spans="4:22">
      <c r="D87" s="1027"/>
      <c r="E87" s="1027"/>
      <c r="F87" s="1027"/>
      <c r="G87" s="1027"/>
      <c r="H87" s="1027"/>
      <c r="I87" s="1027"/>
      <c r="J87" s="1027"/>
      <c r="K87" s="1027"/>
      <c r="L87" s="1027"/>
      <c r="M87" s="1027"/>
      <c r="N87" s="1027"/>
      <c r="O87" s="1027"/>
      <c r="P87" s="1027"/>
      <c r="Q87" s="1027"/>
      <c r="R87" s="1027"/>
      <c r="S87" s="657"/>
      <c r="T87" s="440"/>
      <c r="U87" s="1025"/>
      <c r="V87" s="1025"/>
    </row>
    <row r="88" spans="4:22">
      <c r="D88" s="1027"/>
      <c r="E88" s="1027"/>
      <c r="F88" s="1027"/>
      <c r="G88" s="1027"/>
      <c r="H88" s="1027"/>
      <c r="I88" s="1027"/>
      <c r="J88" s="1027"/>
      <c r="K88" s="1027"/>
      <c r="L88" s="1027"/>
      <c r="M88" s="1027"/>
      <c r="N88" s="1027"/>
      <c r="O88" s="1027"/>
      <c r="P88" s="1027"/>
      <c r="Q88" s="1027"/>
      <c r="R88" s="1027"/>
      <c r="S88" s="657"/>
      <c r="T88" s="440"/>
      <c r="U88" s="1025"/>
      <c r="V88" s="1025"/>
    </row>
    <row r="89" spans="4:22">
      <c r="D89" s="440"/>
      <c r="E89" s="440"/>
      <c r="F89" s="440"/>
      <c r="G89" s="440"/>
      <c r="H89" s="440"/>
      <c r="I89" s="440"/>
      <c r="J89" s="440"/>
      <c r="K89" s="440"/>
      <c r="L89" s="440"/>
      <c r="M89" s="440"/>
      <c r="N89" s="440"/>
      <c r="O89" s="440"/>
      <c r="P89" s="440"/>
      <c r="Q89" s="440"/>
      <c r="R89" s="440"/>
      <c r="S89" s="657"/>
      <c r="T89" s="440"/>
      <c r="U89" s="1025"/>
      <c r="V89" s="1025"/>
    </row>
    <row r="90" spans="4:22">
      <c r="D90" s="440"/>
      <c r="E90" s="440"/>
      <c r="F90" s="440"/>
      <c r="G90" s="440"/>
      <c r="H90" s="440"/>
      <c r="I90" s="440"/>
      <c r="J90" s="440"/>
      <c r="K90" s="440"/>
      <c r="L90" s="440"/>
      <c r="M90" s="440"/>
      <c r="N90" s="440"/>
      <c r="O90" s="440"/>
      <c r="P90" s="440"/>
      <c r="Q90" s="440"/>
      <c r="R90" s="440"/>
      <c r="S90" s="657"/>
      <c r="T90" s="440"/>
      <c r="U90" s="1025"/>
      <c r="V90" s="1025"/>
    </row>
    <row r="91" spans="4:22">
      <c r="D91" s="440"/>
      <c r="E91" s="440"/>
      <c r="F91" s="440"/>
      <c r="G91" s="440"/>
      <c r="H91" s="440"/>
      <c r="I91" s="440"/>
      <c r="J91" s="440"/>
      <c r="K91" s="440"/>
      <c r="L91" s="440"/>
      <c r="M91" s="440"/>
      <c r="N91" s="440"/>
      <c r="O91" s="440"/>
      <c r="P91" s="440"/>
      <c r="Q91" s="440"/>
      <c r="R91" s="440"/>
      <c r="S91" s="657"/>
      <c r="T91" s="440"/>
      <c r="U91" s="1025"/>
      <c r="V91" s="1025"/>
    </row>
    <row r="92" spans="4:22">
      <c r="D92" s="440"/>
      <c r="E92" s="440"/>
      <c r="F92" s="440"/>
      <c r="G92" s="440"/>
      <c r="H92" s="440"/>
      <c r="I92" s="440"/>
      <c r="J92" s="440"/>
      <c r="K92" s="440"/>
      <c r="L92" s="440"/>
      <c r="M92" s="440"/>
      <c r="N92" s="440"/>
      <c r="O92" s="440"/>
      <c r="P92" s="440"/>
      <c r="Q92" s="440"/>
      <c r="R92" s="440"/>
      <c r="S92" s="657"/>
      <c r="T92" s="440"/>
      <c r="U92" s="1025"/>
      <c r="V92" s="1025"/>
    </row>
    <row r="93" spans="4:22">
      <c r="D93" s="440"/>
      <c r="E93" s="440"/>
      <c r="F93" s="440"/>
      <c r="G93" s="440"/>
      <c r="H93" s="440"/>
      <c r="I93" s="440"/>
      <c r="J93" s="440"/>
      <c r="K93" s="440"/>
      <c r="L93" s="440"/>
      <c r="M93" s="440"/>
      <c r="N93" s="440"/>
      <c r="O93" s="440"/>
      <c r="P93" s="440"/>
      <c r="Q93" s="440"/>
      <c r="R93" s="440"/>
      <c r="S93" s="657"/>
      <c r="T93" s="440"/>
      <c r="U93" s="1025"/>
      <c r="V93" s="1025"/>
    </row>
    <row r="94" spans="4:22">
      <c r="D94" s="440"/>
      <c r="E94" s="440"/>
      <c r="F94" s="440"/>
      <c r="G94" s="440"/>
      <c r="H94" s="440"/>
      <c r="I94" s="440"/>
      <c r="J94" s="440"/>
      <c r="K94" s="440"/>
      <c r="L94" s="440"/>
      <c r="M94" s="440"/>
      <c r="N94" s="440"/>
      <c r="O94" s="440"/>
      <c r="P94" s="440"/>
      <c r="Q94" s="440"/>
      <c r="R94" s="440"/>
      <c r="S94" s="657"/>
      <c r="T94" s="440"/>
      <c r="U94" s="1025"/>
      <c r="V94" s="1025"/>
    </row>
    <row r="95" spans="4:22">
      <c r="D95" s="814"/>
      <c r="E95" s="814"/>
      <c r="F95" s="814"/>
      <c r="G95" s="814"/>
      <c r="H95" s="814"/>
      <c r="I95" s="440"/>
      <c r="J95" s="440"/>
      <c r="K95" s="440"/>
      <c r="L95" s="440"/>
      <c r="M95" s="440"/>
      <c r="N95" s="440"/>
      <c r="O95" s="440"/>
      <c r="P95" s="440"/>
      <c r="Q95" s="440"/>
      <c r="R95" s="440"/>
      <c r="S95" s="657"/>
      <c r="T95" s="440"/>
      <c r="U95" s="1025"/>
      <c r="V95" s="1025"/>
    </row>
    <row r="96" spans="4:22">
      <c r="D96" s="814"/>
      <c r="E96" s="814"/>
      <c r="F96" s="814"/>
      <c r="G96" s="814"/>
      <c r="H96" s="814"/>
      <c r="I96" s="440"/>
      <c r="J96" s="440"/>
      <c r="K96" s="440"/>
      <c r="L96" s="440"/>
      <c r="M96" s="440"/>
      <c r="N96" s="440"/>
      <c r="O96" s="440"/>
      <c r="P96" s="440"/>
      <c r="Q96" s="440"/>
      <c r="R96" s="440"/>
      <c r="S96" s="657"/>
      <c r="T96" s="440"/>
      <c r="U96" s="1025"/>
      <c r="V96" s="1025"/>
    </row>
    <row r="97" spans="4:22">
      <c r="D97" s="814"/>
      <c r="E97" s="814"/>
      <c r="F97" s="814"/>
      <c r="G97" s="814"/>
      <c r="H97" s="814"/>
      <c r="I97" s="440"/>
      <c r="J97" s="440"/>
      <c r="K97" s="440"/>
      <c r="L97" s="440"/>
      <c r="M97" s="440"/>
      <c r="N97" s="440"/>
      <c r="O97" s="440"/>
      <c r="P97" s="440"/>
      <c r="Q97" s="440"/>
      <c r="R97" s="440"/>
      <c r="S97" s="657"/>
      <c r="T97" s="440"/>
      <c r="U97" s="1025"/>
      <c r="V97" s="1025"/>
    </row>
    <row r="98" spans="4:22">
      <c r="D98" s="814"/>
      <c r="E98" s="814"/>
      <c r="F98" s="814"/>
      <c r="G98" s="814"/>
      <c r="H98" s="814"/>
      <c r="I98" s="440"/>
      <c r="J98" s="440"/>
      <c r="K98" s="440"/>
      <c r="L98" s="440"/>
      <c r="M98" s="440"/>
      <c r="N98" s="440"/>
      <c r="O98" s="440"/>
      <c r="P98" s="440"/>
      <c r="Q98" s="440"/>
      <c r="R98" s="440"/>
      <c r="S98" s="657"/>
      <c r="T98" s="440"/>
      <c r="U98" s="1025"/>
      <c r="V98" s="1025"/>
    </row>
    <row r="99" spans="4:22">
      <c r="D99" s="814"/>
      <c r="E99" s="814"/>
      <c r="F99" s="814"/>
      <c r="G99" s="814"/>
      <c r="H99" s="814"/>
      <c r="I99" s="440"/>
      <c r="J99" s="440"/>
      <c r="K99" s="440"/>
      <c r="L99" s="440"/>
      <c r="M99" s="440"/>
      <c r="N99" s="440"/>
      <c r="O99" s="440"/>
      <c r="P99" s="440"/>
      <c r="Q99" s="440"/>
      <c r="R99" s="440"/>
      <c r="S99" s="657"/>
      <c r="T99" s="440"/>
      <c r="U99" s="440"/>
      <c r="V99" s="440"/>
    </row>
    <row r="100" spans="4:22">
      <c r="D100" s="814"/>
      <c r="E100" s="814"/>
      <c r="F100" s="814"/>
      <c r="G100" s="814"/>
      <c r="H100" s="814"/>
      <c r="I100" s="440"/>
      <c r="J100" s="440"/>
      <c r="K100" s="440"/>
      <c r="L100" s="440"/>
      <c r="M100" s="440"/>
      <c r="N100" s="440"/>
      <c r="O100" s="440"/>
      <c r="P100" s="440"/>
      <c r="Q100" s="440"/>
      <c r="R100" s="440"/>
      <c r="S100" s="657"/>
      <c r="T100" s="440"/>
      <c r="U100" s="440"/>
      <c r="V100" s="440"/>
    </row>
    <row r="101" spans="4:22">
      <c r="D101" s="814"/>
      <c r="E101" s="814"/>
      <c r="F101" s="814"/>
      <c r="G101" s="814"/>
      <c r="H101" s="814"/>
      <c r="I101" s="440"/>
      <c r="J101" s="440"/>
      <c r="K101" s="440"/>
      <c r="L101" s="440"/>
      <c r="M101" s="440"/>
      <c r="N101" s="440"/>
      <c r="O101" s="440"/>
      <c r="P101" s="440"/>
      <c r="Q101" s="440"/>
      <c r="R101" s="440"/>
      <c r="S101" s="657"/>
      <c r="T101" s="440"/>
      <c r="U101" s="440"/>
      <c r="V101" s="440"/>
    </row>
    <row r="102" spans="4:22">
      <c r="D102" s="814"/>
      <c r="E102" s="814"/>
      <c r="F102" s="814"/>
      <c r="G102" s="814"/>
      <c r="H102" s="814"/>
      <c r="I102" s="440"/>
      <c r="J102" s="440"/>
      <c r="K102" s="440"/>
      <c r="L102" s="440"/>
      <c r="M102" s="440"/>
      <c r="N102" s="440"/>
      <c r="O102" s="440"/>
      <c r="P102" s="440"/>
      <c r="Q102" s="440"/>
      <c r="R102" s="440"/>
      <c r="S102" s="657"/>
      <c r="T102" s="440"/>
      <c r="U102" s="440"/>
      <c r="V102" s="440"/>
    </row>
    <row r="103" spans="4:22">
      <c r="D103" s="814"/>
      <c r="E103" s="814"/>
      <c r="F103" s="814"/>
      <c r="G103" s="814"/>
      <c r="H103" s="814"/>
      <c r="I103" s="440"/>
      <c r="J103" s="440"/>
      <c r="K103" s="440"/>
      <c r="L103" s="440"/>
      <c r="M103" s="440"/>
      <c r="N103" s="440"/>
      <c r="O103" s="440"/>
      <c r="P103" s="440"/>
      <c r="Q103" s="440"/>
      <c r="R103" s="440"/>
      <c r="S103" s="657"/>
      <c r="T103" s="440"/>
      <c r="U103" s="440"/>
      <c r="V103" s="440"/>
    </row>
    <row r="104" spans="4:22">
      <c r="D104" s="814"/>
      <c r="E104" s="814"/>
      <c r="F104" s="814"/>
      <c r="G104" s="814"/>
      <c r="H104" s="814"/>
      <c r="I104" s="440"/>
      <c r="J104" s="440"/>
      <c r="K104" s="440"/>
      <c r="L104" s="440"/>
      <c r="M104" s="440"/>
      <c r="N104" s="440"/>
      <c r="O104" s="440"/>
      <c r="P104" s="440"/>
      <c r="Q104" s="440"/>
      <c r="R104" s="440"/>
      <c r="S104" s="657"/>
      <c r="T104" s="440"/>
      <c r="U104" s="440"/>
      <c r="V104" s="440"/>
    </row>
    <row r="1048576" spans="4:18">
      <c r="D1048576" s="698"/>
      <c r="E1048576" s="698"/>
      <c r="F1048576" s="698"/>
      <c r="G1048576" s="698"/>
      <c r="H1048576" s="698"/>
      <c r="I1048576" s="698"/>
      <c r="J1048576" s="698"/>
      <c r="K1048576" s="698"/>
      <c r="L1048576" s="698"/>
      <c r="M1048576" s="698"/>
      <c r="N1048576" s="698"/>
      <c r="O1048576" s="698"/>
      <c r="P1048576" s="698"/>
      <c r="Q1048576" s="698"/>
      <c r="R1048576" s="698"/>
    </row>
  </sheetData>
  <dataConsolidate/>
  <mergeCells count="19">
    <mergeCell ref="U75:V98"/>
    <mergeCell ref="D86:R86"/>
    <mergeCell ref="D87:R87"/>
    <mergeCell ref="D88:R88"/>
    <mergeCell ref="D82:R82"/>
    <mergeCell ref="D83:R83"/>
    <mergeCell ref="D84:R84"/>
    <mergeCell ref="D85:R85"/>
    <mergeCell ref="U50:V58"/>
    <mergeCell ref="D8:R9"/>
    <mergeCell ref="D11:R15"/>
    <mergeCell ref="D37:F39"/>
    <mergeCell ref="G37:I39"/>
    <mergeCell ref="G41:I44"/>
    <mergeCell ref="D41:F44"/>
    <mergeCell ref="D18:E18"/>
    <mergeCell ref="D19:E19"/>
    <mergeCell ref="D20:E20"/>
    <mergeCell ref="D21:E21"/>
  </mergeCells>
  <conditionalFormatting sqref="E26:E33">
    <cfRule type="dataBar" priority="78">
      <dataBar>
        <cfvo type="min"/>
        <cfvo type="max"/>
        <color rgb="FF63C384"/>
      </dataBar>
      <extLst>
        <ext xmlns:x14="http://schemas.microsoft.com/office/spreadsheetml/2009/9/main" uri="{B025F937-C7B1-47D3-B67F-A62EFF666E3E}">
          <x14:id>{6034C8ED-898D-4A6B-9795-FAAD4BA0B7C6}</x14:id>
        </ext>
      </extLst>
    </cfRule>
  </conditionalFormatting>
  <conditionalFormatting sqref="F26">
    <cfRule type="dataBar" priority="87">
      <dataBar>
        <cfvo type="min"/>
        <cfvo type="max"/>
        <color rgb="FF63C384"/>
      </dataBar>
      <extLst>
        <ext xmlns:x14="http://schemas.microsoft.com/office/spreadsheetml/2009/9/main" uri="{B025F937-C7B1-47D3-B67F-A62EFF666E3E}">
          <x14:id>{5C1B9785-691E-492F-86A6-D7F00A0F45D6}</x14:id>
        </ext>
      </extLst>
    </cfRule>
  </conditionalFormatting>
  <conditionalFormatting sqref="F26:F33">
    <cfRule type="dataBar" priority="79">
      <dataBar>
        <cfvo type="min"/>
        <cfvo type="max"/>
        <color rgb="FF638EC6"/>
      </dataBar>
      <extLst>
        <ext xmlns:x14="http://schemas.microsoft.com/office/spreadsheetml/2009/9/main" uri="{B025F937-C7B1-47D3-B67F-A62EFF666E3E}">
          <x14:id>{F2A4872A-9911-4779-9E97-55F97D88D42B}</x14:id>
        </ext>
      </extLst>
    </cfRule>
  </conditionalFormatting>
  <conditionalFormatting sqref="F27">
    <cfRule type="dataBar" priority="86">
      <dataBar>
        <cfvo type="min"/>
        <cfvo type="max"/>
        <color rgb="FF63C384"/>
      </dataBar>
      <extLst>
        <ext xmlns:x14="http://schemas.microsoft.com/office/spreadsheetml/2009/9/main" uri="{B025F937-C7B1-47D3-B67F-A62EFF666E3E}">
          <x14:id>{698A8913-4860-4E6B-89DE-351099BE7444}</x14:id>
        </ext>
      </extLst>
    </cfRule>
  </conditionalFormatting>
  <conditionalFormatting sqref="F28">
    <cfRule type="dataBar" priority="85">
      <dataBar>
        <cfvo type="min"/>
        <cfvo type="max"/>
        <color rgb="FF63C384"/>
      </dataBar>
      <extLst>
        <ext xmlns:x14="http://schemas.microsoft.com/office/spreadsheetml/2009/9/main" uri="{B025F937-C7B1-47D3-B67F-A62EFF666E3E}">
          <x14:id>{CD4F52E4-75BF-4044-903E-27BCE1DEBDD0}</x14:id>
        </ext>
      </extLst>
    </cfRule>
  </conditionalFormatting>
  <conditionalFormatting sqref="F29">
    <cfRule type="dataBar" priority="84">
      <dataBar>
        <cfvo type="min"/>
        <cfvo type="max"/>
        <color rgb="FF63C384"/>
      </dataBar>
      <extLst>
        <ext xmlns:x14="http://schemas.microsoft.com/office/spreadsheetml/2009/9/main" uri="{B025F937-C7B1-47D3-B67F-A62EFF666E3E}">
          <x14:id>{5D7253A4-1DD1-496F-9A17-1808714854B2}</x14:id>
        </ext>
      </extLst>
    </cfRule>
  </conditionalFormatting>
  <conditionalFormatting sqref="F30">
    <cfRule type="dataBar" priority="83">
      <dataBar>
        <cfvo type="min"/>
        <cfvo type="max"/>
        <color rgb="FF63C384"/>
      </dataBar>
      <extLst>
        <ext xmlns:x14="http://schemas.microsoft.com/office/spreadsheetml/2009/9/main" uri="{B025F937-C7B1-47D3-B67F-A62EFF666E3E}">
          <x14:id>{7A209642-74F3-42D0-8EC8-402BBDCBCD84}</x14:id>
        </ext>
      </extLst>
    </cfRule>
  </conditionalFormatting>
  <conditionalFormatting sqref="F31">
    <cfRule type="dataBar" priority="82">
      <dataBar>
        <cfvo type="min"/>
        <cfvo type="max"/>
        <color rgb="FF63C384"/>
      </dataBar>
      <extLst>
        <ext xmlns:x14="http://schemas.microsoft.com/office/spreadsheetml/2009/9/main" uri="{B025F937-C7B1-47D3-B67F-A62EFF666E3E}">
          <x14:id>{5395343B-6F95-4DBC-A7D5-46BCF270AEE2}</x14:id>
        </ext>
      </extLst>
    </cfRule>
  </conditionalFormatting>
  <conditionalFormatting sqref="F32">
    <cfRule type="dataBar" priority="81">
      <dataBar>
        <cfvo type="min"/>
        <cfvo type="max"/>
        <color rgb="FF63C384"/>
      </dataBar>
      <extLst>
        <ext xmlns:x14="http://schemas.microsoft.com/office/spreadsheetml/2009/9/main" uri="{B025F937-C7B1-47D3-B67F-A62EFF666E3E}">
          <x14:id>{331607CE-926B-492F-83A0-EEEBC8F23CB9}</x14:id>
        </ext>
      </extLst>
    </cfRule>
  </conditionalFormatting>
  <conditionalFormatting sqref="F33">
    <cfRule type="dataBar" priority="80">
      <dataBar>
        <cfvo type="min"/>
        <cfvo type="max"/>
        <color rgb="FF63C384"/>
      </dataBar>
      <extLst>
        <ext xmlns:x14="http://schemas.microsoft.com/office/spreadsheetml/2009/9/main" uri="{B025F937-C7B1-47D3-B67F-A62EFF666E3E}">
          <x14:id>{B3BE3EFD-9295-49D0-80FA-AA2A09587925}</x14:id>
        </ext>
      </extLst>
    </cfRule>
  </conditionalFormatting>
  <conditionalFormatting sqref="G26">
    <cfRule type="dataBar" priority="47">
      <dataBar>
        <cfvo type="min"/>
        <cfvo type="max"/>
        <color rgb="FF63C384"/>
      </dataBar>
      <extLst>
        <ext xmlns:x14="http://schemas.microsoft.com/office/spreadsheetml/2009/9/main" uri="{B025F937-C7B1-47D3-B67F-A62EFF666E3E}">
          <x14:id>{DC21537E-450A-4B7D-B57A-602AB269E3A7}</x14:id>
        </ext>
      </extLst>
    </cfRule>
    <cfRule type="dataBar" priority="46">
      <dataBar>
        <cfvo type="min"/>
        <cfvo type="max"/>
        <color rgb="FF638EC6"/>
      </dataBar>
      <extLst>
        <ext xmlns:x14="http://schemas.microsoft.com/office/spreadsheetml/2009/9/main" uri="{B025F937-C7B1-47D3-B67F-A62EFF666E3E}">
          <x14:id>{C695950A-A57C-4000-82FA-EEEC979F92EE}</x14:id>
        </ext>
      </extLst>
    </cfRule>
  </conditionalFormatting>
  <conditionalFormatting sqref="G26:G33">
    <cfRule type="dataBar" priority="18">
      <dataBar>
        <cfvo type="min"/>
        <cfvo type="max"/>
        <color rgb="FF63C384"/>
      </dataBar>
      <extLst>
        <ext xmlns:x14="http://schemas.microsoft.com/office/spreadsheetml/2009/9/main" uri="{B025F937-C7B1-47D3-B67F-A62EFF666E3E}">
          <x14:id>{469A3700-94FB-4A26-89CA-0DEB48A710E1}</x14:id>
        </ext>
      </extLst>
    </cfRule>
    <cfRule type="dataBar" priority="31">
      <dataBar>
        <cfvo type="min"/>
        <cfvo type="max"/>
        <color rgb="FFFF555A"/>
      </dataBar>
      <extLst>
        <ext xmlns:x14="http://schemas.microsoft.com/office/spreadsheetml/2009/9/main" uri="{B025F937-C7B1-47D3-B67F-A62EFF666E3E}">
          <x14:id>{BD160036-CACD-4A1C-B17D-8DC22AA977F1}</x14:id>
        </ext>
      </extLst>
    </cfRule>
  </conditionalFormatting>
  <conditionalFormatting sqref="G27">
    <cfRule type="dataBar" priority="45">
      <dataBar>
        <cfvo type="min"/>
        <cfvo type="max"/>
        <color rgb="FF63C384"/>
      </dataBar>
      <extLst>
        <ext xmlns:x14="http://schemas.microsoft.com/office/spreadsheetml/2009/9/main" uri="{B025F937-C7B1-47D3-B67F-A62EFF666E3E}">
          <x14:id>{EDD674A5-5F26-4D7C-BB8C-9EB544E0C1EA}</x14:id>
        </ext>
      </extLst>
    </cfRule>
    <cfRule type="dataBar" priority="44">
      <dataBar>
        <cfvo type="min"/>
        <cfvo type="max"/>
        <color rgb="FF638EC6"/>
      </dataBar>
      <extLst>
        <ext xmlns:x14="http://schemas.microsoft.com/office/spreadsheetml/2009/9/main" uri="{B025F937-C7B1-47D3-B67F-A62EFF666E3E}">
          <x14:id>{ACDAEC63-EC7C-4930-B523-BD3737F80DBA}</x14:id>
        </ext>
      </extLst>
    </cfRule>
    <cfRule type="dataBar" priority="30">
      <dataBar>
        <cfvo type="min"/>
        <cfvo type="max"/>
        <color rgb="FF63C384"/>
      </dataBar>
      <extLst>
        <ext xmlns:x14="http://schemas.microsoft.com/office/spreadsheetml/2009/9/main" uri="{B025F937-C7B1-47D3-B67F-A62EFF666E3E}">
          <x14:id>{29F200BB-F60A-473B-88DC-B2D1E5801962}</x14:id>
        </ext>
      </extLst>
    </cfRule>
    <cfRule type="dataBar" priority="29">
      <dataBar>
        <cfvo type="min"/>
        <cfvo type="max"/>
        <color rgb="FF638EC6"/>
      </dataBar>
      <extLst>
        <ext xmlns:x14="http://schemas.microsoft.com/office/spreadsheetml/2009/9/main" uri="{B025F937-C7B1-47D3-B67F-A62EFF666E3E}">
          <x14:id>{C09674FF-A7BB-4895-BD55-F0D68FE13326}</x14:id>
        </ext>
      </extLst>
    </cfRule>
  </conditionalFormatting>
  <conditionalFormatting sqref="G28">
    <cfRule type="dataBar" priority="42">
      <dataBar>
        <cfvo type="min"/>
        <cfvo type="max"/>
        <color rgb="FF638EC6"/>
      </dataBar>
      <extLst>
        <ext xmlns:x14="http://schemas.microsoft.com/office/spreadsheetml/2009/9/main" uri="{B025F937-C7B1-47D3-B67F-A62EFF666E3E}">
          <x14:id>{9E51552C-D55A-4DE8-B38D-5F54A7BF7D7E}</x14:id>
        </ext>
      </extLst>
    </cfRule>
    <cfRule type="dataBar" priority="27">
      <dataBar>
        <cfvo type="min"/>
        <cfvo type="max"/>
        <color rgb="FF638EC6"/>
      </dataBar>
      <extLst>
        <ext xmlns:x14="http://schemas.microsoft.com/office/spreadsheetml/2009/9/main" uri="{B025F937-C7B1-47D3-B67F-A62EFF666E3E}">
          <x14:id>{90A849CA-1BBD-4A6B-B32C-EF0B82FA4DF0}</x14:id>
        </ext>
      </extLst>
    </cfRule>
    <cfRule type="dataBar" priority="28">
      <dataBar>
        <cfvo type="min"/>
        <cfvo type="max"/>
        <color rgb="FF63C384"/>
      </dataBar>
      <extLst>
        <ext xmlns:x14="http://schemas.microsoft.com/office/spreadsheetml/2009/9/main" uri="{B025F937-C7B1-47D3-B67F-A62EFF666E3E}">
          <x14:id>{248F9205-0A71-4DDD-9B75-2F0220EB6FCE}</x14:id>
        </ext>
      </extLst>
    </cfRule>
    <cfRule type="dataBar" priority="43">
      <dataBar>
        <cfvo type="min"/>
        <cfvo type="max"/>
        <color rgb="FF63C384"/>
      </dataBar>
      <extLst>
        <ext xmlns:x14="http://schemas.microsoft.com/office/spreadsheetml/2009/9/main" uri="{B025F937-C7B1-47D3-B67F-A62EFF666E3E}">
          <x14:id>{9CB31363-0C52-411E-B5C4-729617AF0F42}</x14:id>
        </ext>
      </extLst>
    </cfRule>
  </conditionalFormatting>
  <conditionalFormatting sqref="G29">
    <cfRule type="dataBar" priority="41">
      <dataBar>
        <cfvo type="min"/>
        <cfvo type="max"/>
        <color rgb="FF63C384"/>
      </dataBar>
      <extLst>
        <ext xmlns:x14="http://schemas.microsoft.com/office/spreadsheetml/2009/9/main" uri="{B025F937-C7B1-47D3-B67F-A62EFF666E3E}">
          <x14:id>{D0D5D0DC-42F4-49CB-9DF2-D549D897E0FF}</x14:id>
        </ext>
      </extLst>
    </cfRule>
    <cfRule type="dataBar" priority="40">
      <dataBar>
        <cfvo type="min"/>
        <cfvo type="max"/>
        <color rgb="FF638EC6"/>
      </dataBar>
      <extLst>
        <ext xmlns:x14="http://schemas.microsoft.com/office/spreadsheetml/2009/9/main" uri="{B025F937-C7B1-47D3-B67F-A62EFF666E3E}">
          <x14:id>{8E3BA3B1-F742-4FC4-8FB1-A0CAE20CCE57}</x14:id>
        </ext>
      </extLst>
    </cfRule>
  </conditionalFormatting>
  <conditionalFormatting sqref="G30">
    <cfRule type="dataBar" priority="39">
      <dataBar>
        <cfvo type="min"/>
        <cfvo type="max"/>
        <color rgb="FF63C384"/>
      </dataBar>
      <extLst>
        <ext xmlns:x14="http://schemas.microsoft.com/office/spreadsheetml/2009/9/main" uri="{B025F937-C7B1-47D3-B67F-A62EFF666E3E}">
          <x14:id>{5199E6A7-9290-4150-80D6-2857642814AB}</x14:id>
        </ext>
      </extLst>
    </cfRule>
    <cfRule type="dataBar" priority="38">
      <dataBar>
        <cfvo type="min"/>
        <cfvo type="max"/>
        <color rgb="FF638EC6"/>
      </dataBar>
      <extLst>
        <ext xmlns:x14="http://schemas.microsoft.com/office/spreadsheetml/2009/9/main" uri="{B025F937-C7B1-47D3-B67F-A62EFF666E3E}">
          <x14:id>{6214BE10-A170-484F-941E-6F5EF007B533}</x14:id>
        </ext>
      </extLst>
    </cfRule>
    <cfRule type="dataBar" priority="25">
      <dataBar>
        <cfvo type="min"/>
        <cfvo type="max"/>
        <color rgb="FF638EC6"/>
      </dataBar>
      <extLst>
        <ext xmlns:x14="http://schemas.microsoft.com/office/spreadsheetml/2009/9/main" uri="{B025F937-C7B1-47D3-B67F-A62EFF666E3E}">
          <x14:id>{2D2BBCA1-8BCA-4D14-BA9F-299A5839FFAA}</x14:id>
        </ext>
      </extLst>
    </cfRule>
    <cfRule type="dataBar" priority="26">
      <dataBar>
        <cfvo type="min"/>
        <cfvo type="max"/>
        <color rgb="FF63C384"/>
      </dataBar>
      <extLst>
        <ext xmlns:x14="http://schemas.microsoft.com/office/spreadsheetml/2009/9/main" uri="{B025F937-C7B1-47D3-B67F-A62EFF666E3E}">
          <x14:id>{2DEA7D45-6052-40F8-8FF3-D03FD6BC715F}</x14:id>
        </ext>
      </extLst>
    </cfRule>
  </conditionalFormatting>
  <conditionalFormatting sqref="G31">
    <cfRule type="dataBar" priority="23">
      <dataBar>
        <cfvo type="min"/>
        <cfvo type="max"/>
        <color rgb="FF638EC6"/>
      </dataBar>
      <extLst>
        <ext xmlns:x14="http://schemas.microsoft.com/office/spreadsheetml/2009/9/main" uri="{B025F937-C7B1-47D3-B67F-A62EFF666E3E}">
          <x14:id>{C8253A93-34C8-47F2-9A4D-B0B179E989E5}</x14:id>
        </ext>
      </extLst>
    </cfRule>
    <cfRule type="dataBar" priority="36">
      <dataBar>
        <cfvo type="min"/>
        <cfvo type="max"/>
        <color rgb="FF638EC6"/>
      </dataBar>
      <extLst>
        <ext xmlns:x14="http://schemas.microsoft.com/office/spreadsheetml/2009/9/main" uri="{B025F937-C7B1-47D3-B67F-A62EFF666E3E}">
          <x14:id>{3BBB7504-0E23-4F4F-8D48-50EB7F1974E7}</x14:id>
        </ext>
      </extLst>
    </cfRule>
    <cfRule type="dataBar" priority="37">
      <dataBar>
        <cfvo type="min"/>
        <cfvo type="max"/>
        <color rgb="FF63C384"/>
      </dataBar>
      <extLst>
        <ext xmlns:x14="http://schemas.microsoft.com/office/spreadsheetml/2009/9/main" uri="{B025F937-C7B1-47D3-B67F-A62EFF666E3E}">
          <x14:id>{4BD9B04B-1D50-4F22-AE9A-36635C8EB195}</x14:id>
        </ext>
      </extLst>
    </cfRule>
    <cfRule type="dataBar" priority="24">
      <dataBar>
        <cfvo type="min"/>
        <cfvo type="max"/>
        <color rgb="FF63C384"/>
      </dataBar>
      <extLst>
        <ext xmlns:x14="http://schemas.microsoft.com/office/spreadsheetml/2009/9/main" uri="{B025F937-C7B1-47D3-B67F-A62EFF666E3E}">
          <x14:id>{11591B90-F748-479E-B43B-5B632A7D2078}</x14:id>
        </ext>
      </extLst>
    </cfRule>
  </conditionalFormatting>
  <conditionalFormatting sqref="G32">
    <cfRule type="dataBar" priority="34">
      <dataBar>
        <cfvo type="min"/>
        <cfvo type="max"/>
        <color rgb="FF638EC6"/>
      </dataBar>
      <extLst>
        <ext xmlns:x14="http://schemas.microsoft.com/office/spreadsheetml/2009/9/main" uri="{B025F937-C7B1-47D3-B67F-A62EFF666E3E}">
          <x14:id>{F3DEFCCF-EF13-4C0A-A500-BCFAB9EBBCF7}</x14:id>
        </ext>
      </extLst>
    </cfRule>
    <cfRule type="dataBar" priority="35">
      <dataBar>
        <cfvo type="min"/>
        <cfvo type="max"/>
        <color rgb="FF63C384"/>
      </dataBar>
      <extLst>
        <ext xmlns:x14="http://schemas.microsoft.com/office/spreadsheetml/2009/9/main" uri="{B025F937-C7B1-47D3-B67F-A62EFF666E3E}">
          <x14:id>{01AD74CC-99AB-45E3-A94C-50D6EB7EE4CC}</x14:id>
        </ext>
      </extLst>
    </cfRule>
    <cfRule type="dataBar" priority="22">
      <dataBar>
        <cfvo type="min"/>
        <cfvo type="max"/>
        <color rgb="FF63C384"/>
      </dataBar>
      <extLst>
        <ext xmlns:x14="http://schemas.microsoft.com/office/spreadsheetml/2009/9/main" uri="{B025F937-C7B1-47D3-B67F-A62EFF666E3E}">
          <x14:id>{11CAD6A3-68E8-439C-A66F-99B0BAE55713}</x14:id>
        </ext>
      </extLst>
    </cfRule>
    <cfRule type="dataBar" priority="21">
      <dataBar>
        <cfvo type="min"/>
        <cfvo type="max"/>
        <color rgb="FF638EC6"/>
      </dataBar>
      <extLst>
        <ext xmlns:x14="http://schemas.microsoft.com/office/spreadsheetml/2009/9/main" uri="{B025F937-C7B1-47D3-B67F-A62EFF666E3E}">
          <x14:id>{BE4A62C0-0DCE-4A50-BCFB-24698F0286BA}</x14:id>
        </ext>
      </extLst>
    </cfRule>
  </conditionalFormatting>
  <conditionalFormatting sqref="G33">
    <cfRule type="dataBar" priority="32">
      <dataBar>
        <cfvo type="min"/>
        <cfvo type="max"/>
        <color rgb="FF638EC6"/>
      </dataBar>
      <extLst>
        <ext xmlns:x14="http://schemas.microsoft.com/office/spreadsheetml/2009/9/main" uri="{B025F937-C7B1-47D3-B67F-A62EFF666E3E}">
          <x14:id>{E6CC772F-C8B8-454B-AC0A-4C0AFC3A51E4}</x14:id>
        </ext>
      </extLst>
    </cfRule>
    <cfRule type="dataBar" priority="20">
      <dataBar>
        <cfvo type="min"/>
        <cfvo type="max"/>
        <color rgb="FF63C384"/>
      </dataBar>
      <extLst>
        <ext xmlns:x14="http://schemas.microsoft.com/office/spreadsheetml/2009/9/main" uri="{B025F937-C7B1-47D3-B67F-A62EFF666E3E}">
          <x14:id>{6CC95D6E-ACC5-4CC6-87D4-F0C4F48D7FC3}</x14:id>
        </ext>
      </extLst>
    </cfRule>
    <cfRule type="dataBar" priority="19">
      <dataBar>
        <cfvo type="min"/>
        <cfvo type="max"/>
        <color rgb="FF638EC6"/>
      </dataBar>
      <extLst>
        <ext xmlns:x14="http://schemas.microsoft.com/office/spreadsheetml/2009/9/main" uri="{B025F937-C7B1-47D3-B67F-A62EFF666E3E}">
          <x14:id>{6CB346AD-5C09-4119-A373-DF43861A612A}</x14:id>
        </ext>
      </extLst>
    </cfRule>
    <cfRule type="dataBar" priority="33">
      <dataBar>
        <cfvo type="min"/>
        <cfvo type="max"/>
        <color rgb="FF63C384"/>
      </dataBar>
      <extLst>
        <ext xmlns:x14="http://schemas.microsoft.com/office/spreadsheetml/2009/9/main" uri="{B025F937-C7B1-47D3-B67F-A62EFF666E3E}">
          <x14:id>{035AE87E-B909-45CD-A96D-A0E8E0B284D2}</x14:id>
        </ext>
      </extLst>
    </cfRule>
  </conditionalFormatting>
  <conditionalFormatting sqref="H26">
    <cfRule type="dataBar" priority="17">
      <dataBar>
        <cfvo type="min"/>
        <cfvo type="max"/>
        <color rgb="FF63C384"/>
      </dataBar>
      <extLst>
        <ext xmlns:x14="http://schemas.microsoft.com/office/spreadsheetml/2009/9/main" uri="{B025F937-C7B1-47D3-B67F-A62EFF666E3E}">
          <x14:id>{81594E5B-B329-4515-A327-1F20655C3B35}</x14:id>
        </ext>
      </extLst>
    </cfRule>
    <cfRule type="dataBar" priority="15">
      <dataBar>
        <cfvo type="min"/>
        <cfvo type="max"/>
        <color rgb="FFFF555A"/>
      </dataBar>
      <extLst>
        <ext xmlns:x14="http://schemas.microsoft.com/office/spreadsheetml/2009/9/main" uri="{B025F937-C7B1-47D3-B67F-A62EFF666E3E}">
          <x14:id>{468844F9-F2F4-4C23-AFA9-7DE1F6CB4BB7}</x14:id>
        </ext>
      </extLst>
    </cfRule>
    <cfRule type="dataBar" priority="16">
      <dataBar>
        <cfvo type="min"/>
        <cfvo type="max"/>
        <color rgb="FF638EC6"/>
      </dataBar>
      <extLst>
        <ext xmlns:x14="http://schemas.microsoft.com/office/spreadsheetml/2009/9/main" uri="{B025F937-C7B1-47D3-B67F-A62EFF666E3E}">
          <x14:id>{8952AC92-4F6C-40AF-9634-847C6B460212}</x14:id>
        </ext>
      </extLst>
    </cfRule>
  </conditionalFormatting>
  <conditionalFormatting sqref="H26:H33">
    <cfRule type="dataBar" priority="8">
      <dataBar>
        <cfvo type="min"/>
        <cfvo type="max"/>
        <color rgb="FF63C384"/>
      </dataBar>
      <extLst>
        <ext xmlns:x14="http://schemas.microsoft.com/office/spreadsheetml/2009/9/main" uri="{B025F937-C7B1-47D3-B67F-A62EFF666E3E}">
          <x14:id>{9BB4FC6B-0919-4EC7-B8DC-107707F869D5}</x14:id>
        </ext>
      </extLst>
    </cfRule>
  </conditionalFormatting>
  <conditionalFormatting sqref="H27">
    <cfRule type="dataBar" priority="14">
      <dataBar>
        <cfvo type="min"/>
        <cfvo type="max"/>
        <color rgb="FF63C384"/>
      </dataBar>
      <extLst>
        <ext xmlns:x14="http://schemas.microsoft.com/office/spreadsheetml/2009/9/main" uri="{B025F937-C7B1-47D3-B67F-A62EFF666E3E}">
          <x14:id>{F6C9405D-EF6D-4B47-863C-C870C4AAC5B9}</x14:id>
        </ext>
      </extLst>
    </cfRule>
    <cfRule type="dataBar" priority="13">
      <dataBar>
        <cfvo type="min"/>
        <cfvo type="max"/>
        <color rgb="FF638EC6"/>
      </dataBar>
      <extLst>
        <ext xmlns:x14="http://schemas.microsoft.com/office/spreadsheetml/2009/9/main" uri="{B025F937-C7B1-47D3-B67F-A62EFF666E3E}">
          <x14:id>{E94D7EC1-1EF8-4A41-876B-B422735DDB39}</x14:id>
        </ext>
      </extLst>
    </cfRule>
    <cfRule type="dataBar" priority="12">
      <dataBar>
        <cfvo type="min"/>
        <cfvo type="max"/>
        <color rgb="FFFF555A"/>
      </dataBar>
      <extLst>
        <ext xmlns:x14="http://schemas.microsoft.com/office/spreadsheetml/2009/9/main" uri="{B025F937-C7B1-47D3-B67F-A62EFF666E3E}">
          <x14:id>{47D2F64D-A4B2-467E-8ED7-8FCBDF84C89D}</x14:id>
        </ext>
      </extLst>
    </cfRule>
  </conditionalFormatting>
  <conditionalFormatting sqref="H28">
    <cfRule type="dataBar" priority="11">
      <dataBar>
        <cfvo type="min"/>
        <cfvo type="max"/>
        <color rgb="FF63C384"/>
      </dataBar>
      <extLst>
        <ext xmlns:x14="http://schemas.microsoft.com/office/spreadsheetml/2009/9/main" uri="{B025F937-C7B1-47D3-B67F-A62EFF666E3E}">
          <x14:id>{57B406A2-2716-482E-BC5F-2D321C480EB5}</x14:id>
        </ext>
      </extLst>
    </cfRule>
    <cfRule type="dataBar" priority="10">
      <dataBar>
        <cfvo type="min"/>
        <cfvo type="max"/>
        <color rgb="FF638EC6"/>
      </dataBar>
      <extLst>
        <ext xmlns:x14="http://schemas.microsoft.com/office/spreadsheetml/2009/9/main" uri="{B025F937-C7B1-47D3-B67F-A62EFF666E3E}">
          <x14:id>{DD7788C7-4F31-430B-81C8-7E922E2FA004}</x14:id>
        </ext>
      </extLst>
    </cfRule>
    <cfRule type="dataBar" priority="9">
      <dataBar>
        <cfvo type="min"/>
        <cfvo type="max"/>
        <color rgb="FFFF555A"/>
      </dataBar>
      <extLst>
        <ext xmlns:x14="http://schemas.microsoft.com/office/spreadsheetml/2009/9/main" uri="{B025F937-C7B1-47D3-B67F-A62EFF666E3E}">
          <x14:id>{C15CFA0B-1D9A-4583-A96A-DDD6EABFF6C4}</x14:id>
        </ext>
      </extLst>
    </cfRule>
  </conditionalFormatting>
  <conditionalFormatting sqref="I26:I33">
    <cfRule type="dataBar" priority="7">
      <dataBar>
        <cfvo type="min"/>
        <cfvo type="max"/>
        <color rgb="FF63C384"/>
      </dataBar>
      <extLst>
        <ext xmlns:x14="http://schemas.microsoft.com/office/spreadsheetml/2009/9/main" uri="{B025F937-C7B1-47D3-B67F-A62EFF666E3E}">
          <x14:id>{3CCC1782-B279-42E2-AA7F-1F013A04BB37}</x14:id>
        </ext>
      </extLst>
    </cfRule>
  </conditionalFormatting>
  <conditionalFormatting sqref="U6">
    <cfRule type="beginsWith" dxfId="4" priority="1" operator="beginsWith" text="Hold">
      <formula>LEFT(U6,LEN("Hold"))="Hold"</formula>
    </cfRule>
    <cfRule type="beginsWith" dxfId="3" priority="5" operator="beginsWith" text="Strong Sell">
      <formula>LEFT(U6,LEN("Strong Sell"))="Strong Sell"</formula>
    </cfRule>
    <cfRule type="beginsWith" dxfId="2" priority="4" operator="beginsWith" text="Sell">
      <formula>LEFT(U6,LEN("Sell"))="Sell"</formula>
    </cfRule>
    <cfRule type="beginsWith" dxfId="1" priority="3" operator="beginsWith" text="Strong Buy">
      <formula>LEFT(U6,LEN("Strong Buy"))="Strong Buy"</formula>
    </cfRule>
    <cfRule type="beginsWith" dxfId="0" priority="2" operator="beginsWith" text="Buy">
      <formula>LEFT(U6,LEN("Buy"))="Buy"</formula>
    </cfRule>
  </conditionalFormatting>
  <dataValidations disablePrompts="1" count="2">
    <dataValidation type="list" allowBlank="1" showInputMessage="1" showErrorMessage="1" sqref="G25" xr:uid="{00000000-0002-0000-0000-000000000000}">
      <formula1>"FCFF, FCFE, Total Payout, Tax Shield"</formula1>
    </dataValidation>
    <dataValidation type="list" allowBlank="1" showInputMessage="1" showErrorMessage="1" sqref="U6" xr:uid="{00000000-0002-0000-0000-000001000000}">
      <formula1>"Strong Buy, Buy, Hold, Sell, Strong Sell"</formula1>
    </dataValidation>
  </dataValidations>
  <hyperlinks>
    <hyperlink ref="U18" r:id="rId1" xr:uid="{DB7AC3E4-533F-4D97-887E-43061FC52B80}"/>
    <hyperlink ref="U27" r:id="rId2" xr:uid="{77C59C55-D356-490E-9598-360884FBA98E}"/>
    <hyperlink ref="U24" r:id="rId3" xr:uid="{5036B046-F989-43BA-A973-4807C1766940}"/>
    <hyperlink ref="U21" r:id="rId4" xr:uid="{618BBE81-829A-4960-A840-937218B3E39E}"/>
  </hyperlinks>
  <pageMargins left="0.7" right="0.7" top="0.75" bottom="0.75" header="0.3" footer="0.3"/>
  <pageSetup paperSize="9" orientation="portrait" r:id="rId5"/>
  <drawing r:id="rId6"/>
  <extLst>
    <ext xmlns:x14="http://schemas.microsoft.com/office/spreadsheetml/2009/9/main" uri="{78C0D931-6437-407d-A8EE-F0AAD7539E65}">
      <x14:conditionalFormattings>
        <x14:conditionalFormatting xmlns:xm="http://schemas.microsoft.com/office/excel/2006/main">
          <x14:cfRule type="dataBar" id="{6034C8ED-898D-4A6B-9795-FAAD4BA0B7C6}">
            <x14:dataBar minLength="0" maxLength="100" border="1" negativeBarBorderColorSameAsPositive="0">
              <x14:cfvo type="autoMin"/>
              <x14:cfvo type="autoMax"/>
              <x14:borderColor rgb="FF63C384"/>
              <x14:negativeFillColor rgb="FFFF0000"/>
              <x14:negativeBorderColor rgb="FFFF0000"/>
              <x14:axisColor rgb="FF000000"/>
            </x14:dataBar>
          </x14:cfRule>
          <xm:sqref>E26:E33</xm:sqref>
        </x14:conditionalFormatting>
        <x14:conditionalFormatting xmlns:xm="http://schemas.microsoft.com/office/excel/2006/main">
          <x14:cfRule type="dataBar" id="{5C1B9785-691E-492F-86A6-D7F00A0F45D6}">
            <x14:dataBar minLength="0" maxLength="100" border="1" negativeBarBorderColorSameAsPositive="0">
              <x14:cfvo type="autoMin"/>
              <x14:cfvo type="autoMax"/>
              <x14:borderColor rgb="FF63C384"/>
              <x14:negativeFillColor rgb="FFFF0000"/>
              <x14:negativeBorderColor rgb="FFFF0000"/>
              <x14:axisColor rgb="FF000000"/>
            </x14:dataBar>
          </x14:cfRule>
          <xm:sqref>F26</xm:sqref>
        </x14:conditionalFormatting>
        <x14:conditionalFormatting xmlns:xm="http://schemas.microsoft.com/office/excel/2006/main">
          <x14:cfRule type="dataBar" id="{F2A4872A-9911-4779-9E97-55F97D88D42B}">
            <x14:dataBar minLength="0" maxLength="100" border="1" negativeBarBorderColorSameAsPositive="0">
              <x14:cfvo type="autoMin"/>
              <x14:cfvo type="autoMax"/>
              <x14:borderColor rgb="FF638EC6"/>
              <x14:negativeFillColor rgb="FFFF0000"/>
              <x14:negativeBorderColor rgb="FFFF0000"/>
              <x14:axisColor rgb="FF000000"/>
            </x14:dataBar>
          </x14:cfRule>
          <xm:sqref>F26:F33</xm:sqref>
        </x14:conditionalFormatting>
        <x14:conditionalFormatting xmlns:xm="http://schemas.microsoft.com/office/excel/2006/main">
          <x14:cfRule type="dataBar" id="{698A8913-4860-4E6B-89DE-351099BE7444}">
            <x14:dataBar minLength="0" maxLength="100" border="1" negativeBarBorderColorSameAsPositive="0">
              <x14:cfvo type="autoMin"/>
              <x14:cfvo type="autoMax"/>
              <x14:borderColor rgb="FF63C384"/>
              <x14:negativeFillColor rgb="FFFF0000"/>
              <x14:negativeBorderColor rgb="FFFF0000"/>
              <x14:axisColor rgb="FF000000"/>
            </x14:dataBar>
          </x14:cfRule>
          <xm:sqref>F27</xm:sqref>
        </x14:conditionalFormatting>
        <x14:conditionalFormatting xmlns:xm="http://schemas.microsoft.com/office/excel/2006/main">
          <x14:cfRule type="dataBar" id="{CD4F52E4-75BF-4044-903E-27BCE1DEBDD0}">
            <x14:dataBar minLength="0" maxLength="100" border="1" negativeBarBorderColorSameAsPositive="0">
              <x14:cfvo type="autoMin"/>
              <x14:cfvo type="autoMax"/>
              <x14:borderColor rgb="FF63C384"/>
              <x14:negativeFillColor rgb="FFFF0000"/>
              <x14:negativeBorderColor rgb="FFFF0000"/>
              <x14:axisColor rgb="FF000000"/>
            </x14:dataBar>
          </x14:cfRule>
          <xm:sqref>F28</xm:sqref>
        </x14:conditionalFormatting>
        <x14:conditionalFormatting xmlns:xm="http://schemas.microsoft.com/office/excel/2006/main">
          <x14:cfRule type="dataBar" id="{5D7253A4-1DD1-496F-9A17-1808714854B2}">
            <x14:dataBar minLength="0" maxLength="100" border="1" negativeBarBorderColorSameAsPositive="0">
              <x14:cfvo type="autoMin"/>
              <x14:cfvo type="autoMax"/>
              <x14:borderColor rgb="FF63C384"/>
              <x14:negativeFillColor rgb="FFFF0000"/>
              <x14:negativeBorderColor rgb="FFFF0000"/>
              <x14:axisColor rgb="FF000000"/>
            </x14:dataBar>
          </x14:cfRule>
          <xm:sqref>F29</xm:sqref>
        </x14:conditionalFormatting>
        <x14:conditionalFormatting xmlns:xm="http://schemas.microsoft.com/office/excel/2006/main">
          <x14:cfRule type="dataBar" id="{7A209642-74F3-42D0-8EC8-402BBDCBCD84}">
            <x14:dataBar minLength="0" maxLength="100" border="1" negativeBarBorderColorSameAsPositive="0">
              <x14:cfvo type="autoMin"/>
              <x14:cfvo type="autoMax"/>
              <x14:borderColor rgb="FF63C384"/>
              <x14:negativeFillColor rgb="FFFF0000"/>
              <x14:negativeBorderColor rgb="FFFF0000"/>
              <x14:axisColor rgb="FF000000"/>
            </x14:dataBar>
          </x14:cfRule>
          <xm:sqref>F30</xm:sqref>
        </x14:conditionalFormatting>
        <x14:conditionalFormatting xmlns:xm="http://schemas.microsoft.com/office/excel/2006/main">
          <x14:cfRule type="dataBar" id="{5395343B-6F95-4DBC-A7D5-46BCF270AEE2}">
            <x14:dataBar minLength="0" maxLength="100" border="1" negativeBarBorderColorSameAsPositive="0">
              <x14:cfvo type="autoMin"/>
              <x14:cfvo type="autoMax"/>
              <x14:borderColor rgb="FF63C384"/>
              <x14:negativeFillColor rgb="FFFF0000"/>
              <x14:negativeBorderColor rgb="FFFF0000"/>
              <x14:axisColor rgb="FF000000"/>
            </x14:dataBar>
          </x14:cfRule>
          <xm:sqref>F31</xm:sqref>
        </x14:conditionalFormatting>
        <x14:conditionalFormatting xmlns:xm="http://schemas.microsoft.com/office/excel/2006/main">
          <x14:cfRule type="dataBar" id="{331607CE-926B-492F-83A0-EEEBC8F23CB9}">
            <x14:dataBar minLength="0" maxLength="100" border="1" negativeBarBorderColorSameAsPositive="0">
              <x14:cfvo type="autoMin"/>
              <x14:cfvo type="autoMax"/>
              <x14:borderColor rgb="FF63C384"/>
              <x14:negativeFillColor rgb="FFFF0000"/>
              <x14:negativeBorderColor rgb="FFFF0000"/>
              <x14:axisColor rgb="FF000000"/>
            </x14:dataBar>
          </x14:cfRule>
          <xm:sqref>F32</xm:sqref>
        </x14:conditionalFormatting>
        <x14:conditionalFormatting xmlns:xm="http://schemas.microsoft.com/office/excel/2006/main">
          <x14:cfRule type="dataBar" id="{B3BE3EFD-9295-49D0-80FA-AA2A09587925}">
            <x14:dataBar minLength="0" maxLength="100" border="1" negativeBarBorderColorSameAsPositive="0">
              <x14:cfvo type="autoMin"/>
              <x14:cfvo type="autoMax"/>
              <x14:borderColor rgb="FF63C384"/>
              <x14:negativeFillColor rgb="FFFF0000"/>
              <x14:negativeBorderColor rgb="FFFF0000"/>
              <x14:axisColor rgb="FF000000"/>
            </x14:dataBar>
          </x14:cfRule>
          <xm:sqref>F33</xm:sqref>
        </x14:conditionalFormatting>
        <x14:conditionalFormatting xmlns:xm="http://schemas.microsoft.com/office/excel/2006/main">
          <x14:cfRule type="dataBar" id="{DC21537E-450A-4B7D-B57A-602AB269E3A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695950A-A57C-4000-82FA-EEEC979F92EE}">
            <x14:dataBar minLength="0" maxLength="100" gradient="0">
              <x14:cfvo type="autoMin"/>
              <x14:cfvo type="autoMax"/>
              <x14:negativeFillColor rgb="FFFF0000"/>
              <x14:axisColor rgb="FF000000"/>
            </x14:dataBar>
          </x14:cfRule>
          <xm:sqref>G26</xm:sqref>
        </x14:conditionalFormatting>
        <x14:conditionalFormatting xmlns:xm="http://schemas.microsoft.com/office/excel/2006/main">
          <x14:cfRule type="dataBar" id="{469A3700-94FB-4A26-89CA-0DEB48A710E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D160036-CACD-4A1C-B17D-8DC22AA977F1}">
            <x14:dataBar minLength="0" maxLength="100" border="1" negativeBarBorderColorSameAsPositive="0">
              <x14:cfvo type="autoMin"/>
              <x14:cfvo type="autoMax"/>
              <x14:borderColor rgb="FFFF555A"/>
              <x14:negativeFillColor rgb="FFFF0000"/>
              <x14:negativeBorderColor rgb="FFFF0000"/>
              <x14:axisColor rgb="FF000000"/>
            </x14:dataBar>
          </x14:cfRule>
          <xm:sqref>G26:G33</xm:sqref>
        </x14:conditionalFormatting>
        <x14:conditionalFormatting xmlns:xm="http://schemas.microsoft.com/office/excel/2006/main">
          <x14:cfRule type="dataBar" id="{EDD674A5-5F26-4D7C-BB8C-9EB544E0C1E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CDAEC63-EC7C-4930-B523-BD3737F80DBA}">
            <x14:dataBar minLength="0" maxLength="100" gradient="0">
              <x14:cfvo type="autoMin"/>
              <x14:cfvo type="autoMax"/>
              <x14:negativeFillColor rgb="FFFF0000"/>
              <x14:axisColor rgb="FF000000"/>
            </x14:dataBar>
          </x14:cfRule>
          <x14:cfRule type="dataBar" id="{29F200BB-F60A-473B-88DC-B2D1E580196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09674FF-A7BB-4895-BD55-F0D68FE13326}">
            <x14:dataBar minLength="0" maxLength="100" gradient="0">
              <x14:cfvo type="autoMin"/>
              <x14:cfvo type="autoMax"/>
              <x14:negativeFillColor rgb="FFFF0000"/>
              <x14:axisColor rgb="FF000000"/>
            </x14:dataBar>
          </x14:cfRule>
          <xm:sqref>G27</xm:sqref>
        </x14:conditionalFormatting>
        <x14:conditionalFormatting xmlns:xm="http://schemas.microsoft.com/office/excel/2006/main">
          <x14:cfRule type="dataBar" id="{9E51552C-D55A-4DE8-B38D-5F54A7BF7D7E}">
            <x14:dataBar minLength="0" maxLength="100" gradient="0">
              <x14:cfvo type="autoMin"/>
              <x14:cfvo type="autoMax"/>
              <x14:negativeFillColor rgb="FFFF0000"/>
              <x14:axisColor rgb="FF000000"/>
            </x14:dataBar>
          </x14:cfRule>
          <x14:cfRule type="dataBar" id="{90A849CA-1BBD-4A6B-B32C-EF0B82FA4DF0}">
            <x14:dataBar minLength="0" maxLength="100" gradient="0">
              <x14:cfvo type="autoMin"/>
              <x14:cfvo type="autoMax"/>
              <x14:negativeFillColor rgb="FFFF0000"/>
              <x14:axisColor rgb="FF000000"/>
            </x14:dataBar>
          </x14:cfRule>
          <x14:cfRule type="dataBar" id="{248F9205-0A71-4DDD-9B75-2F0220EB6FC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CB31363-0C52-411E-B5C4-729617AF0F42}">
            <x14:dataBar minLength="0" maxLength="100" border="1" negativeBarBorderColorSameAsPositive="0">
              <x14:cfvo type="autoMin"/>
              <x14:cfvo type="autoMax"/>
              <x14:borderColor rgb="FF63C384"/>
              <x14:negativeFillColor rgb="FFFF0000"/>
              <x14:negativeBorderColor rgb="FFFF0000"/>
              <x14:axisColor rgb="FF000000"/>
            </x14:dataBar>
          </x14:cfRule>
          <xm:sqref>G28</xm:sqref>
        </x14:conditionalFormatting>
        <x14:conditionalFormatting xmlns:xm="http://schemas.microsoft.com/office/excel/2006/main">
          <x14:cfRule type="dataBar" id="{D0D5D0DC-42F4-49CB-9DF2-D549D897E0F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E3BA3B1-F742-4FC4-8FB1-A0CAE20CCE57}">
            <x14:dataBar minLength="0" maxLength="100" gradient="0">
              <x14:cfvo type="autoMin"/>
              <x14:cfvo type="autoMax"/>
              <x14:negativeFillColor rgb="FFFF0000"/>
              <x14:axisColor rgb="FF000000"/>
            </x14:dataBar>
          </x14:cfRule>
          <xm:sqref>G29</xm:sqref>
        </x14:conditionalFormatting>
        <x14:conditionalFormatting xmlns:xm="http://schemas.microsoft.com/office/excel/2006/main">
          <x14:cfRule type="dataBar" id="{5199E6A7-9290-4150-80D6-2857642814A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14BE10-A170-484F-941E-6F5EF007B533}">
            <x14:dataBar minLength="0" maxLength="100" gradient="0">
              <x14:cfvo type="autoMin"/>
              <x14:cfvo type="autoMax"/>
              <x14:negativeFillColor rgb="FFFF0000"/>
              <x14:axisColor rgb="FF000000"/>
            </x14:dataBar>
          </x14:cfRule>
          <x14:cfRule type="dataBar" id="{2D2BBCA1-8BCA-4D14-BA9F-299A5839FFAA}">
            <x14:dataBar minLength="0" maxLength="100" gradient="0">
              <x14:cfvo type="autoMin"/>
              <x14:cfvo type="autoMax"/>
              <x14:negativeFillColor rgb="FFFF0000"/>
              <x14:axisColor rgb="FF000000"/>
            </x14:dataBar>
          </x14:cfRule>
          <x14:cfRule type="dataBar" id="{2DEA7D45-6052-40F8-8FF3-D03FD6BC715F}">
            <x14:dataBar minLength="0" maxLength="100" border="1" negativeBarBorderColorSameAsPositive="0">
              <x14:cfvo type="autoMin"/>
              <x14:cfvo type="autoMax"/>
              <x14:borderColor rgb="FF63C384"/>
              <x14:negativeFillColor rgb="FFFF0000"/>
              <x14:negativeBorderColor rgb="FFFF0000"/>
              <x14:axisColor rgb="FF000000"/>
            </x14:dataBar>
          </x14:cfRule>
          <xm:sqref>G30</xm:sqref>
        </x14:conditionalFormatting>
        <x14:conditionalFormatting xmlns:xm="http://schemas.microsoft.com/office/excel/2006/main">
          <x14:cfRule type="dataBar" id="{C8253A93-34C8-47F2-9A4D-B0B179E989E5}">
            <x14:dataBar minLength="0" maxLength="100" gradient="0">
              <x14:cfvo type="autoMin"/>
              <x14:cfvo type="autoMax"/>
              <x14:negativeFillColor rgb="FFFF0000"/>
              <x14:axisColor rgb="FF000000"/>
            </x14:dataBar>
          </x14:cfRule>
          <x14:cfRule type="dataBar" id="{3BBB7504-0E23-4F4F-8D48-50EB7F1974E7}">
            <x14:dataBar minLength="0" maxLength="100" gradient="0">
              <x14:cfvo type="autoMin"/>
              <x14:cfvo type="autoMax"/>
              <x14:negativeFillColor rgb="FFFF0000"/>
              <x14:axisColor rgb="FF000000"/>
            </x14:dataBar>
          </x14:cfRule>
          <x14:cfRule type="dataBar" id="{4BD9B04B-1D50-4F22-AE9A-36635C8EB19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591B90-F748-479E-B43B-5B632A7D2078}">
            <x14:dataBar minLength="0" maxLength="100" border="1" negativeBarBorderColorSameAsPositive="0">
              <x14:cfvo type="autoMin"/>
              <x14:cfvo type="autoMax"/>
              <x14:borderColor rgb="FF63C384"/>
              <x14:negativeFillColor rgb="FFFF0000"/>
              <x14:negativeBorderColor rgb="FFFF0000"/>
              <x14:axisColor rgb="FF000000"/>
            </x14:dataBar>
          </x14:cfRule>
          <xm:sqref>G31</xm:sqref>
        </x14:conditionalFormatting>
        <x14:conditionalFormatting xmlns:xm="http://schemas.microsoft.com/office/excel/2006/main">
          <x14:cfRule type="dataBar" id="{F3DEFCCF-EF13-4C0A-A500-BCFAB9EBBCF7}">
            <x14:dataBar minLength="0" maxLength="100" gradient="0">
              <x14:cfvo type="autoMin"/>
              <x14:cfvo type="autoMax"/>
              <x14:negativeFillColor rgb="FFFF0000"/>
              <x14:axisColor rgb="FF000000"/>
            </x14:dataBar>
          </x14:cfRule>
          <x14:cfRule type="dataBar" id="{01AD74CC-99AB-45E3-A94C-50D6EB7EE4C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1CAD6A3-68E8-439C-A66F-99B0BAE5571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BE4A62C0-0DCE-4A50-BCFB-24698F0286BA}">
            <x14:dataBar minLength="0" maxLength="100" gradient="0">
              <x14:cfvo type="autoMin"/>
              <x14:cfvo type="autoMax"/>
              <x14:negativeFillColor rgb="FFFF0000"/>
              <x14:axisColor rgb="FF000000"/>
            </x14:dataBar>
          </x14:cfRule>
          <xm:sqref>G32</xm:sqref>
        </x14:conditionalFormatting>
        <x14:conditionalFormatting xmlns:xm="http://schemas.microsoft.com/office/excel/2006/main">
          <x14:cfRule type="dataBar" id="{E6CC772F-C8B8-454B-AC0A-4C0AFC3A51E4}">
            <x14:dataBar minLength="0" maxLength="100" gradient="0">
              <x14:cfvo type="autoMin"/>
              <x14:cfvo type="autoMax"/>
              <x14:negativeFillColor rgb="FFFF0000"/>
              <x14:axisColor rgb="FF000000"/>
            </x14:dataBar>
          </x14:cfRule>
          <x14:cfRule type="dataBar" id="{6CC95D6E-ACC5-4CC6-87D4-F0C4F48D7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CB346AD-5C09-4119-A373-DF43861A612A}">
            <x14:dataBar minLength="0" maxLength="100" gradient="0">
              <x14:cfvo type="autoMin"/>
              <x14:cfvo type="autoMax"/>
              <x14:negativeFillColor rgb="FFFF0000"/>
              <x14:axisColor rgb="FF000000"/>
            </x14:dataBar>
          </x14:cfRule>
          <x14:cfRule type="dataBar" id="{035AE87E-B909-45CD-A96D-A0E8E0B284D2}">
            <x14:dataBar minLength="0" maxLength="100" border="1" negativeBarBorderColorSameAsPositive="0">
              <x14:cfvo type="autoMin"/>
              <x14:cfvo type="autoMax"/>
              <x14:borderColor rgb="FF63C384"/>
              <x14:negativeFillColor rgb="FFFF0000"/>
              <x14:negativeBorderColor rgb="FFFF0000"/>
              <x14:axisColor rgb="FF000000"/>
            </x14:dataBar>
          </x14:cfRule>
          <xm:sqref>G33</xm:sqref>
        </x14:conditionalFormatting>
        <x14:conditionalFormatting xmlns:xm="http://schemas.microsoft.com/office/excel/2006/main">
          <x14:cfRule type="dataBar" id="{81594E5B-B329-4515-A327-1F20655C3B3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468844F9-F2F4-4C23-AFA9-7DE1F6CB4BB7}">
            <x14:dataBar minLength="0" maxLength="100" gradient="0">
              <x14:cfvo type="autoMin"/>
              <x14:cfvo type="autoMax"/>
              <x14:negativeFillColor rgb="FFFF0000"/>
              <x14:axisColor rgb="FF000000"/>
            </x14:dataBar>
          </x14:cfRule>
          <x14:cfRule type="dataBar" id="{8952AC92-4F6C-40AF-9634-847C6B460212}">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9BB4FC6B-0919-4EC7-B8DC-107707F869D5}">
            <x14:dataBar minLength="0" maxLength="100" border="1" negativeBarBorderColorSameAsPositive="0">
              <x14:cfvo type="autoMin"/>
              <x14:cfvo type="autoMax"/>
              <x14:borderColor rgb="FF63C384"/>
              <x14:negativeFillColor rgb="FFFF0000"/>
              <x14:negativeBorderColor rgb="FFFF0000"/>
              <x14:axisColor rgb="FF000000"/>
            </x14:dataBar>
          </x14:cfRule>
          <xm:sqref>H26:H33</xm:sqref>
        </x14:conditionalFormatting>
        <x14:conditionalFormatting xmlns:xm="http://schemas.microsoft.com/office/excel/2006/main">
          <x14:cfRule type="dataBar" id="{F6C9405D-EF6D-4B47-863C-C870C4AAC5B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94D7EC1-1EF8-4A41-876B-B422735DDB39}">
            <x14:dataBar minLength="0" maxLength="100" gradient="0">
              <x14:cfvo type="autoMin"/>
              <x14:cfvo type="autoMax"/>
              <x14:negativeFillColor rgb="FFFF0000"/>
              <x14:axisColor rgb="FF000000"/>
            </x14:dataBar>
          </x14:cfRule>
          <x14:cfRule type="dataBar" id="{47D2F64D-A4B2-467E-8ED7-8FCBDF84C89D}">
            <x14:dataBar minLength="0" maxLength="100" gradient="0">
              <x14:cfvo type="autoMin"/>
              <x14:cfvo type="autoMax"/>
              <x14:negativeFillColor rgb="FFFF0000"/>
              <x14:axisColor rgb="FF000000"/>
            </x14:dataBar>
          </x14:cfRule>
          <xm:sqref>H27</xm:sqref>
        </x14:conditionalFormatting>
        <x14:conditionalFormatting xmlns:xm="http://schemas.microsoft.com/office/excel/2006/main">
          <x14:cfRule type="dataBar" id="{57B406A2-2716-482E-BC5F-2D321C480EB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D7788C7-4F31-430B-81C8-7E922E2FA004}">
            <x14:dataBar minLength="0" maxLength="100" gradient="0">
              <x14:cfvo type="autoMin"/>
              <x14:cfvo type="autoMax"/>
              <x14:negativeFillColor rgb="FFFF0000"/>
              <x14:axisColor rgb="FF000000"/>
            </x14:dataBar>
          </x14:cfRule>
          <x14:cfRule type="dataBar" id="{C15CFA0B-1D9A-4583-A96A-DDD6EABFF6C4}">
            <x14:dataBar minLength="0" maxLength="100" gradient="0">
              <x14:cfvo type="autoMin"/>
              <x14:cfvo type="autoMax"/>
              <x14:negativeFillColor rgb="FFFF0000"/>
              <x14:axisColor rgb="FF000000"/>
            </x14:dataBar>
          </x14:cfRule>
          <xm:sqref>H28</xm:sqref>
        </x14:conditionalFormatting>
        <x14:conditionalFormatting xmlns:xm="http://schemas.microsoft.com/office/excel/2006/main">
          <x14:cfRule type="dataBar" id="{3CCC1782-B279-42E2-AA7F-1F013A04BB37}">
            <x14:dataBar minLength="0" maxLength="100" border="1" negativeBarBorderColorSameAsPositive="0">
              <x14:cfvo type="autoMin"/>
              <x14:cfvo type="autoMax"/>
              <x14:borderColor rgb="FF63C384"/>
              <x14:negativeFillColor rgb="FFFF0000"/>
              <x14:negativeBorderColor rgb="FFFF0000"/>
              <x14:axisColor rgb="FF000000"/>
            </x14:dataBar>
          </x14:cfRule>
          <xm:sqref>I26:I33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B2:AC132"/>
  <sheetViews>
    <sheetView showGridLines="0" topLeftCell="A26" zoomScale="85" zoomScaleNormal="85" workbookViewId="0">
      <selection activeCell="F129" sqref="F129"/>
    </sheetView>
  </sheetViews>
  <sheetFormatPr defaultColWidth="8.875" defaultRowHeight="14.1"/>
  <cols>
    <col min="1" max="1" width="2.375" customWidth="1"/>
    <col min="2" max="2" width="22" customWidth="1"/>
    <col min="4" max="4" width="13.125" customWidth="1"/>
    <col min="5" max="9" width="12.625" customWidth="1"/>
    <col min="10" max="10" width="18.625" style="6" customWidth="1"/>
    <col min="11" max="25" width="12.625" customWidth="1"/>
  </cols>
  <sheetData>
    <row r="2" spans="2:29" s="41" customFormat="1" ht="20.100000000000001" customHeight="1">
      <c r="B2" s="40" t="s">
        <v>110</v>
      </c>
      <c r="J2" s="42"/>
    </row>
    <row r="4" spans="2:29" ht="15.6">
      <c r="B4" s="51" t="s">
        <v>111</v>
      </c>
      <c r="C4" s="55"/>
      <c r="D4" s="51" t="s">
        <v>112</v>
      </c>
      <c r="E4" s="56">
        <v>2020</v>
      </c>
      <c r="F4" s="56">
        <f>+E4+1</f>
        <v>2021</v>
      </c>
      <c r="G4" s="56">
        <f>+F4+1</f>
        <v>2022</v>
      </c>
      <c r="H4" s="56">
        <f t="shared" ref="H4:I4" si="0">+G4+1</f>
        <v>2023</v>
      </c>
      <c r="I4" s="56">
        <f t="shared" si="0"/>
        <v>2024</v>
      </c>
      <c r="J4" s="57" t="str">
        <f>"CAGR "&amp;$G$4&amp;" - "&amp;$I$4</f>
        <v>CAGR 2022 - 2024</v>
      </c>
      <c r="K4" s="56">
        <v>2021</v>
      </c>
      <c r="L4" s="56">
        <f>+K4+1</f>
        <v>2022</v>
      </c>
      <c r="M4" s="56">
        <f>+L4+1</f>
        <v>2023</v>
      </c>
      <c r="N4" s="56">
        <f t="shared" ref="N4" si="1">+M4+1</f>
        <v>2024</v>
      </c>
      <c r="AB4" s="671"/>
      <c r="AC4" s="671"/>
    </row>
    <row r="5" spans="2:29" ht="3.95" customHeight="1">
      <c r="B5" s="52"/>
      <c r="C5" s="52"/>
      <c r="D5" s="52"/>
      <c r="E5" s="52"/>
      <c r="F5" s="52"/>
      <c r="G5" s="52"/>
      <c r="H5" s="52"/>
      <c r="I5" s="52"/>
      <c r="J5" s="59"/>
      <c r="K5" s="59"/>
      <c r="L5" s="59"/>
      <c r="M5" s="59"/>
      <c r="N5" s="59"/>
      <c r="AB5" s="671"/>
      <c r="AC5" s="671"/>
    </row>
    <row r="6" spans="2:29">
      <c r="B6" t="s">
        <v>113</v>
      </c>
      <c r="D6" s="63">
        <f>IFERROR(I6/SUM($I$6:$I$12),"")</f>
        <v>0.84775390625000002</v>
      </c>
      <c r="E6" s="86">
        <v>255.3</v>
      </c>
      <c r="F6" s="86">
        <v>284.2</v>
      </c>
      <c r="G6" s="87">
        <v>347.5</v>
      </c>
      <c r="H6" s="87">
        <v>506.8</v>
      </c>
      <c r="I6" s="87">
        <v>868.1</v>
      </c>
      <c r="J6" s="62">
        <f>IFERROR((I6/G6)^(1/COUNT($G$4:$I$4))-1,"")</f>
        <v>0.3568702353154154</v>
      </c>
      <c r="K6" s="63">
        <f>IFERROR((F6-E6)/E6,"")</f>
        <v>0.11320015667841746</v>
      </c>
      <c r="L6" s="63">
        <f>IFERROR((G6-F6)/F6,"")</f>
        <v>0.22273047149894445</v>
      </c>
      <c r="M6" s="88">
        <f>IFERROR((H6-G6)/G6,"")</f>
        <v>0.45841726618705037</v>
      </c>
      <c r="N6" s="88">
        <f t="shared" ref="N6:N13" si="2">IFERROR((I6-H6)/H6,"")</f>
        <v>0.71290449881610107</v>
      </c>
      <c r="AB6" s="10" t="s">
        <v>113</v>
      </c>
      <c r="AC6" s="792">
        <v>0.84799999999999998</v>
      </c>
    </row>
    <row r="7" spans="2:29">
      <c r="B7" t="s">
        <v>114</v>
      </c>
      <c r="D7" s="63">
        <f>IFERROR(I7/SUM($I$6:$I$12),"")</f>
        <v>0.15224609375000001</v>
      </c>
      <c r="E7" s="86">
        <v>27.6</v>
      </c>
      <c r="F7" s="86">
        <v>33.9</v>
      </c>
      <c r="G7" s="87">
        <v>44.7</v>
      </c>
      <c r="H7" s="87">
        <v>72.099999999999994</v>
      </c>
      <c r="I7" s="87">
        <v>155.9</v>
      </c>
      <c r="J7" s="62">
        <f>IFERROR((I7/G7)^(1/COUNT($G$4:$I$4))-1,"")</f>
        <v>0.51651320877490581</v>
      </c>
      <c r="K7" s="88">
        <f t="shared" ref="K7:L7" si="3">IFERROR((F7-E7)/E7,"")</f>
        <v>0.22826086956521727</v>
      </c>
      <c r="L7" s="88">
        <f t="shared" si="3"/>
        <v>0.31858407079646034</v>
      </c>
      <c r="M7" s="88">
        <f>IFERROR((H7-G7)/G7,"")</f>
        <v>0.61297539149888125</v>
      </c>
      <c r="N7" s="88">
        <f t="shared" si="2"/>
        <v>1.1622746185852983</v>
      </c>
      <c r="AB7" s="671" t="s">
        <v>115</v>
      </c>
      <c r="AC7" s="793">
        <f>15.2%/3</f>
        <v>5.0666666666666665E-2</v>
      </c>
    </row>
    <row r="8" spans="2:29">
      <c r="B8" s="81"/>
      <c r="D8" s="63">
        <f t="shared" ref="D8:D12" si="4">IFERROR(I8/SUM($I$6:$I$12),"")</f>
        <v>0</v>
      </c>
      <c r="E8" s="89"/>
      <c r="F8" s="89"/>
      <c r="G8" s="89"/>
      <c r="H8" s="89"/>
      <c r="I8" s="89"/>
      <c r="J8" s="62" t="str">
        <f t="shared" ref="J8:J10" si="5">IFERROR((I8/E8)^(1/COUNT($E$4:$I$4))-1,"")</f>
        <v/>
      </c>
      <c r="K8" s="63" t="str">
        <f t="shared" ref="K8:M13" si="6">IFERROR(F8-E8/E8,"")</f>
        <v/>
      </c>
      <c r="L8" s="63" t="str">
        <f t="shared" si="6"/>
        <v/>
      </c>
      <c r="M8" s="63" t="str">
        <f t="shared" si="6"/>
        <v/>
      </c>
      <c r="N8" s="88" t="str">
        <f t="shared" si="2"/>
        <v/>
      </c>
      <c r="AB8" s="671" t="s">
        <v>116</v>
      </c>
      <c r="AC8" s="793">
        <f>15.2%/(13*3)</f>
        <v>3.8974358974358972E-3</v>
      </c>
    </row>
    <row r="9" spans="2:29">
      <c r="B9" s="81"/>
      <c r="D9" s="63">
        <f t="shared" si="4"/>
        <v>0</v>
      </c>
      <c r="E9" s="89"/>
      <c r="F9" s="89"/>
      <c r="G9" s="89"/>
      <c r="H9" s="89"/>
      <c r="I9" s="89"/>
      <c r="J9" s="62" t="str">
        <f t="shared" si="5"/>
        <v/>
      </c>
      <c r="K9" s="63" t="str">
        <f t="shared" si="6"/>
        <v/>
      </c>
      <c r="L9" s="63" t="str">
        <f t="shared" si="6"/>
        <v/>
      </c>
      <c r="M9" s="63" t="str">
        <f t="shared" si="6"/>
        <v/>
      </c>
      <c r="N9" s="88" t="str">
        <f t="shared" si="2"/>
        <v/>
      </c>
      <c r="AB9" s="671" t="s">
        <v>117</v>
      </c>
      <c r="AC9" s="793">
        <f>15.2%/3</f>
        <v>5.0666666666666665E-2</v>
      </c>
    </row>
    <row r="10" spans="2:29">
      <c r="B10" s="81"/>
      <c r="D10" s="63">
        <f t="shared" si="4"/>
        <v>0</v>
      </c>
      <c r="E10" s="89"/>
      <c r="F10" s="89"/>
      <c r="G10" s="89"/>
      <c r="H10" s="89"/>
      <c r="I10" s="89"/>
      <c r="J10" s="62" t="str">
        <f t="shared" si="5"/>
        <v/>
      </c>
      <c r="K10" s="63" t="str">
        <f t="shared" si="6"/>
        <v/>
      </c>
      <c r="L10" s="63" t="str">
        <f t="shared" si="6"/>
        <v/>
      </c>
      <c r="M10" s="63" t="str">
        <f t="shared" si="6"/>
        <v/>
      </c>
      <c r="N10" s="88" t="str">
        <f t="shared" si="2"/>
        <v/>
      </c>
      <c r="AB10" s="671" t="s">
        <v>118</v>
      </c>
      <c r="AC10" s="793">
        <f t="shared" ref="AC10:AC21" si="7">15.2%/(13*3)</f>
        <v>3.8974358974358972E-3</v>
      </c>
    </row>
    <row r="11" spans="2:29">
      <c r="B11" s="81"/>
      <c r="D11" s="63">
        <f t="shared" si="4"/>
        <v>0</v>
      </c>
      <c r="E11" s="89"/>
      <c r="F11" s="89"/>
      <c r="G11" s="89"/>
      <c r="H11" s="89"/>
      <c r="I11" s="89"/>
      <c r="J11" s="62"/>
      <c r="K11" s="63"/>
      <c r="L11" s="63"/>
      <c r="M11" s="63"/>
      <c r="N11" s="88"/>
      <c r="AB11" s="671" t="s">
        <v>119</v>
      </c>
      <c r="AC11" s="793">
        <f t="shared" si="7"/>
        <v>3.8974358974358972E-3</v>
      </c>
    </row>
    <row r="12" spans="2:29">
      <c r="B12" s="81"/>
      <c r="D12" s="63">
        <f t="shared" si="4"/>
        <v>0</v>
      </c>
      <c r="E12" s="89"/>
      <c r="F12" s="89"/>
      <c r="G12" s="89"/>
      <c r="H12" s="89"/>
      <c r="I12" s="89"/>
      <c r="J12" s="62"/>
      <c r="K12" s="63"/>
      <c r="L12" s="63"/>
      <c r="M12" s="63"/>
      <c r="N12" s="88"/>
      <c r="AB12" s="671" t="s">
        <v>120</v>
      </c>
      <c r="AC12" s="793">
        <f t="shared" si="7"/>
        <v>3.8974358974358972E-3</v>
      </c>
    </row>
    <row r="13" spans="2:29">
      <c r="B13" s="1" t="s">
        <v>121</v>
      </c>
      <c r="D13" s="90">
        <f>SUM(D6:D12)</f>
        <v>1</v>
      </c>
      <c r="E13" s="91">
        <f>SUM(E6:E10)</f>
        <v>282.90000000000003</v>
      </c>
      <c r="F13" s="91">
        <f t="shared" ref="F13:I13" si="8">SUM(F6:F10)</f>
        <v>318.09999999999997</v>
      </c>
      <c r="G13" s="91">
        <f t="shared" si="8"/>
        <v>392.2</v>
      </c>
      <c r="H13" s="91">
        <f t="shared" si="8"/>
        <v>578.9</v>
      </c>
      <c r="I13" s="91">
        <f t="shared" si="8"/>
        <v>1024</v>
      </c>
      <c r="J13" s="65">
        <f>IFERROR((I13/G13)^(1/COUNT($G$4:$I$4))-1,"")</f>
        <v>0.37699000879857025</v>
      </c>
      <c r="K13" s="66">
        <f t="shared" si="6"/>
        <v>317.09999999999997</v>
      </c>
      <c r="L13" s="66">
        <f t="shared" si="6"/>
        <v>391.2</v>
      </c>
      <c r="M13" s="88">
        <f>IFERROR((H13-G13)/G13,"")</f>
        <v>0.47603263640999488</v>
      </c>
      <c r="N13" s="88">
        <f t="shared" si="2"/>
        <v>0.76887199861806887</v>
      </c>
      <c r="AB13" s="671" t="s">
        <v>122</v>
      </c>
      <c r="AC13" s="793">
        <f t="shared" si="7"/>
        <v>3.8974358974358972E-3</v>
      </c>
    </row>
    <row r="14" spans="2:29" ht="8.1" customHeight="1">
      <c r="R14" s="92"/>
      <c r="AB14" s="671" t="s">
        <v>123</v>
      </c>
      <c r="AC14" s="793">
        <f t="shared" si="7"/>
        <v>3.8974358974358972E-3</v>
      </c>
    </row>
    <row r="15" spans="2:29" ht="15.6">
      <c r="B15" s="51" t="s">
        <v>110</v>
      </c>
      <c r="C15" s="55"/>
      <c r="D15" s="51" t="s">
        <v>112</v>
      </c>
      <c r="E15" s="56">
        <v>2020</v>
      </c>
      <c r="F15" s="56">
        <f>+E15+1</f>
        <v>2021</v>
      </c>
      <c r="G15" s="56">
        <f>+F15+1</f>
        <v>2022</v>
      </c>
      <c r="H15" s="56">
        <f t="shared" ref="H15:I15" si="9">+G15+1</f>
        <v>2023</v>
      </c>
      <c r="I15" s="56">
        <f t="shared" si="9"/>
        <v>2024</v>
      </c>
      <c r="J15" s="57" t="str">
        <f>"CAGR "&amp;$E$4&amp;" - "&amp;$I$4</f>
        <v>CAGR 2020 - 2024</v>
      </c>
      <c r="K15" s="56">
        <v>2021</v>
      </c>
      <c r="L15" s="56">
        <f>+K15+1</f>
        <v>2022</v>
      </c>
      <c r="M15" s="56">
        <f>+L15+1</f>
        <v>2023</v>
      </c>
      <c r="N15" s="56">
        <f t="shared" ref="N15" si="10">+M15+1</f>
        <v>2024</v>
      </c>
      <c r="AB15" s="671" t="s">
        <v>124</v>
      </c>
      <c r="AC15" s="793">
        <f t="shared" si="7"/>
        <v>3.8974358974358972E-3</v>
      </c>
    </row>
    <row r="16" spans="2:29" s="88" customFormat="1" ht="3.95" customHeight="1">
      <c r="B16" s="52"/>
      <c r="C16" s="52"/>
      <c r="D16" s="52"/>
      <c r="E16" s="52"/>
      <c r="F16" s="52"/>
      <c r="G16" s="52"/>
      <c r="H16" s="52"/>
      <c r="I16" s="52"/>
      <c r="J16" s="59"/>
      <c r="K16" s="59"/>
      <c r="L16" s="59"/>
      <c r="M16" s="59"/>
      <c r="N16" s="59"/>
      <c r="O16" s="93"/>
      <c r="AB16" s="794" t="s">
        <v>125</v>
      </c>
      <c r="AC16" s="793">
        <f t="shared" si="7"/>
        <v>3.8974358974358972E-3</v>
      </c>
    </row>
    <row r="17" spans="2:29">
      <c r="B17" t="s">
        <v>126</v>
      </c>
      <c r="D17" s="63">
        <f>IFERROR(I17/SUM($I$17:$I$21),"")</f>
        <v>1</v>
      </c>
      <c r="E17" s="91">
        <v>283</v>
      </c>
      <c r="F17" s="89">
        <v>318</v>
      </c>
      <c r="G17" s="89">
        <v>392</v>
      </c>
      <c r="H17" s="89">
        <v>579</v>
      </c>
      <c r="I17" s="89">
        <v>1024</v>
      </c>
      <c r="J17" s="62">
        <f>IFERROR((I17/E17)^(1/COUNT($E$4:$I$4))-1,"")</f>
        <v>0.2933102043740734</v>
      </c>
      <c r="K17" s="92">
        <f t="shared" ref="K17:N22" si="11">IFERROR((F17-E17)/E17,"")</f>
        <v>0.12367491166077739</v>
      </c>
      <c r="L17" s="92">
        <f t="shared" si="11"/>
        <v>0.23270440251572327</v>
      </c>
      <c r="M17" s="92">
        <f t="shared" si="11"/>
        <v>0.47704081632653061</v>
      </c>
      <c r="N17" s="92">
        <f t="shared" si="11"/>
        <v>0.76856649395509502</v>
      </c>
      <c r="AB17" s="671" t="s">
        <v>127</v>
      </c>
      <c r="AC17" s="793">
        <f t="shared" si="7"/>
        <v>3.8974358974358972E-3</v>
      </c>
    </row>
    <row r="18" spans="2:29">
      <c r="D18" s="63">
        <f t="shared" ref="D18:D21" si="12">IFERROR(I18/SUM($I$17:$I$21),"")</f>
        <v>0</v>
      </c>
      <c r="E18" s="89"/>
      <c r="F18" s="89"/>
      <c r="G18" s="89"/>
      <c r="H18" s="89"/>
      <c r="I18" s="89"/>
      <c r="J18" s="62" t="str">
        <f t="shared" ref="J18:J22" si="13">IFERROR((I18/E18)^(1/COUNT($E$4:$I$4))-1,"")</f>
        <v/>
      </c>
      <c r="K18" s="92" t="str">
        <f t="shared" si="11"/>
        <v/>
      </c>
      <c r="L18" s="92" t="str">
        <f t="shared" si="11"/>
        <v/>
      </c>
      <c r="M18" s="92" t="str">
        <f t="shared" si="11"/>
        <v/>
      </c>
      <c r="N18" s="92" t="str">
        <f t="shared" si="11"/>
        <v/>
      </c>
      <c r="AB18" s="671" t="s">
        <v>128</v>
      </c>
      <c r="AC18" s="793">
        <f t="shared" si="7"/>
        <v>3.8974358974358972E-3</v>
      </c>
    </row>
    <row r="19" spans="2:29">
      <c r="D19" s="63">
        <f t="shared" si="12"/>
        <v>0</v>
      </c>
      <c r="E19" s="89"/>
      <c r="F19" s="89"/>
      <c r="G19" s="89"/>
      <c r="H19" s="89"/>
      <c r="I19" s="89"/>
      <c r="J19" s="62" t="str">
        <f t="shared" si="13"/>
        <v/>
      </c>
      <c r="K19" s="92" t="str">
        <f t="shared" si="11"/>
        <v/>
      </c>
      <c r="L19" s="92" t="str">
        <f t="shared" si="11"/>
        <v/>
      </c>
      <c r="M19" s="92" t="str">
        <f t="shared" si="11"/>
        <v/>
      </c>
      <c r="N19" s="92" t="str">
        <f t="shared" si="11"/>
        <v/>
      </c>
      <c r="AB19" s="671" t="s">
        <v>129</v>
      </c>
      <c r="AC19" s="793">
        <f t="shared" si="7"/>
        <v>3.8974358974358972E-3</v>
      </c>
    </row>
    <row r="20" spans="2:29">
      <c r="B20" s="81"/>
      <c r="D20" s="63">
        <f t="shared" si="12"/>
        <v>0</v>
      </c>
      <c r="E20" s="89"/>
      <c r="F20" s="89"/>
      <c r="G20" s="89"/>
      <c r="H20" s="89"/>
      <c r="I20" s="89"/>
      <c r="J20" s="62" t="str">
        <f t="shared" si="13"/>
        <v/>
      </c>
      <c r="K20" s="92" t="str">
        <f t="shared" si="11"/>
        <v/>
      </c>
      <c r="L20" s="92" t="str">
        <f t="shared" si="11"/>
        <v/>
      </c>
      <c r="M20" s="92" t="str">
        <f t="shared" si="11"/>
        <v/>
      </c>
      <c r="N20" s="92" t="str">
        <f t="shared" si="11"/>
        <v/>
      </c>
      <c r="AB20" s="671" t="s">
        <v>130</v>
      </c>
      <c r="AC20" s="793">
        <f t="shared" si="7"/>
        <v>3.8974358974358972E-3</v>
      </c>
    </row>
    <row r="21" spans="2:29">
      <c r="B21" s="81"/>
      <c r="D21" s="63">
        <f t="shared" si="12"/>
        <v>0</v>
      </c>
      <c r="E21" s="89"/>
      <c r="F21" s="89"/>
      <c r="G21" s="89"/>
      <c r="H21" s="89"/>
      <c r="I21" s="89"/>
      <c r="J21" s="62" t="str">
        <f t="shared" si="13"/>
        <v/>
      </c>
      <c r="K21" s="92" t="str">
        <f t="shared" si="11"/>
        <v/>
      </c>
      <c r="L21" s="92" t="str">
        <f t="shared" si="11"/>
        <v/>
      </c>
      <c r="M21" s="92" t="str">
        <f t="shared" si="11"/>
        <v/>
      </c>
      <c r="N21" s="92" t="str">
        <f t="shared" si="11"/>
        <v/>
      </c>
      <c r="AB21" s="671" t="s">
        <v>131</v>
      </c>
      <c r="AC21" s="793">
        <f t="shared" si="7"/>
        <v>3.8974358974358972E-3</v>
      </c>
    </row>
    <row r="22" spans="2:29">
      <c r="B22" s="1" t="s">
        <v>121</v>
      </c>
      <c r="D22" s="90">
        <f>SUM(D17:D21)</f>
        <v>1</v>
      </c>
      <c r="E22" s="91">
        <f>SUM(E17:E21)</f>
        <v>283</v>
      </c>
      <c r="F22" s="91">
        <f>SUM(F17:F21)</f>
        <v>318</v>
      </c>
      <c r="G22" s="91">
        <f t="shared" ref="G22:I22" si="14">SUM(G17:G21)</f>
        <v>392</v>
      </c>
      <c r="H22" s="91">
        <f t="shared" si="14"/>
        <v>579</v>
      </c>
      <c r="I22" s="91">
        <f t="shared" si="14"/>
        <v>1024</v>
      </c>
      <c r="J22" s="65">
        <f t="shared" si="13"/>
        <v>0.2933102043740734</v>
      </c>
      <c r="K22" s="92">
        <f t="shared" si="11"/>
        <v>0.12367491166077739</v>
      </c>
      <c r="L22" s="92">
        <f t="shared" si="11"/>
        <v>0.23270440251572327</v>
      </c>
      <c r="M22" s="92">
        <f t="shared" si="11"/>
        <v>0.47704081632653061</v>
      </c>
      <c r="N22" s="92">
        <f t="shared" si="11"/>
        <v>0.76856649395509502</v>
      </c>
      <c r="AB22" s="671"/>
      <c r="AC22" s="795">
        <v>0</v>
      </c>
    </row>
    <row r="23" spans="2:29" ht="8.1" customHeight="1">
      <c r="B23" s="1"/>
      <c r="D23" s="1"/>
      <c r="E23" s="91"/>
      <c r="F23" s="91"/>
      <c r="G23" s="91"/>
      <c r="H23" s="91"/>
      <c r="I23" s="91"/>
      <c r="J23" s="65"/>
      <c r="K23" s="1"/>
      <c r="L23" s="1"/>
      <c r="M23" s="1"/>
      <c r="N23" s="1"/>
      <c r="AB23" s="671"/>
      <c r="AC23" s="671"/>
    </row>
    <row r="24" spans="2:29" ht="15" customHeight="1">
      <c r="B24" s="67" t="s">
        <v>132</v>
      </c>
      <c r="C24" s="68"/>
      <c r="D24" s="67" t="s">
        <v>133</v>
      </c>
      <c r="E24" s="68"/>
      <c r="F24" s="68"/>
      <c r="G24" s="68"/>
      <c r="H24" s="68"/>
      <c r="I24" s="68"/>
      <c r="J24" s="94" t="s">
        <v>134</v>
      </c>
      <c r="K24" s="95"/>
      <c r="L24" s="95"/>
      <c r="M24" s="95"/>
      <c r="N24" s="95"/>
      <c r="AB24" s="671"/>
      <c r="AC24" s="792">
        <f>SUM(AC6:AC21)</f>
        <v>0.99999999999999933</v>
      </c>
    </row>
    <row r="25" spans="2:29" ht="3.95" customHeight="1">
      <c r="B25" s="69"/>
      <c r="C25" s="69"/>
      <c r="D25" s="69"/>
      <c r="E25" s="69"/>
      <c r="F25" s="69"/>
      <c r="G25" s="69"/>
      <c r="H25" s="69"/>
      <c r="I25" s="69"/>
      <c r="J25" s="96"/>
      <c r="K25" s="96"/>
      <c r="L25" s="96"/>
      <c r="M25" s="96"/>
      <c r="N25" s="96"/>
    </row>
    <row r="26" spans="2:29" ht="57.75" customHeight="1">
      <c r="B26" s="1036" t="s">
        <v>135</v>
      </c>
      <c r="C26" s="1037"/>
      <c r="D26" s="1038" t="s">
        <v>136</v>
      </c>
      <c r="E26" s="1039"/>
      <c r="F26" s="1039"/>
      <c r="G26" s="1039"/>
      <c r="H26" s="1039"/>
      <c r="I26" s="1040"/>
      <c r="J26" s="65"/>
      <c r="K26" s="1"/>
      <c r="L26" s="1"/>
      <c r="M26" s="1"/>
      <c r="N26" s="1"/>
    </row>
    <row r="27" spans="2:29" ht="57.75" customHeight="1">
      <c r="B27" s="1041" t="s">
        <v>137</v>
      </c>
      <c r="C27" s="1042"/>
      <c r="D27" s="1043" t="s">
        <v>138</v>
      </c>
      <c r="E27" s="1044"/>
      <c r="F27" s="1044"/>
      <c r="G27" s="1044"/>
      <c r="H27" s="1044"/>
      <c r="I27" s="1045"/>
      <c r="J27" s="65"/>
      <c r="K27" s="1"/>
      <c r="L27" s="1"/>
      <c r="M27" s="1"/>
      <c r="N27" s="1"/>
    </row>
    <row r="28" spans="2:29" ht="57.75" customHeight="1">
      <c r="B28" s="1034" t="s">
        <v>139</v>
      </c>
      <c r="C28" s="1035"/>
      <c r="D28" s="1031" t="s">
        <v>140</v>
      </c>
      <c r="E28" s="1032"/>
      <c r="F28" s="1032"/>
      <c r="G28" s="1032"/>
      <c r="H28" s="1032"/>
      <c r="I28" s="1033"/>
      <c r="J28" s="65"/>
      <c r="K28" s="1"/>
      <c r="L28" s="1"/>
      <c r="M28" s="1"/>
      <c r="N28" s="1"/>
    </row>
    <row r="29" spans="2:29" ht="39.950000000000003" hidden="1" customHeight="1">
      <c r="B29" s="1029" t="str">
        <f>IF(B20=0,"",B20)</f>
        <v/>
      </c>
      <c r="C29" s="1029"/>
      <c r="D29" s="1030"/>
      <c r="E29" s="1030"/>
      <c r="F29" s="1030"/>
      <c r="G29" s="1030"/>
      <c r="H29" s="1030"/>
      <c r="I29" s="1030"/>
      <c r="J29" s="65"/>
      <c r="K29" s="1"/>
      <c r="L29" s="1"/>
      <c r="M29" s="1"/>
      <c r="N29" s="1"/>
    </row>
    <row r="30" spans="2:29" ht="39.950000000000003" hidden="1" customHeight="1">
      <c r="B30" s="1029" t="str">
        <f>IF(B21=0,"",B21)</f>
        <v/>
      </c>
      <c r="C30" s="1029"/>
      <c r="D30" s="1030"/>
      <c r="E30" s="1030"/>
      <c r="F30" s="1030"/>
      <c r="G30" s="1030"/>
      <c r="H30" s="1030"/>
      <c r="I30" s="1030"/>
      <c r="J30" s="65"/>
      <c r="K30" s="1"/>
      <c r="L30" s="1"/>
      <c r="M30" s="1"/>
      <c r="N30" s="1"/>
    </row>
    <row r="31" spans="2:29" ht="8.1" customHeight="1">
      <c r="E31" s="71"/>
      <c r="F31" s="71"/>
      <c r="G31" s="71"/>
      <c r="H31" s="71"/>
      <c r="I31" s="71"/>
      <c r="J31" s="97"/>
    </row>
    <row r="32" spans="2:29" ht="15.6">
      <c r="B32" s="51" t="s">
        <v>141</v>
      </c>
      <c r="C32" s="55"/>
      <c r="D32" s="51" t="s">
        <v>112</v>
      </c>
      <c r="E32" s="56">
        <v>2020</v>
      </c>
      <c r="F32" s="56">
        <f>+E32+1</f>
        <v>2021</v>
      </c>
      <c r="G32" s="56">
        <f>+F32+1</f>
        <v>2022</v>
      </c>
      <c r="H32" s="56">
        <f t="shared" ref="H32:I32" si="15">+G32+1</f>
        <v>2023</v>
      </c>
      <c r="I32" s="98">
        <f t="shared" si="15"/>
        <v>2024</v>
      </c>
      <c r="J32" s="99">
        <f>I32+1</f>
        <v>2025</v>
      </c>
      <c r="K32" s="99">
        <f t="shared" ref="K32:T32" si="16">+J32+1</f>
        <v>2026</v>
      </c>
      <c r="L32" s="99">
        <f t="shared" si="16"/>
        <v>2027</v>
      </c>
      <c r="M32" s="99">
        <f t="shared" si="16"/>
        <v>2028</v>
      </c>
      <c r="N32" s="99">
        <f t="shared" si="16"/>
        <v>2029</v>
      </c>
      <c r="O32" s="99">
        <f t="shared" si="16"/>
        <v>2030</v>
      </c>
      <c r="P32" s="99">
        <f t="shared" si="16"/>
        <v>2031</v>
      </c>
      <c r="Q32" s="99">
        <f t="shared" si="16"/>
        <v>2032</v>
      </c>
      <c r="R32" s="99">
        <f t="shared" si="16"/>
        <v>2033</v>
      </c>
      <c r="S32" s="99">
        <f t="shared" si="16"/>
        <v>2034</v>
      </c>
      <c r="T32" s="99">
        <f t="shared" si="16"/>
        <v>2035</v>
      </c>
    </row>
    <row r="33" spans="2:20" ht="3.95" customHeight="1">
      <c r="B33" s="52"/>
      <c r="C33" s="52"/>
      <c r="D33" s="52"/>
      <c r="E33" s="52"/>
      <c r="F33" s="52"/>
      <c r="G33" s="52"/>
      <c r="H33" s="52"/>
      <c r="I33" s="100"/>
      <c r="J33" s="59"/>
      <c r="K33" s="59"/>
      <c r="L33" s="59"/>
      <c r="M33" s="59"/>
      <c r="N33" s="59"/>
      <c r="O33" s="59"/>
      <c r="P33" s="59"/>
      <c r="Q33" s="59"/>
      <c r="R33" s="59"/>
      <c r="S33" s="59"/>
      <c r="T33" s="59"/>
    </row>
    <row r="34" spans="2:20">
      <c r="D34" s="63">
        <f>IFERROR(I34/$I$13,"")</f>
        <v>0</v>
      </c>
      <c r="E34" s="89"/>
      <c r="F34" s="89"/>
      <c r="G34" s="89"/>
      <c r="H34" s="89"/>
      <c r="I34" s="101"/>
      <c r="J34" s="102"/>
      <c r="K34" s="102"/>
      <c r="L34" s="102"/>
      <c r="M34" s="102"/>
      <c r="N34" s="102"/>
      <c r="O34" s="102"/>
      <c r="P34" s="102"/>
      <c r="Q34" s="102"/>
      <c r="R34" s="102"/>
      <c r="S34" s="102"/>
      <c r="T34" s="102"/>
    </row>
    <row r="35" spans="2:20" hidden="1">
      <c r="D35" s="63"/>
      <c r="E35" s="103"/>
      <c r="F35" s="104"/>
      <c r="G35" s="104"/>
      <c r="H35" s="104"/>
      <c r="I35" s="105"/>
      <c r="J35" s="106"/>
      <c r="K35" s="106"/>
      <c r="L35" s="106"/>
      <c r="M35" s="106"/>
      <c r="N35" s="106"/>
      <c r="O35" s="106"/>
      <c r="P35" s="106"/>
      <c r="Q35" s="106"/>
      <c r="R35" s="106"/>
      <c r="S35" s="106"/>
      <c r="T35" s="106"/>
    </row>
    <row r="36" spans="2:20">
      <c r="D36" s="63">
        <f>IFERROR(I36/$I$13,"")</f>
        <v>0</v>
      </c>
      <c r="E36" s="89"/>
      <c r="F36" s="89"/>
      <c r="G36" s="89"/>
      <c r="H36" s="89"/>
      <c r="I36" s="101"/>
      <c r="J36" s="102"/>
      <c r="K36" s="102"/>
      <c r="L36" s="102"/>
      <c r="M36" s="102"/>
      <c r="N36" s="102"/>
      <c r="O36" s="102"/>
      <c r="P36" s="102"/>
      <c r="Q36" s="102"/>
      <c r="R36" s="102"/>
      <c r="S36" s="102"/>
      <c r="T36" s="102"/>
    </row>
    <row r="37" spans="2:20" hidden="1">
      <c r="D37" s="63"/>
      <c r="E37" s="103"/>
      <c r="F37" s="63" t="str">
        <f>IFERROR((F36-E36)/E36,"")</f>
        <v/>
      </c>
      <c r="G37" s="63" t="str">
        <f>IFERROR((G36-F36)/F36,"")</f>
        <v/>
      </c>
      <c r="H37" s="63" t="str">
        <f>IFERROR((H36-G36)/G36,"")</f>
        <v/>
      </c>
      <c r="I37" s="107" t="str">
        <f>IFERROR((I36-H36)/H36,"")</f>
        <v/>
      </c>
      <c r="J37" s="106"/>
      <c r="K37" s="106"/>
      <c r="L37" s="106"/>
      <c r="M37" s="106"/>
      <c r="N37" s="106"/>
      <c r="O37" s="106"/>
      <c r="P37" s="106"/>
      <c r="Q37" s="106"/>
      <c r="R37" s="106"/>
      <c r="S37" s="106"/>
      <c r="T37" s="106"/>
    </row>
    <row r="38" spans="2:20" hidden="1">
      <c r="B38" t="s">
        <v>142</v>
      </c>
      <c r="D38" s="63">
        <f>IFERROR(I38/$I$13,"")</f>
        <v>0</v>
      </c>
      <c r="E38" s="89"/>
      <c r="F38" s="89"/>
      <c r="G38" s="89"/>
      <c r="H38" s="89"/>
      <c r="I38" s="108"/>
      <c r="J38" s="102">
        <f>I38*(1+J39)</f>
        <v>0</v>
      </c>
      <c r="K38" s="102">
        <f t="shared" ref="K38:T38" si="17">J38*(1+K39)</f>
        <v>0</v>
      </c>
      <c r="L38" s="102">
        <f t="shared" si="17"/>
        <v>0</v>
      </c>
      <c r="M38" s="102">
        <f t="shared" si="17"/>
        <v>0</v>
      </c>
      <c r="N38" s="102">
        <f t="shared" si="17"/>
        <v>0</v>
      </c>
      <c r="O38" s="102">
        <f t="shared" si="17"/>
        <v>0</v>
      </c>
      <c r="P38" s="102">
        <f t="shared" si="17"/>
        <v>0</v>
      </c>
      <c r="Q38" s="102">
        <f t="shared" si="17"/>
        <v>0</v>
      </c>
      <c r="R38" s="102">
        <f t="shared" si="17"/>
        <v>0</v>
      </c>
      <c r="S38" s="102">
        <f t="shared" si="17"/>
        <v>0</v>
      </c>
      <c r="T38" s="102">
        <f t="shared" si="17"/>
        <v>0</v>
      </c>
    </row>
    <row r="39" spans="2:20" hidden="1">
      <c r="D39" s="63"/>
      <c r="E39" s="103"/>
      <c r="F39" s="103" t="str">
        <f>IFERROR(F38-E38/E38,"")</f>
        <v/>
      </c>
      <c r="G39" s="103" t="str">
        <f t="shared" ref="G39:I39" si="18">IFERROR(G38-F38/F38,"")</f>
        <v/>
      </c>
      <c r="H39" s="103" t="str">
        <f t="shared" si="18"/>
        <v/>
      </c>
      <c r="I39" s="105" t="str">
        <f t="shared" si="18"/>
        <v/>
      </c>
      <c r="J39" s="106"/>
      <c r="K39" s="106"/>
      <c r="L39" s="106"/>
      <c r="M39" s="106"/>
      <c r="N39" s="106"/>
      <c r="O39" s="106"/>
      <c r="P39" s="106"/>
      <c r="Q39" s="106"/>
      <c r="R39" s="106"/>
      <c r="S39" s="106"/>
      <c r="T39" s="106"/>
    </row>
    <row r="40" spans="2:20" hidden="1">
      <c r="B40" t="s">
        <v>143</v>
      </c>
      <c r="D40" s="63">
        <f>IFERROR(I40/$I$13,"")</f>
        <v>0</v>
      </c>
      <c r="E40" s="89"/>
      <c r="F40" s="89"/>
      <c r="G40" s="89"/>
      <c r="H40" s="89"/>
      <c r="I40" s="108"/>
      <c r="J40" s="102">
        <f>I40*(1+J41)</f>
        <v>0</v>
      </c>
      <c r="K40" s="102">
        <f t="shared" ref="K40:T40" si="19">J40*(1+K41)</f>
        <v>0</v>
      </c>
      <c r="L40" s="102">
        <f t="shared" si="19"/>
        <v>0</v>
      </c>
      <c r="M40" s="102">
        <f t="shared" si="19"/>
        <v>0</v>
      </c>
      <c r="N40" s="102">
        <f t="shared" si="19"/>
        <v>0</v>
      </c>
      <c r="O40" s="102">
        <f t="shared" si="19"/>
        <v>0</v>
      </c>
      <c r="P40" s="102">
        <f t="shared" si="19"/>
        <v>0</v>
      </c>
      <c r="Q40" s="102">
        <f t="shared" si="19"/>
        <v>0</v>
      </c>
      <c r="R40" s="102">
        <f t="shared" si="19"/>
        <v>0</v>
      </c>
      <c r="S40" s="102">
        <f t="shared" si="19"/>
        <v>0</v>
      </c>
      <c r="T40" s="102">
        <f t="shared" si="19"/>
        <v>0</v>
      </c>
    </row>
    <row r="41" spans="2:20" hidden="1">
      <c r="D41" s="63"/>
      <c r="E41" s="103"/>
      <c r="F41" s="103" t="str">
        <f>IFERROR(F40-E40/E40,"")</f>
        <v/>
      </c>
      <c r="G41" s="103" t="str">
        <f t="shared" ref="G41:I41" si="20">IFERROR(G40-F40/F40,"")</f>
        <v/>
      </c>
      <c r="H41" s="103" t="str">
        <f t="shared" si="20"/>
        <v/>
      </c>
      <c r="I41" s="105" t="str">
        <f t="shared" si="20"/>
        <v/>
      </c>
      <c r="J41" s="106"/>
      <c r="K41" s="106"/>
      <c r="L41" s="106"/>
      <c r="M41" s="106"/>
      <c r="N41" s="106"/>
      <c r="O41" s="106"/>
      <c r="P41" s="106"/>
      <c r="Q41" s="106"/>
      <c r="R41" s="106"/>
      <c r="S41" s="106"/>
      <c r="T41" s="106"/>
    </row>
    <row r="42" spans="2:20" hidden="1">
      <c r="B42" t="s">
        <v>144</v>
      </c>
      <c r="D42" s="63">
        <f>IFERROR(I42/$I$13,"")</f>
        <v>0</v>
      </c>
      <c r="E42" s="89"/>
      <c r="F42" s="89"/>
      <c r="G42" s="89"/>
      <c r="H42" s="89"/>
      <c r="I42" s="108"/>
      <c r="J42" s="102">
        <f>I42*(1+J43)</f>
        <v>0</v>
      </c>
      <c r="K42" s="102">
        <f t="shared" ref="K42:T42" si="21">J42*(1+K43)</f>
        <v>0</v>
      </c>
      <c r="L42" s="102">
        <f t="shared" si="21"/>
        <v>0</v>
      </c>
      <c r="M42" s="102">
        <f t="shared" si="21"/>
        <v>0</v>
      </c>
      <c r="N42" s="102">
        <f t="shared" si="21"/>
        <v>0</v>
      </c>
      <c r="O42" s="102">
        <f t="shared" si="21"/>
        <v>0</v>
      </c>
      <c r="P42" s="102">
        <f t="shared" si="21"/>
        <v>0</v>
      </c>
      <c r="Q42" s="102">
        <f t="shared" si="21"/>
        <v>0</v>
      </c>
      <c r="R42" s="102">
        <f t="shared" si="21"/>
        <v>0</v>
      </c>
      <c r="S42" s="102">
        <f t="shared" si="21"/>
        <v>0</v>
      </c>
      <c r="T42" s="102">
        <f t="shared" si="21"/>
        <v>0</v>
      </c>
    </row>
    <row r="43" spans="2:20" hidden="1">
      <c r="D43" s="63"/>
      <c r="E43" s="103"/>
      <c r="F43" s="103" t="str">
        <f>IFERROR(F42-E42/E42,"")</f>
        <v/>
      </c>
      <c r="G43" s="103" t="str">
        <f t="shared" ref="G43:I43" si="22">IFERROR(G42-F42/F42,"")</f>
        <v/>
      </c>
      <c r="H43" s="103" t="str">
        <f t="shared" si="22"/>
        <v/>
      </c>
      <c r="I43" s="105" t="str">
        <f t="shared" si="22"/>
        <v/>
      </c>
      <c r="J43" s="106"/>
      <c r="K43" s="106"/>
      <c r="L43" s="106"/>
      <c r="M43" s="106"/>
      <c r="N43" s="106"/>
      <c r="O43" s="106"/>
      <c r="P43" s="106"/>
      <c r="Q43" s="106"/>
      <c r="R43" s="106"/>
      <c r="S43" s="106"/>
      <c r="T43" s="106"/>
    </row>
    <row r="44" spans="2:20">
      <c r="B44" s="1" t="s">
        <v>121</v>
      </c>
      <c r="D44" s="90">
        <f>SUM(D34:D42)</f>
        <v>0</v>
      </c>
      <c r="E44" s="91">
        <f>SUM(E34:E42)</f>
        <v>0</v>
      </c>
      <c r="F44" s="91">
        <f t="shared" ref="F44:T44" si="23">SUM(F34:F42)</f>
        <v>0</v>
      </c>
      <c r="G44" s="91">
        <f t="shared" si="23"/>
        <v>0</v>
      </c>
      <c r="H44" s="91">
        <f t="shared" si="23"/>
        <v>0</v>
      </c>
      <c r="I44" s="109">
        <f t="shared" si="23"/>
        <v>0</v>
      </c>
      <c r="J44" s="91">
        <f t="shared" si="23"/>
        <v>0</v>
      </c>
      <c r="K44" s="91">
        <f t="shared" si="23"/>
        <v>0</v>
      </c>
      <c r="L44" s="91">
        <f t="shared" si="23"/>
        <v>0</v>
      </c>
      <c r="M44" s="91">
        <f t="shared" si="23"/>
        <v>0</v>
      </c>
      <c r="N44" s="91">
        <f t="shared" si="23"/>
        <v>0</v>
      </c>
      <c r="O44" s="91">
        <f t="shared" si="23"/>
        <v>0</v>
      </c>
      <c r="P44" s="91">
        <f t="shared" si="23"/>
        <v>0</v>
      </c>
      <c r="Q44" s="91">
        <f t="shared" si="23"/>
        <v>0</v>
      </c>
      <c r="R44" s="91">
        <f t="shared" si="23"/>
        <v>0</v>
      </c>
      <c r="S44" s="91">
        <f t="shared" si="23"/>
        <v>0</v>
      </c>
      <c r="T44" s="91">
        <f t="shared" si="23"/>
        <v>0</v>
      </c>
    </row>
    <row r="45" spans="2:20" ht="8.1" customHeight="1"/>
    <row r="46" spans="2:20" ht="15.6">
      <c r="B46" s="67" t="s">
        <v>145</v>
      </c>
      <c r="C46" s="68"/>
      <c r="D46" s="67"/>
      <c r="E46" s="68"/>
      <c r="F46" s="68"/>
      <c r="G46" s="68"/>
      <c r="H46" s="68"/>
      <c r="I46" s="68"/>
      <c r="J46" s="94"/>
      <c r="K46" s="95"/>
      <c r="L46" s="95"/>
      <c r="M46" s="95"/>
      <c r="N46" s="95"/>
      <c r="O46" s="95"/>
    </row>
    <row r="47" spans="2:20" ht="3.95" customHeight="1">
      <c r="B47" s="69"/>
      <c r="C47" s="69"/>
      <c r="D47" s="69"/>
      <c r="E47" s="69"/>
      <c r="F47" s="69"/>
      <c r="G47" s="69"/>
      <c r="H47" s="69"/>
      <c r="I47" s="69"/>
      <c r="J47" s="96"/>
      <c r="K47" s="96"/>
      <c r="L47" s="96"/>
      <c r="M47" s="96"/>
      <c r="N47" s="96"/>
      <c r="O47" s="96"/>
    </row>
    <row r="48" spans="2:20" ht="18.95" customHeight="1">
      <c r="B48" s="1013" t="s">
        <v>146</v>
      </c>
      <c r="C48" s="1013"/>
      <c r="D48" s="1013"/>
      <c r="E48" s="1013"/>
      <c r="F48" s="1013"/>
      <c r="G48" s="1013"/>
      <c r="H48" s="1013"/>
      <c r="I48" s="1013"/>
      <c r="J48" s="1013"/>
      <c r="K48" s="1013"/>
      <c r="L48" s="1013"/>
      <c r="M48" s="1013"/>
      <c r="N48" s="1013"/>
      <c r="O48" s="1013"/>
    </row>
    <row r="49" spans="2:15" ht="18.95" customHeight="1">
      <c r="B49" s="1013" t="s">
        <v>147</v>
      </c>
      <c r="C49" s="1013"/>
      <c r="D49" s="1013"/>
      <c r="E49" s="1013"/>
      <c r="F49" s="1013"/>
      <c r="G49" s="1013"/>
      <c r="H49" s="1013"/>
      <c r="I49" s="1013"/>
      <c r="J49" s="1013"/>
      <c r="K49" s="1013"/>
      <c r="L49" s="1013"/>
      <c r="M49" s="1013"/>
      <c r="N49" s="1013"/>
      <c r="O49" s="1013"/>
    </row>
    <row r="50" spans="2:15" ht="18.95" customHeight="1">
      <c r="B50" s="1013" t="s">
        <v>148</v>
      </c>
      <c r="C50" s="1013"/>
      <c r="D50" s="1013"/>
      <c r="E50" s="1013"/>
      <c r="F50" s="1013"/>
      <c r="G50" s="1013"/>
      <c r="H50" s="1013"/>
      <c r="I50" s="1013"/>
      <c r="J50" s="1013"/>
      <c r="K50" s="1013"/>
      <c r="L50" s="1013"/>
      <c r="M50" s="1013"/>
      <c r="N50" s="1013"/>
      <c r="O50" s="1013"/>
    </row>
    <row r="51" spans="2:15" ht="18.95" customHeight="1">
      <c r="B51" s="1013" t="s">
        <v>149</v>
      </c>
      <c r="C51" s="1013"/>
      <c r="D51" s="1013"/>
      <c r="E51" s="1013"/>
      <c r="F51" s="1013"/>
      <c r="G51" s="1013"/>
      <c r="H51" s="1013"/>
      <c r="I51" s="1013"/>
      <c r="J51" s="1013"/>
      <c r="K51" s="1013"/>
      <c r="L51" s="1013"/>
      <c r="M51" s="1013"/>
      <c r="N51" s="1013"/>
      <c r="O51" s="1013"/>
    </row>
    <row r="52" spans="2:15" ht="18.95" customHeight="1">
      <c r="B52" s="1013" t="s">
        <v>150</v>
      </c>
      <c r="C52" s="1013"/>
      <c r="D52" s="1013"/>
      <c r="E52" s="1013"/>
      <c r="F52" s="1013"/>
      <c r="G52" s="1013"/>
      <c r="H52" s="1013"/>
      <c r="I52" s="1013"/>
      <c r="J52" s="1013"/>
      <c r="K52" s="1013"/>
      <c r="L52" s="1013"/>
      <c r="M52" s="1013"/>
      <c r="N52" s="1013"/>
      <c r="O52" s="1013"/>
    </row>
    <row r="53" spans="2:15" ht="18.95" customHeight="1">
      <c r="B53" s="1013" t="s">
        <v>151</v>
      </c>
      <c r="C53" s="1013"/>
      <c r="D53" s="1013"/>
      <c r="E53" s="1013"/>
      <c r="F53" s="1013"/>
      <c r="G53" s="1013"/>
      <c r="H53" s="1013"/>
      <c r="I53" s="1013"/>
      <c r="J53" s="1013"/>
      <c r="K53" s="1013"/>
      <c r="L53" s="1013"/>
      <c r="M53" s="1013"/>
      <c r="N53" s="1013"/>
      <c r="O53" s="1013"/>
    </row>
    <row r="54" spans="2:15" ht="18.95" customHeight="1">
      <c r="B54" s="1028" t="s">
        <v>152</v>
      </c>
      <c r="C54" s="1028"/>
      <c r="D54" s="1028"/>
      <c r="E54" s="1028"/>
      <c r="F54" s="1028"/>
      <c r="G54" s="1028"/>
      <c r="H54" s="1028"/>
      <c r="I54" s="1028"/>
      <c r="J54" s="1028"/>
      <c r="K54" s="1028"/>
      <c r="L54" s="1028"/>
      <c r="M54" s="1028"/>
      <c r="N54" s="1028"/>
      <c r="O54" s="1028"/>
    </row>
    <row r="55" spans="2:15" ht="18.95" customHeight="1">
      <c r="B55" s="1028" t="s">
        <v>153</v>
      </c>
      <c r="C55" s="1028"/>
      <c r="D55" s="1028"/>
      <c r="E55" s="1028"/>
      <c r="F55" s="1028"/>
      <c r="G55" s="1028"/>
      <c r="H55" s="1028"/>
      <c r="I55" s="1028"/>
      <c r="J55" s="1028"/>
      <c r="K55" s="1028"/>
      <c r="L55" s="1028"/>
      <c r="M55" s="1028"/>
      <c r="N55" s="1028"/>
      <c r="O55" s="1028"/>
    </row>
    <row r="56" spans="2:15" ht="18.95" customHeight="1">
      <c r="B56" s="1028" t="s">
        <v>154</v>
      </c>
      <c r="C56" s="1028"/>
      <c r="D56" s="1028"/>
      <c r="E56" s="1028"/>
      <c r="F56" s="1028"/>
      <c r="G56" s="1028"/>
      <c r="H56" s="1028"/>
      <c r="I56" s="1028"/>
      <c r="J56" s="1028"/>
      <c r="K56" s="1028"/>
      <c r="L56" s="1028"/>
      <c r="M56" s="1028"/>
      <c r="N56" s="1028"/>
      <c r="O56" s="1028"/>
    </row>
    <row r="57" spans="2:15" ht="18.95" customHeight="1">
      <c r="B57" s="1028" t="s">
        <v>155</v>
      </c>
      <c r="C57" s="1028"/>
      <c r="D57" s="1028"/>
      <c r="E57" s="1028"/>
      <c r="F57" s="1028"/>
      <c r="G57" s="1028"/>
      <c r="H57" s="1028"/>
      <c r="I57" s="1028"/>
      <c r="J57" s="1028"/>
      <c r="K57" s="1028"/>
      <c r="L57" s="1028"/>
      <c r="M57" s="1028"/>
      <c r="N57" s="1028"/>
      <c r="O57" s="1028"/>
    </row>
    <row r="132" spans="2:4">
      <c r="B132" t="s">
        <v>156</v>
      </c>
      <c r="C132" t="s">
        <v>157</v>
      </c>
      <c r="D132" t="s">
        <v>158</v>
      </c>
    </row>
  </sheetData>
  <mergeCells count="20">
    <mergeCell ref="D28:I28"/>
    <mergeCell ref="B28:C28"/>
    <mergeCell ref="B48:O48"/>
    <mergeCell ref="B26:C26"/>
    <mergeCell ref="D26:I26"/>
    <mergeCell ref="B27:C27"/>
    <mergeCell ref="D27:I27"/>
    <mergeCell ref="B29:C29"/>
    <mergeCell ref="D29:I29"/>
    <mergeCell ref="B55:O55"/>
    <mergeCell ref="B56:O56"/>
    <mergeCell ref="B57:O57"/>
    <mergeCell ref="B30:C30"/>
    <mergeCell ref="D30:I30"/>
    <mergeCell ref="B53:O53"/>
    <mergeCell ref="B54:O54"/>
    <mergeCell ref="B49:O49"/>
    <mergeCell ref="B50:O50"/>
    <mergeCell ref="B51:O51"/>
    <mergeCell ref="B52:O52"/>
  </mergeCells>
  <conditionalFormatting sqref="D6:D12">
    <cfRule type="dataBar" priority="4">
      <dataBar>
        <cfvo type="min"/>
        <cfvo type="max"/>
        <color rgb="FF63C384"/>
      </dataBar>
      <extLst>
        <ext xmlns:x14="http://schemas.microsoft.com/office/spreadsheetml/2009/9/main" uri="{B025F937-C7B1-47D3-B67F-A62EFF666E3E}">
          <x14:id>{EE9D804E-44D1-425D-BD56-BA1C67ECDD87}</x14:id>
        </ext>
      </extLst>
    </cfRule>
  </conditionalFormatting>
  <conditionalFormatting sqref="D17:D21">
    <cfRule type="dataBar" priority="3">
      <dataBar>
        <cfvo type="min"/>
        <cfvo type="max"/>
        <color rgb="FF63C384"/>
      </dataBar>
      <extLst>
        <ext xmlns:x14="http://schemas.microsoft.com/office/spreadsheetml/2009/9/main" uri="{B025F937-C7B1-47D3-B67F-A62EFF666E3E}">
          <x14:id>{04B6A2F1-BC24-4574-A417-F3A10D0855AC}</x14:id>
        </ext>
      </extLst>
    </cfRule>
  </conditionalFormatting>
  <conditionalFormatting sqref="D34:D43">
    <cfRule type="dataBar" priority="2">
      <dataBar>
        <cfvo type="min"/>
        <cfvo type="max"/>
        <color rgb="FF63C384"/>
      </dataBar>
      <extLst>
        <ext xmlns:x14="http://schemas.microsoft.com/office/spreadsheetml/2009/9/main" uri="{B025F937-C7B1-47D3-B67F-A62EFF666E3E}">
          <x14:id>{8289347D-B214-462A-80A7-26906AF72159}</x14:id>
        </ext>
      </extLst>
    </cfRule>
  </conditionalFormatting>
  <conditionalFormatting sqref="K17:K22">
    <cfRule type="dataBar" priority="8">
      <dataBar>
        <cfvo type="min"/>
        <cfvo type="max"/>
        <color rgb="FF63C384"/>
      </dataBar>
      <extLst>
        <ext xmlns:x14="http://schemas.microsoft.com/office/spreadsheetml/2009/9/main" uri="{B025F937-C7B1-47D3-B67F-A62EFF666E3E}">
          <x14:id>{EBD56D69-4BB4-43B8-8D45-285F41F83244}</x14:id>
        </ext>
      </extLst>
    </cfRule>
  </conditionalFormatting>
  <conditionalFormatting sqref="K6:L6 K8:K12">
    <cfRule type="dataBar" priority="11">
      <dataBar>
        <cfvo type="min"/>
        <cfvo type="max"/>
        <color rgb="FF63C384"/>
      </dataBar>
      <extLst>
        <ext xmlns:x14="http://schemas.microsoft.com/office/spreadsheetml/2009/9/main" uri="{B025F937-C7B1-47D3-B67F-A62EFF666E3E}">
          <x14:id>{CE64AA8B-8C2B-4BA4-B159-A0DEB993C03C}</x14:id>
        </ext>
      </extLst>
    </cfRule>
  </conditionalFormatting>
  <conditionalFormatting sqref="L8:L12">
    <cfRule type="dataBar" priority="10">
      <dataBar>
        <cfvo type="min"/>
        <cfvo type="max"/>
        <color rgb="FF63C384"/>
      </dataBar>
      <extLst>
        <ext xmlns:x14="http://schemas.microsoft.com/office/spreadsheetml/2009/9/main" uri="{B025F937-C7B1-47D3-B67F-A62EFF666E3E}">
          <x14:id>{50EA26E6-DEC0-41FA-9C99-D93A21717956}</x14:id>
        </ext>
      </extLst>
    </cfRule>
  </conditionalFormatting>
  <conditionalFormatting sqref="L17:L22">
    <cfRule type="dataBar" priority="7">
      <dataBar>
        <cfvo type="min"/>
        <cfvo type="max"/>
        <color rgb="FF63C384"/>
      </dataBar>
      <extLst>
        <ext xmlns:x14="http://schemas.microsoft.com/office/spreadsheetml/2009/9/main" uri="{B025F937-C7B1-47D3-B67F-A62EFF666E3E}">
          <x14:id>{CBC3D9D6-25C9-4EE9-9328-845D69C85A0B}</x14:id>
        </ext>
      </extLst>
    </cfRule>
  </conditionalFormatting>
  <conditionalFormatting sqref="M6:M13 K7:L7">
    <cfRule type="dataBar" priority="9">
      <dataBar>
        <cfvo type="min"/>
        <cfvo type="max"/>
        <color rgb="FF63C384"/>
      </dataBar>
      <extLst>
        <ext xmlns:x14="http://schemas.microsoft.com/office/spreadsheetml/2009/9/main" uri="{B025F937-C7B1-47D3-B67F-A62EFF666E3E}">
          <x14:id>{D8B7E103-81F7-41F8-94AC-C650C523BD2C}</x14:id>
        </ext>
      </extLst>
    </cfRule>
  </conditionalFormatting>
  <conditionalFormatting sqref="M17:M22">
    <cfRule type="dataBar" priority="6">
      <dataBar>
        <cfvo type="min"/>
        <cfvo type="max"/>
        <color rgb="FF63C384"/>
      </dataBar>
      <extLst>
        <ext xmlns:x14="http://schemas.microsoft.com/office/spreadsheetml/2009/9/main" uri="{B025F937-C7B1-47D3-B67F-A62EFF666E3E}">
          <x14:id>{D528D03B-A05A-4D8D-A011-E8F8CB54BAEC}</x14:id>
        </ext>
      </extLst>
    </cfRule>
  </conditionalFormatting>
  <conditionalFormatting sqref="N6:N13">
    <cfRule type="dataBar" priority="1">
      <dataBar>
        <cfvo type="min"/>
        <cfvo type="max"/>
        <color rgb="FF63C384"/>
      </dataBar>
      <extLst>
        <ext xmlns:x14="http://schemas.microsoft.com/office/spreadsheetml/2009/9/main" uri="{B025F937-C7B1-47D3-B67F-A62EFF666E3E}">
          <x14:id>{1FC5CDD5-6741-40C9-9902-1771C0B64A65}</x14:id>
        </ext>
      </extLst>
    </cfRule>
  </conditionalFormatting>
  <conditionalFormatting sqref="N17:N22">
    <cfRule type="dataBar" priority="5">
      <dataBar>
        <cfvo type="min"/>
        <cfvo type="max"/>
        <color rgb="FF63C384"/>
      </dataBar>
      <extLst>
        <ext xmlns:x14="http://schemas.microsoft.com/office/spreadsheetml/2009/9/main" uri="{B025F937-C7B1-47D3-B67F-A62EFF666E3E}">
          <x14:id>{7B3C7607-6293-4B76-B5C4-D8046AB98ECC}</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EE9D804E-44D1-425D-BD56-BA1C67ECDD87}">
            <x14:dataBar minLength="0" maxLength="100" gradient="0">
              <x14:cfvo type="autoMin"/>
              <x14:cfvo type="autoMax"/>
              <x14:negativeFillColor rgb="FFFF0000"/>
              <x14:axisColor rgb="FF000000"/>
            </x14:dataBar>
          </x14:cfRule>
          <xm:sqref>D6:D12</xm:sqref>
        </x14:conditionalFormatting>
        <x14:conditionalFormatting xmlns:xm="http://schemas.microsoft.com/office/excel/2006/main">
          <x14:cfRule type="dataBar" id="{04B6A2F1-BC24-4574-A417-F3A10D0855AC}">
            <x14:dataBar minLength="0" maxLength="100" gradient="0">
              <x14:cfvo type="autoMin"/>
              <x14:cfvo type="autoMax"/>
              <x14:negativeFillColor rgb="FFFF0000"/>
              <x14:axisColor rgb="FF000000"/>
            </x14:dataBar>
          </x14:cfRule>
          <xm:sqref>D17:D21</xm:sqref>
        </x14:conditionalFormatting>
        <x14:conditionalFormatting xmlns:xm="http://schemas.microsoft.com/office/excel/2006/main">
          <x14:cfRule type="dataBar" id="{8289347D-B214-462A-80A7-26906AF72159}">
            <x14:dataBar minLength="0" maxLength="100" gradient="0">
              <x14:cfvo type="autoMin"/>
              <x14:cfvo type="autoMax"/>
              <x14:negativeFillColor rgb="FFFF0000"/>
              <x14:axisColor rgb="FF000000"/>
            </x14:dataBar>
          </x14:cfRule>
          <xm:sqref>D34:D43</xm:sqref>
        </x14:conditionalFormatting>
        <x14:conditionalFormatting xmlns:xm="http://schemas.microsoft.com/office/excel/2006/main">
          <x14:cfRule type="dataBar" id="{EBD56D69-4BB4-43B8-8D45-285F41F83244}">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x14:cfRule type="dataBar" id="{CE64AA8B-8C2B-4BA4-B159-A0DEB993C03C}">
            <x14:dataBar minLength="0" maxLength="100" gradient="0">
              <x14:cfvo type="autoMin"/>
              <x14:cfvo type="autoMax"/>
              <x14:negativeFillColor rgb="FFFF0000"/>
              <x14:axisColor rgb="FF000000"/>
            </x14:dataBar>
          </x14:cfRule>
          <xm:sqref>K6:L6 K8:K12</xm:sqref>
        </x14:conditionalFormatting>
        <x14:conditionalFormatting xmlns:xm="http://schemas.microsoft.com/office/excel/2006/main">
          <x14:cfRule type="dataBar" id="{50EA26E6-DEC0-41FA-9C99-D93A21717956}">
            <x14:dataBar minLength="0" maxLength="100" gradient="0">
              <x14:cfvo type="autoMin"/>
              <x14:cfvo type="autoMax"/>
              <x14:negativeFillColor rgb="FFFF0000"/>
              <x14:axisColor rgb="FF000000"/>
            </x14:dataBar>
          </x14:cfRule>
          <xm:sqref>L8:L12</xm:sqref>
        </x14:conditionalFormatting>
        <x14:conditionalFormatting xmlns:xm="http://schemas.microsoft.com/office/excel/2006/main">
          <x14:cfRule type="dataBar" id="{CBC3D9D6-25C9-4EE9-9328-845D69C85A0B}">
            <x14:dataBar minLength="0" maxLength="100" gradient="0">
              <x14:cfvo type="autoMin"/>
              <x14:cfvo type="autoMax"/>
              <x14:negativeFillColor rgb="FFFF0000"/>
              <x14:axisColor rgb="FF000000"/>
            </x14:dataBar>
          </x14:cfRule>
          <xm:sqref>L17:L22</xm:sqref>
        </x14:conditionalFormatting>
        <x14:conditionalFormatting xmlns:xm="http://schemas.microsoft.com/office/excel/2006/main">
          <x14:cfRule type="dataBar" id="{D8B7E103-81F7-41F8-94AC-C650C523BD2C}">
            <x14:dataBar minLength="0" maxLength="100" gradient="0">
              <x14:cfvo type="autoMin"/>
              <x14:cfvo type="autoMax"/>
              <x14:negativeFillColor rgb="FFFF0000"/>
              <x14:axisColor rgb="FF000000"/>
            </x14:dataBar>
          </x14:cfRule>
          <xm:sqref>M6:M13 K7:L7</xm:sqref>
        </x14:conditionalFormatting>
        <x14:conditionalFormatting xmlns:xm="http://schemas.microsoft.com/office/excel/2006/main">
          <x14:cfRule type="dataBar" id="{D528D03B-A05A-4D8D-A011-E8F8CB54BAEC}">
            <x14:dataBar minLength="0" maxLength="100" gradient="0">
              <x14:cfvo type="autoMin"/>
              <x14:cfvo type="autoMax"/>
              <x14:negativeFillColor rgb="FFFF0000"/>
              <x14:axisColor rgb="FF000000"/>
            </x14:dataBar>
          </x14:cfRule>
          <xm:sqref>M17:M22</xm:sqref>
        </x14:conditionalFormatting>
        <x14:conditionalFormatting xmlns:xm="http://schemas.microsoft.com/office/excel/2006/main">
          <x14:cfRule type="dataBar" id="{1FC5CDD5-6741-40C9-9902-1771C0B64A65}">
            <x14:dataBar minLength="0" maxLength="100" gradient="0">
              <x14:cfvo type="autoMin"/>
              <x14:cfvo type="autoMax"/>
              <x14:negativeFillColor rgb="FFFF0000"/>
              <x14:axisColor rgb="FF000000"/>
            </x14:dataBar>
          </x14:cfRule>
          <xm:sqref>N6:N13</xm:sqref>
        </x14:conditionalFormatting>
        <x14:conditionalFormatting xmlns:xm="http://schemas.microsoft.com/office/excel/2006/main">
          <x14:cfRule type="dataBar" id="{7B3C7607-6293-4B76-B5C4-D8046AB98ECC}">
            <x14:dataBar minLength="0" maxLength="100" gradient="0">
              <x14:cfvo type="autoMin"/>
              <x14:cfvo type="autoMax"/>
              <x14:negativeFillColor rgb="FFFF0000"/>
              <x14:axisColor rgb="FF000000"/>
            </x14:dataBar>
          </x14:cfRule>
          <xm:sqref>N17:N22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100-000000000000}">
          <x14:colorSeries rgb="FF7B1314"/>
          <x14:colorNegative rgb="FFD00000"/>
          <x14:colorAxis rgb="FF000000"/>
          <x14:colorMarkers rgb="FFD00000"/>
          <x14:colorFirst rgb="FFD00000"/>
          <x14:colorLast rgb="FFD00000"/>
          <x14:colorHigh rgb="FFD00000"/>
          <x14:colorLow rgb="FFD00000"/>
          <x14:sparklines>
            <x14:sparkline>
              <xm:f>Segments!E31:I31</xm:f>
              <xm:sqref>D31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2:R73"/>
  <sheetViews>
    <sheetView showGridLines="0" tabSelected="1" zoomScale="50" zoomScaleNormal="50" workbookViewId="0">
      <selection activeCell="N5" sqref="N5:O11"/>
    </sheetView>
  </sheetViews>
  <sheetFormatPr defaultColWidth="8.875" defaultRowHeight="14.1"/>
  <cols>
    <col min="1" max="1" width="2.375" customWidth="1"/>
    <col min="2" max="2" width="33.875" customWidth="1"/>
    <col min="4" max="4" width="11" customWidth="1"/>
    <col min="5" max="5" width="13.125" customWidth="1"/>
    <col min="6" max="16" width="12.625" customWidth="1"/>
    <col min="17" max="17" width="21.625" style="6" customWidth="1"/>
    <col min="18" max="32" width="12.625" customWidth="1"/>
  </cols>
  <sheetData>
    <row r="2" spans="2:18" s="41" customFormat="1" ht="20.100000000000001" customHeight="1">
      <c r="B2" s="40" t="s">
        <v>159</v>
      </c>
      <c r="Q2" s="42"/>
    </row>
    <row r="4" spans="2:18" ht="15.6">
      <c r="B4" s="51" t="s">
        <v>160</v>
      </c>
      <c r="C4" s="55"/>
      <c r="D4" s="55"/>
      <c r="E4" s="51" t="s">
        <v>112</v>
      </c>
      <c r="F4" s="56">
        <v>2025</v>
      </c>
      <c r="G4" s="56">
        <f>+F4+1</f>
        <v>2026</v>
      </c>
      <c r="H4" s="56">
        <f>+G4+1</f>
        <v>2027</v>
      </c>
      <c r="I4" s="56">
        <f t="shared" ref="I4:P4" si="0">+H4+1</f>
        <v>2028</v>
      </c>
      <c r="J4" s="56">
        <f t="shared" si="0"/>
        <v>2029</v>
      </c>
      <c r="K4" s="56">
        <f t="shared" si="0"/>
        <v>2030</v>
      </c>
      <c r="L4" s="56">
        <f t="shared" si="0"/>
        <v>2031</v>
      </c>
      <c r="M4" s="56">
        <f t="shared" si="0"/>
        <v>2032</v>
      </c>
      <c r="N4" s="56">
        <f t="shared" si="0"/>
        <v>2033</v>
      </c>
      <c r="O4" s="56">
        <f t="shared" si="0"/>
        <v>2034</v>
      </c>
      <c r="P4" s="56">
        <f t="shared" si="0"/>
        <v>2035</v>
      </c>
      <c r="Q4" s="57" t="str">
        <f>"CAGR "&amp;$F$4&amp;" - "&amp;$P$4</f>
        <v>CAGR 2025 - 2035</v>
      </c>
      <c r="R4" s="58" t="s">
        <v>161</v>
      </c>
    </row>
    <row r="5" spans="2:18" ht="3.95" customHeight="1">
      <c r="B5" s="52"/>
      <c r="C5" s="52"/>
      <c r="D5" s="52"/>
      <c r="E5" s="52"/>
      <c r="F5" s="52"/>
      <c r="G5" s="52"/>
      <c r="H5" s="52"/>
      <c r="I5" s="52"/>
      <c r="J5" s="52"/>
      <c r="K5" s="52"/>
      <c r="L5" s="52"/>
      <c r="M5" s="52"/>
      <c r="N5" s="52"/>
      <c r="O5" s="52"/>
      <c r="P5" s="52"/>
      <c r="Q5" s="59"/>
      <c r="R5" s="59"/>
    </row>
    <row r="6" spans="2:18">
      <c r="B6" t="s">
        <v>162</v>
      </c>
      <c r="D6" s="60"/>
      <c r="E6" s="61">
        <v>0.52400000000000002</v>
      </c>
      <c r="F6" s="106">
        <v>0.14799999999999999</v>
      </c>
      <c r="G6" s="106">
        <v>0.125</v>
      </c>
      <c r="H6" s="106">
        <v>0.107</v>
      </c>
      <c r="I6" s="106">
        <v>9.2999999999999999E-2</v>
      </c>
      <c r="J6" s="106">
        <v>8.2000000000000003E-2</v>
      </c>
      <c r="K6" s="106">
        <v>7.4999999999999997E-2</v>
      </c>
      <c r="L6" s="106">
        <v>6.8000000000000005E-2</v>
      </c>
      <c r="M6" s="106">
        <v>6.3E-2</v>
      </c>
      <c r="N6" s="106">
        <v>5.8000000000000003E-2</v>
      </c>
      <c r="O6" s="106">
        <v>5.5E-2</v>
      </c>
      <c r="P6" s="106">
        <v>5.1999999999999998E-2</v>
      </c>
      <c r="Q6" s="62">
        <v>7.1999999999999995E-2</v>
      </c>
      <c r="R6" s="823" t="s">
        <v>163</v>
      </c>
    </row>
    <row r="7" spans="2:18">
      <c r="B7" t="s">
        <v>157</v>
      </c>
      <c r="D7" s="60"/>
      <c r="E7" s="61">
        <v>0.28699999999999998</v>
      </c>
      <c r="F7" s="106">
        <v>0.189</v>
      </c>
      <c r="G7" s="106">
        <v>0.16200000000000001</v>
      </c>
      <c r="H7" s="106">
        <v>0.13800000000000001</v>
      </c>
      <c r="I7" s="106">
        <v>0.11600000000000001</v>
      </c>
      <c r="J7" s="106">
        <v>0.10199999999999999</v>
      </c>
      <c r="K7" s="106">
        <v>9.4E-2</v>
      </c>
      <c r="L7" s="106">
        <v>8.6999999999999994E-2</v>
      </c>
      <c r="M7" s="106">
        <v>8.1000000000000003E-2</v>
      </c>
      <c r="N7" s="106">
        <v>7.5999999999999998E-2</v>
      </c>
      <c r="O7" s="106">
        <v>7.1999999999999995E-2</v>
      </c>
      <c r="P7" s="106">
        <v>6.8000000000000005E-2</v>
      </c>
      <c r="Q7" s="62">
        <v>3.5299999999999998E-2</v>
      </c>
      <c r="R7" s="823" t="s">
        <v>164</v>
      </c>
    </row>
    <row r="8" spans="2:18">
      <c r="B8" t="s">
        <v>165</v>
      </c>
      <c r="D8" s="60"/>
      <c r="E8" s="61">
        <v>0.189</v>
      </c>
      <c r="F8" s="106">
        <v>8.6999999999999994E-2</v>
      </c>
      <c r="G8" s="106">
        <v>7.2999999999999995E-2</v>
      </c>
      <c r="H8" s="106">
        <v>6.5000000000000002E-2</v>
      </c>
      <c r="I8" s="106">
        <v>5.8000000000000003E-2</v>
      </c>
      <c r="J8" s="106">
        <v>5.1999999999999998E-2</v>
      </c>
      <c r="K8" s="106">
        <v>4.8000000000000001E-2</v>
      </c>
      <c r="L8" s="106">
        <v>4.4999999999999998E-2</v>
      </c>
      <c r="M8" s="106">
        <v>4.2999999999999997E-2</v>
      </c>
      <c r="N8" s="106">
        <v>4.1000000000000002E-2</v>
      </c>
      <c r="O8" s="106">
        <v>3.9E-2</v>
      </c>
      <c r="P8" s="106">
        <v>3.7999999999999999E-2</v>
      </c>
      <c r="Q8" s="62">
        <v>2.98E-2</v>
      </c>
      <c r="R8" s="823" t="s">
        <v>164</v>
      </c>
    </row>
    <row r="9" spans="2:18">
      <c r="D9" s="60"/>
      <c r="E9" s="61"/>
      <c r="F9" s="61"/>
      <c r="G9" s="61"/>
      <c r="H9" s="61"/>
      <c r="I9" s="61"/>
      <c r="J9" s="61"/>
      <c r="K9" s="61"/>
      <c r="L9" s="61"/>
      <c r="M9" s="61"/>
      <c r="N9" s="61"/>
      <c r="O9" s="61"/>
      <c r="P9" s="61"/>
      <c r="Q9" s="62"/>
      <c r="R9" s="63"/>
    </row>
    <row r="10" spans="2:18">
      <c r="D10" s="60"/>
      <c r="E10" s="61"/>
      <c r="F10" s="61"/>
      <c r="G10" s="61"/>
      <c r="H10" s="61"/>
      <c r="I10" s="61"/>
      <c r="J10" s="61"/>
      <c r="K10" s="61"/>
      <c r="L10" s="61"/>
      <c r="M10" s="61"/>
      <c r="N10" s="61"/>
      <c r="O10" s="61"/>
      <c r="P10" s="61"/>
      <c r="Q10" s="62"/>
      <c r="R10" s="63"/>
    </row>
    <row r="11" spans="2:18">
      <c r="B11" s="1" t="s">
        <v>166</v>
      </c>
      <c r="E11" s="64">
        <f>SUM(E6:E10)</f>
        <v>1</v>
      </c>
      <c r="F11" s="64">
        <f t="shared" ref="F11:P11" si="1">SUMPRODUCT(F6:F10,$E$6:$E$10)</f>
        <v>0.14823799999999998</v>
      </c>
      <c r="G11" s="64">
        <f t="shared" si="1"/>
        <v>0.12579100000000001</v>
      </c>
      <c r="H11" s="64">
        <f t="shared" si="1"/>
        <v>0.10795900000000001</v>
      </c>
      <c r="I11" s="64">
        <f t="shared" si="1"/>
        <v>9.2986000000000013E-2</v>
      </c>
      <c r="J11" s="64">
        <f t="shared" si="1"/>
        <v>8.2070000000000004E-2</v>
      </c>
      <c r="K11" s="64">
        <f t="shared" si="1"/>
        <v>7.535E-2</v>
      </c>
      <c r="L11" s="64">
        <f t="shared" si="1"/>
        <v>6.9106000000000001E-2</v>
      </c>
      <c r="M11" s="64">
        <f t="shared" si="1"/>
        <v>6.4385999999999999E-2</v>
      </c>
      <c r="N11" s="64">
        <f t="shared" si="1"/>
        <v>5.9952999999999999E-2</v>
      </c>
      <c r="O11" s="64">
        <f t="shared" si="1"/>
        <v>5.6855000000000003E-2</v>
      </c>
      <c r="P11" s="64">
        <f t="shared" si="1"/>
        <v>5.3946000000000001E-2</v>
      </c>
      <c r="Q11" s="65">
        <f>IFERROR(((1+F11)*(1+G11)*(1+H11)*(1+I11)*(1+J11)*(1+K11)*(1+L11)*(1+M11)*(1+N11)*(1+O11)*(1+P11))^(1/COUNT($F$4:$P$4))-1,"")</f>
        <v>8.4760722335335714E-2</v>
      </c>
      <c r="R11" s="66"/>
    </row>
    <row r="12" spans="2:18" ht="8.1" customHeight="1"/>
    <row r="13" spans="2:18" ht="15" customHeight="1">
      <c r="B13" s="67" t="s">
        <v>167</v>
      </c>
      <c r="C13" s="68"/>
      <c r="D13" s="68"/>
      <c r="E13" s="67" t="s">
        <v>133</v>
      </c>
      <c r="F13" s="68"/>
      <c r="G13" s="68"/>
      <c r="H13" s="68"/>
      <c r="I13" s="68"/>
      <c r="J13" s="68"/>
      <c r="K13" s="68"/>
      <c r="L13" s="68"/>
      <c r="M13" s="68"/>
      <c r="N13" s="68"/>
      <c r="O13" s="68"/>
      <c r="P13" s="68"/>
      <c r="Q13"/>
      <c r="R13" s="65"/>
    </row>
    <row r="14" spans="2:18" ht="3.95" customHeight="1">
      <c r="B14" s="69"/>
      <c r="C14" s="69"/>
      <c r="D14" s="69"/>
      <c r="E14" s="69"/>
      <c r="F14" s="69"/>
      <c r="G14" s="69"/>
      <c r="H14" s="69"/>
      <c r="I14" s="69"/>
      <c r="J14" s="69"/>
      <c r="K14" s="69"/>
      <c r="L14" s="69"/>
      <c r="M14" s="69"/>
      <c r="N14" s="69"/>
      <c r="O14" s="69"/>
      <c r="P14" s="69"/>
      <c r="Q14" s="65"/>
      <c r="R14" s="65"/>
    </row>
    <row r="15" spans="2:18" ht="39.950000000000003" customHeight="1">
      <c r="B15" s="1029" t="s">
        <v>168</v>
      </c>
      <c r="C15" s="1029"/>
      <c r="D15" s="70"/>
      <c r="E15" s="1030" t="s">
        <v>169</v>
      </c>
      <c r="F15" s="1030"/>
      <c r="G15" s="1030"/>
      <c r="H15" s="1030"/>
      <c r="I15" s="1030"/>
      <c r="J15" s="1030"/>
      <c r="K15" s="1030"/>
      <c r="L15" s="1030"/>
      <c r="M15" s="1030"/>
      <c r="N15" s="1030"/>
      <c r="O15" s="1030"/>
      <c r="P15" s="1030"/>
      <c r="Q15" s="65"/>
      <c r="R15" s="1"/>
    </row>
    <row r="16" spans="2:18" ht="39.950000000000003" customHeight="1">
      <c r="B16" s="1029" t="s">
        <v>170</v>
      </c>
      <c r="C16" s="1029"/>
      <c r="D16" s="70"/>
      <c r="E16" s="1030" t="s">
        <v>171</v>
      </c>
      <c r="F16" s="1030"/>
      <c r="G16" s="1030"/>
      <c r="H16" s="1030"/>
      <c r="I16" s="1030"/>
      <c r="J16" s="1030"/>
      <c r="K16" s="1030"/>
      <c r="L16" s="1030"/>
      <c r="M16" s="1030"/>
      <c r="N16" s="1030"/>
      <c r="O16" s="1030"/>
      <c r="P16" s="1030"/>
    </row>
    <row r="17" spans="2:16" ht="39.950000000000003" customHeight="1">
      <c r="B17" s="1029" t="s">
        <v>172</v>
      </c>
      <c r="C17" s="1029"/>
      <c r="D17" s="70"/>
      <c r="E17" s="1030" t="s">
        <v>173</v>
      </c>
      <c r="F17" s="1030"/>
      <c r="G17" s="1030"/>
      <c r="H17" s="1030"/>
      <c r="I17" s="1030"/>
      <c r="J17" s="1030"/>
      <c r="K17" s="1030"/>
      <c r="L17" s="1030"/>
      <c r="M17" s="1030"/>
      <c r="N17" s="1030"/>
      <c r="O17" s="1030"/>
      <c r="P17" s="1030"/>
    </row>
    <row r="18" spans="2:16" ht="39.950000000000003" customHeight="1">
      <c r="B18" s="1029" t="s">
        <v>174</v>
      </c>
      <c r="C18" s="1029"/>
      <c r="D18" s="70"/>
      <c r="E18" s="1030" t="s">
        <v>175</v>
      </c>
      <c r="F18" s="1030"/>
      <c r="G18" s="1030"/>
      <c r="H18" s="1030"/>
      <c r="I18" s="1030"/>
      <c r="J18" s="1030"/>
      <c r="K18" s="1030"/>
      <c r="L18" s="1030"/>
      <c r="M18" s="1030"/>
      <c r="N18" s="1030"/>
      <c r="O18" s="1030"/>
      <c r="P18" s="1030"/>
    </row>
    <row r="19" spans="2:16" ht="8.1" customHeight="1">
      <c r="F19" s="71"/>
      <c r="G19" s="71"/>
      <c r="H19" s="71"/>
      <c r="I19" s="71"/>
      <c r="J19" s="71"/>
      <c r="K19" s="71"/>
      <c r="L19" s="71"/>
      <c r="M19" s="71"/>
      <c r="N19" s="71"/>
      <c r="O19" s="71"/>
      <c r="P19" s="71"/>
    </row>
    <row r="20" spans="2:16" ht="15.6">
      <c r="B20" s="67" t="s">
        <v>176</v>
      </c>
      <c r="C20" s="68"/>
      <c r="D20" s="68"/>
      <c r="E20" s="67" t="s">
        <v>133</v>
      </c>
      <c r="F20" s="68"/>
      <c r="G20" s="68"/>
      <c r="H20" s="68"/>
      <c r="I20" s="68"/>
      <c r="J20" s="68"/>
      <c r="K20" s="68"/>
      <c r="L20" s="68"/>
      <c r="M20" s="68"/>
      <c r="N20" s="68"/>
      <c r="O20" s="68"/>
      <c r="P20" s="68"/>
    </row>
    <row r="21" spans="2:16" ht="3.95" customHeight="1">
      <c r="B21" s="69"/>
      <c r="C21" s="69"/>
      <c r="D21" s="69"/>
      <c r="E21" s="69"/>
      <c r="F21" s="69"/>
      <c r="G21" s="69"/>
      <c r="H21" s="69"/>
      <c r="I21" s="69"/>
      <c r="J21" s="69"/>
      <c r="K21" s="69"/>
      <c r="L21" s="69"/>
      <c r="M21" s="69"/>
      <c r="N21" s="69"/>
      <c r="O21" s="69"/>
      <c r="P21" s="69"/>
    </row>
    <row r="22" spans="2:16" ht="39.950000000000003" customHeight="1">
      <c r="B22" s="1029" t="s">
        <v>177</v>
      </c>
      <c r="C22" s="1029"/>
      <c r="D22" s="70"/>
      <c r="E22" s="1039" t="s">
        <v>178</v>
      </c>
      <c r="F22" s="1039"/>
      <c r="G22" s="1039"/>
      <c r="H22" s="1039"/>
      <c r="I22" s="1039"/>
      <c r="J22" s="1039"/>
      <c r="K22" s="1039"/>
      <c r="L22" s="1039"/>
      <c r="M22" s="1039"/>
      <c r="N22" s="1039"/>
      <c r="O22" s="1039"/>
      <c r="P22" s="1039"/>
    </row>
    <row r="23" spans="2:16" ht="39.950000000000003" customHeight="1">
      <c r="B23" s="1029" t="s">
        <v>179</v>
      </c>
      <c r="C23" s="1029"/>
      <c r="D23" s="70"/>
      <c r="E23" s="1030" t="s">
        <v>180</v>
      </c>
      <c r="F23" s="1030"/>
      <c r="G23" s="1030"/>
      <c r="H23" s="1030"/>
      <c r="I23" s="1030"/>
      <c r="J23" s="1030"/>
      <c r="K23" s="1030"/>
      <c r="L23" s="1030"/>
      <c r="M23" s="1030"/>
      <c r="N23" s="1030"/>
      <c r="O23" s="1030"/>
      <c r="P23" s="1030"/>
    </row>
    <row r="24" spans="2:16" ht="39.950000000000003" hidden="1" customHeight="1">
      <c r="B24" s="1029"/>
      <c r="C24" s="1029"/>
      <c r="D24" s="70"/>
      <c r="E24" s="1030"/>
      <c r="F24" s="1030"/>
      <c r="G24" s="1030"/>
      <c r="H24" s="1030"/>
      <c r="I24" s="1030"/>
      <c r="J24" s="1030"/>
      <c r="K24" s="1030"/>
      <c r="L24" s="1030"/>
      <c r="M24" s="1030"/>
      <c r="N24" s="1030"/>
      <c r="O24" s="1030"/>
      <c r="P24" s="1030"/>
    </row>
    <row r="25" spans="2:16" ht="8.1" customHeight="1">
      <c r="B25" s="1029"/>
      <c r="C25" s="1029"/>
      <c r="D25" s="70"/>
      <c r="E25" s="1030"/>
      <c r="F25" s="1030"/>
      <c r="G25" s="1030"/>
      <c r="H25" s="1030"/>
      <c r="I25" s="1030"/>
      <c r="J25" s="1030"/>
      <c r="K25" s="1030"/>
      <c r="L25" s="1030"/>
      <c r="M25" s="1030"/>
      <c r="N25" s="1030"/>
      <c r="O25" s="1030"/>
      <c r="P25" s="1030"/>
    </row>
    <row r="26" spans="2:16" ht="15.6">
      <c r="B26" s="51" t="s">
        <v>181</v>
      </c>
      <c r="C26" s="55"/>
      <c r="D26" s="55"/>
      <c r="E26" s="51" t="s">
        <v>182</v>
      </c>
      <c r="F26" s="51"/>
      <c r="G26" s="72" t="s">
        <v>183</v>
      </c>
      <c r="H26" s="73" t="s">
        <v>184</v>
      </c>
      <c r="I26" s="56" t="s">
        <v>181</v>
      </c>
      <c r="J26" s="56"/>
      <c r="K26" s="56"/>
      <c r="L26" s="56"/>
      <c r="M26" s="56"/>
      <c r="N26" s="56"/>
      <c r="O26" s="56"/>
      <c r="P26" s="56"/>
    </row>
    <row r="27" spans="2:16" ht="3.95" customHeight="1">
      <c r="B27" s="52"/>
      <c r="C27" s="52"/>
      <c r="D27" s="52"/>
      <c r="E27" s="52"/>
      <c r="F27" s="52"/>
      <c r="G27" s="52"/>
      <c r="H27" s="52"/>
      <c r="I27" s="52"/>
      <c r="J27" s="52"/>
      <c r="K27" s="52"/>
      <c r="L27" s="52"/>
      <c r="M27" s="52"/>
      <c r="N27" s="52"/>
      <c r="O27" s="52"/>
      <c r="P27" s="52"/>
    </row>
    <row r="28" spans="2:16">
      <c r="B28" s="74" t="str" cm="1">
        <f t="array" aca="1" ref="B28" ca="1">+_FV(DCF!R4,"Name")</f>
        <v>E.L.F. BEAUTY, INC.</v>
      </c>
      <c r="C28" s="74"/>
      <c r="D28" s="74"/>
      <c r="E28" s="804" t="s">
        <v>113</v>
      </c>
      <c r="F28" s="75"/>
      <c r="G28" s="76" cm="1">
        <f t="array" ref="G28:G38">TRANSPOSE(Peers!D91:N91)</f>
        <v>1023.9</v>
      </c>
      <c r="H28" s="74"/>
      <c r="I28" s="77">
        <f>IFERROR(G28/$G$40,"")</f>
        <v>5.3889473684210522E-3</v>
      </c>
    </row>
    <row r="29" spans="2:16">
      <c r="B29" s="803" t="s">
        <v>185</v>
      </c>
      <c r="E29" s="78" t="s">
        <v>119</v>
      </c>
      <c r="F29" s="78"/>
      <c r="G29" s="79">
        <v>43486</v>
      </c>
      <c r="I29" s="77">
        <f t="shared" ref="I29:I39" si="2">IFERROR(G29/$G$40,"")</f>
        <v>0.22887368421052631</v>
      </c>
    </row>
    <row r="30" spans="2:16">
      <c r="B30" t="s">
        <v>186</v>
      </c>
      <c r="E30" s="78" t="s">
        <v>113</v>
      </c>
      <c r="F30" s="78"/>
      <c r="G30" s="79">
        <v>15608</v>
      </c>
      <c r="I30" s="77">
        <f t="shared" si="2"/>
        <v>8.2147368421052636E-2</v>
      </c>
    </row>
    <row r="31" spans="2:16">
      <c r="B31" t="s">
        <v>187</v>
      </c>
      <c r="E31" s="78" t="s">
        <v>113</v>
      </c>
      <c r="F31" s="78"/>
      <c r="G31" s="6">
        <v>6118</v>
      </c>
      <c r="I31" s="77">
        <f>IFERROR(G32/$G$40,"")</f>
        <v>5.8984210526315792E-2</v>
      </c>
    </row>
    <row r="32" spans="2:16">
      <c r="B32" s="411" t="s">
        <v>188</v>
      </c>
      <c r="E32" s="78" t="s">
        <v>113</v>
      </c>
      <c r="F32" s="78"/>
      <c r="G32" s="79">
        <v>11207</v>
      </c>
      <c r="I32" s="77">
        <f>IFERROR(G32/$G$40,"")</f>
        <v>5.8984210526315792E-2</v>
      </c>
    </row>
    <row r="33" spans="2:16">
      <c r="B33" s="411" t="s">
        <v>189</v>
      </c>
      <c r="E33" s="78" t="s">
        <v>190</v>
      </c>
      <c r="F33" s="78"/>
      <c r="G33" s="79">
        <v>6545</v>
      </c>
      <c r="I33" s="77">
        <f t="shared" si="2"/>
        <v>3.4447368421052629E-2</v>
      </c>
    </row>
    <row r="34" spans="2:16">
      <c r="B34" t="s">
        <v>191</v>
      </c>
      <c r="E34" s="78" t="s">
        <v>192</v>
      </c>
      <c r="F34" s="78"/>
      <c r="G34" s="79">
        <v>4487</v>
      </c>
      <c r="I34" s="77">
        <f t="shared" si="2"/>
        <v>2.3615789473684212E-2</v>
      </c>
    </row>
    <row r="35" spans="2:16">
      <c r="B35" s="411"/>
      <c r="E35" s="78"/>
      <c r="F35" s="78"/>
      <c r="G35" s="79">
        <v>0</v>
      </c>
      <c r="I35" s="77">
        <f t="shared" si="2"/>
        <v>0</v>
      </c>
    </row>
    <row r="36" spans="2:16">
      <c r="E36" s="78"/>
      <c r="F36" s="78"/>
      <c r="G36" s="79">
        <v>0</v>
      </c>
      <c r="I36" s="77">
        <f t="shared" si="2"/>
        <v>0</v>
      </c>
    </row>
    <row r="37" spans="2:16">
      <c r="B37" t="e" cm="1" vm="1">
        <f t="array" ref="B37">+_FV(Peers!#REF!,"Name")</f>
        <v>#VALUE!</v>
      </c>
      <c r="E37" s="78"/>
      <c r="F37" s="78"/>
      <c r="G37" s="79">
        <v>0</v>
      </c>
      <c r="I37" s="77">
        <f t="shared" si="2"/>
        <v>0</v>
      </c>
    </row>
    <row r="38" spans="2:16">
      <c r="B38" t="e" cm="1" vm="1">
        <f t="array" ref="B38">+_FV(Peers!#REF!,"Name")</f>
        <v>#VALUE!</v>
      </c>
      <c r="E38" s="78"/>
      <c r="F38" s="78"/>
      <c r="G38" s="79">
        <v>0</v>
      </c>
      <c r="I38" s="77">
        <f t="shared" si="2"/>
        <v>0</v>
      </c>
    </row>
    <row r="39" spans="2:16">
      <c r="B39" s="38" t="s">
        <v>158</v>
      </c>
      <c r="C39" s="38"/>
      <c r="D39" s="38"/>
      <c r="E39" s="80" t="s">
        <v>193</v>
      </c>
      <c r="F39" s="38"/>
      <c r="G39" s="37"/>
      <c r="H39" s="38"/>
      <c r="I39" s="77">
        <f t="shared" si="2"/>
        <v>0</v>
      </c>
    </row>
    <row r="40" spans="2:16">
      <c r="B40" s="1" t="s">
        <v>194</v>
      </c>
      <c r="E40" s="81" t="s">
        <v>193</v>
      </c>
      <c r="G40" s="817">
        <v>190000</v>
      </c>
      <c r="H40" s="27"/>
      <c r="I40" s="82">
        <v>1</v>
      </c>
    </row>
    <row r="41" spans="2:16" ht="8.1" customHeight="1"/>
    <row r="42" spans="2:16" ht="15.6">
      <c r="B42" s="806" t="s">
        <v>195</v>
      </c>
      <c r="C42" s="55"/>
      <c r="D42" s="51"/>
      <c r="E42" s="51" t="s">
        <v>196</v>
      </c>
      <c r="F42" s="56"/>
      <c r="G42" s="56"/>
      <c r="H42" s="1046" t="s">
        <v>197</v>
      </c>
      <c r="I42" s="1046"/>
      <c r="J42" s="56"/>
      <c r="K42" s="56"/>
      <c r="P42" s="83"/>
    </row>
    <row r="43" spans="2:16" ht="3.95" customHeight="1">
      <c r="B43" s="52"/>
      <c r="C43" s="52"/>
      <c r="D43" s="52"/>
      <c r="E43" s="52"/>
      <c r="F43" s="52"/>
      <c r="G43" s="52"/>
      <c r="H43" s="52"/>
      <c r="I43" s="52"/>
      <c r="J43" s="52"/>
      <c r="K43" s="52"/>
    </row>
    <row r="44" spans="2:16">
      <c r="B44" s="1" t="s">
        <v>198</v>
      </c>
      <c r="E44" s="402">
        <f>IFERROR(AVERAGE(E45:E50),"")</f>
        <v>2.6666666666666665</v>
      </c>
    </row>
    <row r="45" spans="2:16">
      <c r="B45" s="25" t="s">
        <v>199</v>
      </c>
      <c r="E45" s="85">
        <v>3</v>
      </c>
    </row>
    <row r="46" spans="2:16">
      <c r="B46" s="25" t="s">
        <v>200</v>
      </c>
      <c r="E46" s="85">
        <v>3</v>
      </c>
    </row>
    <row r="47" spans="2:16">
      <c r="B47" s="25" t="s">
        <v>201</v>
      </c>
      <c r="E47" s="85">
        <v>2</v>
      </c>
    </row>
    <row r="48" spans="2:16">
      <c r="B48" s="25" t="s">
        <v>202</v>
      </c>
      <c r="E48" s="85">
        <v>3</v>
      </c>
    </row>
    <row r="49" spans="2:5">
      <c r="B49" s="25" t="s">
        <v>203</v>
      </c>
      <c r="E49" s="85">
        <v>3</v>
      </c>
    </row>
    <row r="50" spans="2:5">
      <c r="B50" s="25" t="s">
        <v>204</v>
      </c>
      <c r="E50" s="85">
        <v>2</v>
      </c>
    </row>
    <row r="51" spans="2:5">
      <c r="B51" s="1" t="s">
        <v>205</v>
      </c>
      <c r="E51" s="84">
        <f>IFERROR(AVERAGE(E52:E56),"")</f>
        <v>2.6</v>
      </c>
    </row>
    <row r="52" spans="2:5">
      <c r="B52" s="25" t="s">
        <v>206</v>
      </c>
      <c r="E52" s="85">
        <v>4</v>
      </c>
    </row>
    <row r="53" spans="2:5">
      <c r="B53" s="25" t="s">
        <v>207</v>
      </c>
      <c r="E53" s="85">
        <v>3</v>
      </c>
    </row>
    <row r="54" spans="2:5">
      <c r="B54" s="25" t="s">
        <v>208</v>
      </c>
      <c r="E54" s="85">
        <v>2</v>
      </c>
    </row>
    <row r="55" spans="2:5">
      <c r="B55" s="25" t="s">
        <v>209</v>
      </c>
      <c r="E55" s="85">
        <v>1</v>
      </c>
    </row>
    <row r="56" spans="2:5">
      <c r="B56" s="25" t="s">
        <v>210</v>
      </c>
      <c r="E56" s="85">
        <v>3</v>
      </c>
    </row>
    <row r="57" spans="2:5">
      <c r="B57" s="1" t="s">
        <v>211</v>
      </c>
      <c r="E57" s="84">
        <f>IFERROR(AVERAGE(E58:E62),"")</f>
        <v>3.8</v>
      </c>
    </row>
    <row r="58" spans="2:5">
      <c r="B58" s="25" t="s">
        <v>212</v>
      </c>
      <c r="E58" s="85">
        <v>4</v>
      </c>
    </row>
    <row r="59" spans="2:5">
      <c r="B59" s="25" t="s">
        <v>213</v>
      </c>
      <c r="E59" s="85">
        <v>3</v>
      </c>
    </row>
    <row r="60" spans="2:5">
      <c r="B60" s="25" t="s">
        <v>204</v>
      </c>
      <c r="E60" s="85">
        <v>2</v>
      </c>
    </row>
    <row r="61" spans="2:5">
      <c r="B61" s="25" t="s">
        <v>214</v>
      </c>
      <c r="E61" s="85">
        <v>5</v>
      </c>
    </row>
    <row r="62" spans="2:5">
      <c r="B62" s="25" t="s">
        <v>215</v>
      </c>
      <c r="E62" s="85">
        <v>5</v>
      </c>
    </row>
    <row r="63" spans="2:5">
      <c r="B63" s="1" t="s">
        <v>216</v>
      </c>
      <c r="E63" s="84">
        <f>IFERROR(AVERAGE(E64:E68),"")</f>
        <v>4</v>
      </c>
    </row>
    <row r="64" spans="2:5">
      <c r="B64" s="25" t="s">
        <v>217</v>
      </c>
      <c r="E64" s="85">
        <v>5</v>
      </c>
    </row>
    <row r="65" spans="2:5">
      <c r="B65" s="25" t="s">
        <v>218</v>
      </c>
      <c r="E65" s="85">
        <v>3</v>
      </c>
    </row>
    <row r="66" spans="2:5">
      <c r="B66" s="25" t="s">
        <v>219</v>
      </c>
      <c r="E66" s="85">
        <v>4</v>
      </c>
    </row>
    <row r="67" spans="2:5">
      <c r="B67" s="25" t="s">
        <v>220</v>
      </c>
      <c r="E67" s="85">
        <v>4</v>
      </c>
    </row>
    <row r="68" spans="2:5">
      <c r="B68" s="25" t="s">
        <v>221</v>
      </c>
      <c r="E68" s="85">
        <v>4</v>
      </c>
    </row>
    <row r="69" spans="2:5">
      <c r="B69" s="1" t="s">
        <v>222</v>
      </c>
      <c r="E69" s="84">
        <f>IFERROR(AVERAGE(E70:E74),"")</f>
        <v>3.75</v>
      </c>
    </row>
    <row r="70" spans="2:5">
      <c r="B70" s="25" t="s">
        <v>223</v>
      </c>
      <c r="E70" s="85">
        <v>4</v>
      </c>
    </row>
    <row r="71" spans="2:5">
      <c r="B71" s="25" t="s">
        <v>224</v>
      </c>
      <c r="E71" s="85">
        <v>4</v>
      </c>
    </row>
    <row r="72" spans="2:5">
      <c r="B72" s="25" t="s">
        <v>225</v>
      </c>
      <c r="E72" s="85">
        <v>3</v>
      </c>
    </row>
    <row r="73" spans="2:5">
      <c r="B73" s="25" t="s">
        <v>226</v>
      </c>
      <c r="E73" s="85">
        <v>4</v>
      </c>
    </row>
  </sheetData>
  <mergeCells count="17">
    <mergeCell ref="B18:C18"/>
    <mergeCell ref="E18:P18"/>
    <mergeCell ref="B15:C15"/>
    <mergeCell ref="E15:P15"/>
    <mergeCell ref="B16:C16"/>
    <mergeCell ref="E16:P16"/>
    <mergeCell ref="B17:C17"/>
    <mergeCell ref="E17:P17"/>
    <mergeCell ref="B22:C22"/>
    <mergeCell ref="E22:P22"/>
    <mergeCell ref="B23:C23"/>
    <mergeCell ref="E23:P23"/>
    <mergeCell ref="H42:I42"/>
    <mergeCell ref="B24:C24"/>
    <mergeCell ref="E24:P24"/>
    <mergeCell ref="B25:C25"/>
    <mergeCell ref="E25:P25"/>
  </mergeCells>
  <conditionalFormatting sqref="I28:I39">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Q6:Q10">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R6:R10">
    <cfRule type="dataBar" priority="88">
      <dataBar>
        <cfvo type="min"/>
        <cfvo type="max"/>
        <color rgb="FF63C384"/>
      </dataBar>
      <extLst>
        <ext xmlns:x14="http://schemas.microsoft.com/office/spreadsheetml/2009/9/main" uri="{B025F937-C7B1-47D3-B67F-A62EFF666E3E}">
          <x14:id>{18A4ABFB-8F60-489B-B3E5-6CD3614699D1}</x14:id>
        </ext>
      </extLst>
    </cfRule>
  </conditionalFormatting>
  <conditionalFormatting sqref="S6:S10">
    <cfRule type="dataBar" priority="89">
      <dataBar>
        <cfvo type="min"/>
        <cfvo type="max"/>
        <color rgb="FF63C384"/>
      </dataBar>
      <extLst>
        <ext xmlns:x14="http://schemas.microsoft.com/office/spreadsheetml/2009/9/main" uri="{B025F937-C7B1-47D3-B67F-A62EFF666E3E}">
          <x14:id>{7D4FC3D7-186A-46E0-AFA0-A4D2A7B32131}</x14:id>
        </ext>
      </extLst>
    </cfRule>
  </conditionalFormatting>
  <conditionalFormatting sqref="T6:T10">
    <cfRule type="dataBar" priority="90">
      <dataBar>
        <cfvo type="min"/>
        <cfvo type="max"/>
        <color rgb="FF63C384"/>
      </dataBar>
      <extLst>
        <ext xmlns:x14="http://schemas.microsoft.com/office/spreadsheetml/2009/9/main" uri="{B025F937-C7B1-47D3-B67F-A62EFF666E3E}">
          <x14:id>{A2AA1478-7F03-4C3E-A93E-071B3A585FDF}</x14:id>
        </ext>
      </extLst>
    </cfRule>
  </conditionalFormatting>
  <conditionalFormatting sqref="U6:U10">
    <cfRule type="dataBar" priority="91">
      <dataBar>
        <cfvo type="min"/>
        <cfvo type="max"/>
        <color rgb="FF63C384"/>
      </dataBar>
      <extLst>
        <ext xmlns:x14="http://schemas.microsoft.com/office/spreadsheetml/2009/9/main" uri="{B025F937-C7B1-47D3-B67F-A62EFF666E3E}">
          <x14:id>{CCBBEFF5-0753-47A4-B215-F44790A6C2E6}</x14:id>
        </ext>
      </extLst>
    </cfRule>
  </conditionalFormatting>
  <hyperlinks>
    <hyperlink ref="R6" r:id="rId1" xr:uid="{6CA2E4C4-8FD1-4C15-A53F-23059548E5A2}"/>
    <hyperlink ref="R7" r:id="rId2" xr:uid="{C871D479-5EC9-4409-9CE6-2B2A81C19EC9}"/>
    <hyperlink ref="R8" r:id="rId3" xr:uid="{4D193A7F-1FE3-4B0A-9747-07944E6F6272}"/>
  </hyperlinks>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x14:cfRule type="dataBar" id="{18A4ABFB-8F60-489B-B3E5-6CD3614699D1}">
            <x14:dataBar minLength="0" maxLength="100" gradient="0">
              <x14:cfvo type="autoMin"/>
              <x14:cfvo type="autoMax"/>
              <x14:negativeFillColor rgb="FFFF0000"/>
              <x14:axisColor rgb="FF000000"/>
            </x14:dataBar>
          </x14:cfRule>
          <xm:sqref>R6:R10</xm:sqref>
        </x14:conditionalFormatting>
        <x14:conditionalFormatting xmlns:xm="http://schemas.microsoft.com/office/excel/2006/main">
          <x14:cfRule type="dataBar" id="{7D4FC3D7-186A-46E0-AFA0-A4D2A7B32131}">
            <x14:dataBar minLength="0" maxLength="100" gradient="0">
              <x14:cfvo type="autoMin"/>
              <x14:cfvo type="autoMax"/>
              <x14:negativeFillColor rgb="FFFF0000"/>
              <x14:axisColor rgb="FF000000"/>
            </x14:dataBar>
          </x14:cfRule>
          <xm:sqref>S6:S10</xm:sqref>
        </x14:conditionalFormatting>
        <x14:conditionalFormatting xmlns:xm="http://schemas.microsoft.com/office/excel/2006/main">
          <x14:cfRule type="dataBar" id="{A2AA1478-7F03-4C3E-A93E-071B3A585FDF}">
            <x14:dataBar minLength="0" maxLength="100" gradient="0">
              <x14:cfvo type="autoMin"/>
              <x14:cfvo type="autoMax"/>
              <x14:negativeFillColor rgb="FFFF0000"/>
              <x14:axisColor rgb="FF000000"/>
            </x14:dataBar>
          </x14:cfRule>
          <xm:sqref>T6:T10</xm:sqref>
        </x14:conditionalFormatting>
        <x14:conditionalFormatting xmlns:xm="http://schemas.microsoft.com/office/excel/2006/main">
          <x14:cfRule type="dataBar" id="{CCBBEFF5-0753-47A4-B215-F44790A6C2E6}">
            <x14:dataBar minLength="0" maxLength="100" gradient="0">
              <x14:cfvo type="autoMin"/>
              <x14:cfvo type="autoMax"/>
              <x14:negativeFillColor rgb="FFFF0000"/>
              <x14:axisColor rgb="FF000000"/>
            </x14:dataBar>
          </x14:cfRule>
          <xm:sqref>U6:U10</xm:sqref>
        </x14:conditionalFormatting>
      </x14:conditionalFormattings>
    </ext>
    <ext xmlns:x14="http://schemas.microsoft.com/office/spreadsheetml/2009/9/main" uri="{05C60535-1F16-4fd2-B633-F4F36F0B64E0}">
      <x14:sparklineGroups xmlns:xm="http://schemas.microsoft.com/office/excel/2006/main">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Industry!F19:P19</xm:f>
              <xm:sqref>E19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Industry!F6:P6</xm:f>
              <xm:sqref>D6</xm:sqref>
            </x14:sparkline>
            <x14:sparkline>
              <xm:f>Industry!F7:P7</xm:f>
              <xm:sqref>D7</xm:sqref>
            </x14:sparkline>
            <x14:sparkline>
              <xm:f>Industry!F8:P8</xm:f>
              <xm:sqref>D8</xm:sqref>
            </x14:sparkline>
            <x14:sparkline>
              <xm:f>Industry!F9:P9</xm:f>
              <xm:sqref>D9</xm:sqref>
            </x14:sparkline>
            <x14:sparkline>
              <xm:f>Industry!F10:P10</xm:f>
              <xm:sqref>D10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Z137"/>
  <sheetViews>
    <sheetView showGridLines="0" zoomScale="85" zoomScaleNormal="85" workbookViewId="0">
      <pane xSplit="3" topLeftCell="D1" activePane="topRight" state="frozen"/>
      <selection pane="topRight" activeCell="N10" sqref="N10"/>
      <selection activeCell="N5" sqref="N5:O11"/>
    </sheetView>
  </sheetViews>
  <sheetFormatPr defaultColWidth="9" defaultRowHeight="14.25" customHeight="1"/>
  <cols>
    <col min="1" max="1" width="2.125" style="380" customWidth="1"/>
    <col min="2" max="2" width="31" style="380" customWidth="1"/>
    <col min="3" max="3" width="8.125" style="380" customWidth="1"/>
    <col min="4" max="9" width="16.625" style="1006" customWidth="1"/>
    <col min="10" max="15" width="16.625" style="380" customWidth="1"/>
    <col min="16" max="18" width="9" style="380"/>
    <col min="19" max="19" width="9.125" style="380" bestFit="1" customWidth="1"/>
    <col min="20" max="16384" width="9" style="380"/>
  </cols>
  <sheetData>
    <row r="1" spans="1:52" s="379" customFormat="1" ht="12" customHeight="1">
      <c r="A1" s="403"/>
      <c r="B1" s="403"/>
      <c r="C1" s="404"/>
      <c r="D1" s="920"/>
      <c r="E1" s="920"/>
      <c r="F1" s="920"/>
      <c r="G1" s="920"/>
      <c r="H1" s="920"/>
      <c r="I1" s="920"/>
      <c r="J1" s="403"/>
      <c r="K1" s="403"/>
      <c r="L1" s="403"/>
      <c r="M1" s="403"/>
      <c r="N1" s="403"/>
      <c r="O1" s="403"/>
      <c r="P1" s="403"/>
      <c r="Q1" s="403"/>
      <c r="R1" s="403"/>
      <c r="S1" s="403"/>
      <c r="T1" s="403"/>
      <c r="U1" s="403"/>
      <c r="V1" s="403"/>
      <c r="W1" s="403"/>
      <c r="X1" s="403"/>
      <c r="Y1" s="403"/>
      <c r="Z1" s="403"/>
      <c r="AA1" s="403"/>
      <c r="AB1" s="403"/>
      <c r="AC1" s="403"/>
      <c r="AD1" s="403"/>
      <c r="AE1" s="403"/>
      <c r="AF1" s="403"/>
      <c r="AG1" s="403"/>
      <c r="AH1" s="403"/>
      <c r="AI1" s="403"/>
      <c r="AJ1" s="403"/>
      <c r="AK1" s="403"/>
      <c r="AL1" s="403"/>
      <c r="AM1" s="403"/>
      <c r="AN1" s="403"/>
      <c r="AO1" s="403"/>
      <c r="AP1" s="403"/>
      <c r="AQ1" s="403"/>
      <c r="AR1" s="403"/>
      <c r="AS1" s="403"/>
      <c r="AT1" s="403"/>
      <c r="AU1" s="403"/>
      <c r="AV1" s="403"/>
      <c r="AW1" s="403"/>
      <c r="AX1" s="403"/>
      <c r="AY1" s="403"/>
      <c r="AZ1" s="403"/>
    </row>
    <row r="2" spans="1:52" s="379" customFormat="1" ht="14.1">
      <c r="A2" s="403"/>
      <c r="B2" s="881"/>
      <c r="C2" s="881"/>
      <c r="D2" s="1049"/>
      <c r="E2" s="1050"/>
      <c r="F2" s="884"/>
      <c r="G2" s="883"/>
      <c r="H2" s="884"/>
      <c r="I2" s="883"/>
      <c r="J2" s="884"/>
      <c r="K2" s="885"/>
      <c r="L2" s="886"/>
      <c r="M2" s="885"/>
      <c r="N2" s="881"/>
      <c r="O2" s="881"/>
      <c r="P2" s="407"/>
      <c r="Q2" s="407"/>
      <c r="R2" s="407"/>
      <c r="S2" s="403"/>
      <c r="T2" s="407"/>
      <c r="U2" s="407"/>
      <c r="V2" s="403"/>
      <c r="W2" s="408"/>
      <c r="X2" s="408"/>
      <c r="Y2" s="408"/>
      <c r="Z2" s="408"/>
      <c r="AA2" s="408"/>
      <c r="AB2" s="408"/>
      <c r="AC2" s="403"/>
      <c r="AD2" s="408"/>
      <c r="AE2" s="408"/>
      <c r="AF2" s="408"/>
      <c r="AG2" s="408"/>
      <c r="AH2" s="408"/>
      <c r="AI2" s="403"/>
      <c r="AJ2" s="408"/>
      <c r="AK2" s="409"/>
      <c r="AL2" s="409"/>
      <c r="AM2" s="409"/>
      <c r="AN2" s="409"/>
      <c r="AO2" s="403"/>
      <c r="AP2" s="408"/>
      <c r="AQ2" s="403"/>
      <c r="AR2" s="403"/>
      <c r="AS2" s="403"/>
      <c r="AT2" s="403"/>
      <c r="AU2" s="403"/>
      <c r="AV2" s="403"/>
      <c r="AW2" s="403"/>
      <c r="AX2" s="403"/>
      <c r="AY2" s="403"/>
      <c r="AZ2" s="403"/>
    </row>
    <row r="3" spans="1:52" s="379" customFormat="1" ht="14.1">
      <c r="A3" s="403"/>
      <c r="B3" s="881"/>
      <c r="C3" s="881"/>
      <c r="D3" s="1053" t="s">
        <v>227</v>
      </c>
      <c r="E3" s="1052"/>
      <c r="F3" s="1051" t="s">
        <v>39</v>
      </c>
      <c r="G3" s="1052"/>
      <c r="H3" s="1051" t="s">
        <v>228</v>
      </c>
      <c r="I3" s="1052"/>
      <c r="J3" s="1051" t="s">
        <v>229</v>
      </c>
      <c r="K3" s="1052"/>
      <c r="L3" s="1051" t="s">
        <v>17</v>
      </c>
      <c r="M3" s="1052"/>
      <c r="N3" s="1053" t="s">
        <v>21</v>
      </c>
      <c r="O3" s="1053"/>
      <c r="P3" s="407"/>
      <c r="Q3" s="573"/>
      <c r="R3" s="407"/>
      <c r="S3" s="407"/>
      <c r="T3" s="407"/>
      <c r="U3" s="407"/>
      <c r="V3" s="407"/>
      <c r="W3" s="407"/>
      <c r="X3" s="407"/>
      <c r="Y3" s="407"/>
      <c r="Z3" s="407"/>
      <c r="AA3" s="407"/>
      <c r="AB3" s="407"/>
      <c r="AC3" s="407"/>
      <c r="AD3" s="407"/>
      <c r="AE3" s="407"/>
      <c r="AF3" s="407"/>
      <c r="AG3" s="407"/>
      <c r="AH3" s="407"/>
      <c r="AI3" s="407"/>
      <c r="AJ3" s="407"/>
      <c r="AK3" s="407"/>
      <c r="AL3" s="407"/>
      <c r="AM3" s="407"/>
      <c r="AN3" s="407"/>
      <c r="AO3" s="403"/>
      <c r="AP3" s="407"/>
      <c r="AQ3" s="403"/>
      <c r="AR3" s="403"/>
      <c r="AS3" s="403"/>
      <c r="AT3" s="403"/>
      <c r="AU3" s="403"/>
      <c r="AV3" s="403"/>
      <c r="AW3" s="403"/>
      <c r="AX3" s="403"/>
      <c r="AY3" s="403"/>
      <c r="AZ3" s="403"/>
    </row>
    <row r="4" spans="1:52" s="379" customFormat="1" ht="14.1">
      <c r="A4" s="403"/>
      <c r="B4" s="881" t="s">
        <v>230</v>
      </c>
      <c r="C4" s="881" t="s">
        <v>231</v>
      </c>
      <c r="D4" s="882" t="str">
        <f>+Inputs!O4&amp;"-"&amp;Inputs!P4</f>
        <v>2022-2023</v>
      </c>
      <c r="E4" s="883" t="str">
        <f>+Inputs!P4&amp;"-"&amp;Inputs!Q4</f>
        <v>2023-2024</v>
      </c>
      <c r="F4" s="884">
        <v>2023</v>
      </c>
      <c r="G4" s="883">
        <v>2024</v>
      </c>
      <c r="H4" s="884" t="str">
        <f>+Inputs!O4&amp;"-"&amp;Inputs!P4</f>
        <v>2022-2023</v>
      </c>
      <c r="I4" s="883" t="str">
        <f>+Inputs!P4&amp;"-"&amp;Inputs!Q4</f>
        <v>2023-2024</v>
      </c>
      <c r="J4" s="884">
        <v>2023</v>
      </c>
      <c r="K4" s="883">
        <v>2024</v>
      </c>
      <c r="L4" s="884">
        <v>2023</v>
      </c>
      <c r="M4" s="883">
        <v>2024</v>
      </c>
      <c r="N4" s="882">
        <v>2023</v>
      </c>
      <c r="O4" s="882">
        <v>2024</v>
      </c>
      <c r="P4" s="407"/>
      <c r="Q4" s="573"/>
      <c r="R4" s="407"/>
      <c r="S4" s="407"/>
      <c r="T4" s="407"/>
      <c r="U4" s="407"/>
      <c r="V4" s="407"/>
      <c r="W4" s="407"/>
      <c r="X4" s="407"/>
      <c r="Y4" s="407"/>
      <c r="Z4" s="407"/>
      <c r="AA4" s="407"/>
      <c r="AB4" s="407"/>
      <c r="AC4" s="407"/>
      <c r="AD4" s="407"/>
      <c r="AE4" s="407"/>
      <c r="AF4" s="407"/>
      <c r="AG4" s="407"/>
      <c r="AH4" s="407"/>
      <c r="AI4" s="407"/>
      <c r="AJ4" s="407"/>
      <c r="AK4" s="407"/>
      <c r="AL4" s="407"/>
      <c r="AM4" s="407"/>
      <c r="AN4" s="407"/>
      <c r="AO4" s="403"/>
      <c r="AP4" s="407"/>
      <c r="AQ4" s="403"/>
      <c r="AR4" s="403"/>
      <c r="AS4" s="403"/>
      <c r="AT4" s="403"/>
      <c r="AU4" s="403"/>
      <c r="AV4" s="403"/>
      <c r="AW4" s="403"/>
      <c r="AX4" s="403"/>
      <c r="AY4" s="403"/>
      <c r="AZ4" s="403"/>
    </row>
    <row r="5" spans="1:52" s="388" customFormat="1" ht="17.25" customHeight="1">
      <c r="A5" s="410" t="e" vm="2">
        <f>+D85</f>
        <v>#VALUE!</v>
      </c>
      <c r="B5" s="887" t="str" cm="1">
        <f t="array" aca="1" ref="B5" ca="1">IFERROR(_FV(A5,"Name"),"")</f>
        <v>E.L.F. BEAUTY, INC.</v>
      </c>
      <c r="C5" s="888" t="str" cm="1">
        <f t="array" aca="1" ref="C5" ca="1">IFERROR(_FV(A5,"Ticker symbol",TRUE),"")</f>
        <v>ELF</v>
      </c>
      <c r="D5" s="889">
        <f>IFERROR(D88/D87-1,"")</f>
        <v>0.47577766445690961</v>
      </c>
      <c r="E5" s="890">
        <f>IFERROR(D91/D88-1,"")</f>
        <v>0.76900483759502425</v>
      </c>
      <c r="F5" s="891">
        <f>IFERROR(D89/D88,"")</f>
        <v>0.11765722183828606</v>
      </c>
      <c r="G5" s="892">
        <f>IFERROR(D94/D91,"")</f>
        <v>0.14620568414884261</v>
      </c>
      <c r="H5" s="893">
        <f>IFERROR(D90/D88,"")</f>
        <v>0.10625431928127153</v>
      </c>
      <c r="I5" s="890">
        <f>IFERROR(D99/D91,"")</f>
        <v>0.12471921086043553</v>
      </c>
      <c r="J5" s="894" cm="1">
        <f t="array" aca="1" ref="J5" ca="1">IFERROR((_FV(A5,"Market cap",TRUE)/1000000+D$115-D$105)/D$88,"")</f>
        <v>13.46396036454734</v>
      </c>
      <c r="K5" s="895" cm="1">
        <f t="array" aca="1" ref="K5" ca="1">IFERROR((_FV(A5,"Market cap",TRUE)/1000000+D$115-D$105)/D$91,"")</f>
        <v>7.6110364869616172</v>
      </c>
      <c r="L5" s="894" cm="1">
        <f t="array" aca="1" ref="L5" ca="1">+IFERROR((_FV(A5,"Market cap",TRUE)/1000000+D$115-D$105)/D$89,"")</f>
        <v>114.43377766519829</v>
      </c>
      <c r="M5" s="895" cm="1">
        <f t="array" aca="1" ref="M5" ca="1">IFERROR((_FV(A5,"Market cap",TRUE)/1000000+D$115-D$105)/D$94,"")</f>
        <v>52.057049158316659</v>
      </c>
      <c r="N5" s="894" cm="1">
        <f t="array" aca="1" ref="N5" ca="1">IFERROR((_FV(A5,"Market cap",TRUE)/1000000)/D$90,"")</f>
        <v>125.37951640650415</v>
      </c>
      <c r="O5" s="895" cm="1">
        <f t="array" aca="1" ref="O5" ca="1">IFERROR((_FV(A5,"Market cap",TRUE)/1000000)/D$99,"")</f>
        <v>60.382460916209894</v>
      </c>
      <c r="P5" s="414"/>
      <c r="Q5" s="573"/>
      <c r="R5" s="415"/>
      <c r="S5" s="416"/>
      <c r="T5" s="415"/>
      <c r="U5" s="415"/>
      <c r="V5" s="416"/>
      <c r="W5" s="415"/>
      <c r="X5" s="415"/>
      <c r="Y5" s="415"/>
      <c r="Z5" s="415"/>
      <c r="AA5" s="415"/>
      <c r="AB5" s="416"/>
      <c r="AC5" s="416"/>
      <c r="AD5" s="413"/>
      <c r="AE5" s="413"/>
      <c r="AF5" s="413"/>
      <c r="AG5" s="413"/>
      <c r="AH5" s="413"/>
      <c r="AI5" s="416"/>
      <c r="AJ5" s="416"/>
      <c r="AK5" s="416"/>
      <c r="AL5" s="417"/>
      <c r="AM5" s="418"/>
      <c r="AN5" s="419"/>
      <c r="AO5" s="416"/>
      <c r="AP5" s="416"/>
    </row>
    <row r="6" spans="1:52" s="382" customFormat="1" ht="17.25" customHeight="1">
      <c r="A6" s="410" t="e" vm="3">
        <v>#VALUE!</v>
      </c>
      <c r="B6" s="896" t="s">
        <v>232</v>
      </c>
      <c r="C6" s="888" t="str" cm="1">
        <f t="array" aca="1" ref="C6" ca="1">IFERROR(_FV(A6,"Ticker symbol",TRUE),"")</f>
        <v>OR</v>
      </c>
      <c r="D6" s="897">
        <f>+IFERROR(E88/E87-1,"")</f>
        <v>7.6372190277051777E-2</v>
      </c>
      <c r="E6" s="898">
        <f>IFERROR(E91/E88-1,"")</f>
        <v>5.5946772861930061E-2</v>
      </c>
      <c r="F6" s="899">
        <f>IFERROR(E89/E88,"")</f>
        <v>0.2178136078869409</v>
      </c>
      <c r="G6" s="898">
        <f>+IFERROR(E94/E91,"")</f>
        <v>0.22172653267718345</v>
      </c>
      <c r="H6" s="899">
        <f>IFERROR(E90/E88,"")</f>
        <v>0.15016269243844399</v>
      </c>
      <c r="I6" s="898">
        <f>+IFERROR(D99/D93,"")</f>
        <v>0.17635685678773644</v>
      </c>
      <c r="J6" s="900" cm="1">
        <f t="array" aca="1" ref="J6" ca="1">+IFERROR((_FV(A6,"Market cap",TRUE)/1000000+E$115-E$105)/E$88,"")</f>
        <v>4.9528507600407945</v>
      </c>
      <c r="K6" s="901" cm="1">
        <f t="array" aca="1" ref="K6" ca="1">IFERROR(+(_FV(A6,"Market cap",TRUE)/1000000+E$115-E$105)/E$91,"")</f>
        <v>4.6904360023915741</v>
      </c>
      <c r="L6" s="900" cm="1">
        <f t="array" aca="1" ref="L6" ca="1">IFERROR(+(_FV(A6,"Market cap",TRUE)/1000000+E$115-E$105)/E$89,"")</f>
        <v>22.738940914158306</v>
      </c>
      <c r="M6" s="901" cm="1">
        <f t="array" aca="1" ref="M6" ca="1">IFERROR(+(_FV(A6,"Market cap",TRUE)/1000000+E$115-E$105)/E$94,"")</f>
        <v>21.154148516905206</v>
      </c>
      <c r="N6" s="900" cm="1">
        <f t="array" aca="1" ref="N6" ca="1">IFERROR(+(_FV(A6,"Market cap",TRUE)/1000000)/E$90,"")</f>
        <v>32.264763906856402</v>
      </c>
      <c r="O6" s="901" cm="1">
        <f t="array" aca="1" ref="O6" ca="1">IFERROR(+(_FV(A6,"Market cap",TRUE)/1000000)/E$99,"")</f>
        <v>31.136906991260922</v>
      </c>
      <c r="P6" s="414"/>
      <c r="Q6" s="414"/>
      <c r="R6" s="415"/>
      <c r="S6" s="416"/>
      <c r="T6" s="415"/>
      <c r="U6" s="415"/>
      <c r="V6" s="416"/>
      <c r="W6" s="415"/>
      <c r="X6" s="415"/>
      <c r="Y6" s="415"/>
      <c r="Z6" s="415"/>
      <c r="AA6" s="415"/>
      <c r="AB6" s="416"/>
      <c r="AC6" s="416"/>
      <c r="AD6" s="413"/>
      <c r="AE6" s="413"/>
      <c r="AF6" s="413"/>
      <c r="AG6" s="413"/>
      <c r="AH6" s="413"/>
      <c r="AI6" s="416"/>
      <c r="AJ6" s="416"/>
      <c r="AK6" s="416"/>
      <c r="AL6" s="417"/>
      <c r="AM6" s="418"/>
      <c r="AN6" s="419"/>
      <c r="AO6" s="416"/>
      <c r="AP6" s="416"/>
      <c r="AQ6" s="410"/>
      <c r="AR6" s="410"/>
      <c r="AS6" s="410"/>
      <c r="AT6" s="410"/>
      <c r="AU6" s="410"/>
      <c r="AV6" s="410"/>
      <c r="AW6" s="410"/>
      <c r="AX6" s="410"/>
      <c r="AY6" s="410"/>
      <c r="AZ6" s="410"/>
    </row>
    <row r="7" spans="1:52" s="382" customFormat="1" ht="17.25" customHeight="1">
      <c r="A7" s="425" t="e" vm="4">
        <v>#VALUE!</v>
      </c>
      <c r="B7" s="896" t="s">
        <v>233</v>
      </c>
      <c r="C7" s="888" t="str" cm="1">
        <f t="array" aca="1" ref="C7" ca="1">IFERROR(_FV(A7,"Ticker symbol",TRUE),"")</f>
        <v>EL</v>
      </c>
      <c r="D7" s="897">
        <f>IFERROR(F88/F87-1,"")</f>
        <v>-0.10300501775948578</v>
      </c>
      <c r="E7" s="898">
        <f>IFERROR(+F91/F88-1,"")</f>
        <v>-1.8981772470144542E-2</v>
      </c>
      <c r="F7" s="899">
        <f>IFERROR(F89/F88,"")</f>
        <v>0.18925204274041482</v>
      </c>
      <c r="G7" s="898">
        <f>IFERROR(F94/F91,"")</f>
        <v>0.18394413121476166</v>
      </c>
      <c r="H7" s="899">
        <f>IFERROR(F90/F88,"")</f>
        <v>7.8441231929604019E-2</v>
      </c>
      <c r="I7" s="898">
        <f>+IFERROR(F99/F91,"")</f>
        <v>5.9905176832393645E-2</v>
      </c>
      <c r="J7" s="900" cm="1">
        <f t="array" aca="1" ref="J7" ca="1">IFERROR(+(_FV(A7,"Market cap",TRUE)/1000000+F$115-F$106)/F$88,"")</f>
        <v>2.519918275738529</v>
      </c>
      <c r="K7" s="901" cm="1">
        <f t="array" aca="1" ref="K7" ca="1">IFERROR(+(_FV(A7,"Market cap",TRUE)/1000000+F$115-F$106)/F$91,"")</f>
        <v>2.5686763049077395</v>
      </c>
      <c r="L7" s="900" cm="1">
        <f t="array" aca="1" ref="L7" ca="1">IFERROR(+(_FV(A7,"Market cap",TRUE)/1000000+F$115-F$106)/F$89,"")</f>
        <v>13.315144392892725</v>
      </c>
      <c r="M7" s="901" cm="1">
        <f t="array" aca="1" ref="M7" ca="1">IFERROR(+(_FV(A7,"Market cap",TRUE)/1000000+F$115-F$106)/F$94,"")</f>
        <v>13.964437397074189</v>
      </c>
      <c r="N7" s="900" cm="1">
        <f t="array" aca="1" ref="N7" ca="1">IFERROR(+(_FV(A7,"Market cap",TRUE)/1000000)/F$90,"")</f>
        <v>25.632131223557693</v>
      </c>
      <c r="O7" s="901" cm="1">
        <f t="array" aca="1" ref="O7" ca="1">IFERROR(+(_FV(A7,"Market cap",TRUE)/1000000)/F$99,"")</f>
        <v>34.212727023529411</v>
      </c>
      <c r="P7" s="414"/>
      <c r="Q7" s="414"/>
      <c r="R7" s="415"/>
      <c r="S7" s="416"/>
      <c r="T7" s="415"/>
      <c r="U7" s="415"/>
      <c r="V7" s="416"/>
      <c r="W7" s="415"/>
      <c r="X7" s="415"/>
      <c r="Y7" s="415"/>
      <c r="Z7" s="415"/>
      <c r="AA7" s="415"/>
      <c r="AB7" s="416"/>
      <c r="AC7" s="416"/>
      <c r="AD7" s="413"/>
      <c r="AE7" s="413"/>
      <c r="AF7" s="413"/>
      <c r="AG7" s="413"/>
      <c r="AH7" s="413"/>
      <c r="AI7" s="416"/>
      <c r="AJ7" s="416"/>
      <c r="AK7" s="416"/>
      <c r="AL7" s="417"/>
      <c r="AM7" s="418"/>
      <c r="AN7" s="419"/>
      <c r="AO7" s="416"/>
      <c r="AP7" s="416"/>
      <c r="AQ7" s="410"/>
      <c r="AR7" s="410"/>
      <c r="AS7" s="410"/>
      <c r="AT7" s="410"/>
      <c r="AU7" s="410"/>
      <c r="AV7" s="410"/>
      <c r="AW7" s="410"/>
      <c r="AX7" s="410"/>
      <c r="AY7" s="410"/>
      <c r="AZ7" s="410"/>
    </row>
    <row r="8" spans="1:52" s="382" customFormat="1" ht="17.25" customHeight="1">
      <c r="A8" s="425" t="e" vm="5">
        <v>#VALUE!</v>
      </c>
      <c r="B8" s="896" t="s">
        <v>187</v>
      </c>
      <c r="C8" s="888" t="str" cm="1">
        <f t="array" aca="1" ref="C8" ca="1">IFERROR(_FV(A8,"Ticker symbol",TRUE),"")</f>
        <v>COTY</v>
      </c>
      <c r="D8" s="897">
        <f>+IFERROR(G88/G87-1,"")</f>
        <v>4.7134238310708954E-2</v>
      </c>
      <c r="E8" s="898">
        <f>IFERROR(G91/G88-1,"")</f>
        <v>0.1015484335613972</v>
      </c>
      <c r="F8" s="899">
        <f>IFERROR(G89/G88,"")</f>
        <v>0.1616852718761253</v>
      </c>
      <c r="G8" s="898">
        <f>IFERROR(G94/G91,"")</f>
        <v>0.17325923504413207</v>
      </c>
      <c r="H8" s="899">
        <f>IFERROR(G90/G88,"")</f>
        <v>3.4749729924378824E-2</v>
      </c>
      <c r="I8" s="898">
        <f>+IFERROR(G99/G91,"")</f>
        <v>1.6018306636155607E-2</v>
      </c>
      <c r="J8" s="900" cm="1">
        <f t="array" aca="1" ref="J8" ca="1">IFERROR(+(_FV(A8,"Market cap",TRUE)/1000000+G$115-G$105)/G$88,"")</f>
        <v>1.3077058966510624</v>
      </c>
      <c r="K8" s="901" cm="1">
        <f t="array" aca="1" ref="K8" ca="1">IFERROR(+(_FV(A8,"Market cap",TRUE)/1000000+G$115-G$105)/G$91,"")</f>
        <v>1.1871524272638116</v>
      </c>
      <c r="L8" s="900" cm="1">
        <f t="array" aca="1" ref="L8" ca="1">IFERROR(+(_FV(A8,"Market cap",TRUE)/1000000+G$115-G$105)/G$89,"")</f>
        <v>8.0879716592427613</v>
      </c>
      <c r="M8" s="901" cm="1">
        <f t="array" aca="1" ref="M8" ca="1">IFERROR(+(_FV(A8,"Market cap",TRUE)/1000000+G$115-G$105)/G$94,"")</f>
        <v>6.8518854245283025</v>
      </c>
      <c r="N8" s="900" cm="1">
        <f t="array" aca="1" ref="N8" ca="1">IFERROR(+(_FV(A8,"Market cap",TRUE)/1000000)/G$90,"")</f>
        <v>17.839370725388601</v>
      </c>
      <c r="O8" s="901" cm="1">
        <f t="array" aca="1" ref="O8" ca="1">IFERROR(+(_FV(A8,"Market cap",TRUE)/1000000)/G$99,"")</f>
        <v>35.13263826530612</v>
      </c>
      <c r="P8" s="414"/>
      <c r="Q8" s="414"/>
      <c r="R8" s="414"/>
      <c r="S8" s="416"/>
      <c r="T8" s="415"/>
      <c r="U8" s="415"/>
      <c r="V8" s="416"/>
      <c r="W8" s="415"/>
      <c r="X8" s="415"/>
      <c r="Y8" s="415"/>
      <c r="Z8" s="415"/>
      <c r="AA8" s="415"/>
      <c r="AB8" s="416"/>
      <c r="AC8" s="416"/>
      <c r="AD8" s="413"/>
      <c r="AE8" s="413"/>
      <c r="AF8" s="413"/>
      <c r="AG8" s="413"/>
      <c r="AH8" s="413"/>
      <c r="AI8" s="416"/>
      <c r="AJ8" s="416"/>
      <c r="AK8" s="416"/>
      <c r="AL8" s="417"/>
      <c r="AM8" s="418"/>
      <c r="AN8" s="419"/>
      <c r="AO8" s="416"/>
      <c r="AP8" s="416"/>
      <c r="AQ8" s="410"/>
      <c r="AR8" s="410"/>
      <c r="AS8" s="410"/>
      <c r="AT8" s="410"/>
      <c r="AU8" s="410"/>
      <c r="AV8" s="410"/>
      <c r="AW8" s="410"/>
      <c r="AX8" s="410"/>
      <c r="AY8" s="410"/>
      <c r="AZ8" s="410"/>
    </row>
    <row r="9" spans="1:52" s="382" customFormat="1" ht="17.25" customHeight="1">
      <c r="A9" s="425" t="e" vm="6">
        <v>#VALUE!</v>
      </c>
      <c r="B9" s="887" t="s">
        <v>234</v>
      </c>
      <c r="C9" s="888" t="str" cm="1">
        <f t="array" aca="1" ref="C9" ca="1">IFERROR(_FV(A9,"Ticker symbol",TRUE),"")</f>
        <v>ULTA</v>
      </c>
      <c r="D9" s="897">
        <f>IFERROR(H88/H87-1,"")</f>
        <v>0.18282933611400765</v>
      </c>
      <c r="E9" s="898">
        <f>IFERROR(H91/H88-1,"")</f>
        <v>9.7756881183269639E-2</v>
      </c>
      <c r="F9" s="899">
        <f>IFERROR(H89/H88,"")</f>
        <v>0.21618180037222059</v>
      </c>
      <c r="G9" s="898">
        <f>IFERROR(H94/H91,"")</f>
        <v>0.20308735611671277</v>
      </c>
      <c r="H9" s="899">
        <f>IFERROR(H90/H88,"")</f>
        <v>0.12224507787246547</v>
      </c>
      <c r="I9" s="898">
        <f>+IFERROR(H99/H91,"")</f>
        <v>0.11599892924065316</v>
      </c>
      <c r="J9" s="900" cm="1">
        <f t="array" aca="1" ref="J9" ca="1">IFERROR((_FV(A9,"Market cap",TRUE)/1000000+H$115-H$105)/H$88,"")</f>
        <v>2.5620270325203252</v>
      </c>
      <c r="K9" s="901" cm="1">
        <f t="array" aca="1" ref="K9" ca="1">IFERROR(+(_FV(A9,"Market cap",TRUE)/1000000+H$115-H$105)/H$91,"")</f>
        <v>2.3338747189256712</v>
      </c>
      <c r="L9" s="900" cm="1">
        <f t="array" aca="1" ref="L9" ca="1">IFERROR(+(_FV(A9,"Market cap",TRUE)/1000000+H$115-H$105)/H$89,"")</f>
        <v>11.851261429542365</v>
      </c>
      <c r="M9" s="901" cm="1">
        <f t="array" aca="1" ref="M9" ca="1">IFERROR(+(_FV(A9,"Market cap",TRUE)/1000000+H$115-H$105)/H$94,"")</f>
        <v>11.491974505711775</v>
      </c>
      <c r="N9" s="900" cm="1">
        <f t="array" aca="1" ref="N9" ca="1">IFERROR(+(_FV(A9,"Market cap",TRUE)/1000000)/H$90,"")</f>
        <v>20.041453505608974</v>
      </c>
      <c r="O9" s="901" cm="1">
        <f t="array" aca="1" ref="O9" ca="1">IFERROR(+(_FV(A9,"Market cap",TRUE)/1000000)/H$99,"")</f>
        <v>19.239795365384616</v>
      </c>
      <c r="P9" s="414"/>
      <c r="Q9" s="414"/>
      <c r="R9" s="414"/>
      <c r="S9" s="416"/>
      <c r="T9" s="415"/>
      <c r="U9" s="415"/>
      <c r="V9" s="416"/>
      <c r="W9" s="415"/>
      <c r="X9" s="415"/>
      <c r="Y9" s="415"/>
      <c r="Z9" s="415"/>
      <c r="AA9" s="415"/>
      <c r="AB9" s="416"/>
      <c r="AC9" s="416"/>
      <c r="AD9" s="413"/>
      <c r="AE9" s="413"/>
      <c r="AF9" s="413"/>
      <c r="AG9" s="413"/>
      <c r="AH9" s="413"/>
      <c r="AI9" s="416"/>
      <c r="AJ9" s="416"/>
      <c r="AK9" s="416"/>
      <c r="AL9" s="417"/>
      <c r="AM9" s="418"/>
      <c r="AN9" s="419"/>
      <c r="AO9" s="416"/>
      <c r="AP9" s="416"/>
      <c r="AQ9" s="410"/>
      <c r="AR9" s="410"/>
      <c r="AS9" s="410"/>
      <c r="AT9" s="410"/>
      <c r="AU9" s="410"/>
      <c r="AV9" s="410"/>
      <c r="AW9" s="410"/>
      <c r="AX9" s="410"/>
      <c r="AY9" s="410"/>
      <c r="AZ9" s="410"/>
    </row>
    <row r="10" spans="1:52" s="382" customFormat="1" ht="17.25" customHeight="1">
      <c r="A10" s="425" t="e" vm="7">
        <v>#VALUE!</v>
      </c>
      <c r="B10" s="887" t="s">
        <v>189</v>
      </c>
      <c r="C10" s="902">
        <v>4911</v>
      </c>
      <c r="D10" s="897">
        <f>+IFERROR(I88/I87-1,"")</f>
        <v>-0.15056922511935367</v>
      </c>
      <c r="E10" s="898">
        <f>IFERROR(I91/I88-1,"")</f>
        <v>-5.6780515924484742E-2</v>
      </c>
      <c r="F10" s="899">
        <f>IFERROR(I89/I88,"")</f>
        <v>0.11601095258682807</v>
      </c>
      <c r="G10" s="898">
        <f>IFERROR(I94/I91,"")</f>
        <v>0.11138273491214667</v>
      </c>
      <c r="H10" s="899">
        <f>IFERROR(I90/I88,"")</f>
        <v>2.8966709900562042E-2</v>
      </c>
      <c r="I10" s="898">
        <f>+IFERROR(I99/I91,"")</f>
        <v>7.9449961802902976E-3</v>
      </c>
      <c r="J10" s="900" cm="1">
        <f t="array" aca="1" ref="J10" ca="1">IFERROR((_FV(A10,"Market cap",TRUE)/1000000+I$115-I$105)/I$88,"")</f>
        <v>1.1936757457846954</v>
      </c>
      <c r="K10" s="901" cm="1">
        <f t="array" aca="1" ref="K10" ca="1">IFERROR(+(_FV(A10,"Market cap",TRUE)/1000000+I$115-I$105)/I$91,"")</f>
        <v>1.2655333842627963</v>
      </c>
      <c r="L10" s="900" cm="1">
        <f t="array" aca="1" ref="L10" ca="1">IFERROR(+(_FV(A10,"Market cap",TRUE)/1000000+I$115-I$105)/I$89,"")</f>
        <v>10.289336645962734</v>
      </c>
      <c r="M10" s="901" cm="1">
        <f t="array" aca="1" ref="M10" ca="1">IFERROR(+(_FV(A10,"Market cap",TRUE)/1000000+I$115-I$105)/I$94,"")</f>
        <v>11.362024691358027</v>
      </c>
      <c r="N10" s="900" cm="1">
        <f t="array" aca="1" ref="N10" ca="1">IFERROR(+(_FV(A10,"Market cap",TRUE)/1000000)/I$90,"")</f>
        <v>33.611522388059704</v>
      </c>
      <c r="O10" s="901" cm="1">
        <f t="array" aca="1" ref="O10" ca="1">IFERROR(+(_FV(A10,"Market cap",TRUE)/1000000)/I$99,"")</f>
        <v>129.92146153846153</v>
      </c>
      <c r="P10" s="414"/>
      <c r="Q10" s="414"/>
      <c r="R10" s="414"/>
      <c r="S10" s="416"/>
      <c r="T10" s="415"/>
      <c r="U10" s="415"/>
      <c r="V10" s="416"/>
      <c r="W10" s="415"/>
      <c r="X10" s="415"/>
      <c r="Y10" s="415"/>
      <c r="Z10" s="415"/>
      <c r="AA10" s="415"/>
      <c r="AB10" s="416"/>
      <c r="AC10" s="416"/>
      <c r="AD10" s="413"/>
      <c r="AE10" s="413"/>
      <c r="AF10" s="413"/>
      <c r="AG10" s="413"/>
      <c r="AH10" s="413"/>
      <c r="AI10" s="416"/>
      <c r="AJ10" s="416"/>
      <c r="AK10" s="416"/>
      <c r="AL10" s="417"/>
      <c r="AM10" s="418"/>
      <c r="AN10" s="419"/>
      <c r="AO10" s="416"/>
      <c r="AP10" s="416"/>
      <c r="AQ10" s="410"/>
      <c r="AR10" s="410"/>
      <c r="AS10" s="410"/>
      <c r="AT10" s="410"/>
      <c r="AU10" s="410"/>
      <c r="AV10" s="410"/>
      <c r="AW10" s="410"/>
      <c r="AX10" s="410"/>
      <c r="AY10" s="410"/>
      <c r="AZ10" s="410"/>
    </row>
    <row r="11" spans="1:52" s="382" customFormat="1" ht="17.25" customHeight="1">
      <c r="A11" s="425" t="e" vm="8">
        <v>#VALUE!</v>
      </c>
      <c r="B11" s="896" t="str" cm="1">
        <f t="array" aca="1" ref="B11" ca="1">+_FV(A11,"Name")</f>
        <v>Natura &amp;Co Holding SA</v>
      </c>
      <c r="C11" s="888" t="str" cm="1">
        <f t="array" aca="1" ref="C11" ca="1">IFERROR(_FV(A11,"Ticker symbol",TRUE),"")</f>
        <v>NTCO3Q</v>
      </c>
      <c r="D11" s="897">
        <f>IFERROR(J88/J87-1,"")</f>
        <v>-0.29924175630400285</v>
      </c>
      <c r="E11" s="898">
        <f>IFERROR(J91/J88-1,"")</f>
        <v>0.12908907901358835</v>
      </c>
      <c r="F11" s="899">
        <f>IFERROR(J89/J88,"")</f>
        <v>0.19904378459989935</v>
      </c>
      <c r="G11" s="898">
        <f>IFERROR(J94/J91,"")</f>
        <v>0.15934923111210161</v>
      </c>
      <c r="H11" s="903">
        <f>IFERROR(J90/J88,"")</f>
        <v>5.6618017111222947E-2</v>
      </c>
      <c r="I11" s="898">
        <f>+IFERROR(J99/J91,"")</f>
        <v>2.2955203922442612E-2</v>
      </c>
      <c r="J11" s="904" cm="1">
        <f t="array" aca="1" ref="J11" ca="1">IFERROR(+(_FV(A11,"Market cap",TRUE)*Q11/1000000+J$115-J$105)/J$88,"")</f>
        <v>1.0653105565374938</v>
      </c>
      <c r="K11" s="901" cm="1">
        <f t="array" aca="1" ref="K11" ca="1">IFERROR(+(_FV(A11,"Market cap",TRUE)*Q11/1000000+J$115-J$105)/J$91,"")</f>
        <v>0.94351329433474485</v>
      </c>
      <c r="L11" s="904" cm="1">
        <f t="array" aca="1" ref="L11" ca="1">IFERROR(+(_FV(A11,"Market cap",TRUE)*Q11/1000000+J$115-J$105)/J$89,"")</f>
        <v>5.3521417846776238</v>
      </c>
      <c r="M11" s="901" cm="1">
        <f t="array" aca="1" ref="M11" ca="1">IFERROR(+(_FV(A11,"Market cap",TRUE)*Q11/1000000+J$115-J$105)/J$94,"")</f>
        <v>5.9210407715804196</v>
      </c>
      <c r="N11" s="904" cm="1">
        <f t="array" aca="1" ref="N11" ca="1">IFERROR(+(_FV(A11,"Market cap",TRUE)*Q11/1000000)/J$90,"")</f>
        <v>16.39352956302222</v>
      </c>
      <c r="O11" s="901" cm="1">
        <f t="array" aca="1" ref="O11" ca="1">IFERROR(+(_FV(A11,"Market cap",TRUE)*Q11/1000000)/J$99,"")</f>
        <v>35.811108268737861</v>
      </c>
      <c r="P11" s="414" t="e" vm="9">
        <v>#VALUE!</v>
      </c>
      <c r="Q11" s="414" cm="1">
        <f t="array" aca="1" ref="Q11" ca="1">+_FV(P11,"Previous close",TRUE)</f>
        <v>0.18729999999999999</v>
      </c>
      <c r="R11" s="414"/>
      <c r="S11" s="416"/>
      <c r="T11" s="415"/>
      <c r="U11" s="415"/>
      <c r="V11" s="416"/>
      <c r="W11" s="415"/>
      <c r="X11" s="415"/>
      <c r="Y11" s="415"/>
      <c r="Z11" s="415"/>
      <c r="AA11" s="415"/>
      <c r="AB11" s="416"/>
      <c r="AC11" s="416"/>
      <c r="AD11" s="413"/>
      <c r="AE11" s="413"/>
      <c r="AF11" s="413"/>
      <c r="AG11" s="413"/>
      <c r="AH11" s="413"/>
      <c r="AI11" s="416"/>
      <c r="AJ11" s="416"/>
      <c r="AK11" s="416"/>
      <c r="AL11" s="417"/>
      <c r="AM11" s="418"/>
      <c r="AN11" s="419"/>
      <c r="AO11" s="416"/>
      <c r="AP11" s="416"/>
      <c r="AQ11" s="410"/>
      <c r="AR11" s="410"/>
      <c r="AS11" s="410"/>
      <c r="AT11" s="410"/>
      <c r="AU11" s="410"/>
      <c r="AV11" s="410"/>
      <c r="AW11" s="410"/>
      <c r="AX11" s="410"/>
      <c r="AY11" s="410"/>
      <c r="AZ11" s="410"/>
    </row>
    <row r="12" spans="1:52" s="379" customFormat="1" ht="15.75" customHeight="1">
      <c r="A12" s="425"/>
      <c r="B12" s="905" t="s">
        <v>235</v>
      </c>
      <c r="C12" s="905"/>
      <c r="D12" s="906">
        <f t="shared" ref="D12:O12" si="0">IFERROR(AVERAGE(D5:D11),"")</f>
        <v>3.2756775710833672E-2</v>
      </c>
      <c r="E12" s="907">
        <f t="shared" si="0"/>
        <v>0.15394053083151144</v>
      </c>
      <c r="F12" s="908">
        <f t="shared" si="0"/>
        <v>0.17394924027153075</v>
      </c>
      <c r="G12" s="907">
        <f t="shared" si="0"/>
        <v>0.17127927217512587</v>
      </c>
      <c r="H12" s="909">
        <f t="shared" si="0"/>
        <v>8.2491111208278387E-2</v>
      </c>
      <c r="I12" s="910">
        <f t="shared" si="0"/>
        <v>7.4842668637158188E-2</v>
      </c>
      <c r="J12" s="911">
        <f t="shared" ca="1" si="0"/>
        <v>3.8664926616886062</v>
      </c>
      <c r="K12" s="912">
        <f t="shared" ca="1" si="0"/>
        <v>2.9428889455782792</v>
      </c>
      <c r="L12" s="911">
        <f t="shared" ca="1" si="0"/>
        <v>26.581224927382117</v>
      </c>
      <c r="M12" s="912">
        <f t="shared" ca="1" si="0"/>
        <v>17.543222923639227</v>
      </c>
      <c r="N12" s="913">
        <f t="shared" ca="1" si="0"/>
        <v>38.737469674142538</v>
      </c>
      <c r="O12" s="913">
        <f t="shared" ca="1" si="0"/>
        <v>49.405299766984342</v>
      </c>
      <c r="P12" s="519"/>
      <c r="Q12" s="426"/>
      <c r="R12" s="426"/>
      <c r="S12" s="422"/>
      <c r="T12" s="426"/>
      <c r="U12" s="426"/>
      <c r="V12" s="422"/>
      <c r="W12" s="426"/>
      <c r="X12" s="426"/>
      <c r="Y12" s="426"/>
      <c r="Z12" s="426"/>
      <c r="AA12" s="426"/>
      <c r="AB12" s="426"/>
      <c r="AC12" s="422"/>
      <c r="AD12" s="426"/>
      <c r="AE12" s="426"/>
      <c r="AF12" s="426"/>
      <c r="AG12" s="426"/>
      <c r="AH12" s="426"/>
      <c r="AI12" s="422"/>
      <c r="AJ12" s="427"/>
      <c r="AK12" s="422"/>
      <c r="AL12" s="427"/>
      <c r="AM12" s="424"/>
      <c r="AN12" s="427"/>
      <c r="AO12" s="422"/>
      <c r="AP12" s="427"/>
      <c r="AQ12" s="403"/>
      <c r="AR12" s="403"/>
      <c r="AS12" s="403"/>
      <c r="AT12" s="403"/>
      <c r="AU12" s="403"/>
      <c r="AV12" s="403"/>
      <c r="AW12" s="403"/>
      <c r="AX12" s="403"/>
      <c r="AY12" s="403"/>
      <c r="AZ12" s="403"/>
    </row>
    <row r="13" spans="1:52" s="379" customFormat="1" ht="15.75" customHeight="1">
      <c r="A13" s="425"/>
      <c r="B13" s="914" t="s">
        <v>236</v>
      </c>
      <c r="C13" s="905"/>
      <c r="D13" s="915">
        <f>IFERROR(+D12-D5,"")</f>
        <v>-0.44302088874607592</v>
      </c>
      <c r="E13" s="916">
        <f>IFERROR(E12-E5,"")</f>
        <v>-0.61506430676351287</v>
      </c>
      <c r="F13" s="917">
        <f>+IFERROR(F12-F5,"")</f>
        <v>5.6292018433244689E-2</v>
      </c>
      <c r="G13" s="916">
        <f>IFERROR(G12-G5,"")</f>
        <v>2.5073588026283261E-2</v>
      </c>
      <c r="H13" s="917">
        <f>IFERROR(+H5-H12,"")</f>
        <v>2.3763208072993147E-2</v>
      </c>
      <c r="I13" s="916">
        <f>+IFERROR(I5-I12,"")</f>
        <v>4.9876542223277337E-2</v>
      </c>
      <c r="J13" s="918">
        <f ca="1">+IFERROR(J5-J12,"")</f>
        <v>9.597467702858733</v>
      </c>
      <c r="K13" s="919">
        <f ca="1">+IFERROR(K5-K12,"")</f>
        <v>4.6681475413833375</v>
      </c>
      <c r="L13" s="918">
        <f ca="1">IFERROR(+L5-L12,"")</f>
        <v>87.852552737816183</v>
      </c>
      <c r="M13" s="919">
        <f ca="1">IFERROR(M5-M12,"")</f>
        <v>34.513826234677431</v>
      </c>
      <c r="N13" s="918">
        <f ca="1">IFERROR(+N5-N12,"")</f>
        <v>86.642046732361621</v>
      </c>
      <c r="O13" s="918">
        <f ca="1">IFERROR(+O5-O12,"")</f>
        <v>10.977161149225552</v>
      </c>
      <c r="P13" s="520"/>
      <c r="Q13" s="423"/>
      <c r="R13" s="423"/>
      <c r="S13" s="422"/>
      <c r="T13" s="423"/>
      <c r="U13" s="423"/>
      <c r="V13" s="422"/>
      <c r="W13" s="423"/>
      <c r="X13" s="423"/>
      <c r="Y13" s="423"/>
      <c r="Z13" s="423"/>
      <c r="AA13" s="423"/>
      <c r="AB13" s="423"/>
      <c r="AC13" s="422"/>
      <c r="AD13" s="423"/>
      <c r="AE13" s="423"/>
      <c r="AF13" s="423"/>
      <c r="AG13" s="423"/>
      <c r="AH13" s="423"/>
      <c r="AI13" s="422"/>
      <c r="AJ13" s="429"/>
      <c r="AK13" s="422"/>
      <c r="AL13" s="429"/>
      <c r="AM13" s="422"/>
      <c r="AN13" s="429"/>
      <c r="AO13" s="422"/>
      <c r="AP13" s="429"/>
      <c r="AQ13" s="403"/>
      <c r="AR13" s="403"/>
      <c r="AS13" s="403"/>
      <c r="AT13" s="403"/>
      <c r="AU13" s="403"/>
      <c r="AV13" s="403"/>
      <c r="AW13" s="403"/>
      <c r="AX13" s="403"/>
      <c r="AY13" s="403"/>
      <c r="AZ13" s="403"/>
    </row>
    <row r="14" spans="1:52" s="379" customFormat="1" ht="14.25" customHeight="1">
      <c r="A14" s="403"/>
      <c r="B14" s="403"/>
      <c r="C14" s="403"/>
      <c r="D14" s="920"/>
      <c r="E14" s="920"/>
      <c r="F14" s="920"/>
      <c r="G14" s="920"/>
      <c r="H14" s="920"/>
      <c r="I14" s="920"/>
      <c r="J14" s="403"/>
      <c r="K14" s="403"/>
      <c r="L14" s="403"/>
      <c r="M14" s="403"/>
      <c r="N14" s="403"/>
      <c r="O14" s="403"/>
      <c r="P14" s="431"/>
      <c r="Q14" s="403"/>
      <c r="R14" s="403"/>
      <c r="S14" s="403"/>
      <c r="T14" s="403"/>
      <c r="U14" s="403"/>
      <c r="V14" s="403"/>
      <c r="W14" s="403"/>
      <c r="X14" s="403"/>
      <c r="Y14" s="403"/>
      <c r="Z14" s="403"/>
      <c r="AA14" s="403"/>
      <c r="AB14" s="403"/>
      <c r="AC14" s="403"/>
      <c r="AD14" s="403"/>
      <c r="AE14" s="403"/>
      <c r="AF14" s="403"/>
      <c r="AG14" s="403"/>
      <c r="AH14" s="403"/>
      <c r="AI14" s="403"/>
      <c r="AJ14" s="403"/>
      <c r="AK14" s="403"/>
      <c r="AL14" s="403"/>
      <c r="AM14" s="403"/>
      <c r="AN14" s="403"/>
      <c r="AO14" s="403"/>
      <c r="AP14" s="403"/>
      <c r="AQ14" s="403"/>
      <c r="AR14" s="403"/>
      <c r="AS14" s="403"/>
      <c r="AT14" s="403"/>
      <c r="AU14" s="403"/>
      <c r="AV14" s="403"/>
      <c r="AW14" s="403"/>
      <c r="AX14" s="403"/>
      <c r="AY14" s="403"/>
      <c r="AZ14" s="403"/>
    </row>
    <row r="15" spans="1:52" s="379" customFormat="1" ht="14.1">
      <c r="A15" s="403"/>
      <c r="B15" s="430"/>
      <c r="C15" s="430"/>
      <c r="D15" s="1047" t="s">
        <v>237</v>
      </c>
      <c r="E15" s="1047"/>
      <c r="F15" s="1047"/>
      <c r="G15" s="921" t="s">
        <v>238</v>
      </c>
      <c r="H15" s="921" t="s">
        <v>239</v>
      </c>
      <c r="I15" s="921" t="s">
        <v>240</v>
      </c>
      <c r="J15" s="1048" t="s">
        <v>241</v>
      </c>
      <c r="K15" s="1048"/>
      <c r="L15" s="1048"/>
      <c r="M15" s="1048" t="s">
        <v>242</v>
      </c>
      <c r="N15" s="1048"/>
      <c r="O15" s="1048"/>
      <c r="P15" s="517"/>
      <c r="Q15" s="431"/>
      <c r="R15" s="431"/>
      <c r="S15" s="431"/>
      <c r="T15" s="431"/>
      <c r="U15" s="431"/>
      <c r="V15" s="431"/>
      <c r="W15" s="431"/>
      <c r="X15" s="431"/>
      <c r="Y15" s="403"/>
      <c r="Z15" s="403"/>
      <c r="AA15" s="403"/>
      <c r="AB15" s="403"/>
      <c r="AC15" s="403"/>
      <c r="AD15" s="403"/>
      <c r="AE15" s="403"/>
      <c r="AF15" s="403"/>
      <c r="AG15" s="403"/>
      <c r="AH15" s="403"/>
      <c r="AI15" s="403"/>
      <c r="AJ15" s="403"/>
      <c r="AK15" s="403"/>
      <c r="AL15" s="403"/>
      <c r="AM15" s="403"/>
      <c r="AN15" s="403"/>
      <c r="AO15" s="403"/>
      <c r="AP15" s="403"/>
      <c r="AQ15" s="403"/>
      <c r="AR15" s="403"/>
      <c r="AS15" s="403"/>
      <c r="AT15" s="403"/>
      <c r="AU15" s="403"/>
      <c r="AV15" s="403"/>
      <c r="AW15" s="403"/>
      <c r="AX15" s="403"/>
      <c r="AY15" s="403"/>
      <c r="AZ15" s="403"/>
    </row>
    <row r="16" spans="1:52" s="379" customFormat="1" ht="14.25" customHeight="1">
      <c r="A16" s="403"/>
      <c r="B16" s="432" t="s">
        <v>243</v>
      </c>
      <c r="C16" s="430"/>
      <c r="D16" s="882" t="s">
        <v>244</v>
      </c>
      <c r="E16" s="882" t="s">
        <v>245</v>
      </c>
      <c r="F16" s="882" t="s">
        <v>246</v>
      </c>
      <c r="G16" s="882" t="s">
        <v>247</v>
      </c>
      <c r="H16" s="882" t="s">
        <v>248</v>
      </c>
      <c r="I16" s="882" t="s">
        <v>249</v>
      </c>
      <c r="J16" s="406" t="s">
        <v>244</v>
      </c>
      <c r="K16" s="406" t="s">
        <v>245</v>
      </c>
      <c r="L16" s="406" t="s">
        <v>246</v>
      </c>
      <c r="M16" s="406" t="s">
        <v>244</v>
      </c>
      <c r="N16" s="406" t="s">
        <v>245</v>
      </c>
      <c r="O16" s="406" t="s">
        <v>246</v>
      </c>
      <c r="P16" s="517" t="s">
        <v>250</v>
      </c>
      <c r="Q16" s="431"/>
      <c r="R16" s="431"/>
      <c r="S16" s="431"/>
      <c r="T16" s="431"/>
      <c r="U16" s="431"/>
      <c r="V16" s="431"/>
      <c r="W16" s="431"/>
      <c r="X16" s="431"/>
      <c r="Y16" s="403"/>
      <c r="Z16" s="403"/>
      <c r="AA16" s="403"/>
      <c r="AB16" s="403"/>
      <c r="AC16" s="403"/>
      <c r="AD16" s="403"/>
      <c r="AE16" s="403"/>
      <c r="AF16" s="403"/>
      <c r="AG16" s="403"/>
      <c r="AH16" s="403"/>
      <c r="AI16" s="403"/>
      <c r="AJ16" s="403"/>
      <c r="AK16" s="403"/>
      <c r="AL16" s="403"/>
      <c r="AM16" s="403"/>
      <c r="AN16" s="403"/>
      <c r="AO16" s="403"/>
      <c r="AP16" s="403"/>
      <c r="AQ16" s="403"/>
      <c r="AR16" s="403"/>
      <c r="AS16" s="403"/>
      <c r="AT16" s="403"/>
      <c r="AU16" s="403"/>
      <c r="AV16" s="403"/>
      <c r="AW16" s="403"/>
      <c r="AX16" s="403"/>
      <c r="AY16" s="403"/>
      <c r="AZ16" s="403"/>
    </row>
    <row r="17" spans="1:42" s="379" customFormat="1" ht="3.75" customHeight="1">
      <c r="A17" s="403"/>
      <c r="B17" s="433"/>
      <c r="C17" s="434"/>
      <c r="D17" s="922"/>
      <c r="E17" s="923"/>
      <c r="F17" s="924"/>
      <c r="G17" s="922"/>
      <c r="H17" s="923"/>
      <c r="I17" s="924"/>
      <c r="J17" s="434"/>
      <c r="K17" s="434"/>
      <c r="L17" s="509"/>
      <c r="M17" s="434"/>
      <c r="N17" s="434"/>
      <c r="O17" s="434"/>
      <c r="P17" s="518"/>
      <c r="Q17" s="431"/>
      <c r="R17" s="431"/>
      <c r="S17" s="431"/>
      <c r="T17" s="431"/>
      <c r="U17" s="431"/>
      <c r="V17" s="431"/>
      <c r="W17" s="431"/>
      <c r="X17" s="431"/>
      <c r="Y17" s="403"/>
      <c r="Z17" s="403"/>
      <c r="AA17" s="403"/>
      <c r="AB17" s="403"/>
      <c r="AC17" s="403"/>
      <c r="AD17" s="403"/>
      <c r="AE17" s="403"/>
      <c r="AF17" s="403"/>
      <c r="AG17" s="403"/>
      <c r="AH17" s="403"/>
      <c r="AI17" s="403"/>
      <c r="AJ17" s="403"/>
      <c r="AK17" s="403"/>
      <c r="AL17" s="403"/>
      <c r="AM17" s="403"/>
      <c r="AN17" s="403"/>
      <c r="AO17" s="403"/>
      <c r="AP17" s="403"/>
    </row>
    <row r="18" spans="1:42" s="379" customFormat="1" ht="14.1">
      <c r="A18" s="403"/>
      <c r="B18" s="403" t="s">
        <v>251</v>
      </c>
      <c r="C18" s="403"/>
      <c r="D18" s="925">
        <f ca="1">IFERROR(SMALL(K5:K11,2),"")</f>
        <v>1.1871524272638116</v>
      </c>
      <c r="E18" s="926">
        <f ca="1">IFERROR(SMALL(M5:M11,2),"")</f>
        <v>6.8518854245283025</v>
      </c>
      <c r="F18" s="927">
        <f ca="1">IFERROR(SMALL(O5:O11,2),"")</f>
        <v>31.136906991260922</v>
      </c>
      <c r="G18" s="925">
        <f>-Inputs!$Q$98+Inputs!$Q$99</f>
        <v>82.100000000000009</v>
      </c>
      <c r="H18" s="926">
        <f>+Inputs!$Q$100</f>
        <v>0</v>
      </c>
      <c r="I18" s="927">
        <f>+Inputs!$Q$101</f>
        <v>0</v>
      </c>
      <c r="J18" s="435">
        <f ca="1">IFERROR(+D18*$D$91+G18+H18+I18,"")</f>
        <v>1297.6253702754166</v>
      </c>
      <c r="K18" s="435">
        <f ca="1">IFERROR(E18*$D$94+G18+H18+I18,"")</f>
        <v>1107.8272480518863</v>
      </c>
      <c r="L18" s="511">
        <f ca="1">IFERROR(F18*$D$99,"")</f>
        <v>3976.1830227840178</v>
      </c>
      <c r="M18" s="516" cm="1">
        <f t="array" aca="1" ref="M18" ca="1">IFERROR(+(J18/_FV($A$5,"Shares outstanding",TRUE)*1000000)/$P$18-1,"")</f>
        <v>-0.8317141418199081</v>
      </c>
      <c r="N18" s="516" cm="1">
        <f t="array" aca="1" ref="N18" ca="1">IFERROR((+K18/_FV($A$5,"Shares outstanding",TRUE)*1000000)/$P$18-1,"")</f>
        <v>-0.85632859573781939</v>
      </c>
      <c r="O18" s="516" cm="1">
        <f t="array" aca="1" ref="O18" ca="1">IFERROR(+(L18/_FV($A$5,"Shares outstanding",TRUE)*1000000)/$P$18-1,"")</f>
        <v>-0.48433855595140041</v>
      </c>
      <c r="P18" s="521" cm="1">
        <f t="array" aca="1" ref="P18" ca="1">+_FV(A5,"Price")</f>
        <v>135.91</v>
      </c>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row>
    <row r="19" spans="1:42" ht="14.1">
      <c r="B19" s="403" t="s">
        <v>235</v>
      </c>
      <c r="C19" s="403"/>
      <c r="D19" s="925">
        <f ca="1">+IFERROR(AVERAGE(K5:K11),"")</f>
        <v>2.9428889455782792</v>
      </c>
      <c r="E19" s="926">
        <f ca="1">IFERROR(+AVERAGE(M5:M11),"")</f>
        <v>17.543222923639227</v>
      </c>
      <c r="F19" s="927">
        <f ca="1">IFERROR(+AVERAGE(O5:O11),"")</f>
        <v>49.405299766984342</v>
      </c>
      <c r="G19" s="925">
        <f>-Inputs!$Q$98+Inputs!$Q$99</f>
        <v>82.100000000000009</v>
      </c>
      <c r="H19" s="926">
        <f>+Inputs!$Q$100</f>
        <v>0</v>
      </c>
      <c r="I19" s="927">
        <f>+Inputs!$Q$101</f>
        <v>0</v>
      </c>
      <c r="J19" s="435">
        <f ca="1">IFERROR(+D19*$D$91+G19+H19+I19,"")</f>
        <v>3095.3239913775997</v>
      </c>
      <c r="K19" s="435">
        <f ca="1">IFERROR(E19*$D$94+G19+H19+I19,"")</f>
        <v>2708.320471668791</v>
      </c>
      <c r="L19" s="511">
        <f ca="1">IFERROR(+F19*$D$99,"")</f>
        <v>6309.0567802438973</v>
      </c>
      <c r="M19" s="516" cm="1">
        <f t="array" aca="1" ref="M19" ca="1">IFERROR(+(J19/_FV($A$5,"Shares outstanding",TRUE)*1000000)/$P$18-1,"")</f>
        <v>-0.59857500772827255</v>
      </c>
      <c r="N19" s="516" cm="1">
        <f t="array" aca="1" ref="N19" ca="1">IFERROR((+K19/_FV($A$5,"Shares outstanding",TRUE)*1000000)/$P$18-1,"")</f>
        <v>-0.64876454696261254</v>
      </c>
      <c r="O19" s="516" cm="1">
        <f t="array" aca="1" ref="O19" ca="1">IFERROR(+(L19/_FV($A$5,"Shares outstanding",TRUE)*1000000)/$P$18-1,"")</f>
        <v>-0.18179386832971389</v>
      </c>
      <c r="P19" s="517"/>
    </row>
    <row r="20" spans="1:42" s="379" customFormat="1" ht="14.1">
      <c r="A20" s="403"/>
      <c r="B20" s="403" t="s">
        <v>252</v>
      </c>
      <c r="C20" s="403"/>
      <c r="D20" s="925">
        <f ca="1">IFERROR(MEDIAN(K5:K11),"")</f>
        <v>2.3338747189256712</v>
      </c>
      <c r="E20" s="926">
        <f ca="1">IFERROR(MEDIAN(M5:M11),"")</f>
        <v>11.491974505711775</v>
      </c>
      <c r="F20" s="927">
        <f ca="1">IFERROR(MEDIAN(O5:O11),"")</f>
        <v>35.13263826530612</v>
      </c>
      <c r="G20" s="925">
        <f>-Inputs!$Q$98+Inputs!$Q$99</f>
        <v>82.100000000000009</v>
      </c>
      <c r="H20" s="926">
        <f>+Inputs!$Q$100</f>
        <v>0</v>
      </c>
      <c r="I20" s="927">
        <f>+Inputs!$Q$101</f>
        <v>0</v>
      </c>
      <c r="J20" s="435">
        <f ca="1">IFERROR(D20*$D$91+G20+H20+I20,"")</f>
        <v>2471.7543247079948</v>
      </c>
      <c r="K20" s="435">
        <f ca="1">IFERROR(E20*$D$94+G20+H20+I20,"")</f>
        <v>1802.4485835050518</v>
      </c>
      <c r="L20" s="511">
        <f ca="1">IFERROR(+F20*$D$99,"")</f>
        <v>4486.4379064795894</v>
      </c>
      <c r="M20" s="516" cm="1">
        <f t="array" aca="1" ref="M20" ca="1">IFERROR(+(J20/_FV($A$5,"Shares outstanding",TRUE)*1000000)/$P$18-1,"")</f>
        <v>-0.67944423153845102</v>
      </c>
      <c r="N20" s="516" cm="1">
        <f t="array" aca="1" ref="N20" ca="1">IFERROR((+K20/_FV($A$5,"Shares outstanding",TRUE)*1000000)/$P$18-1,"")</f>
        <v>-0.76624485491042882</v>
      </c>
      <c r="O20" s="516" cm="1">
        <f t="array" aca="1" ref="O20" ca="1">+IFERROR((L20/_FV($A$5,"Shares outstanding",TRUE)*1000000)/$P$18-1,"")</f>
        <v>-0.41816484899384698</v>
      </c>
      <c r="P20" s="518"/>
      <c r="Q20" s="403"/>
      <c r="R20" s="403"/>
      <c r="S20" s="403"/>
      <c r="T20" s="403"/>
      <c r="U20" s="403"/>
      <c r="V20" s="403"/>
      <c r="W20" s="403"/>
      <c r="X20" s="403"/>
      <c r="Y20" s="403"/>
      <c r="Z20" s="403"/>
      <c r="AA20" s="403"/>
      <c r="AB20" s="403"/>
      <c r="AC20" s="403"/>
      <c r="AD20" s="403"/>
      <c r="AE20" s="403"/>
      <c r="AF20" s="403"/>
      <c r="AG20" s="403"/>
      <c r="AH20" s="403"/>
      <c r="AI20" s="403"/>
      <c r="AJ20" s="403"/>
      <c r="AK20" s="403"/>
      <c r="AL20" s="403"/>
      <c r="AM20" s="403"/>
      <c r="AN20" s="403"/>
      <c r="AO20" s="403"/>
      <c r="AP20" s="403"/>
    </row>
    <row r="21" spans="1:42" s="379" customFormat="1" ht="14.1">
      <c r="A21" s="403"/>
      <c r="B21" s="403" t="s">
        <v>253</v>
      </c>
      <c r="C21" s="403"/>
      <c r="D21" s="925">
        <f ca="1">IFERROR(LARGE(K5:K11,2),"")</f>
        <v>4.6904360023915741</v>
      </c>
      <c r="E21" s="926">
        <f ca="1">IFERROR(LARGE(M5:M11,2),"")</f>
        <v>21.154148516905206</v>
      </c>
      <c r="F21" s="927">
        <f ca="1">IFERROR(LARGE(O5:O11,2),"")</f>
        <v>60.382460916209894</v>
      </c>
      <c r="G21" s="925">
        <f>-Inputs!$Q$98+Inputs!$Q$99</f>
        <v>82.100000000000009</v>
      </c>
      <c r="H21" s="926">
        <f>+Inputs!$Q$100</f>
        <v>0</v>
      </c>
      <c r="I21" s="927">
        <f>+Inputs!$Q$101</f>
        <v>0</v>
      </c>
      <c r="J21" s="435">
        <f ca="1">IFERROR(+D21*$D$91+G21+H21+I21,"")</f>
        <v>4884.637422848733</v>
      </c>
      <c r="K21" s="435">
        <f ca="1">IFERROR(E21*$D$94+G21+H21+I21,"")</f>
        <v>3248.8760329807078</v>
      </c>
      <c r="L21" s="511">
        <f ca="1">IFERROR(+F21*$D$99,"")</f>
        <v>7710.8402589999996</v>
      </c>
      <c r="M21" s="516" cm="1">
        <f t="array" aca="1" ref="M21" ca="1">IFERROR(+(J21/_FV($A$5,"Shares outstanding",TRUE)*1000000)/$P$18-1,"")</f>
        <v>-0.36652332835614865</v>
      </c>
      <c r="N21" s="516" cm="1">
        <f t="array" aca="1" ref="N21" ca="1">IFERROR((+K21/_FV($A$5,"Shares outstanding",TRUE)*1000000)/$P$18-1,"")</f>
        <v>-0.57866121928947245</v>
      </c>
      <c r="O21" s="516" cm="1">
        <f t="array" aca="1" ref="O21" ca="1">IFERROR(+(L21/_FV($A$5,"Shares outstanding",TRUE)*1000000)/$P$18-1,"")</f>
        <v>0</v>
      </c>
      <c r="P21" s="518"/>
      <c r="Q21" s="403"/>
      <c r="R21" s="403"/>
      <c r="S21" s="403"/>
      <c r="T21" s="403"/>
      <c r="U21" s="403"/>
      <c r="V21" s="403"/>
      <c r="W21" s="403"/>
      <c r="X21" s="403"/>
      <c r="Y21" s="403"/>
      <c r="Z21" s="403"/>
      <c r="AA21" s="403"/>
      <c r="AB21" s="403"/>
      <c r="AC21" s="403"/>
      <c r="AD21" s="403"/>
      <c r="AE21" s="403"/>
      <c r="AF21" s="403"/>
      <c r="AG21" s="403"/>
      <c r="AH21" s="403"/>
      <c r="AI21" s="403"/>
      <c r="AJ21" s="403"/>
      <c r="AK21" s="403"/>
      <c r="AL21" s="403"/>
      <c r="AM21" s="403"/>
      <c r="AN21" s="403"/>
      <c r="AO21" s="403"/>
      <c r="AP21" s="403"/>
    </row>
    <row r="22" spans="1:42" s="379" customFormat="1" ht="14.25" customHeight="1">
      <c r="A22" s="403"/>
      <c r="B22" s="403"/>
      <c r="C22" s="403"/>
      <c r="D22" s="920"/>
      <c r="E22" s="920"/>
      <c r="F22" s="920"/>
      <c r="G22" s="920"/>
      <c r="H22" s="920"/>
      <c r="I22" s="920"/>
      <c r="J22" s="403"/>
      <c r="K22" s="403"/>
      <c r="L22" s="403"/>
      <c r="M22" s="403"/>
      <c r="N22" s="403"/>
      <c r="O22" s="437"/>
      <c r="P22" s="403"/>
      <c r="Q22" s="403"/>
      <c r="R22" s="403"/>
      <c r="S22" s="403"/>
      <c r="T22" s="403"/>
      <c r="U22" s="403"/>
      <c r="V22" s="403"/>
      <c r="W22" s="403"/>
      <c r="X22" s="403"/>
      <c r="Y22" s="403"/>
      <c r="Z22" s="403"/>
      <c r="AA22" s="403"/>
      <c r="AB22" s="403"/>
      <c r="AC22" s="403"/>
      <c r="AD22" s="403"/>
      <c r="AE22" s="403"/>
      <c r="AF22" s="403"/>
      <c r="AG22" s="403"/>
      <c r="AH22" s="403"/>
      <c r="AI22" s="403"/>
      <c r="AJ22" s="403"/>
      <c r="AK22" s="403"/>
      <c r="AL22" s="403"/>
      <c r="AM22" s="403"/>
      <c r="AN22" s="403"/>
      <c r="AO22" s="403"/>
      <c r="AP22" s="403"/>
    </row>
    <row r="23" spans="1:42" s="382" customFormat="1" ht="14.25" customHeight="1">
      <c r="A23" s="410"/>
      <c r="B23" s="575" t="s">
        <v>254</v>
      </c>
      <c r="C23" s="576"/>
      <c r="D23" s="928" t="str">
        <f ca="1">+LEFT(B5, FIND(" ", B5 &amp; " ") - 1)</f>
        <v>E.L.F.</v>
      </c>
      <c r="E23" s="928" t="str">
        <f>+LEFT(B6, FIND(" ", B6 &amp; " ") - 1)</f>
        <v>L'Oreal</v>
      </c>
      <c r="F23" s="928" t="str">
        <f>+_xlfn.TEXTBEFORE(B7, " ",2)</f>
        <v>Estée Lauder</v>
      </c>
      <c r="G23" s="928" t="str">
        <f>+LEFT(B8, FIND(" ", B8 &amp; " ") - 1)</f>
        <v>Coty</v>
      </c>
      <c r="H23" s="928" t="str">
        <f>B9</f>
        <v>Ulta Beauty</v>
      </c>
      <c r="I23" s="928" t="str">
        <f>+LEFT(B10, FIND(" ", B10 &amp; " ") - 1)</f>
        <v>Shiseido</v>
      </c>
      <c r="J23" s="389" t="str">
        <f ca="1">+LEFT(B11, FIND(" ", B11 &amp; " ") - 1)</f>
        <v>Natura</v>
      </c>
      <c r="K23" s="389"/>
      <c r="L23" s="389" t="e">
        <f>+LEFT(#REF!, FIND(" ",#REF! &amp; " ") - 1)</f>
        <v>#REF!</v>
      </c>
      <c r="M23" s="389" t="e">
        <f>+LEFT(#REF!, FIND(" ",#REF! &amp; " ") - 1)</f>
        <v>#REF!</v>
      </c>
      <c r="N23" s="389" t="e">
        <f>+LEFT(#REF!, FIND(" ",#REF! &amp; " ") - 1)</f>
        <v>#REF!</v>
      </c>
      <c r="O23" s="438" t="s">
        <v>235</v>
      </c>
      <c r="P23" s="410"/>
      <c r="Q23" s="410" t="s">
        <v>255</v>
      </c>
      <c r="R23" s="410"/>
      <c r="S23" s="410"/>
      <c r="T23" s="410"/>
      <c r="U23" s="410"/>
      <c r="V23" s="410"/>
      <c r="W23" s="410"/>
      <c r="X23" s="410"/>
      <c r="Y23" s="410"/>
      <c r="Z23" s="410"/>
      <c r="AA23" s="410"/>
      <c r="AB23" s="410"/>
      <c r="AC23" s="410"/>
      <c r="AD23" s="410"/>
      <c r="AE23" s="410"/>
      <c r="AF23" s="410"/>
      <c r="AG23" s="410"/>
      <c r="AH23" s="410"/>
      <c r="AI23" s="410"/>
      <c r="AJ23" s="410"/>
      <c r="AK23" s="410"/>
      <c r="AL23" s="410"/>
      <c r="AM23" s="410"/>
      <c r="AN23" s="410"/>
      <c r="AO23" s="410"/>
      <c r="AP23" s="410"/>
    </row>
    <row r="24" spans="1:42" s="379" customFormat="1" ht="3.75" customHeight="1">
      <c r="A24" s="403"/>
      <c r="B24" s="428"/>
      <c r="C24" s="428"/>
      <c r="D24" s="914"/>
      <c r="E24" s="914"/>
      <c r="F24" s="914"/>
      <c r="G24" s="914"/>
      <c r="H24" s="914"/>
      <c r="I24" s="914"/>
      <c r="J24" s="428"/>
      <c r="K24" s="428"/>
      <c r="L24" s="428"/>
      <c r="M24" s="428"/>
      <c r="N24" s="428"/>
      <c r="O24" s="439"/>
      <c r="P24" s="403"/>
      <c r="Q24" s="403"/>
      <c r="R24" s="440"/>
      <c r="S24" s="403"/>
      <c r="T24" s="403"/>
      <c r="U24" s="403"/>
      <c r="V24" s="403"/>
      <c r="W24" s="403"/>
      <c r="X24" s="403"/>
      <c r="Y24" s="403"/>
      <c r="Z24" s="403"/>
      <c r="AA24" s="403"/>
      <c r="AB24" s="403"/>
      <c r="AC24" s="403"/>
      <c r="AD24" s="403"/>
      <c r="AE24" s="403"/>
      <c r="AF24" s="403"/>
      <c r="AG24" s="403"/>
      <c r="AH24" s="403"/>
      <c r="AI24" s="403"/>
      <c r="AJ24" s="403"/>
      <c r="AK24" s="403"/>
      <c r="AL24" s="403"/>
      <c r="AM24" s="403"/>
      <c r="AN24" s="403"/>
      <c r="AO24" s="403"/>
      <c r="AP24" s="403"/>
    </row>
    <row r="25" spans="1:42" s="379" customFormat="1" ht="14.25" customHeight="1">
      <c r="A25" s="403"/>
      <c r="B25" s="403" t="s">
        <v>256</v>
      </c>
      <c r="C25" s="403"/>
      <c r="D25" s="929">
        <f>IFERROR(D95/D91,"")</f>
        <v>0.11114366637366924</v>
      </c>
      <c r="E25" s="929">
        <f t="shared" ref="E25:N25" si="1">IFERROR(E95/E91,"")</f>
        <v>0.19951248677735364</v>
      </c>
      <c r="F25" s="929">
        <f t="shared" si="1"/>
        <v>0.10174269605330599</v>
      </c>
      <c r="G25" s="929">
        <f t="shared" si="1"/>
        <v>9.4965675057208238E-2</v>
      </c>
      <c r="H25" s="929">
        <f t="shared" si="1"/>
        <v>0.15070937806727938</v>
      </c>
      <c r="I25" s="929">
        <f t="shared" si="1"/>
        <v>3.4988540870893814E-2</v>
      </c>
      <c r="J25" s="441">
        <f t="shared" si="1"/>
        <v>0.11901047470470247</v>
      </c>
      <c r="K25" s="441" t="str">
        <f t="shared" si="1"/>
        <v/>
      </c>
      <c r="L25" s="441" t="str">
        <f t="shared" si="1"/>
        <v/>
      </c>
      <c r="M25" s="441" t="str">
        <f t="shared" si="1"/>
        <v/>
      </c>
      <c r="N25" s="441" t="str">
        <f t="shared" si="1"/>
        <v/>
      </c>
      <c r="O25" s="641">
        <f t="shared" ref="O25:O30" si="2">IFERROR(+AVERAGE(D25:N25),"")</f>
        <v>0.11601041684348755</v>
      </c>
      <c r="P25" s="403"/>
      <c r="Q25" s="403"/>
      <c r="R25" s="440"/>
      <c r="S25" s="403"/>
      <c r="T25" s="403"/>
      <c r="U25" s="403"/>
      <c r="V25" s="403"/>
      <c r="W25" s="403"/>
      <c r="X25" s="403"/>
      <c r="Y25" s="403"/>
      <c r="Z25" s="403"/>
      <c r="AA25" s="403"/>
      <c r="AB25" s="403"/>
      <c r="AC25" s="403"/>
      <c r="AD25" s="403"/>
      <c r="AE25" s="403"/>
      <c r="AF25" s="403"/>
      <c r="AG25" s="403"/>
      <c r="AH25" s="403"/>
      <c r="AI25" s="403"/>
      <c r="AJ25" s="403"/>
      <c r="AK25" s="403"/>
      <c r="AL25" s="403"/>
      <c r="AM25" s="403"/>
      <c r="AN25" s="403"/>
      <c r="AO25" s="403"/>
      <c r="AP25" s="403"/>
    </row>
    <row r="26" spans="1:42" s="379" customFormat="1" ht="14.25" customHeight="1">
      <c r="A26" s="403"/>
      <c r="B26" s="403" t="s">
        <v>45</v>
      </c>
      <c r="C26" s="403"/>
      <c r="D26" s="929">
        <f>IFERROR(D99/D91,"")</f>
        <v>0.12471921086043553</v>
      </c>
      <c r="E26" s="929">
        <f t="shared" ref="E26:N26" si="3">IFERROR(E99/E91,"")</f>
        <v>0.1473577703168836</v>
      </c>
      <c r="F26" s="929">
        <f t="shared" si="3"/>
        <v>5.9905176832393645E-2</v>
      </c>
      <c r="G26" s="929">
        <f t="shared" si="3"/>
        <v>1.6018306636155607E-2</v>
      </c>
      <c r="H26" s="929">
        <f t="shared" si="3"/>
        <v>0.11599892924065316</v>
      </c>
      <c r="I26" s="929">
        <f t="shared" si="3"/>
        <v>7.9449961802902976E-3</v>
      </c>
      <c r="J26" s="441">
        <f t="shared" si="3"/>
        <v>2.2955203922442612E-2</v>
      </c>
      <c r="K26" s="441" t="str">
        <f t="shared" si="3"/>
        <v/>
      </c>
      <c r="L26" s="441" t="str">
        <f t="shared" si="3"/>
        <v/>
      </c>
      <c r="M26" s="441" t="str">
        <f t="shared" si="3"/>
        <v/>
      </c>
      <c r="N26" s="441" t="str">
        <f t="shared" si="3"/>
        <v/>
      </c>
      <c r="O26" s="641">
        <f t="shared" si="2"/>
        <v>7.0699941998464924E-2</v>
      </c>
      <c r="P26" s="403"/>
      <c r="Q26" s="403"/>
      <c r="R26" s="440"/>
      <c r="S26" s="403"/>
      <c r="T26" s="403"/>
      <c r="U26" s="403"/>
      <c r="V26" s="403"/>
      <c r="W26" s="403"/>
      <c r="X26" s="403"/>
      <c r="Y26" s="403"/>
      <c r="Z26" s="403"/>
      <c r="AA26" s="403"/>
      <c r="AB26" s="403"/>
      <c r="AC26" s="403"/>
      <c r="AD26" s="403"/>
      <c r="AE26" s="403"/>
      <c r="AF26" s="403"/>
      <c r="AG26" s="403"/>
      <c r="AH26" s="403"/>
      <c r="AI26" s="403"/>
      <c r="AJ26" s="403"/>
      <c r="AK26" s="403"/>
      <c r="AL26" s="403"/>
      <c r="AM26" s="403"/>
      <c r="AN26" s="403"/>
      <c r="AO26" s="403"/>
      <c r="AP26" s="403"/>
    </row>
    <row r="27" spans="1:42" s="379" customFormat="1" ht="14.25" customHeight="1">
      <c r="A27" s="403"/>
      <c r="B27" s="403" t="s">
        <v>257</v>
      </c>
      <c r="C27" s="403"/>
      <c r="D27" s="929">
        <f>IFERROR(D99/D111,"")</f>
        <v>0.11307889843265732</v>
      </c>
      <c r="E27" s="929">
        <f t="shared" ref="E27:N27" si="4">IFERROR(E99/E111,"")</f>
        <v>0.11371178109417422</v>
      </c>
      <c r="F27" s="929">
        <f t="shared" si="4"/>
        <v>4.3133274899663239E-2</v>
      </c>
      <c r="G27" s="929">
        <f t="shared" si="4"/>
        <v>8.1105685674087557E-3</v>
      </c>
      <c r="H27" s="929">
        <f t="shared" si="4"/>
        <v>0.22779043280182232</v>
      </c>
      <c r="I27" s="929">
        <f t="shared" si="4"/>
        <v>6.1443932411674347E-3</v>
      </c>
      <c r="J27" s="441">
        <f t="shared" si="4"/>
        <v>1.7115320704553006E-2</v>
      </c>
      <c r="K27" s="441" t="str">
        <f t="shared" si="4"/>
        <v/>
      </c>
      <c r="L27" s="441" t="str">
        <f t="shared" si="4"/>
        <v/>
      </c>
      <c r="M27" s="441" t="str">
        <f t="shared" si="4"/>
        <v/>
      </c>
      <c r="N27" s="441" t="str">
        <f t="shared" si="4"/>
        <v/>
      </c>
      <c r="O27" s="641">
        <f t="shared" si="2"/>
        <v>7.5583524248778053E-2</v>
      </c>
      <c r="P27" s="403"/>
      <c r="Q27" s="403"/>
      <c r="R27" s="440"/>
      <c r="S27" s="403"/>
      <c r="T27" s="403"/>
      <c r="U27" s="403"/>
      <c r="V27" s="403"/>
      <c r="W27" s="403"/>
      <c r="X27" s="403"/>
      <c r="Y27" s="403"/>
      <c r="Z27" s="403"/>
      <c r="AA27" s="403"/>
      <c r="AB27" s="403"/>
      <c r="AC27" s="403"/>
      <c r="AD27" s="403"/>
      <c r="AE27" s="403"/>
      <c r="AF27" s="403"/>
      <c r="AG27" s="403"/>
      <c r="AH27" s="403"/>
      <c r="AI27" s="403"/>
      <c r="AJ27" s="403"/>
      <c r="AK27" s="403"/>
      <c r="AL27" s="403"/>
      <c r="AM27" s="403"/>
      <c r="AN27" s="403"/>
      <c r="AO27" s="403"/>
      <c r="AP27" s="403"/>
    </row>
    <row r="28" spans="1:42" s="379" customFormat="1" ht="14.25" customHeight="1">
      <c r="A28" s="403"/>
      <c r="B28" s="403" t="s">
        <v>258</v>
      </c>
      <c r="C28" s="403"/>
      <c r="D28" s="929">
        <f>IFERROR(+(D96/D115)*(1-(D98/D97)),"")</f>
        <v>3.2129148577562688E-2</v>
      </c>
      <c r="E28" s="929">
        <f t="shared" ref="E28:N28" si="5">IFERROR(+(E96/E115)*(1-(E98/E97)),"")</f>
        <v>1.9618508979411097E-2</v>
      </c>
      <c r="F28" s="929">
        <f t="shared" si="5"/>
        <v>1.4732027196147456E-2</v>
      </c>
      <c r="G28" s="929">
        <f t="shared" si="5"/>
        <v>3.3718338031554808E-2</v>
      </c>
      <c r="H28" s="929">
        <f>IFERROR(+(H96/H115)*(1-(H98/H97)),"")</f>
        <v>-7.1733438542376533E-3</v>
      </c>
      <c r="I28" s="929">
        <f t="shared" si="5"/>
        <v>-3.2989753412995225E-3</v>
      </c>
      <c r="J28" s="441">
        <f t="shared" si="5"/>
        <v>9.2334375943952367E-3</v>
      </c>
      <c r="K28" s="441" t="str">
        <f t="shared" si="5"/>
        <v/>
      </c>
      <c r="L28" s="441" t="str">
        <f t="shared" si="5"/>
        <v/>
      </c>
      <c r="M28" s="441" t="str">
        <f t="shared" si="5"/>
        <v/>
      </c>
      <c r="N28" s="441" t="str">
        <f t="shared" si="5"/>
        <v/>
      </c>
      <c r="O28" s="641">
        <f t="shared" si="2"/>
        <v>1.41370201690763E-2</v>
      </c>
      <c r="P28" s="403"/>
      <c r="Q28" s="403"/>
      <c r="R28" s="440"/>
      <c r="S28" s="403"/>
      <c r="T28" s="403"/>
      <c r="U28" s="403"/>
      <c r="V28" s="403"/>
      <c r="W28" s="403"/>
      <c r="X28" s="403"/>
      <c r="Y28" s="403"/>
      <c r="Z28" s="403"/>
      <c r="AA28" s="403"/>
      <c r="AB28" s="403"/>
      <c r="AC28" s="403"/>
      <c r="AD28" s="403"/>
      <c r="AE28" s="403"/>
      <c r="AF28" s="403"/>
      <c r="AG28" s="403"/>
      <c r="AH28" s="403"/>
      <c r="AI28" s="403"/>
      <c r="AJ28" s="403"/>
      <c r="AK28" s="403"/>
      <c r="AL28" s="403"/>
      <c r="AM28" s="403"/>
      <c r="AN28" s="403"/>
      <c r="AO28" s="403"/>
      <c r="AP28" s="403"/>
    </row>
    <row r="29" spans="1:42" s="379" customFormat="1" ht="14.25" customHeight="1">
      <c r="A29" s="403"/>
      <c r="B29" s="403" t="s">
        <v>259</v>
      </c>
      <c r="C29" s="403"/>
      <c r="D29" s="929">
        <f>IFERROR(+D99/D116,"")</f>
        <v>0.19872393401805152</v>
      </c>
      <c r="E29" s="929">
        <f>IFERROR(+E99/E116,"")</f>
        <v>0.19337900232368652</v>
      </c>
      <c r="F29" s="929">
        <f t="shared" ref="F29:N29" si="6">IFERROR(+F99/F116,"")</f>
        <v>0.17595031990967255</v>
      </c>
      <c r="G29" s="929">
        <f t="shared" si="6"/>
        <v>2.3069679849340868E-2</v>
      </c>
      <c r="H29" s="929">
        <f t="shared" si="6"/>
        <v>0.57042562527424312</v>
      </c>
      <c r="I29" s="929">
        <f t="shared" si="6"/>
        <v>1.2500000000000001E-2</v>
      </c>
      <c r="J29" s="441">
        <f t="shared" si="6"/>
        <v>4.0551181102362208E-2</v>
      </c>
      <c r="K29" s="441" t="str">
        <f t="shared" si="6"/>
        <v/>
      </c>
      <c r="L29" s="441" t="str">
        <f t="shared" si="6"/>
        <v/>
      </c>
      <c r="M29" s="441" t="str">
        <f t="shared" si="6"/>
        <v/>
      </c>
      <c r="N29" s="441" t="str">
        <f t="shared" si="6"/>
        <v/>
      </c>
      <c r="O29" s="641">
        <f t="shared" si="2"/>
        <v>0.17351424892533668</v>
      </c>
      <c r="P29" s="403"/>
      <c r="Q29" s="403"/>
      <c r="R29" s="440"/>
      <c r="S29" s="403"/>
      <c r="T29" s="403"/>
      <c r="U29" s="403"/>
      <c r="V29" s="403"/>
      <c r="W29" s="403"/>
      <c r="X29" s="403"/>
      <c r="Y29" s="403"/>
      <c r="Z29" s="403"/>
      <c r="AA29" s="403"/>
      <c r="AB29" s="403"/>
      <c r="AC29" s="403"/>
      <c r="AD29" s="403"/>
      <c r="AE29" s="403"/>
      <c r="AF29" s="403"/>
      <c r="AG29" s="403"/>
      <c r="AH29" s="403"/>
      <c r="AI29" s="403"/>
      <c r="AJ29" s="403"/>
      <c r="AK29" s="403"/>
      <c r="AL29" s="403"/>
      <c r="AM29" s="403"/>
      <c r="AN29" s="403"/>
      <c r="AO29" s="403"/>
      <c r="AP29" s="403"/>
    </row>
    <row r="30" spans="1:42" s="379" customFormat="1" ht="14.25" customHeight="1">
      <c r="A30" s="403"/>
      <c r="B30" s="403" t="s">
        <v>260</v>
      </c>
      <c r="C30" s="403"/>
      <c r="D30" s="929">
        <f>IFERROR(+D99/(D115+D116),"")</f>
        <v>0.15331972625765389</v>
      </c>
      <c r="E30" s="929">
        <f>IFERROR(+E99/(E115+E117),"")</f>
        <v>0.75432607416127129</v>
      </c>
      <c r="F30" s="929">
        <f t="shared" ref="F30:N30" si="7">IFERROR(+F99/(F115+F116),"")</f>
        <v>6.1740623349181192E-2</v>
      </c>
      <c r="G30" s="929">
        <f t="shared" si="7"/>
        <v>1.1709881706297049E-2</v>
      </c>
      <c r="H30" s="929">
        <f t="shared" si="7"/>
        <v>0.31026252983293556</v>
      </c>
      <c r="I30" s="929">
        <f t="shared" si="7"/>
        <v>8.0395794681508963E-3</v>
      </c>
      <c r="J30" s="441">
        <f t="shared" si="7"/>
        <v>2.7055424218544784E-2</v>
      </c>
      <c r="K30" s="441" t="str">
        <f t="shared" si="7"/>
        <v/>
      </c>
      <c r="L30" s="441" t="str">
        <f t="shared" si="7"/>
        <v/>
      </c>
      <c r="M30" s="441" t="str">
        <f t="shared" si="7"/>
        <v/>
      </c>
      <c r="N30" s="441" t="str">
        <f t="shared" si="7"/>
        <v/>
      </c>
      <c r="O30" s="641">
        <f t="shared" si="2"/>
        <v>0.1894934055705764</v>
      </c>
      <c r="P30" s="403"/>
      <c r="Q30" s="403"/>
      <c r="R30" s="440"/>
      <c r="S30" s="403"/>
      <c r="T30" s="403"/>
      <c r="U30" s="403"/>
      <c r="V30" s="403"/>
      <c r="W30" s="403"/>
      <c r="X30" s="403"/>
      <c r="Y30" s="403"/>
      <c r="Z30" s="403"/>
      <c r="AA30" s="403"/>
      <c r="AB30" s="403"/>
      <c r="AC30" s="403"/>
      <c r="AD30" s="403"/>
      <c r="AE30" s="403"/>
      <c r="AF30" s="403"/>
      <c r="AG30" s="403"/>
      <c r="AH30" s="403"/>
      <c r="AI30" s="403"/>
      <c r="AJ30" s="403"/>
      <c r="AK30" s="403"/>
      <c r="AL30" s="403"/>
      <c r="AM30" s="403"/>
      <c r="AN30" s="403"/>
      <c r="AO30" s="403"/>
      <c r="AP30" s="403"/>
    </row>
    <row r="31" spans="1:42" s="379" customFormat="1" ht="3.75" customHeight="1">
      <c r="A31" s="403"/>
      <c r="B31" s="403"/>
      <c r="C31" s="403"/>
      <c r="D31" s="920"/>
      <c r="E31" s="920"/>
      <c r="F31" s="920"/>
      <c r="G31" s="920"/>
      <c r="H31" s="920"/>
      <c r="I31" s="920"/>
      <c r="J31" s="403"/>
      <c r="K31" s="403"/>
      <c r="L31" s="403"/>
      <c r="M31" s="403"/>
      <c r="N31" s="403"/>
      <c r="O31" s="437"/>
      <c r="P31" s="403"/>
      <c r="Q31" s="403"/>
      <c r="R31" s="440"/>
      <c r="S31" s="403"/>
      <c r="T31" s="403"/>
      <c r="U31" s="403"/>
      <c r="V31" s="403"/>
      <c r="W31" s="403"/>
      <c r="X31" s="403"/>
      <c r="Y31" s="403"/>
      <c r="Z31" s="403"/>
      <c r="AA31" s="403"/>
      <c r="AB31" s="403"/>
      <c r="AC31" s="403"/>
      <c r="AD31" s="403"/>
      <c r="AE31" s="403"/>
      <c r="AF31" s="403"/>
      <c r="AG31" s="403"/>
      <c r="AH31" s="403"/>
      <c r="AI31" s="403"/>
      <c r="AJ31" s="403"/>
      <c r="AK31" s="403"/>
      <c r="AL31" s="403"/>
      <c r="AM31" s="403"/>
      <c r="AN31" s="403"/>
      <c r="AO31" s="403"/>
      <c r="AP31" s="403"/>
    </row>
    <row r="32" spans="1:42" s="382" customFormat="1" ht="14.25" customHeight="1">
      <c r="A32" s="410"/>
      <c r="B32" s="575" t="s">
        <v>261</v>
      </c>
      <c r="C32" s="576"/>
      <c r="D32" s="928" t="str">
        <f ca="1">+D23</f>
        <v>E.L.F.</v>
      </c>
      <c r="E32" s="928" t="str">
        <f t="shared" ref="E32:O32" si="8">+E23</f>
        <v>L'Oreal</v>
      </c>
      <c r="F32" s="928" t="str">
        <f t="shared" si="8"/>
        <v>Estée Lauder</v>
      </c>
      <c r="G32" s="928" t="str">
        <f t="shared" si="8"/>
        <v>Coty</v>
      </c>
      <c r="H32" s="928" t="str">
        <f t="shared" si="8"/>
        <v>Ulta Beauty</v>
      </c>
      <c r="I32" s="928" t="str">
        <f t="shared" si="8"/>
        <v>Shiseido</v>
      </c>
      <c r="J32" s="389" t="str">
        <f t="shared" ca="1" si="8"/>
        <v>Natura</v>
      </c>
      <c r="K32" s="389">
        <f t="shared" si="8"/>
        <v>0</v>
      </c>
      <c r="L32" s="389" t="e">
        <f t="shared" si="8"/>
        <v>#REF!</v>
      </c>
      <c r="M32" s="389" t="e">
        <f t="shared" si="8"/>
        <v>#REF!</v>
      </c>
      <c r="N32" s="389" t="e">
        <f t="shared" si="8"/>
        <v>#REF!</v>
      </c>
      <c r="O32" s="389" t="str">
        <f t="shared" si="8"/>
        <v>Average</v>
      </c>
      <c r="P32" s="410"/>
      <c r="Q32" s="410"/>
      <c r="R32" s="577"/>
      <c r="S32" s="410"/>
      <c r="T32" s="410"/>
      <c r="U32" s="410"/>
      <c r="V32" s="410"/>
      <c r="W32" s="410"/>
      <c r="X32" s="410"/>
      <c r="Y32" s="410"/>
      <c r="Z32" s="410"/>
      <c r="AA32" s="410"/>
      <c r="AB32" s="410"/>
      <c r="AC32" s="410"/>
      <c r="AD32" s="410"/>
      <c r="AE32" s="410"/>
      <c r="AF32" s="410"/>
      <c r="AG32" s="410"/>
      <c r="AH32" s="410"/>
      <c r="AI32" s="410"/>
      <c r="AJ32" s="410"/>
      <c r="AK32" s="410"/>
      <c r="AL32" s="410"/>
      <c r="AM32" s="410"/>
      <c r="AN32" s="410"/>
      <c r="AO32" s="410"/>
      <c r="AP32" s="410"/>
    </row>
    <row r="33" spans="2:18" s="379" customFormat="1" ht="3.75" customHeight="1">
      <c r="B33" s="428"/>
      <c r="C33" s="428"/>
      <c r="D33" s="914"/>
      <c r="E33" s="914"/>
      <c r="F33" s="914"/>
      <c r="G33" s="914"/>
      <c r="H33" s="914"/>
      <c r="I33" s="914"/>
      <c r="J33" s="428"/>
      <c r="K33" s="428"/>
      <c r="L33" s="428"/>
      <c r="M33" s="428"/>
      <c r="N33" s="428"/>
      <c r="O33" s="439"/>
      <c r="P33" s="403"/>
      <c r="Q33" s="403"/>
      <c r="R33" s="440"/>
    </row>
    <row r="34" spans="2:18" s="379" customFormat="1" ht="14.25" customHeight="1">
      <c r="B34" s="403" t="s">
        <v>262</v>
      </c>
      <c r="C34" s="403"/>
      <c r="D34" s="930">
        <f>IFERROR(D115/D111,"")</f>
        <v>0.16851146728061631</v>
      </c>
      <c r="E34" s="930">
        <f t="shared" ref="E34:N34" si="9">IFERROR(E115/E111,"")</f>
        <v>0.15074618920022004</v>
      </c>
      <c r="F34" s="930">
        <f t="shared" si="9"/>
        <v>0.45347603450661994</v>
      </c>
      <c r="G34" s="930">
        <f t="shared" si="9"/>
        <v>0.34105768434991313</v>
      </c>
      <c r="H34" s="930">
        <f t="shared" si="9"/>
        <v>0.33485193621867881</v>
      </c>
      <c r="I34" s="930">
        <f t="shared" si="9"/>
        <v>0.27271653078104691</v>
      </c>
      <c r="J34" s="442">
        <f t="shared" si="9"/>
        <v>0.21053506148222001</v>
      </c>
      <c r="K34" s="442" t="str">
        <f t="shared" si="9"/>
        <v/>
      </c>
      <c r="L34" s="442" t="str">
        <f t="shared" si="9"/>
        <v/>
      </c>
      <c r="M34" s="442" t="str">
        <f t="shared" si="9"/>
        <v/>
      </c>
      <c r="N34" s="442" t="str">
        <f t="shared" si="9"/>
        <v/>
      </c>
      <c r="O34" s="640">
        <f t="shared" ref="O34:O36" si="10">IFERROR(+AVERAGE(D34:N34),"")</f>
        <v>0.27598498625990214</v>
      </c>
      <c r="P34" s="403"/>
      <c r="Q34" s="403"/>
      <c r="R34" s="440"/>
    </row>
    <row r="35" spans="2:18" s="379" customFormat="1" ht="14.25" customHeight="1">
      <c r="B35" s="403" t="s">
        <v>263</v>
      </c>
      <c r="C35" s="403"/>
      <c r="D35" s="930">
        <f>IFERROR(+(D115-D105)/D94,"")</f>
        <v>0.54843019372077517</v>
      </c>
      <c r="E35" s="930">
        <f t="shared" ref="E35:N35" si="11">IFERROR(+(E115-E105)/E94,"")</f>
        <v>0.46079651524579962</v>
      </c>
      <c r="F35" s="930">
        <f>IFERROR(+(F115-F106)/F94,"")</f>
        <v>2.8223615464994776</v>
      </c>
      <c r="G35" s="930">
        <f t="shared" si="11"/>
        <v>3.6037735849056602</v>
      </c>
      <c r="H35" s="930">
        <f t="shared" si="11"/>
        <v>0.50263620386643237</v>
      </c>
      <c r="I35" s="930">
        <f t="shared" si="11"/>
        <v>2.094650205761317</v>
      </c>
      <c r="J35" s="442">
        <f t="shared" si="11"/>
        <v>0.76223776223776218</v>
      </c>
      <c r="K35" s="442" t="str">
        <f t="shared" si="11"/>
        <v/>
      </c>
      <c r="L35" s="442" t="str">
        <f t="shared" si="11"/>
        <v/>
      </c>
      <c r="M35" s="442" t="str">
        <f t="shared" si="11"/>
        <v/>
      </c>
      <c r="N35" s="442" t="str">
        <f t="shared" si="11"/>
        <v/>
      </c>
      <c r="O35" s="640">
        <f t="shared" si="10"/>
        <v>1.5421265731767462</v>
      </c>
      <c r="P35" s="403"/>
      <c r="Q35" s="403"/>
      <c r="R35" s="440"/>
    </row>
    <row r="36" spans="2:18" s="379" customFormat="1" ht="14.25" customHeight="1">
      <c r="B36" s="403" t="s">
        <v>264</v>
      </c>
      <c r="C36" s="403"/>
      <c r="D36" s="930">
        <f t="shared" ref="D36:N36" si="12">IFERROR(D95/D96,"")</f>
        <v>16.257142857142846</v>
      </c>
      <c r="E36" s="930">
        <f t="shared" si="12"/>
        <v>39.61643835616438</v>
      </c>
      <c r="F36" s="930">
        <f t="shared" si="12"/>
        <v>7.5260663507109005</v>
      </c>
      <c r="G36" s="930">
        <f t="shared" si="12"/>
        <v>2.3055555555555554</v>
      </c>
      <c r="H36" s="930">
        <f>IFERROR(H95/F75,"")</f>
        <v>-84.45</v>
      </c>
      <c r="I36" s="930">
        <f t="shared" si="12"/>
        <v>-10.904761904761905</v>
      </c>
      <c r="J36" s="442">
        <f t="shared" si="12"/>
        <v>11.608695652173912</v>
      </c>
      <c r="K36" s="442" t="str">
        <f t="shared" si="12"/>
        <v/>
      </c>
      <c r="L36" s="442" t="str">
        <f t="shared" si="12"/>
        <v/>
      </c>
      <c r="M36" s="442" t="str">
        <f t="shared" si="12"/>
        <v/>
      </c>
      <c r="N36" s="442" t="str">
        <f t="shared" si="12"/>
        <v/>
      </c>
      <c r="O36" s="640">
        <f t="shared" si="10"/>
        <v>-2.5772661618591877</v>
      </c>
      <c r="P36" s="403"/>
      <c r="Q36" s="403"/>
      <c r="R36" s="440"/>
    </row>
    <row r="37" spans="2:18" s="379" customFormat="1" ht="3.75" customHeight="1">
      <c r="B37" s="403"/>
      <c r="C37" s="403"/>
      <c r="D37" s="920"/>
      <c r="E37" s="920"/>
      <c r="F37" s="920"/>
      <c r="G37" s="920"/>
      <c r="H37" s="920"/>
      <c r="I37" s="920"/>
      <c r="J37" s="403"/>
      <c r="K37" s="403"/>
      <c r="L37" s="403"/>
      <c r="M37" s="403"/>
      <c r="N37" s="403"/>
      <c r="O37" s="437"/>
      <c r="P37" s="403"/>
      <c r="Q37" s="403"/>
      <c r="R37" s="440"/>
    </row>
    <row r="38" spans="2:18" s="382" customFormat="1" ht="14.25" customHeight="1">
      <c r="B38" s="575" t="s">
        <v>265</v>
      </c>
      <c r="C38" s="576"/>
      <c r="D38" s="928" t="str">
        <f ca="1">+D23</f>
        <v>E.L.F.</v>
      </c>
      <c r="E38" s="928" t="str">
        <f t="shared" ref="E38:O38" si="13">+E23</f>
        <v>L'Oreal</v>
      </c>
      <c r="F38" s="928" t="str">
        <f t="shared" si="13"/>
        <v>Estée Lauder</v>
      </c>
      <c r="G38" s="928" t="str">
        <f t="shared" si="13"/>
        <v>Coty</v>
      </c>
      <c r="H38" s="928" t="str">
        <f t="shared" si="13"/>
        <v>Ulta Beauty</v>
      </c>
      <c r="I38" s="928" t="str">
        <f t="shared" si="13"/>
        <v>Shiseido</v>
      </c>
      <c r="J38" s="389" t="str">
        <f t="shared" ca="1" si="13"/>
        <v>Natura</v>
      </c>
      <c r="K38" s="389">
        <f t="shared" si="13"/>
        <v>0</v>
      </c>
      <c r="L38" s="389" t="e">
        <f t="shared" si="13"/>
        <v>#REF!</v>
      </c>
      <c r="M38" s="389" t="e">
        <f t="shared" si="13"/>
        <v>#REF!</v>
      </c>
      <c r="N38" s="389" t="e">
        <f t="shared" si="13"/>
        <v>#REF!</v>
      </c>
      <c r="O38" s="389" t="str">
        <f t="shared" si="13"/>
        <v>Average</v>
      </c>
      <c r="P38" s="410"/>
      <c r="Q38" s="410"/>
      <c r="R38" s="577"/>
    </row>
    <row r="39" spans="2:18" s="379" customFormat="1" ht="3.75" customHeight="1">
      <c r="B39" s="428"/>
      <c r="C39" s="428"/>
      <c r="D39" s="914"/>
      <c r="E39" s="914"/>
      <c r="F39" s="914"/>
      <c r="G39" s="914"/>
      <c r="H39" s="914"/>
      <c r="I39" s="914"/>
      <c r="J39" s="428"/>
      <c r="K39" s="428"/>
      <c r="L39" s="428"/>
      <c r="M39" s="428"/>
      <c r="N39" s="428"/>
      <c r="O39" s="439"/>
      <c r="P39" s="403"/>
      <c r="Q39" s="403"/>
      <c r="R39" s="440"/>
    </row>
    <row r="40" spans="2:18" s="379" customFormat="1" ht="14.25" customHeight="1">
      <c r="B40" s="403" t="s">
        <v>53</v>
      </c>
      <c r="C40" s="403"/>
      <c r="D40" s="930">
        <f>IFERROR(D105/D113,"")</f>
        <v>0.36175192243396853</v>
      </c>
      <c r="E40" s="930">
        <f t="shared" ref="E40:N40" si="14">IFERROR(E105/E113,"")</f>
        <v>0.27685159879748567</v>
      </c>
      <c r="F40" s="930">
        <f>IFERROR(F106/F113,"")</f>
        <v>0.30287618379515957</v>
      </c>
      <c r="G40" s="930">
        <f t="shared" si="14"/>
        <v>0.11568024596464259</v>
      </c>
      <c r="H40" s="930">
        <f t="shared" si="14"/>
        <v>0.46260554885404104</v>
      </c>
      <c r="I40" s="930">
        <f t="shared" si="14"/>
        <v>0.30833004342676668</v>
      </c>
      <c r="J40" s="442">
        <f t="shared" si="14"/>
        <v>0.46371226718047526</v>
      </c>
      <c r="K40" s="442" t="str">
        <f t="shared" si="14"/>
        <v/>
      </c>
      <c r="L40" s="442" t="str">
        <f t="shared" si="14"/>
        <v/>
      </c>
      <c r="M40" s="442" t="str">
        <f t="shared" si="14"/>
        <v/>
      </c>
      <c r="N40" s="442" t="str">
        <f t="shared" si="14"/>
        <v/>
      </c>
      <c r="O40" s="640">
        <f t="shared" ref="O40:O42" si="15">IFERROR(+AVERAGE(D40:N40),"")</f>
        <v>0.32740111577893416</v>
      </c>
      <c r="P40" s="403"/>
      <c r="Q40" s="403"/>
      <c r="R40" s="440"/>
    </row>
    <row r="41" spans="2:18" s="379" customFormat="1" ht="14.25" customHeight="1">
      <c r="B41" s="403" t="s">
        <v>56</v>
      </c>
      <c r="C41" s="403"/>
      <c r="D41" s="930">
        <f>IFERROR(+(D105+D106)/D113,"")</f>
        <v>0.77566031427616178</v>
      </c>
      <c r="E41" s="930">
        <f t="shared" ref="E41:N41" si="16">IFERROR(+(E105+E106)/E113,"")</f>
        <v>0.65953812517081167</v>
      </c>
      <c r="F41" s="930">
        <f>IFERROR(+(F105+F106)/F113,"")</f>
        <v>0.89828130480533142</v>
      </c>
      <c r="G41" s="930">
        <f t="shared" si="16"/>
        <v>0.28554957724827057</v>
      </c>
      <c r="H41" s="930">
        <f t="shared" si="16"/>
        <v>0.58805790108564537</v>
      </c>
      <c r="I41" s="930">
        <f t="shared" si="16"/>
        <v>0.67666798262929329</v>
      </c>
      <c r="J41" s="442">
        <f t="shared" si="16"/>
        <v>1.0134874759152215</v>
      </c>
      <c r="K41" s="442" t="str">
        <f t="shared" si="16"/>
        <v/>
      </c>
      <c r="L41" s="442" t="str">
        <f t="shared" si="16"/>
        <v/>
      </c>
      <c r="M41" s="442" t="str">
        <f t="shared" si="16"/>
        <v/>
      </c>
      <c r="N41" s="442" t="str">
        <f t="shared" si="16"/>
        <v/>
      </c>
      <c r="O41" s="640">
        <f t="shared" si="15"/>
        <v>0.69960609730439072</v>
      </c>
      <c r="P41" s="403"/>
      <c r="Q41" s="403"/>
      <c r="R41" s="440"/>
    </row>
    <row r="42" spans="2:18" s="379" customFormat="1" ht="14.25" customHeight="1">
      <c r="B42" s="403" t="s">
        <v>58</v>
      </c>
      <c r="C42" s="403"/>
      <c r="D42" s="930">
        <f>IFERROR(D109/D113,"")</f>
        <v>1.5951186894015379</v>
      </c>
      <c r="E42" s="930">
        <f t="shared" ref="E42:N42" si="17">IFERROR(E109/E113,"")</f>
        <v>1.1255124350915551</v>
      </c>
      <c r="F42" s="930">
        <f t="shared" si="17"/>
        <v>1.389337074710628</v>
      </c>
      <c r="G42" s="930">
        <f t="shared" si="17"/>
        <v>0.75480399692544198</v>
      </c>
      <c r="H42" s="930">
        <f t="shared" si="17"/>
        <v>1.7110977080820264</v>
      </c>
      <c r="I42" s="930">
        <f t="shared" si="17"/>
        <v>1.1985787603632057</v>
      </c>
      <c r="J42" s="442">
        <f t="shared" si="17"/>
        <v>1.5754656390494541</v>
      </c>
      <c r="K42" s="442" t="str">
        <f t="shared" si="17"/>
        <v/>
      </c>
      <c r="L42" s="442" t="str">
        <f t="shared" si="17"/>
        <v/>
      </c>
      <c r="M42" s="442" t="str">
        <f t="shared" si="17"/>
        <v/>
      </c>
      <c r="N42" s="442" t="str">
        <f t="shared" si="17"/>
        <v/>
      </c>
      <c r="O42" s="640">
        <f t="shared" si="15"/>
        <v>1.3357020433748357</v>
      </c>
      <c r="P42" s="403"/>
      <c r="Q42" s="403"/>
      <c r="R42" s="440"/>
    </row>
    <row r="43" spans="2:18" s="379" customFormat="1" ht="3.75" customHeight="1">
      <c r="B43" s="403"/>
      <c r="C43" s="403"/>
      <c r="D43" s="930"/>
      <c r="E43" s="920"/>
      <c r="F43" s="920"/>
      <c r="G43" s="920"/>
      <c r="H43" s="920"/>
      <c r="I43" s="920"/>
      <c r="J43" s="403"/>
      <c r="K43" s="403"/>
      <c r="L43" s="403"/>
      <c r="M43" s="403"/>
      <c r="N43" s="403"/>
      <c r="O43" s="437"/>
      <c r="P43" s="403"/>
      <c r="Q43" s="403"/>
      <c r="R43" s="440"/>
    </row>
    <row r="44" spans="2:18" s="382" customFormat="1" ht="14.25" customHeight="1">
      <c r="B44" s="575" t="s">
        <v>266</v>
      </c>
      <c r="C44" s="576"/>
      <c r="D44" s="928" t="str">
        <f ca="1">+D23</f>
        <v>E.L.F.</v>
      </c>
      <c r="E44" s="928" t="str">
        <f t="shared" ref="E44:O44" si="18">+E23</f>
        <v>L'Oreal</v>
      </c>
      <c r="F44" s="928" t="str">
        <f t="shared" si="18"/>
        <v>Estée Lauder</v>
      </c>
      <c r="G44" s="928" t="str">
        <f t="shared" si="18"/>
        <v>Coty</v>
      </c>
      <c r="H44" s="928" t="str">
        <f t="shared" si="18"/>
        <v>Ulta Beauty</v>
      </c>
      <c r="I44" s="928" t="str">
        <f t="shared" si="18"/>
        <v>Shiseido</v>
      </c>
      <c r="J44" s="389" t="str">
        <f t="shared" ca="1" si="18"/>
        <v>Natura</v>
      </c>
      <c r="K44" s="389">
        <f t="shared" si="18"/>
        <v>0</v>
      </c>
      <c r="L44" s="389" t="e">
        <f t="shared" si="18"/>
        <v>#REF!</v>
      </c>
      <c r="M44" s="389" t="e">
        <f t="shared" si="18"/>
        <v>#REF!</v>
      </c>
      <c r="N44" s="389" t="e">
        <f t="shared" si="18"/>
        <v>#REF!</v>
      </c>
      <c r="O44" s="389" t="str">
        <f t="shared" si="18"/>
        <v>Average</v>
      </c>
      <c r="P44" s="410"/>
      <c r="Q44" s="410"/>
      <c r="R44" s="577"/>
    </row>
    <row r="45" spans="2:18" s="379" customFormat="1" ht="3.75" customHeight="1">
      <c r="B45" s="428"/>
      <c r="C45" s="428"/>
      <c r="D45" s="914"/>
      <c r="E45" s="914"/>
      <c r="F45" s="914"/>
      <c r="G45" s="914"/>
      <c r="H45" s="914"/>
      <c r="I45" s="914"/>
      <c r="J45" s="428"/>
      <c r="K45" s="428"/>
      <c r="L45" s="428"/>
      <c r="M45" s="428"/>
      <c r="N45" s="428"/>
      <c r="O45" s="439"/>
      <c r="P45" s="403"/>
      <c r="Q45" s="403"/>
      <c r="R45" s="440"/>
    </row>
    <row r="46" spans="2:18" s="379" customFormat="1" ht="14.25" customHeight="1">
      <c r="B46" s="403" t="s">
        <v>267</v>
      </c>
      <c r="C46" s="403"/>
      <c r="D46" s="931">
        <f>IFERROR(D92/(AVERAGE(D107:D108)),"")</f>
        <v>2.1979472140762462</v>
      </c>
      <c r="E46" s="931">
        <f t="shared" ref="E46:N46" si="19">IFERROR(E92/(AVERAGE(E107:E108)),"")</f>
        <v>2.4642230026338892</v>
      </c>
      <c r="F46" s="931">
        <f t="shared" si="19"/>
        <v>1.7163368257663951</v>
      </c>
      <c r="G46" s="931">
        <f t="shared" si="19"/>
        <v>2.6493506493506493</v>
      </c>
      <c r="H46" s="931">
        <f t="shared" si="19"/>
        <v>4.0813153961136024</v>
      </c>
      <c r="I46" s="931">
        <f t="shared" si="19"/>
        <v>1.5055208833413347</v>
      </c>
      <c r="J46" s="693">
        <f t="shared" si="19"/>
        <v>2.6373626373626373</v>
      </c>
      <c r="K46" s="693" t="str">
        <f t="shared" si="19"/>
        <v/>
      </c>
      <c r="L46" s="693" t="str">
        <f t="shared" si="19"/>
        <v/>
      </c>
      <c r="M46" s="693" t="str">
        <f t="shared" si="19"/>
        <v/>
      </c>
      <c r="N46" s="693" t="str">
        <f t="shared" si="19"/>
        <v/>
      </c>
      <c r="O46" s="640">
        <f t="shared" ref="O46:O51" si="20">IFERROR(+AVERAGE(D46:N46),"")</f>
        <v>2.4645795155206791</v>
      </c>
      <c r="P46" s="403"/>
      <c r="Q46" s="403"/>
      <c r="R46" s="440"/>
    </row>
    <row r="47" spans="2:18" s="379" customFormat="1" ht="14.25" customHeight="1">
      <c r="B47" s="403" t="s">
        <v>268</v>
      </c>
      <c r="C47" s="403"/>
      <c r="D47" s="931">
        <f>IFERROR(D91/D106,"")</f>
        <v>8.2705977382875613</v>
      </c>
      <c r="E47" s="931">
        <f t="shared" ref="E47:N47" si="21">IFERROR(E91/E106,"")</f>
        <v>7.7639707195143721</v>
      </c>
      <c r="F47" s="931">
        <f>IFERROR(F91/F106,"")</f>
        <v>9.037637521713954</v>
      </c>
      <c r="G47" s="931">
        <f t="shared" si="21"/>
        <v>13.841628959276019</v>
      </c>
      <c r="H47" s="931">
        <f t="shared" si="21"/>
        <v>53.879807692307693</v>
      </c>
      <c r="I47" s="931">
        <f t="shared" si="21"/>
        <v>7.015005359056806</v>
      </c>
      <c r="J47" s="693">
        <f t="shared" si="21"/>
        <v>5.2418224299065423</v>
      </c>
      <c r="K47" s="693" t="str">
        <f t="shared" si="21"/>
        <v/>
      </c>
      <c r="L47" s="693" t="str">
        <f t="shared" si="21"/>
        <v/>
      </c>
      <c r="M47" s="693" t="str">
        <f t="shared" si="21"/>
        <v/>
      </c>
      <c r="N47" s="693" t="str">
        <f t="shared" si="21"/>
        <v/>
      </c>
      <c r="O47" s="640">
        <f t="shared" si="20"/>
        <v>15.007210060008992</v>
      </c>
      <c r="P47" s="403"/>
      <c r="Q47" s="403"/>
      <c r="R47" s="440"/>
    </row>
    <row r="48" spans="2:18" s="379" customFormat="1" ht="14.25" customHeight="1">
      <c r="B48" s="403" t="s">
        <v>269</v>
      </c>
      <c r="C48" s="403"/>
      <c r="D48" s="931">
        <f>IFERROR(D92/D112,"")</f>
        <v>3.6966707768187428</v>
      </c>
      <c r="E48" s="931">
        <f t="shared" ref="E48:N48" si="22">IFERROR(E92/E112,"")</f>
        <v>1.7357761286332716</v>
      </c>
      <c r="F48" s="931">
        <f t="shared" si="22"/>
        <v>0.94629867351305097</v>
      </c>
      <c r="G48" s="931">
        <f t="shared" si="22"/>
        <v>0.90839694656488545</v>
      </c>
      <c r="H48" s="931">
        <f t="shared" si="22"/>
        <v>7.2771855010660982</v>
      </c>
      <c r="I48" s="931">
        <f t="shared" si="22"/>
        <v>1.1304974765681326</v>
      </c>
      <c r="J48" s="693">
        <f t="shared" si="22"/>
        <v>1.1633109619686801</v>
      </c>
      <c r="K48" s="693" t="str">
        <f t="shared" si="22"/>
        <v/>
      </c>
      <c r="L48" s="693" t="str">
        <f t="shared" si="22"/>
        <v/>
      </c>
      <c r="M48" s="693" t="str">
        <f t="shared" si="22"/>
        <v/>
      </c>
      <c r="N48" s="693" t="str">
        <f t="shared" si="22"/>
        <v/>
      </c>
      <c r="O48" s="640">
        <f t="shared" si="20"/>
        <v>2.4083052093046944</v>
      </c>
      <c r="P48" s="403"/>
      <c r="Q48" s="403"/>
      <c r="R48" s="440"/>
    </row>
    <row r="49" spans="1:52" s="379" customFormat="1" ht="14.25" customHeight="1">
      <c r="A49" s="403"/>
      <c r="B49" s="403" t="s">
        <v>270</v>
      </c>
      <c r="C49" s="403"/>
      <c r="D49" s="930">
        <f>IFERROR(D91/D110,"")</f>
        <v>24.731884057971016</v>
      </c>
      <c r="E49" s="930">
        <f t="shared" ref="E49:N49" si="23">IFERROR(E91/E110,"")</f>
        <v>7.2901927912824815</v>
      </c>
      <c r="F49" s="930">
        <f t="shared" si="23"/>
        <v>3.1410746629100421</v>
      </c>
      <c r="G49" s="930">
        <f t="shared" si="23"/>
        <v>6.2813141683778237</v>
      </c>
      <c r="H49" s="930">
        <f t="shared" si="23"/>
        <v>4.0649256438157417</v>
      </c>
      <c r="I49" s="930">
        <f t="shared" si="23"/>
        <v>2.5798186834844303</v>
      </c>
      <c r="J49" s="442">
        <f t="shared" si="23"/>
        <v>6.1047619047619044</v>
      </c>
      <c r="K49" s="442" t="str">
        <f t="shared" si="23"/>
        <v/>
      </c>
      <c r="L49" s="442" t="str">
        <f t="shared" si="23"/>
        <v/>
      </c>
      <c r="M49" s="442" t="str">
        <f t="shared" si="23"/>
        <v/>
      </c>
      <c r="N49" s="442" t="str">
        <f t="shared" si="23"/>
        <v/>
      </c>
      <c r="O49" s="640">
        <f t="shared" si="20"/>
        <v>7.7419959875147777</v>
      </c>
      <c r="P49" s="403"/>
      <c r="Q49" s="403"/>
      <c r="R49" s="440"/>
      <c r="S49" s="403"/>
      <c r="T49" s="403"/>
      <c r="U49" s="403"/>
      <c r="V49" s="403"/>
      <c r="W49" s="403"/>
      <c r="X49" s="403"/>
      <c r="Y49" s="403"/>
      <c r="Z49" s="403"/>
      <c r="AA49" s="403"/>
      <c r="AB49" s="403"/>
      <c r="AC49" s="403"/>
      <c r="AD49" s="403"/>
      <c r="AE49" s="403"/>
      <c r="AF49" s="403"/>
      <c r="AG49" s="403"/>
      <c r="AH49" s="403"/>
      <c r="AI49" s="403"/>
      <c r="AJ49" s="403"/>
      <c r="AK49" s="403"/>
      <c r="AL49" s="403"/>
      <c r="AM49" s="403"/>
      <c r="AN49" s="403"/>
      <c r="AO49" s="403"/>
      <c r="AP49" s="403"/>
      <c r="AQ49" s="403"/>
      <c r="AR49" s="403"/>
      <c r="AS49" s="403"/>
      <c r="AT49" s="403"/>
      <c r="AU49" s="403"/>
      <c r="AV49" s="403"/>
      <c r="AW49" s="403"/>
      <c r="AX49" s="403"/>
      <c r="AY49" s="403"/>
      <c r="AZ49" s="403"/>
    </row>
    <row r="50" spans="1:52" s="379" customFormat="1" ht="14.25" customHeight="1">
      <c r="A50" s="403"/>
      <c r="B50" s="403" t="s">
        <v>271</v>
      </c>
      <c r="C50" s="403"/>
      <c r="D50" s="930">
        <f>IFERROR(D91/D111,"")</f>
        <v>0.90666784733905947</v>
      </c>
      <c r="E50" s="930">
        <f t="shared" ref="E50:N50" si="24">IFERROR(E91/E111,"")</f>
        <v>0.77167142831792446</v>
      </c>
      <c r="F50" s="930">
        <f t="shared" si="24"/>
        <v>0.72002583383309493</v>
      </c>
      <c r="G50" s="930">
        <f t="shared" si="24"/>
        <v>0.50633120913680374</v>
      </c>
      <c r="H50" s="930">
        <f t="shared" si="24"/>
        <v>1.963728754161556</v>
      </c>
      <c r="I50" s="930">
        <f t="shared" si="24"/>
        <v>0.77336641852770882</v>
      </c>
      <c r="J50" s="442">
        <f t="shared" si="24"/>
        <v>0.74559654370222661</v>
      </c>
      <c r="K50" s="442" t="str">
        <f t="shared" si="24"/>
        <v/>
      </c>
      <c r="L50" s="442" t="str">
        <f t="shared" si="24"/>
        <v/>
      </c>
      <c r="M50" s="442" t="str">
        <f t="shared" si="24"/>
        <v/>
      </c>
      <c r="N50" s="442" t="str">
        <f t="shared" si="24"/>
        <v/>
      </c>
      <c r="O50" s="640">
        <f t="shared" si="20"/>
        <v>0.91248400500262483</v>
      </c>
      <c r="P50" s="403"/>
      <c r="Q50" s="403"/>
      <c r="R50" s="440"/>
      <c r="S50" s="403"/>
      <c r="T50" s="403"/>
      <c r="U50" s="403"/>
      <c r="V50" s="403"/>
      <c r="W50" s="403"/>
      <c r="X50" s="403"/>
      <c r="Y50" s="403"/>
      <c r="Z50" s="403"/>
      <c r="AA50" s="403"/>
      <c r="AB50" s="403"/>
      <c r="AC50" s="403"/>
      <c r="AD50" s="403"/>
      <c r="AE50" s="403"/>
      <c r="AF50" s="403"/>
      <c r="AG50" s="403"/>
      <c r="AH50" s="403"/>
      <c r="AI50" s="403"/>
      <c r="AJ50" s="403"/>
      <c r="AK50" s="403"/>
      <c r="AL50" s="403"/>
      <c r="AM50" s="403"/>
      <c r="AN50" s="403"/>
      <c r="AO50" s="403"/>
      <c r="AP50" s="403"/>
      <c r="AQ50" s="403"/>
      <c r="AR50" s="403"/>
      <c r="AS50" s="403"/>
      <c r="AT50" s="403"/>
      <c r="AU50" s="403"/>
      <c r="AV50" s="403"/>
      <c r="AW50" s="403"/>
      <c r="AX50" s="403"/>
      <c r="AY50" s="403"/>
      <c r="AZ50" s="403"/>
    </row>
    <row r="51" spans="1:52" s="379" customFormat="1" ht="14.25" customHeight="1">
      <c r="A51" s="403"/>
      <c r="B51" s="403" t="s">
        <v>272</v>
      </c>
      <c r="C51" s="403"/>
      <c r="D51" s="932">
        <f>IFERROR(365/D46+365/D47-365/D48,"")</f>
        <v>111.45879051053409</v>
      </c>
      <c r="E51" s="932">
        <f t="shared" ref="E51:N51" si="25">IFERROR(365/E46+365/E47-365/E48,"")</f>
        <v>-15.148835347960016</v>
      </c>
      <c r="F51" s="932">
        <f t="shared" si="25"/>
        <v>-132.66443585398213</v>
      </c>
      <c r="G51" s="932">
        <f t="shared" si="25"/>
        <v>-237.66738617643853</v>
      </c>
      <c r="H51" s="932">
        <f t="shared" si="25"/>
        <v>46.049535240874199</v>
      </c>
      <c r="I51" s="932">
        <f t="shared" si="25"/>
        <v>-28.394379911055353</v>
      </c>
      <c r="J51" s="694">
        <f t="shared" si="25"/>
        <v>-105.7315110461561</v>
      </c>
      <c r="K51" s="694" t="str">
        <f t="shared" si="25"/>
        <v/>
      </c>
      <c r="L51" s="694" t="str">
        <f t="shared" si="25"/>
        <v/>
      </c>
      <c r="M51" s="694" t="str">
        <f t="shared" si="25"/>
        <v/>
      </c>
      <c r="N51" s="694" t="str">
        <f t="shared" si="25"/>
        <v/>
      </c>
      <c r="O51" s="640">
        <f t="shared" si="20"/>
        <v>-51.728317512026265</v>
      </c>
      <c r="P51" s="403"/>
      <c r="Q51" s="403"/>
      <c r="R51" s="440"/>
      <c r="S51" s="403"/>
      <c r="T51" s="403"/>
      <c r="U51" s="403"/>
      <c r="V51" s="403"/>
      <c r="W51" s="403"/>
      <c r="X51" s="403"/>
      <c r="Y51" s="403"/>
      <c r="Z51" s="403"/>
      <c r="AA51" s="403"/>
      <c r="AB51" s="403"/>
      <c r="AC51" s="403"/>
      <c r="AD51" s="403"/>
      <c r="AE51" s="403"/>
      <c r="AF51" s="403"/>
      <c r="AG51" s="403"/>
      <c r="AH51" s="403"/>
      <c r="AI51" s="403"/>
      <c r="AJ51" s="403"/>
      <c r="AK51" s="403"/>
      <c r="AL51" s="403"/>
      <c r="AM51" s="403"/>
      <c r="AN51" s="403"/>
      <c r="AO51" s="403"/>
      <c r="AP51" s="403"/>
      <c r="AQ51" s="403"/>
      <c r="AR51" s="403"/>
      <c r="AS51" s="403"/>
      <c r="AT51" s="403"/>
      <c r="AU51" s="403"/>
      <c r="AV51" s="403"/>
      <c r="AW51" s="403"/>
      <c r="AX51" s="403"/>
      <c r="AY51" s="403"/>
      <c r="AZ51" s="403"/>
    </row>
    <row r="52" spans="1:52" s="379" customFormat="1" ht="3.95" customHeight="1">
      <c r="A52" s="403"/>
      <c r="B52" s="403"/>
      <c r="C52" s="403"/>
      <c r="D52" s="933"/>
      <c r="E52" s="933"/>
      <c r="F52" s="933"/>
      <c r="G52" s="933"/>
      <c r="H52" s="933"/>
      <c r="I52" s="933"/>
      <c r="J52" s="640"/>
      <c r="K52" s="640"/>
      <c r="L52" s="640"/>
      <c r="M52" s="640"/>
      <c r="N52" s="640"/>
      <c r="O52" s="640"/>
      <c r="P52" s="403"/>
      <c r="Q52" s="403"/>
      <c r="R52" s="440"/>
      <c r="S52" s="403"/>
      <c r="T52" s="403"/>
      <c r="U52" s="403"/>
      <c r="V52" s="403"/>
      <c r="W52" s="403"/>
      <c r="X52" s="403"/>
      <c r="Y52" s="403"/>
      <c r="Z52" s="403"/>
      <c r="AA52" s="403"/>
      <c r="AB52" s="403"/>
      <c r="AC52" s="403"/>
      <c r="AD52" s="403"/>
      <c r="AE52" s="403"/>
      <c r="AF52" s="403"/>
      <c r="AG52" s="403"/>
      <c r="AH52" s="403"/>
      <c r="AI52" s="403"/>
      <c r="AJ52" s="403"/>
      <c r="AK52" s="403"/>
      <c r="AL52" s="403"/>
      <c r="AM52" s="403"/>
      <c r="AN52" s="403"/>
      <c r="AO52" s="403"/>
      <c r="AP52" s="403"/>
      <c r="AQ52" s="403"/>
      <c r="AR52" s="403"/>
      <c r="AS52" s="403"/>
      <c r="AT52" s="403"/>
      <c r="AU52" s="403"/>
      <c r="AV52" s="403"/>
      <c r="AW52" s="403"/>
      <c r="AX52" s="403"/>
      <c r="AY52" s="403"/>
      <c r="AZ52" s="403"/>
    </row>
    <row r="53" spans="1:52" s="379" customFormat="1" ht="14.25" customHeight="1">
      <c r="A53" s="403"/>
      <c r="B53" s="575" t="s">
        <v>273</v>
      </c>
      <c r="C53" s="576"/>
      <c r="D53" s="928" t="str">
        <f ca="1">+D32</f>
        <v>E.L.F.</v>
      </c>
      <c r="E53" s="928" t="str">
        <f t="shared" ref="E53:O53" si="26">+E32</f>
        <v>L'Oreal</v>
      </c>
      <c r="F53" s="928" t="str">
        <f t="shared" si="26"/>
        <v>Estée Lauder</v>
      </c>
      <c r="G53" s="928" t="str">
        <f t="shared" si="26"/>
        <v>Coty</v>
      </c>
      <c r="H53" s="928" t="str">
        <f t="shared" si="26"/>
        <v>Ulta Beauty</v>
      </c>
      <c r="I53" s="928" t="str">
        <f t="shared" si="26"/>
        <v>Shiseido</v>
      </c>
      <c r="J53" s="389" t="str">
        <f t="shared" ca="1" si="26"/>
        <v>Natura</v>
      </c>
      <c r="K53" s="389">
        <f t="shared" si="26"/>
        <v>0</v>
      </c>
      <c r="L53" s="389" t="e">
        <f t="shared" si="26"/>
        <v>#REF!</v>
      </c>
      <c r="M53" s="389" t="e">
        <f t="shared" si="26"/>
        <v>#REF!</v>
      </c>
      <c r="N53" s="389" t="e">
        <f t="shared" si="26"/>
        <v>#REF!</v>
      </c>
      <c r="O53" s="389" t="str">
        <f t="shared" si="26"/>
        <v>Average</v>
      </c>
      <c r="P53" s="403"/>
      <c r="Q53" s="403"/>
      <c r="R53" s="440"/>
      <c r="S53" s="403"/>
      <c r="T53" s="403"/>
      <c r="U53" s="403"/>
      <c r="V53" s="403"/>
      <c r="W53" s="403"/>
      <c r="X53" s="403"/>
      <c r="Y53" s="403"/>
      <c r="Z53" s="403"/>
      <c r="AA53" s="403"/>
      <c r="AB53" s="403"/>
      <c r="AC53" s="403"/>
      <c r="AD53" s="403"/>
      <c r="AE53" s="403"/>
      <c r="AF53" s="403"/>
      <c r="AG53" s="403"/>
      <c r="AH53" s="403"/>
      <c r="AI53" s="403"/>
      <c r="AJ53" s="403"/>
      <c r="AK53" s="403"/>
      <c r="AL53" s="403"/>
      <c r="AM53" s="403"/>
      <c r="AN53" s="403"/>
      <c r="AO53" s="403"/>
      <c r="AP53" s="403"/>
      <c r="AQ53" s="403"/>
      <c r="AR53" s="403"/>
      <c r="AS53" s="403"/>
      <c r="AT53" s="403"/>
      <c r="AU53" s="403"/>
      <c r="AV53" s="403"/>
      <c r="AW53" s="403"/>
      <c r="AX53" s="403"/>
      <c r="AY53" s="403"/>
      <c r="AZ53" s="403"/>
    </row>
    <row r="54" spans="1:52" s="379" customFormat="1" ht="3.95" customHeight="1">
      <c r="A54" s="403"/>
      <c r="B54" s="428"/>
      <c r="C54" s="428"/>
      <c r="D54" s="914"/>
      <c r="E54" s="914"/>
      <c r="F54" s="914"/>
      <c r="G54" s="914"/>
      <c r="H54" s="914"/>
      <c r="I54" s="914"/>
      <c r="J54" s="428"/>
      <c r="K54" s="428"/>
      <c r="L54" s="428"/>
      <c r="M54" s="428"/>
      <c r="N54" s="428"/>
      <c r="O54" s="439"/>
      <c r="P54" s="403"/>
      <c r="Q54" s="403"/>
      <c r="R54" s="440"/>
      <c r="S54" s="403"/>
      <c r="T54" s="403"/>
      <c r="U54" s="403"/>
      <c r="V54" s="403"/>
      <c r="W54" s="403"/>
      <c r="X54" s="403"/>
      <c r="Y54" s="403"/>
      <c r="Z54" s="403"/>
      <c r="AA54" s="403"/>
      <c r="AB54" s="403"/>
      <c r="AC54" s="403"/>
      <c r="AD54" s="403"/>
      <c r="AE54" s="403"/>
      <c r="AF54" s="403"/>
      <c r="AG54" s="403"/>
      <c r="AH54" s="403"/>
      <c r="AI54" s="403"/>
      <c r="AJ54" s="403"/>
      <c r="AK54" s="403"/>
      <c r="AL54" s="403"/>
      <c r="AM54" s="403"/>
      <c r="AN54" s="403"/>
      <c r="AO54" s="403"/>
      <c r="AP54" s="403"/>
      <c r="AQ54" s="403"/>
      <c r="AR54" s="403"/>
      <c r="AS54" s="403"/>
      <c r="AT54" s="403"/>
      <c r="AU54" s="403"/>
      <c r="AV54" s="403"/>
      <c r="AW54" s="403"/>
      <c r="AX54" s="403"/>
      <c r="AY54" s="403"/>
      <c r="AZ54" s="403"/>
    </row>
    <row r="55" spans="1:52" s="379" customFormat="1" ht="14.25" customHeight="1">
      <c r="A55" s="403"/>
      <c r="B55" s="403" t="s">
        <v>274</v>
      </c>
      <c r="C55" s="403"/>
      <c r="D55" s="934">
        <f>IFERROR(D126/D91,"")</f>
        <v>-1.2305889246996778E-2</v>
      </c>
      <c r="E55" s="934">
        <f t="shared" ref="E55:N55" si="27">IFERROR(E126/E91,"")</f>
        <v>5.4040380812215424E-3</v>
      </c>
      <c r="F55" s="934">
        <f t="shared" si="27"/>
        <v>-4.0620194771911838E-2</v>
      </c>
      <c r="G55" s="934">
        <f t="shared" si="27"/>
        <v>6.0477280156914026E-3</v>
      </c>
      <c r="H55" s="934">
        <f t="shared" si="27"/>
        <v>2.5876684215222628E-3</v>
      </c>
      <c r="I55" s="934">
        <f t="shared" si="27"/>
        <v>-6.2643239113827345E-3</v>
      </c>
      <c r="J55" s="641">
        <f t="shared" si="27"/>
        <v>-4.6133273902384669E-2</v>
      </c>
      <c r="K55" s="641" t="str">
        <f t="shared" si="27"/>
        <v/>
      </c>
      <c r="L55" s="641" t="str">
        <f t="shared" si="27"/>
        <v/>
      </c>
      <c r="M55" s="641" t="str">
        <f t="shared" si="27"/>
        <v/>
      </c>
      <c r="N55" s="641" t="str">
        <f t="shared" si="27"/>
        <v/>
      </c>
      <c r="O55" s="641">
        <f>IFERROR(+AVERAGE(D55:N55),"")</f>
        <v>-1.3040606759177259E-2</v>
      </c>
      <c r="P55" s="403"/>
      <c r="Q55" s="403"/>
      <c r="R55" s="440"/>
      <c r="S55" s="403"/>
      <c r="T55" s="403"/>
      <c r="U55" s="403"/>
      <c r="V55" s="403"/>
      <c r="W55" s="403"/>
      <c r="X55" s="403"/>
      <c r="Y55" s="403"/>
      <c r="Z55" s="403"/>
      <c r="AA55" s="403"/>
      <c r="AB55" s="403"/>
      <c r="AC55" s="403"/>
      <c r="AD55" s="403"/>
      <c r="AE55" s="403"/>
      <c r="AF55" s="403"/>
      <c r="AG55" s="403"/>
      <c r="AH55" s="403"/>
      <c r="AI55" s="403"/>
      <c r="AJ55" s="403"/>
      <c r="AK55" s="403"/>
      <c r="AL55" s="403"/>
      <c r="AM55" s="403"/>
      <c r="AN55" s="403"/>
      <c r="AO55" s="403"/>
      <c r="AP55" s="403"/>
      <c r="AQ55" s="403"/>
      <c r="AR55" s="403"/>
      <c r="AS55" s="403"/>
      <c r="AT55" s="403"/>
      <c r="AU55" s="403"/>
      <c r="AV55" s="403"/>
      <c r="AW55" s="403"/>
      <c r="AX55" s="403"/>
      <c r="AY55" s="403"/>
      <c r="AZ55" s="403"/>
    </row>
    <row r="56" spans="1:52" s="379" customFormat="1" ht="14.25" customHeight="1">
      <c r="A56" s="403"/>
      <c r="B56" s="403" t="s">
        <v>275</v>
      </c>
      <c r="C56" s="403"/>
      <c r="D56" s="934">
        <f>IFERROR(D126/D90,"")</f>
        <v>-0.20487804878048793</v>
      </c>
      <c r="E56" s="934">
        <f t="shared" ref="E56:N56" si="28">IFERROR(E126/E90,"")</f>
        <v>3.8001293661060802E-2</v>
      </c>
      <c r="F56" s="934">
        <f t="shared" si="28"/>
        <v>-0.50801282051282048</v>
      </c>
      <c r="G56" s="934">
        <f t="shared" si="28"/>
        <v>0.19170984455958548</v>
      </c>
      <c r="H56" s="934">
        <f t="shared" si="28"/>
        <v>2.3237179487179488E-2</v>
      </c>
      <c r="I56" s="934">
        <f t="shared" si="28"/>
        <v>-0.20398009950248755</v>
      </c>
      <c r="J56" s="641">
        <f t="shared" si="28"/>
        <v>-0.92</v>
      </c>
      <c r="K56" s="641" t="str">
        <f t="shared" si="28"/>
        <v/>
      </c>
      <c r="L56" s="641" t="str">
        <f t="shared" si="28"/>
        <v/>
      </c>
      <c r="M56" s="641" t="str">
        <f t="shared" si="28"/>
        <v/>
      </c>
      <c r="N56" s="641" t="str">
        <f t="shared" si="28"/>
        <v/>
      </c>
      <c r="O56" s="641">
        <f t="shared" ref="O56:O62" si="29">IFERROR(+AVERAGE(D56:N56),"")</f>
        <v>-0.22627466444113858</v>
      </c>
      <c r="P56" s="403"/>
      <c r="Q56" s="403"/>
      <c r="R56" s="440"/>
      <c r="S56" s="403"/>
      <c r="T56" s="403"/>
      <c r="U56" s="403"/>
      <c r="V56" s="403"/>
      <c r="W56" s="403"/>
      <c r="X56" s="403"/>
      <c r="Y56" s="403"/>
      <c r="Z56" s="403"/>
      <c r="AA56" s="403"/>
      <c r="AB56" s="403"/>
      <c r="AC56" s="403"/>
      <c r="AD56" s="403"/>
      <c r="AE56" s="403"/>
      <c r="AF56" s="403"/>
      <c r="AG56" s="403"/>
      <c r="AH56" s="403"/>
      <c r="AI56" s="403"/>
      <c r="AJ56" s="403"/>
      <c r="AK56" s="403"/>
      <c r="AL56" s="403"/>
      <c r="AM56" s="403"/>
      <c r="AN56" s="403"/>
      <c r="AO56" s="403"/>
      <c r="AP56" s="403"/>
      <c r="AQ56" s="403"/>
      <c r="AR56" s="403"/>
      <c r="AS56" s="403"/>
      <c r="AT56" s="403"/>
      <c r="AU56" s="403"/>
      <c r="AV56" s="403"/>
      <c r="AW56" s="403"/>
      <c r="AX56" s="403"/>
      <c r="AY56" s="403"/>
      <c r="AZ56" s="403"/>
    </row>
    <row r="57" spans="1:52" s="379" customFormat="1" ht="14.25" customHeight="1">
      <c r="A57" s="403"/>
      <c r="B57" s="403" t="s">
        <v>276</v>
      </c>
      <c r="C57" s="403"/>
      <c r="D57" s="934">
        <f>+IFERROR(D120/D99,"")</f>
        <v>0.55755677368833234</v>
      </c>
      <c r="E57" s="934">
        <f>+IFERROR(E120/E99,"")</f>
        <v>1.2930711610486891</v>
      </c>
      <c r="F57" s="934">
        <f t="shared" ref="F57:N57" si="30">+IFERROR(F120/F99,"")</f>
        <v>2.5240641711229945</v>
      </c>
      <c r="G57" s="934">
        <f>+IFERROR(G121/G99,"")</f>
        <v>-2.306122448979592</v>
      </c>
      <c r="H57" s="934">
        <f>+IFERROR(H120/H99,"")</f>
        <v>1.1353846153846154</v>
      </c>
      <c r="I57" s="934">
        <f t="shared" si="30"/>
        <v>6.1538461538461542</v>
      </c>
      <c r="J57" s="641">
        <f t="shared" si="30"/>
        <v>-4.6213592233009706</v>
      </c>
      <c r="K57" s="641" t="str">
        <f t="shared" si="30"/>
        <v/>
      </c>
      <c r="L57" s="641" t="str">
        <f t="shared" si="30"/>
        <v/>
      </c>
      <c r="M57" s="641" t="str">
        <f t="shared" si="30"/>
        <v/>
      </c>
      <c r="N57" s="641" t="str">
        <f t="shared" si="30"/>
        <v/>
      </c>
      <c r="O57" s="641">
        <f t="shared" si="29"/>
        <v>0.67663445754431761</v>
      </c>
      <c r="P57" s="403"/>
      <c r="Q57" s="403"/>
      <c r="R57" s="440"/>
      <c r="S57" s="403"/>
      <c r="T57" s="403"/>
      <c r="U57" s="403"/>
      <c r="V57" s="403"/>
      <c r="W57" s="403"/>
      <c r="X57" s="403"/>
      <c r="Y57" s="403"/>
      <c r="Z57" s="403"/>
      <c r="AA57" s="403"/>
      <c r="AB57" s="403"/>
      <c r="AC57" s="403"/>
      <c r="AD57" s="403"/>
      <c r="AE57" s="403"/>
      <c r="AF57" s="403"/>
      <c r="AG57" s="403"/>
      <c r="AH57" s="403"/>
      <c r="AI57" s="403"/>
      <c r="AJ57" s="403"/>
      <c r="AK57" s="403"/>
      <c r="AL57" s="403"/>
      <c r="AM57" s="403"/>
      <c r="AN57" s="403"/>
      <c r="AO57" s="403"/>
      <c r="AP57" s="403"/>
      <c r="AQ57" s="403"/>
      <c r="AR57" s="403"/>
      <c r="AS57" s="403"/>
      <c r="AT57" s="403"/>
      <c r="AU57" s="403"/>
      <c r="AV57" s="403"/>
      <c r="AW57" s="403"/>
      <c r="AX57" s="403"/>
      <c r="AY57" s="403"/>
      <c r="AZ57" s="403"/>
    </row>
    <row r="58" spans="1:52" s="379" customFormat="1" ht="14.25" customHeight="1">
      <c r="A58" s="403"/>
      <c r="B58" s="403" t="s">
        <v>277</v>
      </c>
      <c r="C58" s="403"/>
      <c r="D58" s="934">
        <f t="shared" ref="D58:N58" si="31">IFERROR(-D121/D120,"")</f>
        <v>0.12219101123595504</v>
      </c>
      <c r="E58" s="934">
        <f t="shared" si="31"/>
        <v>0.19804489500362057</v>
      </c>
      <c r="F58" s="934">
        <f t="shared" si="31"/>
        <v>0.38940677966101694</v>
      </c>
      <c r="G58" s="934">
        <f>IFERROR(-G120/G121,"")</f>
        <v>2.7212389380530975</v>
      </c>
      <c r="H58" s="934">
        <f>IFERROR(-H121/H120,"")</f>
        <v>0.29471544715447157</v>
      </c>
      <c r="I58" s="934">
        <f t="shared" si="31"/>
        <v>1.015625</v>
      </c>
      <c r="J58" s="641">
        <f t="shared" si="31"/>
        <v>-0.20378151260504201</v>
      </c>
      <c r="K58" s="641" t="str">
        <f t="shared" si="31"/>
        <v/>
      </c>
      <c r="L58" s="641" t="str">
        <f t="shared" si="31"/>
        <v/>
      </c>
      <c r="M58" s="641" t="str">
        <f t="shared" si="31"/>
        <v/>
      </c>
      <c r="N58" s="641" t="str">
        <f t="shared" si="31"/>
        <v/>
      </c>
      <c r="O58" s="641">
        <f t="shared" si="29"/>
        <v>0.64820579407187418</v>
      </c>
      <c r="P58" s="403"/>
      <c r="Q58" s="403"/>
      <c r="R58" s="440"/>
      <c r="S58" s="403"/>
      <c r="T58" s="403"/>
      <c r="U58" s="403"/>
      <c r="V58" s="403"/>
      <c r="W58" s="403"/>
      <c r="X58" s="403"/>
      <c r="Y58" s="403"/>
      <c r="Z58" s="403"/>
      <c r="AA58" s="403"/>
      <c r="AB58" s="403"/>
      <c r="AC58" s="403"/>
      <c r="AD58" s="403"/>
      <c r="AE58" s="403"/>
      <c r="AF58" s="403"/>
      <c r="AG58" s="403"/>
      <c r="AH58" s="403"/>
      <c r="AI58" s="403"/>
      <c r="AJ58" s="403"/>
      <c r="AK58" s="403"/>
      <c r="AL58" s="403"/>
      <c r="AM58" s="403"/>
      <c r="AN58" s="403"/>
      <c r="AO58" s="403"/>
      <c r="AP58" s="403"/>
      <c r="AQ58" s="403"/>
      <c r="AR58" s="403"/>
      <c r="AS58" s="403"/>
      <c r="AT58" s="403"/>
      <c r="AU58" s="403"/>
      <c r="AV58" s="403"/>
      <c r="AW58" s="403"/>
      <c r="AX58" s="403"/>
      <c r="AY58" s="403"/>
      <c r="AZ58" s="403"/>
    </row>
    <row r="59" spans="1:52" s="379" customFormat="1" ht="14.25" customHeight="1">
      <c r="A59" s="403"/>
      <c r="B59" s="403" t="s">
        <v>278</v>
      </c>
      <c r="C59" s="403"/>
      <c r="D59" s="934">
        <f>IFERROR(-D122/D120,"")</f>
        <v>3.9985955056179772</v>
      </c>
      <c r="E59" s="934">
        <f t="shared" ref="E59:N59" si="32">IFERROR(-E122/E120,"")</f>
        <v>0.44689838281438571</v>
      </c>
      <c r="F59" s="934">
        <f t="shared" si="32"/>
        <v>0.40677966101694918</v>
      </c>
      <c r="G59" s="934">
        <f>IFERROR(-G122/G121,"")</f>
        <v>-1</v>
      </c>
      <c r="H59" s="934">
        <f>IFERROR(-H122/H120,"")</f>
        <v>0.29878048780487804</v>
      </c>
      <c r="I59" s="934">
        <f t="shared" si="32"/>
        <v>1.7281249999999999</v>
      </c>
      <c r="J59" s="641">
        <f t="shared" si="32"/>
        <v>0.89075630252100846</v>
      </c>
      <c r="K59" s="641" t="str">
        <f t="shared" si="32"/>
        <v/>
      </c>
      <c r="L59" s="641" t="str">
        <f t="shared" si="32"/>
        <v/>
      </c>
      <c r="M59" s="641" t="str">
        <f t="shared" si="32"/>
        <v/>
      </c>
      <c r="N59" s="641" t="str">
        <f t="shared" si="32"/>
        <v/>
      </c>
      <c r="O59" s="641">
        <f t="shared" si="29"/>
        <v>0.96713361996788549</v>
      </c>
      <c r="P59" s="403"/>
      <c r="Q59" s="403"/>
      <c r="R59" s="440"/>
      <c r="S59" s="403"/>
      <c r="T59" s="403"/>
      <c r="U59" s="403"/>
      <c r="V59" s="403"/>
      <c r="W59" s="403"/>
      <c r="X59" s="403"/>
      <c r="Y59" s="403"/>
      <c r="Z59" s="403"/>
      <c r="AA59" s="403"/>
      <c r="AB59" s="403"/>
      <c r="AC59" s="403"/>
      <c r="AD59" s="403"/>
      <c r="AE59" s="403"/>
      <c r="AF59" s="403"/>
      <c r="AG59" s="403"/>
      <c r="AH59" s="403"/>
      <c r="AI59" s="403"/>
      <c r="AJ59" s="403"/>
      <c r="AK59" s="403"/>
      <c r="AL59" s="403"/>
      <c r="AM59" s="403"/>
      <c r="AN59" s="403"/>
      <c r="AO59" s="403"/>
      <c r="AP59" s="403"/>
      <c r="AQ59" s="403"/>
      <c r="AR59" s="403"/>
      <c r="AS59" s="403"/>
      <c r="AT59" s="403"/>
      <c r="AU59" s="403"/>
      <c r="AV59" s="403"/>
      <c r="AW59" s="403"/>
      <c r="AX59" s="403"/>
      <c r="AY59" s="403"/>
      <c r="AZ59" s="403"/>
    </row>
    <row r="60" spans="1:52" s="379" customFormat="1" ht="14.25" customHeight="1">
      <c r="A60" s="403"/>
      <c r="B60" s="403" t="s">
        <v>279</v>
      </c>
      <c r="C60" s="403"/>
      <c r="D60" s="934">
        <f>IFERROR((D123+D124)/D120,"")</f>
        <v>2.7612359550561796</v>
      </c>
      <c r="E60" s="934">
        <f t="shared" ref="E60:N60" si="33">IFERROR((E123+E124)/E120,"")</f>
        <v>-0.30207579048998312</v>
      </c>
      <c r="F60" s="934">
        <f>IFERROR((F123+F124)/F120,"")</f>
        <v>0.12118644067796611</v>
      </c>
      <c r="G60" s="934">
        <f>IFERROR((G123+G124)/G121,"")</f>
        <v>-17.5</v>
      </c>
      <c r="H60" s="934">
        <f>IFERROR((H123+H124)/H120,"")</f>
        <v>0.13211382113821138</v>
      </c>
      <c r="I60" s="934">
        <f t="shared" si="33"/>
        <v>2.4312499999999999</v>
      </c>
      <c r="J60" s="641">
        <f t="shared" si="33"/>
        <v>0</v>
      </c>
      <c r="K60" s="641" t="str">
        <f t="shared" si="33"/>
        <v/>
      </c>
      <c r="L60" s="641" t="str">
        <f t="shared" si="33"/>
        <v/>
      </c>
      <c r="M60" s="641" t="str">
        <f t="shared" si="33"/>
        <v/>
      </c>
      <c r="N60" s="641" t="str">
        <f t="shared" si="33"/>
        <v/>
      </c>
      <c r="O60" s="641">
        <f t="shared" si="29"/>
        <v>-1.7651842248025178</v>
      </c>
      <c r="P60" s="403"/>
      <c r="Q60" s="403"/>
      <c r="R60" s="440"/>
      <c r="S60" s="403"/>
      <c r="T60" s="403"/>
      <c r="U60" s="403"/>
      <c r="V60" s="403"/>
      <c r="W60" s="403"/>
      <c r="X60" s="403"/>
      <c r="Y60" s="403"/>
      <c r="Z60" s="403"/>
      <c r="AA60" s="403"/>
      <c r="AB60" s="403"/>
      <c r="AC60" s="403"/>
      <c r="AD60" s="403"/>
      <c r="AE60" s="403"/>
      <c r="AF60" s="403"/>
      <c r="AG60" s="403"/>
      <c r="AH60" s="403"/>
      <c r="AI60" s="403"/>
      <c r="AJ60" s="403"/>
      <c r="AK60" s="403"/>
      <c r="AL60" s="403"/>
      <c r="AM60" s="403"/>
      <c r="AN60" s="403"/>
      <c r="AO60" s="403"/>
      <c r="AP60" s="403"/>
      <c r="AQ60" s="403"/>
      <c r="AR60" s="403"/>
      <c r="AS60" s="403"/>
      <c r="AT60" s="403"/>
      <c r="AU60" s="403"/>
      <c r="AV60" s="403"/>
      <c r="AW60" s="403"/>
      <c r="AX60" s="403"/>
      <c r="AY60" s="403"/>
      <c r="AZ60" s="403"/>
    </row>
    <row r="61" spans="1:52" s="379" customFormat="1" ht="14.25" customHeight="1">
      <c r="A61" s="403"/>
      <c r="B61" s="403" t="s">
        <v>280</v>
      </c>
      <c r="C61" s="403"/>
      <c r="D61" s="934">
        <f>+IFERROR(-D124/D123,"")</f>
        <v>3.8630806845965773E-2</v>
      </c>
      <c r="E61" s="934">
        <f t="shared" ref="E61:N61" si="34">+IFERROR(-E124/E123,"")</f>
        <v>-9.1747967479674788</v>
      </c>
      <c r="F61" s="934">
        <f>+IFERROR(-F124/F123,"")</f>
        <v>1.8125</v>
      </c>
      <c r="G61" s="934">
        <f t="shared" si="34"/>
        <v>7.6581835162269435E-2</v>
      </c>
      <c r="H61" s="934">
        <f>+IFERROR(-H124/H123,"")</f>
        <v>0</v>
      </c>
      <c r="I61" s="934">
        <f t="shared" si="34"/>
        <v>-8.9635854341736695E-2</v>
      </c>
      <c r="J61" s="641" t="str">
        <f t="shared" si="34"/>
        <v/>
      </c>
      <c r="K61" s="641" t="str">
        <f t="shared" si="34"/>
        <v/>
      </c>
      <c r="L61" s="641" t="str">
        <f t="shared" si="34"/>
        <v/>
      </c>
      <c r="M61" s="641" t="str">
        <f t="shared" si="34"/>
        <v/>
      </c>
      <c r="N61" s="641" t="str">
        <f t="shared" si="34"/>
        <v/>
      </c>
      <c r="O61" s="641">
        <f>IFERROR(+AVERAGE(D61:N61),"")</f>
        <v>-1.2227866600501633</v>
      </c>
      <c r="P61" s="403"/>
      <c r="Q61" s="403"/>
      <c r="R61" s="440"/>
      <c r="S61" s="403"/>
      <c r="T61" s="403"/>
      <c r="U61" s="403"/>
      <c r="V61" s="403"/>
      <c r="W61" s="403"/>
      <c r="X61" s="403"/>
      <c r="Y61" s="403"/>
      <c r="Z61" s="403"/>
      <c r="AA61" s="403"/>
      <c r="AB61" s="403"/>
      <c r="AC61" s="403"/>
      <c r="AD61" s="403"/>
      <c r="AE61" s="403"/>
      <c r="AF61" s="403"/>
      <c r="AG61" s="403"/>
      <c r="AH61" s="403"/>
      <c r="AI61" s="403"/>
      <c r="AJ61" s="403"/>
      <c r="AK61" s="403"/>
      <c r="AL61" s="403"/>
      <c r="AM61" s="403"/>
      <c r="AN61" s="403"/>
      <c r="AO61" s="403"/>
      <c r="AP61" s="403"/>
      <c r="AQ61" s="403"/>
      <c r="AR61" s="403"/>
      <c r="AS61" s="403"/>
      <c r="AT61" s="403"/>
      <c r="AU61" s="403"/>
      <c r="AV61" s="403"/>
      <c r="AW61" s="403"/>
      <c r="AX61" s="403"/>
      <c r="AY61" s="403"/>
      <c r="AZ61" s="403"/>
    </row>
    <row r="62" spans="1:52" s="379" customFormat="1" ht="14.25" customHeight="1">
      <c r="A62" s="403"/>
      <c r="B62" s="403" t="s">
        <v>281</v>
      </c>
      <c r="C62" s="403"/>
      <c r="D62" s="934">
        <f t="shared" ref="D62:N62" si="35">IFERROR(-D125/D120,"")</f>
        <v>-2.821629213483146</v>
      </c>
      <c r="E62" s="934">
        <f t="shared" si="35"/>
        <v>0.57748008689355534</v>
      </c>
      <c r="F62" s="934">
        <f t="shared" si="35"/>
        <v>0.86228813559322037</v>
      </c>
      <c r="G62" s="934">
        <f>IFERROR(-G125/G121,"")</f>
        <v>-1.4911504424778761</v>
      </c>
      <c r="H62" s="934">
        <f>IFERROR(-H125/H120,"")</f>
        <v>0.68157181571815717</v>
      </c>
      <c r="I62" s="934">
        <f t="shared" si="35"/>
        <v>-0.48125000000000001</v>
      </c>
      <c r="J62" s="641">
        <f t="shared" si="35"/>
        <v>-0.38025210084033612</v>
      </c>
      <c r="K62" s="641" t="str">
        <f t="shared" si="35"/>
        <v/>
      </c>
      <c r="L62" s="641" t="str">
        <f t="shared" si="35"/>
        <v/>
      </c>
      <c r="M62" s="641" t="str">
        <f t="shared" si="35"/>
        <v/>
      </c>
      <c r="N62" s="641" t="str">
        <f t="shared" si="35"/>
        <v/>
      </c>
      <c r="O62" s="641">
        <f t="shared" si="29"/>
        <v>-0.43613453122806073</v>
      </c>
      <c r="P62" s="403"/>
      <c r="Q62" s="403"/>
      <c r="R62" s="440"/>
      <c r="S62" s="403"/>
      <c r="T62" s="403"/>
      <c r="U62" s="403"/>
      <c r="V62" s="403"/>
      <c r="W62" s="403"/>
      <c r="X62" s="403"/>
      <c r="Y62" s="403"/>
      <c r="Z62" s="403"/>
      <c r="AA62" s="403"/>
      <c r="AB62" s="403"/>
      <c r="AC62" s="403"/>
      <c r="AD62" s="403"/>
      <c r="AE62" s="403"/>
      <c r="AF62" s="403"/>
      <c r="AG62" s="403"/>
      <c r="AH62" s="403"/>
      <c r="AI62" s="403"/>
      <c r="AJ62" s="403"/>
      <c r="AK62" s="403"/>
      <c r="AL62" s="403"/>
      <c r="AM62" s="403"/>
      <c r="AN62" s="403"/>
      <c r="AO62" s="403"/>
      <c r="AP62" s="403"/>
      <c r="AQ62" s="403"/>
      <c r="AR62" s="403"/>
      <c r="AS62" s="403"/>
      <c r="AT62" s="403"/>
      <c r="AU62" s="403"/>
      <c r="AV62" s="403"/>
      <c r="AW62" s="403"/>
      <c r="AX62" s="403"/>
      <c r="AY62" s="403"/>
      <c r="AZ62" s="403"/>
    </row>
    <row r="63" spans="1:52" s="379" customFormat="1" ht="14.25" customHeight="1">
      <c r="A63" s="403"/>
      <c r="B63" s="871" t="s">
        <v>282</v>
      </c>
      <c r="C63" s="403"/>
      <c r="D63" s="935">
        <v>0</v>
      </c>
      <c r="E63" s="935">
        <v>0.55230000000000001</v>
      </c>
      <c r="F63" s="935">
        <v>4.7142999999999997</v>
      </c>
      <c r="G63" s="935">
        <v>0</v>
      </c>
      <c r="H63" s="935">
        <v>0</v>
      </c>
      <c r="I63" s="935">
        <v>12.362</v>
      </c>
      <c r="J63" s="443">
        <v>0</v>
      </c>
      <c r="K63" s="443"/>
      <c r="L63" s="443"/>
      <c r="M63" s="443"/>
      <c r="N63" s="443"/>
      <c r="O63" s="641">
        <f>IFERROR(+AVERAGE(D63:N63),"")</f>
        <v>2.5183714285714283</v>
      </c>
      <c r="P63" s="403"/>
      <c r="Q63" s="403"/>
      <c r="R63" s="440"/>
      <c r="S63" s="403"/>
      <c r="T63" s="403"/>
      <c r="U63" s="403"/>
      <c r="V63" s="403"/>
      <c r="W63" s="403"/>
      <c r="X63" s="403"/>
      <c r="Y63" s="403"/>
      <c r="Z63" s="403"/>
      <c r="AA63" s="403"/>
      <c r="AB63" s="403"/>
      <c r="AC63" s="403"/>
      <c r="AD63" s="403"/>
      <c r="AE63" s="403"/>
      <c r="AF63" s="403"/>
      <c r="AG63" s="403"/>
      <c r="AH63" s="403"/>
      <c r="AI63" s="403"/>
      <c r="AJ63" s="403"/>
      <c r="AK63" s="403"/>
      <c r="AL63" s="403"/>
      <c r="AM63" s="403"/>
      <c r="AN63" s="403"/>
      <c r="AO63" s="403"/>
      <c r="AP63" s="403"/>
      <c r="AQ63" s="403"/>
      <c r="AR63" s="403"/>
      <c r="AS63" s="403"/>
      <c r="AT63" s="403"/>
      <c r="AU63" s="403"/>
      <c r="AV63" s="403"/>
      <c r="AW63" s="403"/>
      <c r="AX63" s="403"/>
      <c r="AY63" s="403"/>
      <c r="AZ63" s="403"/>
    </row>
    <row r="64" spans="1:52" s="379" customFormat="1" ht="3.75" customHeight="1">
      <c r="A64" s="403"/>
      <c r="B64" s="403"/>
      <c r="C64" s="403"/>
      <c r="D64" s="920"/>
      <c r="E64" s="920"/>
      <c r="F64" s="920"/>
      <c r="G64" s="920"/>
      <c r="H64" s="920"/>
      <c r="I64" s="920"/>
      <c r="J64" s="403"/>
      <c r="K64" s="403"/>
      <c r="L64" s="403"/>
      <c r="M64" s="403"/>
      <c r="N64" s="403"/>
      <c r="O64" s="437"/>
      <c r="P64" s="403"/>
      <c r="Q64" s="403"/>
      <c r="R64" s="440"/>
      <c r="S64" s="403"/>
      <c r="T64" s="403"/>
      <c r="U64" s="403"/>
      <c r="V64" s="403"/>
      <c r="W64" s="403"/>
      <c r="X64" s="403"/>
      <c r="Y64" s="403"/>
      <c r="Z64" s="403"/>
      <c r="AA64" s="403"/>
      <c r="AB64" s="403"/>
      <c r="AC64" s="403"/>
      <c r="AD64" s="403"/>
      <c r="AE64" s="403"/>
      <c r="AF64" s="403"/>
      <c r="AG64" s="403"/>
      <c r="AH64" s="403"/>
      <c r="AI64" s="403"/>
      <c r="AJ64" s="403"/>
      <c r="AK64" s="403"/>
      <c r="AL64" s="403"/>
      <c r="AM64" s="403"/>
      <c r="AN64" s="403"/>
      <c r="AO64" s="403"/>
      <c r="AP64" s="403"/>
      <c r="AQ64" s="403"/>
      <c r="AR64" s="403"/>
      <c r="AS64" s="403"/>
      <c r="AT64" s="403"/>
      <c r="AU64" s="403"/>
      <c r="AV64" s="403"/>
      <c r="AW64" s="403"/>
      <c r="AX64" s="403"/>
      <c r="AY64" s="403"/>
      <c r="AZ64" s="403"/>
    </row>
    <row r="65" spans="1:52" s="382" customFormat="1" ht="14.25" customHeight="1">
      <c r="A65" s="410"/>
      <c r="B65" s="575" t="s">
        <v>283</v>
      </c>
      <c r="C65" s="576"/>
      <c r="D65" s="928" t="str">
        <f t="shared" ref="D65:O65" ca="1" si="36">+D23</f>
        <v>E.L.F.</v>
      </c>
      <c r="E65" s="928" t="str">
        <f t="shared" si="36"/>
        <v>L'Oreal</v>
      </c>
      <c r="F65" s="928" t="str">
        <f t="shared" si="36"/>
        <v>Estée Lauder</v>
      </c>
      <c r="G65" s="928" t="str">
        <f t="shared" si="36"/>
        <v>Coty</v>
      </c>
      <c r="H65" s="928" t="str">
        <f t="shared" si="36"/>
        <v>Ulta Beauty</v>
      </c>
      <c r="I65" s="928" t="str">
        <f t="shared" si="36"/>
        <v>Shiseido</v>
      </c>
      <c r="J65" s="389" t="str">
        <f t="shared" ca="1" si="36"/>
        <v>Natura</v>
      </c>
      <c r="K65" s="389">
        <f t="shared" si="36"/>
        <v>0</v>
      </c>
      <c r="L65" s="389" t="e">
        <f t="shared" si="36"/>
        <v>#REF!</v>
      </c>
      <c r="M65" s="389" t="e">
        <f t="shared" si="36"/>
        <v>#REF!</v>
      </c>
      <c r="N65" s="389" t="e">
        <f t="shared" si="36"/>
        <v>#REF!</v>
      </c>
      <c r="O65" s="389" t="str">
        <f t="shared" si="36"/>
        <v>Average</v>
      </c>
      <c r="P65" s="410"/>
      <c r="Q65" s="410"/>
      <c r="R65" s="577"/>
      <c r="S65" s="410"/>
      <c r="T65" s="410"/>
      <c r="U65" s="410"/>
      <c r="V65" s="410"/>
      <c r="W65" s="410"/>
      <c r="X65" s="410"/>
      <c r="Y65" s="410"/>
      <c r="Z65" s="410"/>
      <c r="AA65" s="410"/>
      <c r="AB65" s="410"/>
      <c r="AC65" s="410"/>
      <c r="AD65" s="410"/>
      <c r="AE65" s="410"/>
      <c r="AF65" s="410"/>
      <c r="AG65" s="410"/>
      <c r="AH65" s="410"/>
      <c r="AI65" s="410"/>
      <c r="AJ65" s="410"/>
      <c r="AK65" s="410"/>
      <c r="AL65" s="410"/>
      <c r="AM65" s="410"/>
      <c r="AN65" s="410"/>
      <c r="AO65" s="410"/>
      <c r="AP65" s="410"/>
      <c r="AQ65" s="410"/>
      <c r="AR65" s="410"/>
      <c r="AS65" s="410"/>
      <c r="AT65" s="410"/>
      <c r="AU65" s="410"/>
      <c r="AV65" s="410"/>
      <c r="AW65" s="410"/>
      <c r="AX65" s="410"/>
      <c r="AY65" s="410"/>
      <c r="AZ65" s="410"/>
    </row>
    <row r="66" spans="1:52" s="379" customFormat="1" ht="3.75" customHeight="1">
      <c r="A66" s="403"/>
      <c r="B66" s="428"/>
      <c r="C66" s="428"/>
      <c r="D66" s="914"/>
      <c r="E66" s="914"/>
      <c r="F66" s="914"/>
      <c r="G66" s="914"/>
      <c r="H66" s="914"/>
      <c r="I66" s="914"/>
      <c r="J66" s="428"/>
      <c r="K66" s="428"/>
      <c r="L66" s="428"/>
      <c r="M66" s="428"/>
      <c r="N66" s="428"/>
      <c r="O66" s="439"/>
      <c r="P66" s="403"/>
      <c r="Q66" s="403"/>
      <c r="R66" s="440"/>
      <c r="S66" s="403"/>
      <c r="T66" s="403"/>
      <c r="U66" s="403"/>
      <c r="V66" s="403"/>
      <c r="W66" s="403"/>
      <c r="X66" s="403"/>
      <c r="Y66" s="403"/>
      <c r="Z66" s="403"/>
      <c r="AA66" s="403"/>
      <c r="AB66" s="403"/>
      <c r="AC66" s="403"/>
      <c r="AD66" s="403"/>
      <c r="AE66" s="403"/>
      <c r="AF66" s="403"/>
      <c r="AG66" s="403"/>
      <c r="AH66" s="403"/>
      <c r="AI66" s="403"/>
      <c r="AJ66" s="403"/>
      <c r="AK66" s="403"/>
      <c r="AL66" s="403"/>
      <c r="AM66" s="403"/>
      <c r="AN66" s="403"/>
      <c r="AO66" s="403"/>
      <c r="AP66" s="403"/>
      <c r="AQ66" s="403"/>
      <c r="AR66" s="403"/>
      <c r="AS66" s="403"/>
      <c r="AT66" s="403"/>
      <c r="AU66" s="403"/>
      <c r="AV66" s="403"/>
      <c r="AW66" s="403"/>
      <c r="AX66" s="403"/>
      <c r="AY66" s="403"/>
      <c r="AZ66" s="403"/>
    </row>
    <row r="67" spans="1:52" s="379" customFormat="1" ht="14.25" customHeight="1">
      <c r="A67" s="403"/>
      <c r="B67" s="871" t="s">
        <v>284</v>
      </c>
      <c r="C67" s="403"/>
      <c r="D67" s="935">
        <f>55.23/56.4</f>
        <v>0.97925531914893615</v>
      </c>
      <c r="E67" s="935">
        <f>261.73/534.32</f>
        <v>0.48983755053151667</v>
      </c>
      <c r="F67" s="935">
        <f>232.92/359.72</f>
        <v>0.64750361392193923</v>
      </c>
      <c r="G67" s="935">
        <f>367.14/871.99</f>
        <v>0.42103693849700108</v>
      </c>
      <c r="H67" s="935">
        <f>45.13/45.31</f>
        <v>0.99602736702714634</v>
      </c>
      <c r="I67" s="935">
        <f>348.16/400.99</f>
        <v>0.86825107858051331</v>
      </c>
      <c r="J67" s="443">
        <f>812.98/1430</f>
        <v>0.56851748251748258</v>
      </c>
      <c r="K67" s="443"/>
      <c r="L67" s="443"/>
      <c r="M67" s="443"/>
      <c r="N67" s="443"/>
      <c r="O67" s="641">
        <f>IFERROR(+AVERAGE(D67:N67),"")</f>
        <v>0.71006133574636221</v>
      </c>
      <c r="P67" s="403"/>
      <c r="Q67" s="403"/>
      <c r="R67" s="440"/>
      <c r="S67" s="403"/>
      <c r="T67" s="403"/>
      <c r="U67" s="403"/>
      <c r="V67" s="403"/>
      <c r="W67" s="403"/>
      <c r="X67" s="403"/>
      <c r="Y67" s="403"/>
      <c r="Z67" s="403"/>
      <c r="AA67" s="403"/>
      <c r="AB67" s="403"/>
      <c r="AC67" s="403"/>
      <c r="AD67" s="403"/>
      <c r="AE67" s="403"/>
      <c r="AF67" s="403"/>
      <c r="AG67" s="403"/>
      <c r="AH67" s="403"/>
      <c r="AI67" s="403"/>
      <c r="AJ67" s="403"/>
      <c r="AK67" s="403"/>
      <c r="AL67" s="403"/>
      <c r="AM67" s="403"/>
      <c r="AN67" s="403"/>
      <c r="AO67" s="403"/>
      <c r="AP67" s="403"/>
      <c r="AQ67" s="403"/>
      <c r="AR67" s="403"/>
      <c r="AS67" s="403"/>
      <c r="AT67" s="403"/>
      <c r="AU67" s="403"/>
      <c r="AV67" s="403"/>
      <c r="AW67" s="403"/>
      <c r="AX67" s="403"/>
      <c r="AY67" s="403"/>
      <c r="AZ67" s="403"/>
    </row>
    <row r="68" spans="1:52" s="379" customFormat="1" ht="14.25" customHeight="1">
      <c r="A68" s="403"/>
      <c r="B68" s="871" t="s">
        <v>285</v>
      </c>
      <c r="C68" s="403"/>
      <c r="D68" s="936" cm="1">
        <f t="array" aca="1" ref="D68" ca="1">IFERROR(_FV(D85,"Beta"),"")</f>
        <v>1.6084000000000001</v>
      </c>
      <c r="E68" s="936" cm="1">
        <f t="array" aca="1" ref="E68" ca="1">IFERROR(_FV(E85,"Beta"),"")</f>
        <v>0.84799999999999998</v>
      </c>
      <c r="F68" s="936" cm="1">
        <f t="array" aca="1" ref="F68" ca="1">IFERROR(_FV(F85,"Beta"),"")</f>
        <v>1.1779999999999999</v>
      </c>
      <c r="G68" s="936" cm="1">
        <f t="array" aca="1" ref="G68" ca="1">IFERROR(_FV(G85,"Beta"),"")</f>
        <v>2.0169999999999999</v>
      </c>
      <c r="H68" s="936" cm="1">
        <f t="array" aca="1" ref="H68" ca="1">IFERROR(_FV(H85,"Beta"),"")</f>
        <v>1.0561</v>
      </c>
      <c r="I68" s="936" cm="1">
        <f t="array" aca="1" ref="I68" ca="1">IFERROR(_FV(I85,"Beta"),"")</f>
        <v>0.45240000000000002</v>
      </c>
      <c r="J68" s="421" cm="1">
        <f t="array" aca="1" ref="J68" ca="1">IFERROR(_FV(J85,"Beta"),"")</f>
        <v>1.2257</v>
      </c>
      <c r="K68" s="421" t="str" cm="1">
        <f t="array" ref="K68">IFERROR(_FV(K85,"Beta"),"")</f>
        <v/>
      </c>
      <c r="L68" s="421" t="str" cm="1">
        <f t="array" ref="L68">IFERROR(_FV(L85,"Beta"),"")</f>
        <v/>
      </c>
      <c r="M68" s="421" t="str" cm="1">
        <f t="array" ref="M68">IFERROR(_FV(M85,"Beta"),"")</f>
        <v/>
      </c>
      <c r="N68" s="421" t="str" cm="1">
        <f t="array" ref="N68">IFERROR(_FV(N85,"Beta"),"")</f>
        <v/>
      </c>
      <c r="O68" s="642">
        <f t="shared" ref="O68:O69" ca="1" si="37">IFERROR(+AVERAGE(D68:N68),"")</f>
        <v>1.1979428571428572</v>
      </c>
      <c r="P68" s="403"/>
      <c r="Q68" s="403"/>
      <c r="R68" s="440"/>
      <c r="S68" s="403"/>
      <c r="T68" s="403"/>
      <c r="U68" s="403"/>
      <c r="V68" s="403"/>
      <c r="W68" s="403"/>
      <c r="X68" s="403"/>
      <c r="Y68" s="403"/>
      <c r="Z68" s="403"/>
      <c r="AA68" s="403"/>
      <c r="AB68" s="403"/>
      <c r="AC68" s="403"/>
      <c r="AD68" s="403"/>
      <c r="AE68" s="403"/>
      <c r="AF68" s="403"/>
      <c r="AG68" s="403"/>
      <c r="AH68" s="403"/>
      <c r="AI68" s="403"/>
      <c r="AJ68" s="403"/>
      <c r="AK68" s="403"/>
      <c r="AL68" s="403"/>
      <c r="AM68" s="403"/>
      <c r="AN68" s="403"/>
      <c r="AO68" s="403"/>
      <c r="AP68" s="403"/>
      <c r="AQ68" s="403"/>
      <c r="AR68" s="403"/>
      <c r="AS68" s="403"/>
      <c r="AT68" s="403"/>
      <c r="AU68" s="403"/>
      <c r="AV68" s="403"/>
      <c r="AW68" s="403"/>
      <c r="AX68" s="403"/>
      <c r="AY68" s="403"/>
      <c r="AZ68" s="403"/>
    </row>
    <row r="69" spans="1:52" s="379" customFormat="1" ht="14.1" customHeight="1">
      <c r="A69" s="403"/>
      <c r="B69" s="871" t="s">
        <v>286</v>
      </c>
      <c r="C69" s="403"/>
      <c r="D69" s="936">
        <f ca="1">IFERROR(D68/(1+(1-D98/D97)*(D115/D116)),"")</f>
        <v>1.2778616414686825</v>
      </c>
      <c r="E69" s="936">
        <f ca="1">IFERROR(E68/(1+(1-E98/E97)*(E115/E116)),"")</f>
        <v>0.70956986980971026</v>
      </c>
      <c r="F69" s="936">
        <f t="shared" ref="F69:N69" ca="1" si="38">IFERROR(F68/(1+(1-F98/F97)*(F115/F116)),"")</f>
        <v>0.51903510797958519</v>
      </c>
      <c r="G69" s="936">
        <f ca="1">IFERROR(G68/(1+(1-G98/G97)*(G115/G116)),"")</f>
        <v>1.3140776321353065</v>
      </c>
      <c r="H69" s="936">
        <f ca="1">IFERROR(H68/(1+(1-H98/H97)*(H115/H116)),"")</f>
        <v>0.64451518299400756</v>
      </c>
      <c r="I69" s="936">
        <f t="shared" ca="1" si="38"/>
        <v>0.37663643768666849</v>
      </c>
      <c r="J69" s="421">
        <f t="shared" ca="1" si="38"/>
        <v>1.0877126486260795</v>
      </c>
      <c r="K69" s="421" t="str">
        <f t="shared" si="38"/>
        <v/>
      </c>
      <c r="L69" s="421" t="str">
        <f t="shared" si="38"/>
        <v/>
      </c>
      <c r="M69" s="421" t="str">
        <f t="shared" si="38"/>
        <v/>
      </c>
      <c r="N69" s="421" t="str">
        <f t="shared" si="38"/>
        <v/>
      </c>
      <c r="O69" s="642">
        <f t="shared" ca="1" si="37"/>
        <v>0.84705836010000568</v>
      </c>
      <c r="P69" s="403"/>
      <c r="Q69" s="403"/>
      <c r="R69" s="440"/>
      <c r="S69" s="403"/>
      <c r="T69" s="403"/>
      <c r="U69" s="403"/>
      <c r="V69" s="403"/>
      <c r="W69" s="403"/>
      <c r="X69" s="403"/>
      <c r="Y69" s="403"/>
      <c r="Z69" s="403"/>
      <c r="AA69" s="403"/>
      <c r="AB69" s="403"/>
      <c r="AC69" s="403"/>
      <c r="AD69" s="403"/>
      <c r="AE69" s="403"/>
      <c r="AF69" s="403"/>
      <c r="AG69" s="403"/>
      <c r="AH69" s="403"/>
      <c r="AI69" s="403"/>
      <c r="AJ69" s="403"/>
      <c r="AK69" s="403"/>
      <c r="AL69" s="403"/>
      <c r="AM69" s="403"/>
      <c r="AN69" s="403"/>
      <c r="AO69" s="403"/>
      <c r="AP69" s="403"/>
      <c r="AQ69" s="403"/>
      <c r="AR69" s="403"/>
      <c r="AS69" s="403"/>
      <c r="AT69" s="403"/>
      <c r="AU69" s="403"/>
      <c r="AV69" s="403"/>
      <c r="AW69" s="403"/>
      <c r="AX69" s="403"/>
      <c r="AY69" s="403"/>
      <c r="AZ69" s="403"/>
    </row>
    <row r="70" spans="1:52" s="379" customFormat="1" ht="14.25" customHeight="1">
      <c r="A70" s="403"/>
      <c r="B70" s="871" t="s">
        <v>46</v>
      </c>
      <c r="C70" s="403"/>
      <c r="D70" s="937">
        <v>2.64E-2</v>
      </c>
      <c r="E70" s="935">
        <v>0.57169999999999999</v>
      </c>
      <c r="F70" s="935">
        <v>4.3E-3</v>
      </c>
      <c r="G70" s="935">
        <v>0.6048</v>
      </c>
      <c r="H70" s="935">
        <v>2.8E-3</v>
      </c>
      <c r="I70" s="935">
        <v>0</v>
      </c>
      <c r="J70" s="443">
        <v>0.35899999999999999</v>
      </c>
      <c r="K70" s="443"/>
      <c r="L70" s="443"/>
      <c r="M70" s="443"/>
      <c r="N70" s="443"/>
      <c r="O70" s="641">
        <f t="shared" ref="O70:O72" si="39">IFERROR(+AVERAGE(D70:N70),"")</f>
        <v>0.22414285714285712</v>
      </c>
      <c r="P70" s="403"/>
      <c r="Q70" s="403"/>
      <c r="R70" s="440"/>
      <c r="S70" s="403"/>
      <c r="T70" s="403"/>
      <c r="U70" s="403"/>
      <c r="V70" s="403"/>
      <c r="W70" s="403"/>
      <c r="X70" s="403"/>
      <c r="Y70" s="403"/>
      <c r="Z70" s="403"/>
      <c r="AA70" s="403"/>
      <c r="AB70" s="403"/>
      <c r="AC70" s="403"/>
      <c r="AD70" s="403"/>
      <c r="AE70" s="403"/>
      <c r="AF70" s="403"/>
      <c r="AG70" s="403"/>
      <c r="AH70" s="403"/>
      <c r="AI70" s="403"/>
      <c r="AJ70" s="403"/>
      <c r="AK70" s="403"/>
      <c r="AL70" s="403"/>
      <c r="AM70" s="403"/>
      <c r="AN70" s="403"/>
      <c r="AO70" s="403"/>
      <c r="AP70" s="403"/>
      <c r="AQ70" s="403"/>
      <c r="AR70" s="403"/>
      <c r="AS70" s="403"/>
      <c r="AT70" s="403"/>
      <c r="AU70" s="403"/>
      <c r="AV70" s="403"/>
      <c r="AW70" s="403"/>
      <c r="AX70" s="403"/>
      <c r="AY70" s="403"/>
      <c r="AZ70" s="403"/>
    </row>
    <row r="71" spans="1:52" s="379" customFormat="1" ht="14.25" customHeight="1">
      <c r="A71" s="403"/>
      <c r="B71" s="871" t="s">
        <v>47</v>
      </c>
      <c r="C71" s="403"/>
      <c r="D71" s="935">
        <v>0.96160000000000001</v>
      </c>
      <c r="E71" s="935">
        <v>0.1469</v>
      </c>
      <c r="F71" s="935">
        <v>0.93710000000000004</v>
      </c>
      <c r="G71" s="935">
        <v>0.39369999999999999</v>
      </c>
      <c r="H71" s="935">
        <v>0.95320000000000005</v>
      </c>
      <c r="I71" s="935">
        <v>1E-4</v>
      </c>
      <c r="J71" s="443">
        <v>0.5877</v>
      </c>
      <c r="K71" s="443"/>
      <c r="L71" s="443"/>
      <c r="M71" s="443"/>
      <c r="N71" s="443"/>
      <c r="O71" s="641">
        <f>IFERROR(+AVERAGE(D71:N71),"")</f>
        <v>0.56861428571428574</v>
      </c>
      <c r="P71" s="403"/>
      <c r="Q71" s="403"/>
      <c r="R71" s="440"/>
      <c r="S71" s="403"/>
      <c r="T71" s="403"/>
      <c r="U71" s="403"/>
      <c r="V71" s="403"/>
      <c r="W71" s="403"/>
      <c r="X71" s="403"/>
      <c r="Y71" s="403"/>
      <c r="Z71" s="403"/>
      <c r="AA71" s="403"/>
      <c r="AB71" s="403"/>
      <c r="AC71" s="403"/>
      <c r="AD71" s="403"/>
      <c r="AE71" s="403"/>
      <c r="AF71" s="403"/>
      <c r="AG71" s="403"/>
      <c r="AH71" s="403"/>
      <c r="AI71" s="403"/>
      <c r="AJ71" s="403"/>
      <c r="AK71" s="403"/>
      <c r="AL71" s="403"/>
      <c r="AM71" s="403"/>
      <c r="AN71" s="403"/>
      <c r="AO71" s="403"/>
      <c r="AP71" s="403"/>
      <c r="AQ71" s="403"/>
      <c r="AR71" s="403"/>
      <c r="AS71" s="403"/>
      <c r="AT71" s="403"/>
      <c r="AU71" s="403"/>
      <c r="AV71" s="403"/>
      <c r="AW71" s="403"/>
      <c r="AX71" s="403"/>
      <c r="AY71" s="403"/>
      <c r="AZ71" s="403"/>
    </row>
    <row r="72" spans="1:52" s="379" customFormat="1" ht="14.25" customHeight="1">
      <c r="A72" s="403"/>
      <c r="B72" s="871" t="s">
        <v>287</v>
      </c>
      <c r="C72" s="403"/>
      <c r="D72" s="935">
        <v>0.1837</v>
      </c>
      <c r="E72" s="935"/>
      <c r="F72" s="935">
        <v>3.4799999999999998E-2</v>
      </c>
      <c r="G72" s="935">
        <v>4.5499999999999999E-2</v>
      </c>
      <c r="H72" s="935">
        <v>6.7100000000000007E-2</v>
      </c>
      <c r="I72" s="920"/>
      <c r="J72" s="443"/>
      <c r="K72" s="443"/>
      <c r="L72" s="443"/>
      <c r="M72" s="443"/>
      <c r="N72" s="443"/>
      <c r="O72" s="641">
        <f t="shared" si="39"/>
        <v>8.2775000000000001E-2</v>
      </c>
      <c r="P72" s="403"/>
      <c r="Q72" s="403"/>
      <c r="R72" s="440"/>
      <c r="S72" s="403"/>
      <c r="T72" s="403"/>
      <c r="U72" s="403"/>
      <c r="V72" s="403"/>
      <c r="W72" s="403"/>
      <c r="X72" s="403"/>
      <c r="Y72" s="403"/>
      <c r="Z72" s="403"/>
      <c r="AA72" s="403"/>
      <c r="AB72" s="403"/>
      <c r="AC72" s="403"/>
      <c r="AD72" s="403"/>
      <c r="AE72" s="403"/>
      <c r="AF72" s="403"/>
      <c r="AG72" s="403"/>
      <c r="AH72" s="403"/>
      <c r="AI72" s="403"/>
      <c r="AJ72" s="403"/>
      <c r="AK72" s="403"/>
      <c r="AL72" s="403"/>
      <c r="AM72" s="403"/>
      <c r="AN72" s="403"/>
      <c r="AO72" s="403"/>
      <c r="AP72" s="403"/>
      <c r="AQ72" s="403"/>
      <c r="AR72" s="403"/>
      <c r="AS72" s="403"/>
      <c r="AT72" s="403"/>
      <c r="AU72" s="403"/>
      <c r="AV72" s="403"/>
      <c r="AW72" s="403"/>
      <c r="AX72" s="403"/>
      <c r="AY72" s="403"/>
      <c r="AZ72" s="403"/>
    </row>
    <row r="73" spans="1:52" s="379" customFormat="1" ht="3.75" customHeight="1">
      <c r="A73" s="403"/>
      <c r="B73" s="403"/>
      <c r="C73" s="403"/>
      <c r="D73" s="920"/>
      <c r="E73" s="920"/>
      <c r="F73" s="920"/>
      <c r="G73" s="920"/>
      <c r="H73" s="920"/>
      <c r="I73" s="920"/>
      <c r="J73" s="403"/>
      <c r="K73" s="403"/>
      <c r="L73" s="403"/>
      <c r="M73" s="403"/>
      <c r="N73" s="403"/>
      <c r="O73" s="403"/>
      <c r="P73" s="403"/>
      <c r="Q73" s="403"/>
      <c r="R73" s="440"/>
      <c r="S73" s="403"/>
      <c r="T73" s="403"/>
      <c r="U73" s="403"/>
      <c r="V73" s="403"/>
      <c r="W73" s="403"/>
      <c r="X73" s="403"/>
      <c r="Y73" s="403"/>
      <c r="Z73" s="403"/>
      <c r="AA73" s="403"/>
      <c r="AB73" s="403"/>
      <c r="AC73" s="403"/>
      <c r="AD73" s="403"/>
      <c r="AE73" s="403"/>
      <c r="AF73" s="403"/>
      <c r="AG73" s="403"/>
      <c r="AH73" s="403"/>
      <c r="AI73" s="403"/>
      <c r="AJ73" s="403"/>
      <c r="AK73" s="403"/>
      <c r="AL73" s="403"/>
      <c r="AM73" s="403"/>
      <c r="AN73" s="403"/>
      <c r="AO73" s="403"/>
      <c r="AP73" s="403"/>
      <c r="AQ73" s="403"/>
      <c r="AR73" s="403"/>
      <c r="AS73" s="403"/>
      <c r="AT73" s="403"/>
      <c r="AU73" s="403"/>
      <c r="AV73" s="403"/>
      <c r="AW73" s="403"/>
      <c r="AX73" s="403"/>
      <c r="AY73" s="403"/>
      <c r="AZ73" s="403"/>
    </row>
    <row r="74" spans="1:52" s="382" customFormat="1" ht="14.25" customHeight="1">
      <c r="A74" s="410"/>
      <c r="B74" s="575" t="s">
        <v>93</v>
      </c>
      <c r="C74" s="576"/>
      <c r="D74" s="928" t="str">
        <f t="shared" ref="D74:O74" ca="1" si="40">+D23</f>
        <v>E.L.F.</v>
      </c>
      <c r="E74" s="928" t="str">
        <f t="shared" si="40"/>
        <v>L'Oreal</v>
      </c>
      <c r="F74" s="928" t="str">
        <f t="shared" si="40"/>
        <v>Estée Lauder</v>
      </c>
      <c r="G74" s="928" t="str">
        <f t="shared" si="40"/>
        <v>Coty</v>
      </c>
      <c r="H74" s="928" t="str">
        <f t="shared" si="40"/>
        <v>Ulta Beauty</v>
      </c>
      <c r="I74" s="928" t="str">
        <f t="shared" si="40"/>
        <v>Shiseido</v>
      </c>
      <c r="J74" s="389" t="str">
        <f t="shared" ca="1" si="40"/>
        <v>Natura</v>
      </c>
      <c r="K74" s="389">
        <f t="shared" si="40"/>
        <v>0</v>
      </c>
      <c r="L74" s="389" t="e">
        <f t="shared" si="40"/>
        <v>#REF!</v>
      </c>
      <c r="M74" s="389" t="e">
        <f t="shared" si="40"/>
        <v>#REF!</v>
      </c>
      <c r="N74" s="389" t="e">
        <f t="shared" si="40"/>
        <v>#REF!</v>
      </c>
      <c r="O74" s="389" t="str">
        <f t="shared" si="40"/>
        <v>Average</v>
      </c>
      <c r="P74" s="410"/>
      <c r="Q74" s="410"/>
      <c r="R74" s="577"/>
      <c r="S74" s="410"/>
      <c r="T74" s="410"/>
      <c r="U74" s="410"/>
      <c r="V74" s="410"/>
      <c r="W74" s="410"/>
      <c r="X74" s="410"/>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c r="AU74" s="410"/>
      <c r="AV74" s="410"/>
      <c r="AW74" s="410"/>
      <c r="AX74" s="410"/>
      <c r="AY74" s="410"/>
      <c r="AZ74" s="410"/>
    </row>
    <row r="75" spans="1:52" s="379" customFormat="1" ht="3.75" customHeight="1">
      <c r="A75" s="403"/>
      <c r="B75" s="428"/>
      <c r="C75" s="428"/>
      <c r="D75" s="914"/>
      <c r="E75" s="914"/>
      <c r="F75" s="938">
        <v>-20</v>
      </c>
      <c r="G75" s="914"/>
      <c r="H75" s="914"/>
      <c r="I75" s="914"/>
      <c r="J75" s="428"/>
      <c r="K75" s="428"/>
      <c r="L75" s="428"/>
      <c r="M75" s="428"/>
      <c r="N75" s="428"/>
      <c r="O75" s="428"/>
      <c r="P75" s="403"/>
      <c r="Q75" s="403"/>
      <c r="R75" s="440"/>
      <c r="S75" s="403"/>
      <c r="T75" s="403"/>
      <c r="U75" s="403"/>
      <c r="V75" s="403"/>
      <c r="W75" s="403"/>
      <c r="X75" s="403"/>
      <c r="Y75" s="403"/>
      <c r="Z75" s="403"/>
      <c r="AA75" s="403"/>
      <c r="AB75" s="403"/>
      <c r="AC75" s="403"/>
      <c r="AD75" s="403"/>
      <c r="AE75" s="403"/>
      <c r="AF75" s="403"/>
      <c r="AG75" s="403"/>
      <c r="AH75" s="403"/>
      <c r="AI75" s="403"/>
      <c r="AJ75" s="403"/>
      <c r="AK75" s="403"/>
      <c r="AL75" s="403"/>
      <c r="AM75" s="403"/>
      <c r="AN75" s="403"/>
      <c r="AO75" s="403"/>
      <c r="AP75" s="403"/>
      <c r="AQ75" s="403"/>
      <c r="AR75" s="403"/>
      <c r="AS75" s="403"/>
      <c r="AT75" s="403"/>
      <c r="AU75" s="403"/>
      <c r="AV75" s="403"/>
      <c r="AW75" s="403"/>
      <c r="AX75" s="403"/>
      <c r="AY75" s="403"/>
      <c r="AZ75" s="403"/>
    </row>
    <row r="76" spans="1:52" s="379" customFormat="1" ht="14.25" customHeight="1">
      <c r="A76" s="403"/>
      <c r="B76" s="871" t="s">
        <v>288</v>
      </c>
      <c r="C76" s="403"/>
      <c r="D76" s="939" cm="1">
        <f t="array" aca="1" ref="D76" ca="1">IFERROR((D79/_xlfn.STOCKHISTORY(C5,TODAY()-1,TODAY()-1,0,0,1))-1,"Non-trading days")</f>
        <v>0</v>
      </c>
      <c r="E76" s="939" cm="1">
        <f t="array" aca="1" ref="E76" ca="1">IFERROR((E79/_xlfn.STOCKHISTORY(C6,TODAY()-1,TODAY()-1,0,0,1))-1,"Non-trading days")</f>
        <v>2.0042757883484974E-3</v>
      </c>
      <c r="F76" s="939" cm="1">
        <f t="array" aca="1" ref="F76" ca="1">IFERROR((F79/_xlfn.STOCKHISTORY(C7,TODAY()-1,TODAY()-1,0,0,1))-1,"Non-trading days")</f>
        <v>0</v>
      </c>
      <c r="G76" s="939" cm="1">
        <f t="array" aca="1" ref="G76" ca="1">IFERROR((G79/_xlfn.STOCKHISTORY(C8,TODAY()-1,TODAY()-1,0,0,1))-1,"Non-trading days")</f>
        <v>0</v>
      </c>
      <c r="H76" s="939" t="str" cm="1">
        <f t="array" aca="1" ref="H76" ca="1">IFERROR((K79/_xlfn.STOCKHISTORY(C9,TODAY()-1,TODAY()-1,0,0,1))-1,"Non-trading days")</f>
        <v>Non-trading days</v>
      </c>
      <c r="I76" s="939" t="str" cm="1">
        <f t="array" aca="1" ref="I76" ca="1">IFERROR((L79/_xlfn.STOCKHISTORY(C10,TODAY()-1,TODAY()-1,0,0,1))-1,"Non-trading days")</f>
        <v>Non-trading days</v>
      </c>
      <c r="J76" s="444" t="str" cm="1">
        <f t="array" aca="1" ref="J76" ca="1">IFERROR((M79/_xlfn.STOCKHISTORY(C11,TODAY()-1,TODAY()-1,0,0,1))-1,"Non-trading days")</f>
        <v>Non-trading days</v>
      </c>
      <c r="K76" s="444" t="str" cm="1">
        <f t="array" aca="1" ref="K76" ca="1">IFERROR((N79/_xlfn.STOCKHISTORY(#REF!,TODAY()-1,TODAY()-1,0,0,1))-1,"Non-trading days")</f>
        <v>Non-trading days</v>
      </c>
      <c r="L76" s="444" t="str" cm="1">
        <f t="array" aca="1" ref="L76" ca="1">IFERROR((L79/_xlfn.STOCKHISTORY(#REF!,TODAY()-1,TODAY()-1,0,0,1))-1,"Non-trading days")</f>
        <v>Non-trading days</v>
      </c>
      <c r="M76" s="444" t="str" cm="1">
        <f t="array" aca="1" ref="M76" ca="1">IFERROR((M79/_xlfn.STOCKHISTORY(#REF!,TODAY()-1,TODAY()-1,0,0,1))-1,"Non-trading days")</f>
        <v>Non-trading days</v>
      </c>
      <c r="N76" s="444" t="str" cm="1">
        <f t="array" aca="1" ref="N76" ca="1">IFERROR((N79/_xlfn.STOCKHISTORY(#REF!,TODAY()-1,TODAY()-1,0,0,1))-1,"Non-trading days")</f>
        <v>Non-trading days</v>
      </c>
      <c r="O76" s="441">
        <f ca="1">IFERROR(+AVERAGE(D76:N76),"")</f>
        <v>5.0106894708712435E-4</v>
      </c>
      <c r="P76" s="403"/>
      <c r="Q76" s="403"/>
      <c r="R76" s="440"/>
      <c r="S76" s="403"/>
      <c r="T76" s="403"/>
      <c r="U76" s="403"/>
      <c r="V76" s="403"/>
      <c r="W76" s="403"/>
      <c r="X76" s="403"/>
      <c r="Y76" s="403"/>
      <c r="Z76" s="403"/>
      <c r="AA76" s="403"/>
      <c r="AB76" s="403"/>
      <c r="AC76" s="403"/>
      <c r="AD76" s="403"/>
      <c r="AE76" s="403"/>
      <c r="AF76" s="403"/>
      <c r="AG76" s="403"/>
      <c r="AH76" s="403"/>
      <c r="AI76" s="403"/>
      <c r="AJ76" s="403"/>
      <c r="AK76" s="403"/>
      <c r="AL76" s="403"/>
      <c r="AM76" s="403"/>
      <c r="AN76" s="403"/>
      <c r="AO76" s="403"/>
      <c r="AP76" s="403"/>
      <c r="AQ76" s="403"/>
      <c r="AR76" s="403"/>
      <c r="AS76" s="403"/>
      <c r="AT76" s="403"/>
      <c r="AU76" s="403"/>
      <c r="AV76" s="403"/>
      <c r="AW76" s="403"/>
      <c r="AX76" s="403"/>
      <c r="AY76" s="403"/>
      <c r="AZ76" s="403"/>
    </row>
    <row r="77" spans="1:52" s="379" customFormat="1" ht="14.25" customHeight="1">
      <c r="A77" s="403"/>
      <c r="B77" s="871" t="s">
        <v>289</v>
      </c>
      <c r="C77" s="403"/>
      <c r="D77" s="939" cm="1">
        <f t="array" aca="1" ref="D77" ca="1">IFERROR((D79/_xlfn.STOCKHISTORY(C5,TODAY()-29,TODAY()-29,0,0,1))-1,"Non-trading days")</f>
        <v>1.6377505234818956E-2</v>
      </c>
      <c r="E77" s="939" cm="1">
        <f t="array" aca="1" ref="E77" ca="1">IFERROR((E79/_xlfn.STOCKHISTORY(C6,TODAY()-29,TODAY()-29,0,0,1))-1,"Non-trading days")</f>
        <v>-7.2823936696340241E-2</v>
      </c>
      <c r="F77" s="939" cm="1">
        <f t="array" aca="1" ref="F77" ca="1">IFERROR((F79/_xlfn.STOCKHISTORY(C7,TODAY()-29,TODAY()-29,0,0,1))-1,"Non-trading days")</f>
        <v>1.4978275783215311E-2</v>
      </c>
      <c r="G77" s="939" cm="1">
        <f t="array" aca="1" ref="G77" ca="1">IFERROR((G79/_xlfn.STOCKHISTORY(C8,TODAY()-29,TODAY()-29,0,0,1))-1,"Non-trading days")</f>
        <v>-0.1004566210045662</v>
      </c>
      <c r="H77" s="939" t="str" cm="1">
        <f t="array" aca="1" ref="H77" ca="1">IFERROR((K79/_xlfn.STOCKHISTORY(C9,TODAY()-29,TODAY()-29,0,0,1))-1,"Non-trading days")</f>
        <v>Non-trading days</v>
      </c>
      <c r="I77" s="939" t="str" cm="1">
        <f t="array" aca="1" ref="I77" ca="1">IFERROR((L79/_xlfn.STOCKHISTORY(C10,TODAY()-29,TODAY()-29,0,0,1))-1,"Non-trading days")</f>
        <v>Non-trading days</v>
      </c>
      <c r="J77" s="444" t="str" cm="1">
        <f t="array" aca="1" ref="J77" ca="1">IFERROR((M79/_xlfn.STOCKHISTORY(C11,TODAY()-29,TODAY()-29,0,0,1))-1,"Non-trading days")</f>
        <v>Non-trading days</v>
      </c>
      <c r="K77" s="444" t="str" cm="1">
        <f t="array" aca="1" ref="K77" ca="1">IFERROR((N79/_xlfn.STOCKHISTORY(#REF!,TODAY()-29,TODAY()-29,0,0,1))-1,"Non-trading days")</f>
        <v>Non-trading days</v>
      </c>
      <c r="L77" s="444" t="str" cm="1">
        <f t="array" aca="1" ref="L77" ca="1">IFERROR((L79/_xlfn.STOCKHISTORY(#REF!,TODAY()-29,TODAY()-29,0,0,1))-1,"Non-trading days")</f>
        <v>Non-trading days</v>
      </c>
      <c r="M77" s="444" t="str" cm="1">
        <f t="array" aca="1" ref="M77" ca="1">IFERROR((M79/_xlfn.STOCKHISTORY(#REF!,TODAY()-29,TODAY()-29,0,0,1))-1,"Non-trading days")</f>
        <v>Non-trading days</v>
      </c>
      <c r="N77" s="444" t="str" cm="1">
        <f t="array" aca="1" ref="N77" ca="1">IFERROR((N79/_xlfn.STOCKHISTORY(#REF!,TODAY()-29,TODAY()-29,0,0,1))-1,"Non-trading days")</f>
        <v>Non-trading days</v>
      </c>
      <c r="O77" s="441">
        <f ca="1">IFERROR(AVERAGE(D77:N77),"")</f>
        <v>-3.5481194170718044E-2</v>
      </c>
      <c r="P77" s="403"/>
      <c r="Q77" s="403"/>
      <c r="R77" s="440"/>
      <c r="S77" s="403"/>
      <c r="T77" s="403"/>
      <c r="U77" s="403"/>
      <c r="V77" s="403"/>
      <c r="W77" s="403"/>
      <c r="X77" s="403"/>
      <c r="Y77" s="403"/>
      <c r="Z77" s="403"/>
      <c r="AA77" s="403"/>
      <c r="AB77" s="403"/>
      <c r="AC77" s="403"/>
      <c r="AD77" s="403"/>
      <c r="AE77" s="403"/>
      <c r="AF77" s="403"/>
      <c r="AG77" s="403"/>
      <c r="AH77" s="403"/>
      <c r="AI77" s="403"/>
      <c r="AJ77" s="403"/>
      <c r="AK77" s="403"/>
      <c r="AL77" s="403"/>
      <c r="AM77" s="403"/>
      <c r="AN77" s="403"/>
      <c r="AO77" s="403"/>
      <c r="AP77" s="403"/>
      <c r="AQ77" s="403"/>
      <c r="AR77" s="403"/>
      <c r="AS77" s="403"/>
      <c r="AT77" s="403"/>
      <c r="AU77" s="403"/>
      <c r="AV77" s="403"/>
      <c r="AW77" s="403"/>
      <c r="AX77" s="403"/>
      <c r="AY77" s="403"/>
      <c r="AZ77" s="403"/>
    </row>
    <row r="78" spans="1:52" s="379" customFormat="1" ht="14.25" customHeight="1">
      <c r="A78" s="403"/>
      <c r="B78" s="871" t="s">
        <v>290</v>
      </c>
      <c r="C78" s="403"/>
      <c r="D78" s="939" cm="1">
        <f t="array" aca="1" ref="D78" ca="1">IFERROR((D79/_xlfn.STOCKHISTORY(C5,"2025-01-02","2025-01-02",0,0,1))-1,"Non-trading days")</f>
        <v>0.10504919099113752</v>
      </c>
      <c r="E78" s="939" cm="1">
        <f t="array" aca="1" ref="E78" ca="1">IFERROR((E79/_xlfn.STOCKHISTORY(C6,"2025-01-02","2025-01-02",0,0,1))-1,"Non-trading days")</f>
        <v>0.10899142265601891</v>
      </c>
      <c r="F78" s="939" cm="1">
        <f t="array" aca="1" ref="F78" ca="1">IFERROR((F79/_xlfn.STOCKHISTORY(C7,"2025-01-02","2025-01-02",0,0,1))-1,"Non-trading days")</f>
        <v>0.19991889699918874</v>
      </c>
      <c r="G78" s="939" cm="1">
        <f t="array" aca="1" ref="G78" ca="1">IFERROR((G79/_xlfn.STOCKHISTORY(C8,"2025-01-02","2025-01-02",0,0,1))-1,"Non-trading days")</f>
        <v>-0.42565597667638488</v>
      </c>
      <c r="H78" s="939" t="str" cm="1">
        <f t="array" aca="1" ref="H78" ca="1">IFERROR((K79/_xlfn.STOCKHISTORY(C9,"2025-01-02","2025-01-02",0,0,1))-1,"Non-trading days")</f>
        <v>Non-trading days</v>
      </c>
      <c r="I78" s="939" t="str" cm="1">
        <f t="array" aca="1" ref="I78" ca="1">IFERROR((L79/_xlfn.STOCKHISTORY(C10,"2025-01-02","2025-01-02",0,0,1))-1,"Non-trading days")</f>
        <v>Non-trading days</v>
      </c>
      <c r="J78" s="444" t="str" cm="1">
        <f t="array" aca="1" ref="J78" ca="1">IFERROR((M79/_xlfn.STOCKHISTORY(C11,"2025-01-02","2025-01-02",0,0,1))-1,"Non-trading days")</f>
        <v>Non-trading days</v>
      </c>
      <c r="K78" s="444" t="str" cm="1">
        <f t="array" ref="K78">IFERROR((N79/_xlfn.STOCKHISTORY(#REF!,"2025-01-02","2025-01-02",0,0,1))-1,"Non-trading days")</f>
        <v>Non-trading days</v>
      </c>
      <c r="L78" s="444" t="str" cm="1">
        <f t="array" ref="L78">IFERROR((L79/_xlfn.STOCKHISTORY(#REF!,"2025-01-02","2025-01-02",0,0,1))-1,"Non-trading days")</f>
        <v>Non-trading days</v>
      </c>
      <c r="M78" s="444" t="str" cm="1">
        <f t="array" ref="M78">IFERROR((M79/_xlfn.STOCKHISTORY(#REF!,"2025-01-02","2025-01-02",0,0,1))-1,"Non-trading days")</f>
        <v>Non-trading days</v>
      </c>
      <c r="N78" s="444" t="str" cm="1">
        <f t="array" ref="N78">IFERROR((N79/_xlfn.STOCKHISTORY(#REF!,"2025-01-02","2025-01-02",0,0,1))-1,"Non-trading days")</f>
        <v>Non-trading days</v>
      </c>
      <c r="O78" s="441">
        <f ca="1">IFERROR(AVERAGE(D78:N78),"")</f>
        <v>-2.9241165075099274E-3</v>
      </c>
      <c r="P78" s="403"/>
      <c r="Q78" s="403"/>
      <c r="R78" s="440"/>
      <c r="S78" s="403"/>
      <c r="T78" s="403"/>
      <c r="U78" s="403"/>
      <c r="V78" s="403"/>
      <c r="W78" s="403"/>
      <c r="X78" s="403"/>
      <c r="Y78" s="403"/>
      <c r="Z78" s="403"/>
      <c r="AA78" s="403"/>
      <c r="AB78" s="403"/>
      <c r="AC78" s="403"/>
      <c r="AD78" s="403"/>
      <c r="AE78" s="403"/>
      <c r="AF78" s="403"/>
      <c r="AG78" s="403"/>
      <c r="AH78" s="403"/>
      <c r="AI78" s="403"/>
      <c r="AJ78" s="403"/>
      <c r="AK78" s="403"/>
      <c r="AL78" s="403"/>
      <c r="AM78" s="403"/>
      <c r="AN78" s="403"/>
      <c r="AO78" s="403"/>
      <c r="AP78" s="403"/>
      <c r="AQ78" s="403"/>
      <c r="AR78" s="403"/>
      <c r="AS78" s="403"/>
      <c r="AT78" s="403"/>
      <c r="AU78" s="403"/>
      <c r="AV78" s="403"/>
      <c r="AW78" s="403"/>
      <c r="AX78" s="403"/>
      <c r="AY78" s="403"/>
      <c r="AZ78" s="403"/>
    </row>
    <row r="79" spans="1:52" s="379" customFormat="1" ht="14.25" customHeight="1">
      <c r="A79" s="403"/>
      <c r="B79" s="871" t="s">
        <v>250</v>
      </c>
      <c r="C79" s="403"/>
      <c r="D79" s="940" cm="1">
        <f t="array" aca="1" ref="D79" ca="1">+IFERROR(_FV(D85,"Price"),"")</f>
        <v>135.91</v>
      </c>
      <c r="E79" s="940" cm="1">
        <f t="array" aca="1" ref="E79" ca="1">+IFERROR(_FV(E85,"Price"),"")</f>
        <v>374.95</v>
      </c>
      <c r="F79" s="940" cm="1">
        <f t="array" aca="1" ref="F79" ca="1">+IFERROR(_FV(F85,"Price"),"")</f>
        <v>88.77</v>
      </c>
      <c r="G79" s="940" cm="1">
        <f t="array" aca="1" ref="G79" ca="1">+IFERROR(_FV(G85,"Price"),"")</f>
        <v>3.94</v>
      </c>
      <c r="H79" s="940" cm="1">
        <f t="array" aca="1" ref="H79" ca="1">+IFERROR(_FV(H85,"Price"),"")</f>
        <v>557.82000000000005</v>
      </c>
      <c r="I79" s="940" cm="1">
        <f t="array" aca="1" ref="I79" ca="1">+IFERROR(_FV(I85,"Price"),"")</f>
        <v>14</v>
      </c>
      <c r="J79" s="436" t="str" cm="1">
        <f t="array" ref="J79">+IFERROR(_FV(J85,"Price"),"")</f>
        <v/>
      </c>
      <c r="K79" s="436" t="str" cm="1">
        <f t="array" ref="K79">+IFERROR(_FV(K85,"Price"),"")</f>
        <v/>
      </c>
      <c r="L79" s="436" t="str" cm="1">
        <f t="array" ref="L79">+IFERROR(_FV(L85,"Price"),"")</f>
        <v/>
      </c>
      <c r="M79" s="436" t="str" cm="1">
        <f t="array" ref="M79">+IFERROR(_FV(M85,"Price"),"")</f>
        <v/>
      </c>
      <c r="N79" s="436" t="str" cm="1">
        <f t="array" ref="N79">+IFERROR(_FV(N85,"Price"),"")</f>
        <v/>
      </c>
      <c r="O79" s="441">
        <f ca="1">IFERROR(AVERAGE(D79:N79),"")</f>
        <v>195.89833333333334</v>
      </c>
      <c r="P79" s="403"/>
      <c r="Q79" s="403"/>
      <c r="R79" s="440"/>
      <c r="S79" s="403"/>
      <c r="T79" s="403"/>
      <c r="U79" s="403"/>
      <c r="V79" s="403"/>
      <c r="W79" s="403"/>
      <c r="X79" s="403"/>
      <c r="Y79" s="403"/>
      <c r="Z79" s="403"/>
      <c r="AA79" s="403"/>
      <c r="AB79" s="403"/>
      <c r="AC79" s="403"/>
      <c r="AD79" s="403"/>
      <c r="AE79" s="403"/>
      <c r="AF79" s="403"/>
      <c r="AG79" s="403"/>
      <c r="AH79" s="403"/>
      <c r="AI79" s="403"/>
      <c r="AJ79" s="403"/>
      <c r="AK79" s="403"/>
      <c r="AL79" s="403"/>
      <c r="AM79" s="403"/>
      <c r="AN79" s="403"/>
      <c r="AO79" s="403"/>
      <c r="AP79" s="403"/>
      <c r="AQ79" s="403"/>
      <c r="AR79" s="403"/>
      <c r="AS79" s="403"/>
      <c r="AT79" s="403"/>
      <c r="AU79" s="403"/>
      <c r="AV79" s="403"/>
      <c r="AW79" s="403"/>
      <c r="AX79" s="403"/>
      <c r="AY79" s="403"/>
      <c r="AZ79" s="403"/>
    </row>
    <row r="80" spans="1:52" s="379" customFormat="1" ht="3.75" customHeight="1">
      <c r="A80" s="403"/>
      <c r="B80" s="403"/>
      <c r="C80" s="403"/>
      <c r="D80" s="920"/>
      <c r="E80" s="920"/>
      <c r="F80" s="920"/>
      <c r="G80" s="920"/>
      <c r="H80" s="920"/>
      <c r="I80" s="920"/>
      <c r="J80" s="403"/>
      <c r="K80" s="403"/>
      <c r="L80" s="403"/>
      <c r="M80" s="403"/>
      <c r="N80" s="403"/>
      <c r="O80" s="403"/>
      <c r="P80" s="403"/>
      <c r="Q80" s="403"/>
      <c r="R80" s="440"/>
      <c r="S80" s="403"/>
      <c r="T80" s="403"/>
      <c r="U80" s="403"/>
      <c r="V80" s="403"/>
      <c r="W80" s="403"/>
      <c r="X80" s="403"/>
      <c r="Y80" s="403"/>
      <c r="Z80" s="403"/>
      <c r="AA80" s="403"/>
      <c r="AB80" s="403"/>
      <c r="AC80" s="403"/>
      <c r="AD80" s="403"/>
      <c r="AE80" s="403"/>
      <c r="AF80" s="403"/>
      <c r="AG80" s="403"/>
      <c r="AH80" s="403"/>
      <c r="AI80" s="403"/>
      <c r="AJ80" s="403"/>
      <c r="AK80" s="403"/>
      <c r="AL80" s="403"/>
      <c r="AM80" s="403"/>
      <c r="AN80" s="403"/>
      <c r="AO80" s="403"/>
      <c r="AP80" s="403"/>
      <c r="AQ80" s="403"/>
      <c r="AR80" s="403"/>
      <c r="AS80" s="403"/>
      <c r="AT80" s="403"/>
      <c r="AU80" s="403"/>
      <c r="AV80" s="403"/>
      <c r="AW80" s="403"/>
      <c r="AX80" s="403"/>
      <c r="AY80" s="403"/>
      <c r="AZ80" s="403"/>
    </row>
    <row r="81" spans="1:52" s="382" customFormat="1" ht="14.25" customHeight="1">
      <c r="A81" s="410"/>
      <c r="B81" s="575" t="s">
        <v>291</v>
      </c>
      <c r="C81" s="576"/>
      <c r="D81" s="941"/>
      <c r="E81" s="941"/>
      <c r="F81" s="941"/>
      <c r="G81" s="941"/>
      <c r="H81" s="941"/>
      <c r="I81" s="941"/>
      <c r="J81" s="575"/>
      <c r="K81" s="575"/>
      <c r="L81" s="575"/>
      <c r="M81" s="575"/>
      <c r="N81" s="575"/>
      <c r="O81" s="575"/>
      <c r="P81" s="410"/>
      <c r="Q81" s="410"/>
      <c r="R81" s="577"/>
      <c r="S81" s="410"/>
      <c r="T81" s="410"/>
      <c r="U81" s="410"/>
      <c r="V81" s="410"/>
      <c r="W81" s="410"/>
      <c r="X81" s="410"/>
      <c r="Y81" s="410"/>
      <c r="Z81" s="410"/>
      <c r="AA81" s="410"/>
      <c r="AB81" s="410"/>
      <c r="AC81" s="410"/>
      <c r="AD81" s="410"/>
      <c r="AE81" s="410"/>
      <c r="AF81" s="410"/>
      <c r="AG81" s="410"/>
      <c r="AH81" s="410"/>
      <c r="AI81" s="410"/>
      <c r="AJ81" s="410"/>
      <c r="AK81" s="410"/>
      <c r="AL81" s="410"/>
      <c r="AM81" s="410"/>
      <c r="AN81" s="410"/>
      <c r="AO81" s="410"/>
      <c r="AP81" s="410"/>
      <c r="AQ81" s="410"/>
      <c r="AR81" s="410"/>
      <c r="AS81" s="410"/>
      <c r="AT81" s="410"/>
      <c r="AU81" s="410"/>
      <c r="AV81" s="410"/>
      <c r="AW81" s="410"/>
      <c r="AX81" s="410"/>
      <c r="AY81" s="410"/>
      <c r="AZ81" s="410"/>
    </row>
    <row r="82" spans="1:52" s="379" customFormat="1" ht="3.75" customHeight="1">
      <c r="A82" s="403"/>
      <c r="B82" s="428"/>
      <c r="C82" s="428"/>
      <c r="D82" s="914"/>
      <c r="E82" s="914"/>
      <c r="F82" s="914"/>
      <c r="G82" s="914"/>
      <c r="H82" s="914"/>
      <c r="I82" s="914"/>
      <c r="J82" s="428"/>
      <c r="K82" s="428"/>
      <c r="L82" s="428"/>
      <c r="M82" s="428"/>
      <c r="N82" s="428"/>
      <c r="O82" s="428"/>
      <c r="P82" s="403"/>
      <c r="Q82" s="403"/>
      <c r="R82" s="440"/>
      <c r="S82" s="403"/>
      <c r="T82" s="403"/>
      <c r="U82" s="403"/>
      <c r="V82" s="403"/>
      <c r="W82" s="403"/>
      <c r="X82" s="403"/>
      <c r="Y82" s="403"/>
      <c r="Z82" s="403"/>
      <c r="AA82" s="403"/>
      <c r="AB82" s="403"/>
      <c r="AC82" s="403"/>
      <c r="AD82" s="403"/>
      <c r="AE82" s="403"/>
      <c r="AF82" s="403"/>
      <c r="AG82" s="403"/>
      <c r="AH82" s="403"/>
      <c r="AI82" s="403"/>
      <c r="AJ82" s="403"/>
      <c r="AK82" s="403"/>
      <c r="AL82" s="403"/>
      <c r="AM82" s="403"/>
      <c r="AN82" s="403"/>
      <c r="AO82" s="403"/>
      <c r="AP82" s="403"/>
      <c r="AQ82" s="403"/>
      <c r="AR82" s="403"/>
      <c r="AS82" s="403"/>
      <c r="AT82" s="403"/>
      <c r="AU82" s="403"/>
      <c r="AV82" s="403"/>
      <c r="AW82" s="403"/>
      <c r="AX82" s="403"/>
      <c r="AY82" s="403"/>
      <c r="AZ82" s="403"/>
    </row>
    <row r="83" spans="1:52" s="379" customFormat="1" ht="14.25" customHeight="1">
      <c r="A83" s="403"/>
      <c r="B83" s="403" t="s">
        <v>292</v>
      </c>
      <c r="C83" s="403"/>
      <c r="D83" s="920"/>
      <c r="E83" s="920"/>
      <c r="F83" s="920"/>
      <c r="G83" s="920"/>
      <c r="H83" s="920"/>
      <c r="I83" s="920"/>
      <c r="J83" s="403"/>
      <c r="K83" s="403"/>
      <c r="L83" s="403"/>
      <c r="M83" s="403"/>
      <c r="N83" s="403"/>
      <c r="O83" s="403"/>
      <c r="P83" s="403"/>
      <c r="Q83" s="403"/>
      <c r="R83" s="440"/>
      <c r="S83" s="403"/>
      <c r="T83" s="403"/>
      <c r="U83" s="403"/>
      <c r="V83" s="403"/>
      <c r="W83" s="403"/>
      <c r="X83" s="403"/>
      <c r="Y83" s="403"/>
      <c r="Z83" s="403"/>
      <c r="AA83" s="403"/>
      <c r="AB83" s="403"/>
      <c r="AC83" s="403"/>
      <c r="AD83" s="403"/>
      <c r="AE83" s="403"/>
      <c r="AF83" s="403"/>
      <c r="AG83" s="403"/>
      <c r="AH83" s="403"/>
      <c r="AI83" s="403"/>
      <c r="AJ83" s="403"/>
      <c r="AK83" s="403"/>
      <c r="AL83" s="403"/>
      <c r="AM83" s="403"/>
      <c r="AN83" s="403"/>
      <c r="AO83" s="403"/>
      <c r="AP83" s="403"/>
      <c r="AQ83" s="403"/>
      <c r="AR83" s="403"/>
      <c r="AS83" s="403"/>
      <c r="AT83" s="403"/>
      <c r="AU83" s="403"/>
      <c r="AV83" s="403"/>
      <c r="AW83" s="403"/>
      <c r="AX83" s="403"/>
      <c r="AY83" s="403"/>
      <c r="AZ83" s="403"/>
    </row>
    <row r="84" spans="1:52" s="379" customFormat="1" ht="5.25" customHeight="1">
      <c r="A84" s="403"/>
      <c r="B84" s="403"/>
      <c r="C84" s="403"/>
      <c r="D84" s="920"/>
      <c r="E84" s="920"/>
      <c r="F84" s="920"/>
      <c r="G84" s="920"/>
      <c r="H84" s="920"/>
      <c r="I84" s="920"/>
      <c r="J84" s="403"/>
      <c r="K84" s="403"/>
      <c r="L84" s="403"/>
      <c r="M84" s="403"/>
      <c r="N84" s="403"/>
      <c r="O84" s="403"/>
      <c r="P84" s="403"/>
      <c r="Q84" s="403"/>
      <c r="R84" s="440"/>
      <c r="S84" s="403"/>
      <c r="T84" s="403"/>
      <c r="U84" s="403"/>
      <c r="V84" s="403"/>
      <c r="W84" s="403"/>
      <c r="X84" s="403"/>
      <c r="Y84" s="403"/>
      <c r="Z84" s="403"/>
      <c r="AA84" s="403"/>
      <c r="AB84" s="403"/>
      <c r="AC84" s="403"/>
      <c r="AD84" s="403"/>
      <c r="AE84" s="403"/>
      <c r="AF84" s="403"/>
      <c r="AG84" s="403"/>
      <c r="AH84" s="403"/>
      <c r="AI84" s="403"/>
      <c r="AJ84" s="403"/>
      <c r="AK84" s="403"/>
      <c r="AL84" s="403"/>
      <c r="AM84" s="403"/>
      <c r="AN84" s="403"/>
      <c r="AO84" s="403"/>
      <c r="AP84" s="403"/>
      <c r="AQ84" s="403"/>
      <c r="AR84" s="403"/>
      <c r="AS84" s="403"/>
      <c r="AT84" s="403"/>
      <c r="AU84" s="403"/>
      <c r="AV84" s="403"/>
      <c r="AW84" s="403"/>
      <c r="AX84" s="403"/>
      <c r="AY84" s="403"/>
      <c r="AZ84" s="403"/>
    </row>
    <row r="85" spans="1:52" s="379" customFormat="1" ht="24.75" customHeight="1">
      <c r="A85" s="403"/>
      <c r="B85" s="445" t="s">
        <v>293</v>
      </c>
      <c r="C85" s="430"/>
      <c r="D85" s="942" t="e" vm="2">
        <f>+DCF!R4</f>
        <v>#VALUE!</v>
      </c>
      <c r="E85" s="943" t="e" vm="3">
        <f>A6</f>
        <v>#VALUE!</v>
      </c>
      <c r="F85" s="944" t="e" vm="4">
        <f>A7</f>
        <v>#VALUE!</v>
      </c>
      <c r="G85" s="945" t="e" vm="5">
        <f>A8</f>
        <v>#VALUE!</v>
      </c>
      <c r="H85" s="946" t="e" vm="6">
        <f>A9</f>
        <v>#VALUE!</v>
      </c>
      <c r="I85" s="946" t="e" vm="7">
        <f>A10</f>
        <v>#VALUE!</v>
      </c>
      <c r="J85" s="633" t="e" vm="10">
        <v>#VALUE!</v>
      </c>
      <c r="K85" s="633" t="s">
        <v>294</v>
      </c>
      <c r="L85" s="633" t="s">
        <v>295</v>
      </c>
      <c r="M85" s="633" t="s">
        <v>296</v>
      </c>
      <c r="N85" s="392" t="s">
        <v>297</v>
      </c>
      <c r="O85" s="403"/>
      <c r="P85" s="403"/>
      <c r="Q85" s="403"/>
      <c r="R85" s="440"/>
      <c r="S85" s="403"/>
      <c r="T85" s="403"/>
      <c r="U85" s="403"/>
      <c r="V85" s="403"/>
      <c r="W85" s="403"/>
      <c r="X85" s="403"/>
      <c r="Y85" s="403"/>
      <c r="Z85" s="403"/>
      <c r="AA85" s="403"/>
      <c r="AB85" s="403"/>
      <c r="AC85" s="403"/>
      <c r="AD85" s="403"/>
      <c r="AE85" s="403"/>
      <c r="AF85" s="403"/>
      <c r="AG85" s="403"/>
      <c r="AH85" s="403"/>
      <c r="AI85" s="403"/>
      <c r="AJ85" s="403"/>
      <c r="AK85" s="403"/>
      <c r="AL85" s="403"/>
      <c r="AM85" s="403"/>
      <c r="AN85" s="403"/>
      <c r="AO85" s="403"/>
      <c r="AP85" s="403"/>
      <c r="AQ85" s="403"/>
      <c r="AR85" s="403"/>
      <c r="AS85" s="403"/>
      <c r="AT85" s="403"/>
      <c r="AU85" s="403"/>
      <c r="AV85" s="403"/>
      <c r="AW85" s="403"/>
      <c r="AX85" s="403"/>
      <c r="AY85" s="403"/>
      <c r="AZ85" s="403"/>
    </row>
    <row r="86" spans="1:52" s="379" customFormat="1" ht="3.75" customHeight="1">
      <c r="A86" s="403"/>
      <c r="B86" s="446"/>
      <c r="C86" s="434"/>
      <c r="D86" s="947"/>
      <c r="E86" s="948"/>
      <c r="F86" s="949"/>
      <c r="G86" s="950"/>
      <c r="H86" s="951"/>
      <c r="I86" s="951"/>
      <c r="J86" s="634"/>
      <c r="K86" s="634"/>
      <c r="L86" s="634"/>
      <c r="M86" s="634"/>
      <c r="N86" s="395"/>
      <c r="O86" s="403"/>
      <c r="P86" s="403"/>
      <c r="Q86" s="403"/>
      <c r="R86" s="440"/>
      <c r="S86" s="403"/>
      <c r="T86" s="403"/>
      <c r="U86" s="403"/>
      <c r="V86" s="403"/>
      <c r="W86" s="403"/>
      <c r="X86" s="403"/>
      <c r="Y86" s="403"/>
      <c r="Z86" s="403"/>
      <c r="AA86" s="403"/>
      <c r="AB86" s="403"/>
      <c r="AC86" s="403"/>
      <c r="AD86" s="403"/>
      <c r="AE86" s="403"/>
      <c r="AF86" s="403"/>
      <c r="AG86" s="403"/>
      <c r="AH86" s="403"/>
      <c r="AI86" s="403"/>
      <c r="AJ86" s="403"/>
      <c r="AK86" s="403"/>
      <c r="AL86" s="403"/>
      <c r="AM86" s="403"/>
      <c r="AN86" s="403"/>
      <c r="AO86" s="403"/>
      <c r="AP86" s="403"/>
      <c r="AQ86" s="403"/>
      <c r="AR86" s="403"/>
      <c r="AS86" s="403"/>
      <c r="AT86" s="403"/>
      <c r="AU86" s="403"/>
      <c r="AV86" s="403"/>
      <c r="AW86" s="403"/>
      <c r="AX86" s="403"/>
      <c r="AY86" s="403"/>
      <c r="AZ86" s="403"/>
    </row>
    <row r="87" spans="1:52" s="379" customFormat="1" ht="14.25" customHeight="1">
      <c r="A87" s="403"/>
      <c r="B87" s="447" t="str">
        <f>+Inputs!$B$6&amp;" ("&amp;Inputs!O$4&amp;")"</f>
        <v>Revenue (Sales) (2022)</v>
      </c>
      <c r="C87" s="448"/>
      <c r="D87" s="952">
        <f>+_xlfn.XLOOKUP("Revenue (Sales)",Inputs!$B:$B,Inputs!O:O)</f>
        <v>392.2</v>
      </c>
      <c r="E87" s="953">
        <v>38260</v>
      </c>
      <c r="F87" s="954">
        <v>17737</v>
      </c>
      <c r="G87" s="955">
        <v>5304</v>
      </c>
      <c r="H87" s="956">
        <v>8631</v>
      </c>
      <c r="I87" s="957">
        <v>8169</v>
      </c>
      <c r="J87" s="857">
        <v>5671</v>
      </c>
      <c r="K87" s="635"/>
      <c r="L87" s="635"/>
      <c r="M87" s="635"/>
      <c r="N87" s="451"/>
      <c r="O87" s="403"/>
      <c r="P87" s="403"/>
      <c r="Q87" s="403"/>
      <c r="R87" s="440"/>
      <c r="S87" s="403"/>
      <c r="T87" s="403"/>
      <c r="U87" s="403"/>
      <c r="V87" s="403"/>
      <c r="W87" s="403"/>
      <c r="X87" s="403"/>
      <c r="Y87" s="403"/>
      <c r="Z87" s="403"/>
      <c r="AA87" s="403"/>
      <c r="AB87" s="403"/>
      <c r="AC87" s="403"/>
      <c r="AD87" s="403"/>
      <c r="AE87" s="403"/>
      <c r="AF87" s="403"/>
      <c r="AG87" s="403"/>
      <c r="AH87" s="403"/>
      <c r="AI87" s="403"/>
      <c r="AJ87" s="403"/>
      <c r="AK87" s="403"/>
      <c r="AL87" s="403"/>
      <c r="AM87" s="403"/>
      <c r="AN87" s="403"/>
      <c r="AO87" s="403"/>
      <c r="AP87" s="403"/>
      <c r="AQ87" s="403"/>
      <c r="AR87" s="403"/>
      <c r="AS87" s="403"/>
      <c r="AT87" s="403"/>
      <c r="AU87" s="403"/>
      <c r="AV87" s="403"/>
      <c r="AW87" s="403"/>
      <c r="AX87" s="403"/>
      <c r="AY87" s="403"/>
      <c r="AZ87" s="403"/>
    </row>
    <row r="88" spans="1:52" s="379" customFormat="1" ht="14.25" customHeight="1">
      <c r="A88" s="403"/>
      <c r="B88" s="452" t="str">
        <f>+Inputs!$B$6&amp;" ("&amp;Inputs!P$4&amp;")"</f>
        <v>Revenue (Sales) (2023)</v>
      </c>
      <c r="C88" s="403"/>
      <c r="D88" s="958">
        <f>+_xlfn.XLOOKUP("Revenue (Sales)",Inputs!$B:$B,Inputs!P:P)</f>
        <v>578.79999999999995</v>
      </c>
      <c r="E88" s="959">
        <v>41182</v>
      </c>
      <c r="F88" s="960">
        <v>15910</v>
      </c>
      <c r="G88" s="961">
        <v>5554</v>
      </c>
      <c r="H88" s="962">
        <v>10209</v>
      </c>
      <c r="I88" s="963">
        <v>6939</v>
      </c>
      <c r="J88" s="853">
        <v>3974</v>
      </c>
      <c r="K88" s="636"/>
      <c r="L88" s="636"/>
      <c r="M88" s="636"/>
      <c r="N88" s="455"/>
      <c r="O88" s="403"/>
      <c r="P88" s="403"/>
      <c r="Q88" s="403"/>
      <c r="R88" s="440"/>
      <c r="S88" s="403"/>
      <c r="T88" s="403"/>
      <c r="U88" s="403"/>
      <c r="V88" s="403"/>
      <c r="W88" s="403"/>
      <c r="X88" s="403"/>
      <c r="Y88" s="403"/>
      <c r="Z88" s="403"/>
      <c r="AA88" s="403"/>
      <c r="AB88" s="403"/>
      <c r="AC88" s="403"/>
      <c r="AD88" s="403"/>
      <c r="AE88" s="403"/>
      <c r="AF88" s="403"/>
      <c r="AG88" s="403"/>
      <c r="AH88" s="403"/>
      <c r="AI88" s="403"/>
      <c r="AJ88" s="403"/>
      <c r="AK88" s="403"/>
      <c r="AL88" s="403"/>
      <c r="AM88" s="403"/>
      <c r="AN88" s="403"/>
      <c r="AO88" s="403"/>
      <c r="AP88" s="403"/>
      <c r="AQ88" s="403"/>
      <c r="AR88" s="403"/>
      <c r="AS88" s="403"/>
      <c r="AT88" s="403"/>
      <c r="AU88" s="403"/>
      <c r="AV88" s="403"/>
      <c r="AW88" s="403"/>
      <c r="AX88" s="403"/>
      <c r="AY88" s="403"/>
      <c r="AZ88" s="403"/>
    </row>
    <row r="89" spans="1:52" s="379" customFormat="1" ht="14.25" customHeight="1">
      <c r="A89" s="403"/>
      <c r="B89" s="452" t="s">
        <v>298</v>
      </c>
      <c r="C89" s="403"/>
      <c r="D89" s="958">
        <f>+_xlfn.XLOOKUP("EBITDA",Inputs!$B:$B,Inputs!P:P)</f>
        <v>68.099999999999966</v>
      </c>
      <c r="E89" s="959">
        <v>8970</v>
      </c>
      <c r="F89" s="960">
        <v>3011</v>
      </c>
      <c r="G89" s="964">
        <v>898</v>
      </c>
      <c r="H89" s="962">
        <v>2207</v>
      </c>
      <c r="I89" s="965">
        <v>805</v>
      </c>
      <c r="J89" s="852">
        <v>791</v>
      </c>
      <c r="K89" s="636"/>
      <c r="L89" s="636"/>
      <c r="M89" s="636"/>
      <c r="N89" s="455"/>
      <c r="O89" s="403"/>
      <c r="P89" s="403"/>
      <c r="Q89" s="403"/>
      <c r="R89" s="440"/>
      <c r="S89" s="403"/>
      <c r="T89" s="403"/>
      <c r="U89" s="403"/>
      <c r="V89" s="403"/>
      <c r="W89" s="403"/>
      <c r="X89" s="403"/>
      <c r="Y89" s="403"/>
      <c r="Z89" s="403"/>
      <c r="AA89" s="403"/>
      <c r="AB89" s="403"/>
      <c r="AC89" s="403"/>
      <c r="AD89" s="403"/>
      <c r="AE89" s="403"/>
      <c r="AF89" s="403"/>
      <c r="AG89" s="403"/>
      <c r="AH89" s="403"/>
      <c r="AI89" s="403"/>
      <c r="AJ89" s="403"/>
      <c r="AK89" s="403"/>
      <c r="AL89" s="403"/>
      <c r="AM89" s="403"/>
      <c r="AN89" s="403"/>
      <c r="AO89" s="403"/>
      <c r="AP89" s="403"/>
      <c r="AQ89" s="403"/>
      <c r="AR89" s="403"/>
      <c r="AS89" s="403"/>
      <c r="AT89" s="403"/>
      <c r="AU89" s="403"/>
      <c r="AV89" s="403"/>
      <c r="AW89" s="403"/>
      <c r="AX89" s="403"/>
      <c r="AY89" s="403"/>
      <c r="AZ89" s="403"/>
    </row>
    <row r="90" spans="1:52" s="379" customFormat="1" ht="14.25" customHeight="1">
      <c r="A90" s="403"/>
      <c r="B90" s="447" t="s">
        <v>299</v>
      </c>
      <c r="C90" s="448"/>
      <c r="D90" s="952">
        <f>+_xlfn.XLOOKUP("Net Income",Inputs!$B:$B,Inputs!P:P)</f>
        <v>61.499999999999957</v>
      </c>
      <c r="E90" s="953">
        <v>6184</v>
      </c>
      <c r="F90" s="954">
        <v>1248</v>
      </c>
      <c r="G90" s="966">
        <v>193</v>
      </c>
      <c r="H90" s="956">
        <v>1248</v>
      </c>
      <c r="I90" s="967">
        <v>201</v>
      </c>
      <c r="J90" s="859">
        <v>225</v>
      </c>
      <c r="K90" s="635"/>
      <c r="L90" s="635"/>
      <c r="M90" s="635"/>
      <c r="N90" s="451"/>
      <c r="O90" s="403"/>
      <c r="P90" s="403"/>
      <c r="Q90" s="403"/>
      <c r="R90" s="440"/>
      <c r="S90" s="403"/>
      <c r="T90" s="403"/>
      <c r="U90" s="403"/>
      <c r="V90" s="403"/>
      <c r="W90" s="403"/>
      <c r="X90" s="403"/>
      <c r="Y90" s="403"/>
      <c r="Z90" s="403"/>
      <c r="AA90" s="403"/>
      <c r="AB90" s="403"/>
      <c r="AC90" s="403"/>
      <c r="AD90" s="403"/>
      <c r="AE90" s="403"/>
      <c r="AF90" s="403"/>
      <c r="AG90" s="403"/>
      <c r="AH90" s="403"/>
      <c r="AI90" s="403"/>
      <c r="AJ90" s="403"/>
      <c r="AK90" s="403"/>
      <c r="AL90" s="403"/>
      <c r="AM90" s="403"/>
      <c r="AN90" s="403"/>
      <c r="AO90" s="403"/>
      <c r="AP90" s="403"/>
      <c r="AQ90" s="403"/>
      <c r="AR90" s="403"/>
      <c r="AS90" s="403"/>
      <c r="AT90" s="403"/>
      <c r="AU90" s="403"/>
      <c r="AV90" s="403"/>
      <c r="AW90" s="403"/>
      <c r="AX90" s="403"/>
      <c r="AY90" s="403"/>
      <c r="AZ90" s="403"/>
    </row>
    <row r="91" spans="1:52" s="379" customFormat="1" ht="14.25" customHeight="1">
      <c r="A91" s="403"/>
      <c r="B91" s="452" t="str">
        <f>+Inputs!$B$6&amp;" ("&amp;Inputs!Q$4&amp;")"</f>
        <v>Revenue (Sales) (2024)</v>
      </c>
      <c r="C91" s="403"/>
      <c r="D91" s="958">
        <f>+_xlfn.XLOOKUP("Revenue (Sales)",Inputs!$B:$B,Inputs!Q:Q)</f>
        <v>1023.9</v>
      </c>
      <c r="E91" s="968">
        <v>43486</v>
      </c>
      <c r="F91" s="960">
        <v>15608</v>
      </c>
      <c r="G91" s="961">
        <v>6118</v>
      </c>
      <c r="H91" s="962">
        <v>11207</v>
      </c>
      <c r="I91" s="963">
        <v>6545</v>
      </c>
      <c r="J91" s="853">
        <v>4487</v>
      </c>
      <c r="K91" s="636"/>
      <c r="L91" s="636"/>
      <c r="M91" s="636"/>
      <c r="N91" s="455"/>
      <c r="O91" s="403"/>
      <c r="P91" s="403"/>
      <c r="Q91" s="403"/>
      <c r="R91" s="440"/>
      <c r="S91" s="403"/>
      <c r="T91" s="403"/>
      <c r="U91" s="403"/>
      <c r="V91" s="403"/>
      <c r="W91" s="403"/>
      <c r="X91" s="403"/>
      <c r="Y91" s="403"/>
      <c r="Z91" s="403"/>
      <c r="AA91" s="403"/>
      <c r="AB91" s="403"/>
      <c r="AC91" s="403"/>
      <c r="AD91" s="403"/>
      <c r="AE91" s="403"/>
      <c r="AF91" s="403"/>
      <c r="AG91" s="403"/>
      <c r="AH91" s="403"/>
      <c r="AI91" s="403"/>
      <c r="AJ91" s="403"/>
      <c r="AK91" s="403"/>
      <c r="AL91" s="403"/>
      <c r="AM91" s="403"/>
      <c r="AN91" s="403"/>
      <c r="AO91" s="403"/>
      <c r="AP91" s="403"/>
      <c r="AQ91" s="403"/>
      <c r="AR91" s="403"/>
      <c r="AS91" s="403"/>
      <c r="AT91" s="403"/>
      <c r="AU91" s="403"/>
      <c r="AV91" s="403"/>
      <c r="AW91" s="403"/>
      <c r="AX91" s="403"/>
      <c r="AY91" s="403"/>
      <c r="AZ91" s="403"/>
    </row>
    <row r="92" spans="1:52" s="379" customFormat="1" ht="14.25" customHeight="1">
      <c r="A92" s="403"/>
      <c r="B92" s="457" t="s">
        <v>300</v>
      </c>
      <c r="C92" s="403"/>
      <c r="D92" s="958">
        <f>+_xlfn.XLOOKUP($B92,Inputs!$B:$B,Inputs!Q:Q)</f>
        <v>299.8</v>
      </c>
      <c r="E92" s="959">
        <v>11227</v>
      </c>
      <c r="F92" s="960">
        <v>4423</v>
      </c>
      <c r="G92" s="961">
        <v>2142</v>
      </c>
      <c r="H92" s="962">
        <v>6826</v>
      </c>
      <c r="I92" s="963">
        <v>1568</v>
      </c>
      <c r="J92" s="853">
        <v>1560</v>
      </c>
      <c r="K92" s="636"/>
      <c r="L92" s="636"/>
      <c r="M92" s="636"/>
      <c r="N92" s="455"/>
      <c r="O92" s="403"/>
      <c r="P92" s="403"/>
      <c r="Q92" s="403"/>
      <c r="R92" s="440"/>
      <c r="S92" s="403"/>
      <c r="T92" s="403"/>
      <c r="U92" s="403"/>
      <c r="V92" s="403"/>
      <c r="W92" s="403"/>
      <c r="X92" s="403"/>
      <c r="Y92" s="403"/>
      <c r="Z92" s="403"/>
      <c r="AA92" s="403"/>
      <c r="AB92" s="403"/>
      <c r="AC92" s="403"/>
      <c r="AD92" s="403"/>
      <c r="AE92" s="403"/>
      <c r="AF92" s="403"/>
      <c r="AG92" s="403"/>
      <c r="AH92" s="403"/>
      <c r="AI92" s="403"/>
      <c r="AJ92" s="403"/>
      <c r="AK92" s="403"/>
      <c r="AL92" s="403"/>
      <c r="AM92" s="403"/>
      <c r="AN92" s="403"/>
      <c r="AO92" s="403"/>
      <c r="AP92" s="403"/>
      <c r="AQ92" s="403"/>
      <c r="AR92" s="403"/>
      <c r="AS92" s="403"/>
      <c r="AT92" s="403"/>
      <c r="AU92" s="403"/>
      <c r="AV92" s="403"/>
      <c r="AW92" s="403"/>
      <c r="AX92" s="403"/>
      <c r="AY92" s="403"/>
      <c r="AZ92" s="403"/>
    </row>
    <row r="93" spans="1:52" s="379" customFormat="1" ht="14.25" customHeight="1">
      <c r="A93" s="403"/>
      <c r="B93" s="458" t="s">
        <v>301</v>
      </c>
      <c r="C93" s="403"/>
      <c r="D93" s="958">
        <f>+_xlfn.XLOOKUP($B93,Inputs!$B:$B,Inputs!Q:Q)</f>
        <v>724.09999999999991</v>
      </c>
      <c r="E93" s="969">
        <f>+E91-E92</f>
        <v>32259</v>
      </c>
      <c r="F93" s="960">
        <v>11185</v>
      </c>
      <c r="G93" s="961">
        <v>3976</v>
      </c>
      <c r="H93" s="962">
        <v>4381</v>
      </c>
      <c r="I93" s="963">
        <v>4976</v>
      </c>
      <c r="J93" s="853">
        <v>2928</v>
      </c>
      <c r="K93" s="846">
        <f>+K91-K92</f>
        <v>0</v>
      </c>
      <c r="L93" s="846">
        <f>+L91-L92</f>
        <v>0</v>
      </c>
      <c r="M93" s="846">
        <f>+M91-M92</f>
        <v>0</v>
      </c>
      <c r="N93" s="459">
        <f>+N91-N92</f>
        <v>0</v>
      </c>
      <c r="O93" s="420"/>
      <c r="P93" s="420"/>
      <c r="Q93" s="420"/>
      <c r="R93" s="117"/>
      <c r="S93" s="403"/>
      <c r="T93" s="403"/>
      <c r="U93" s="403"/>
      <c r="V93" s="403"/>
      <c r="W93" s="403"/>
      <c r="X93" s="403"/>
      <c r="Y93" s="403"/>
      <c r="Z93" s="403"/>
      <c r="AA93" s="403"/>
      <c r="AB93" s="403"/>
      <c r="AC93" s="403"/>
      <c r="AD93" s="403"/>
      <c r="AE93" s="403"/>
      <c r="AF93" s="403"/>
      <c r="AG93" s="403"/>
      <c r="AH93" s="403"/>
      <c r="AI93" s="403"/>
      <c r="AJ93" s="403"/>
      <c r="AK93" s="403"/>
      <c r="AL93" s="403"/>
      <c r="AM93" s="403"/>
      <c r="AN93" s="403"/>
      <c r="AO93" s="403"/>
      <c r="AP93" s="403"/>
      <c r="AQ93" s="403"/>
      <c r="AR93" s="403"/>
      <c r="AS93" s="403"/>
      <c r="AT93" s="403"/>
      <c r="AU93" s="403"/>
      <c r="AV93" s="403"/>
      <c r="AW93" s="403"/>
      <c r="AX93" s="403"/>
      <c r="AY93" s="403"/>
      <c r="AZ93" s="403"/>
    </row>
    <row r="94" spans="1:52" s="379" customFormat="1" ht="14.25" customHeight="1">
      <c r="A94" s="403"/>
      <c r="B94" s="457" t="s">
        <v>245</v>
      </c>
      <c r="C94" s="403"/>
      <c r="D94" s="958">
        <f>+_xlfn.XLOOKUP($B94,Inputs!$B:$B,Inputs!Q:Q)</f>
        <v>149.69999999999993</v>
      </c>
      <c r="E94" s="968">
        <v>9642</v>
      </c>
      <c r="F94" s="960">
        <v>2871</v>
      </c>
      <c r="G94" s="961">
        <v>1060</v>
      </c>
      <c r="H94" s="962">
        <v>2276</v>
      </c>
      <c r="I94" s="965">
        <v>729</v>
      </c>
      <c r="J94" s="852">
        <v>715</v>
      </c>
      <c r="K94" s="625"/>
      <c r="L94" s="625"/>
      <c r="M94" s="625"/>
      <c r="N94" s="455"/>
      <c r="O94" s="403"/>
      <c r="P94" s="403"/>
      <c r="Q94" s="403"/>
      <c r="R94" s="403"/>
      <c r="S94" s="403"/>
      <c r="T94" s="403"/>
      <c r="U94" s="403"/>
      <c r="V94" s="403"/>
      <c r="W94" s="403"/>
      <c r="X94" s="403"/>
      <c r="Y94" s="403"/>
      <c r="Z94" s="403"/>
      <c r="AA94" s="403"/>
      <c r="AB94" s="403"/>
      <c r="AC94" s="403"/>
      <c r="AD94" s="403"/>
      <c r="AE94" s="403"/>
      <c r="AF94" s="403"/>
      <c r="AG94" s="403"/>
      <c r="AH94" s="403"/>
      <c r="AI94" s="403"/>
      <c r="AJ94" s="403"/>
      <c r="AK94" s="403"/>
      <c r="AL94" s="403"/>
      <c r="AM94" s="403"/>
      <c r="AN94" s="403"/>
      <c r="AO94" s="403"/>
      <c r="AP94" s="403"/>
      <c r="AQ94" s="403"/>
      <c r="AR94" s="403"/>
      <c r="AS94" s="403"/>
      <c r="AT94" s="403"/>
      <c r="AU94" s="403"/>
      <c r="AV94" s="403"/>
      <c r="AW94" s="403"/>
      <c r="AX94" s="403"/>
      <c r="AY94" s="403"/>
      <c r="AZ94" s="403"/>
    </row>
    <row r="95" spans="1:52" s="379" customFormat="1" ht="14.25" customHeight="1">
      <c r="A95" s="403"/>
      <c r="B95" s="457" t="s">
        <v>302</v>
      </c>
      <c r="C95" s="403"/>
      <c r="D95" s="958">
        <f>+_xlfn.XLOOKUP($B95,Inputs!$B:$B,Inputs!Q:Q)</f>
        <v>113.79999999999993</v>
      </c>
      <c r="E95" s="968">
        <v>8676</v>
      </c>
      <c r="F95" s="960">
        <v>1588</v>
      </c>
      <c r="G95" s="964">
        <v>581</v>
      </c>
      <c r="H95" s="962">
        <v>1689</v>
      </c>
      <c r="I95" s="965">
        <v>229</v>
      </c>
      <c r="J95" s="852">
        <v>534</v>
      </c>
      <c r="K95" s="625"/>
      <c r="L95" s="625"/>
      <c r="M95" s="625"/>
      <c r="N95" s="455"/>
      <c r="O95" s="403"/>
      <c r="P95" s="403"/>
      <c r="Q95" s="403"/>
      <c r="R95" s="403"/>
      <c r="S95" s="403"/>
      <c r="T95" s="403"/>
      <c r="U95" s="403"/>
      <c r="V95" s="403"/>
      <c r="W95" s="403"/>
      <c r="X95" s="403"/>
      <c r="Y95" s="403"/>
      <c r="Z95" s="403"/>
      <c r="AA95" s="403"/>
      <c r="AB95" s="403"/>
      <c r="AC95" s="403"/>
      <c r="AD95" s="403"/>
      <c r="AE95" s="403"/>
      <c r="AF95" s="403"/>
      <c r="AG95" s="403"/>
      <c r="AH95" s="403"/>
      <c r="AI95" s="403"/>
      <c r="AJ95" s="403"/>
      <c r="AK95" s="403"/>
      <c r="AL95" s="403"/>
      <c r="AM95" s="403"/>
      <c r="AN95" s="403"/>
      <c r="AO95" s="403"/>
      <c r="AP95" s="403"/>
      <c r="AQ95" s="403"/>
      <c r="AR95" s="403"/>
      <c r="AS95" s="403"/>
      <c r="AT95" s="403"/>
      <c r="AU95" s="403"/>
      <c r="AV95" s="403"/>
      <c r="AW95" s="403"/>
      <c r="AX95" s="403"/>
      <c r="AY95" s="403"/>
      <c r="AZ95" s="403"/>
    </row>
    <row r="96" spans="1:52" s="379" customFormat="1" ht="14.25" customHeight="1">
      <c r="A96" s="403"/>
      <c r="B96" s="457" t="s">
        <v>303</v>
      </c>
      <c r="C96" s="403"/>
      <c r="D96" s="958">
        <f>+_xlfn.XLOOKUP($B96,Inputs!$B:$B,Inputs!Q:Q)</f>
        <v>7</v>
      </c>
      <c r="E96" s="968">
        <v>219</v>
      </c>
      <c r="F96" s="970">
        <v>211</v>
      </c>
      <c r="G96" s="964">
        <v>252</v>
      </c>
      <c r="H96" s="971">
        <v>-18</v>
      </c>
      <c r="I96" s="965">
        <v>-21</v>
      </c>
      <c r="J96" s="852">
        <v>46</v>
      </c>
      <c r="K96" s="625"/>
      <c r="L96" s="639"/>
      <c r="M96" s="639"/>
      <c r="N96" s="459"/>
      <c r="O96" s="403"/>
      <c r="P96" s="403"/>
      <c r="Q96" s="403"/>
      <c r="R96" s="403"/>
      <c r="S96" s="403"/>
      <c r="T96" s="403"/>
      <c r="U96" s="403"/>
      <c r="V96" s="403"/>
      <c r="W96" s="403"/>
      <c r="X96" s="403"/>
      <c r="Y96" s="403"/>
      <c r="Z96" s="403"/>
      <c r="AA96" s="403"/>
      <c r="AB96" s="403"/>
      <c r="AC96" s="403"/>
      <c r="AD96" s="403"/>
      <c r="AE96" s="403"/>
      <c r="AF96" s="403"/>
      <c r="AG96" s="403"/>
      <c r="AH96" s="403"/>
      <c r="AI96" s="403"/>
      <c r="AJ96" s="403"/>
      <c r="AK96" s="403"/>
      <c r="AL96" s="403"/>
      <c r="AM96" s="403"/>
      <c r="AN96" s="403"/>
      <c r="AO96" s="403"/>
      <c r="AP96" s="403"/>
      <c r="AQ96" s="403"/>
      <c r="AR96" s="403"/>
      <c r="AS96" s="403"/>
      <c r="AT96" s="403"/>
      <c r="AU96" s="403"/>
      <c r="AV96" s="403"/>
      <c r="AW96" s="403"/>
      <c r="AX96" s="403"/>
      <c r="AY96" s="403"/>
      <c r="AZ96" s="403"/>
    </row>
    <row r="97" spans="1:52" s="379" customFormat="1" ht="14.25" customHeight="1">
      <c r="A97" s="403"/>
      <c r="B97" s="457" t="s">
        <v>304</v>
      </c>
      <c r="C97" s="403"/>
      <c r="D97" s="958">
        <f>+_xlfn.XLOOKUP($B97,Inputs!$B:$B,Inputs!Q:Q)</f>
        <v>105.09999999999992</v>
      </c>
      <c r="E97" s="968">
        <v>8431</v>
      </c>
      <c r="F97" s="960">
        <v>1390</v>
      </c>
      <c r="G97" s="964">
        <v>214</v>
      </c>
      <c r="H97" s="962">
        <v>1707</v>
      </c>
      <c r="I97" s="965">
        <v>171</v>
      </c>
      <c r="J97" s="852">
        <v>405</v>
      </c>
      <c r="K97" s="625"/>
      <c r="L97" s="625"/>
      <c r="M97" s="625"/>
      <c r="N97" s="455"/>
      <c r="O97" s="403"/>
      <c r="P97" s="403"/>
      <c r="Q97" s="403"/>
      <c r="R97" s="403"/>
      <c r="S97" s="403"/>
      <c r="T97" s="403"/>
      <c r="U97" s="403"/>
      <c r="V97" s="403"/>
      <c r="W97" s="403"/>
      <c r="X97" s="403"/>
      <c r="Y97" s="403"/>
      <c r="Z97" s="403"/>
      <c r="AA97" s="403"/>
      <c r="AB97" s="403"/>
      <c r="AC97" s="403"/>
      <c r="AD97" s="403"/>
      <c r="AE97" s="403"/>
      <c r="AF97" s="403"/>
      <c r="AG97" s="403"/>
      <c r="AH97" s="403"/>
      <c r="AI97" s="403"/>
      <c r="AJ97" s="403"/>
      <c r="AK97" s="403"/>
      <c r="AL97" s="403"/>
      <c r="AM97" s="403"/>
      <c r="AN97" s="403"/>
      <c r="AO97" s="403"/>
      <c r="AP97" s="403"/>
      <c r="AQ97" s="403"/>
      <c r="AR97" s="403"/>
      <c r="AS97" s="403"/>
      <c r="AT97" s="403"/>
      <c r="AU97" s="403"/>
      <c r="AV97" s="403"/>
      <c r="AW97" s="403"/>
      <c r="AX97" s="403"/>
      <c r="AY97" s="403"/>
      <c r="AZ97" s="403"/>
    </row>
    <row r="98" spans="1:52" s="379" customFormat="1" ht="14.25" customHeight="1">
      <c r="A98" s="403"/>
      <c r="B98" s="457" t="s">
        <v>305</v>
      </c>
      <c r="C98" s="403"/>
      <c r="D98" s="958">
        <f>+_xlfn.XLOOKUP($B98,Inputs!$B:$B,Inputs!Q:Q)</f>
        <v>13.3</v>
      </c>
      <c r="E98" s="968">
        <v>2015</v>
      </c>
      <c r="F98" s="970">
        <v>436</v>
      </c>
      <c r="G98" s="964">
        <v>96</v>
      </c>
      <c r="H98" s="971">
        <v>407</v>
      </c>
      <c r="I98" s="965">
        <v>109</v>
      </c>
      <c r="J98" s="852">
        <v>302</v>
      </c>
      <c r="K98" s="625"/>
      <c r="L98" s="625"/>
      <c r="M98" s="625"/>
      <c r="N98" s="455"/>
      <c r="O98" s="403"/>
      <c r="P98" s="403"/>
      <c r="Q98" s="403"/>
      <c r="R98" s="403"/>
      <c r="S98" s="403"/>
      <c r="T98" s="403"/>
      <c r="U98" s="403"/>
      <c r="V98" s="403"/>
      <c r="W98" s="403"/>
      <c r="X98" s="403"/>
      <c r="Y98" s="403"/>
      <c r="Z98" s="403"/>
      <c r="AA98" s="403"/>
      <c r="AB98" s="403"/>
      <c r="AC98" s="403"/>
      <c r="AD98" s="403"/>
      <c r="AE98" s="403"/>
      <c r="AF98" s="403"/>
      <c r="AG98" s="403"/>
      <c r="AH98" s="403"/>
      <c r="AI98" s="403"/>
      <c r="AJ98" s="403"/>
      <c r="AK98" s="403"/>
      <c r="AL98" s="403"/>
      <c r="AM98" s="403"/>
      <c r="AN98" s="403"/>
      <c r="AO98" s="403"/>
      <c r="AP98" s="403"/>
      <c r="AQ98" s="403"/>
      <c r="AR98" s="403"/>
      <c r="AS98" s="403"/>
      <c r="AT98" s="403"/>
      <c r="AU98" s="403"/>
      <c r="AV98" s="403"/>
      <c r="AW98" s="403"/>
      <c r="AX98" s="403"/>
      <c r="AY98" s="403"/>
      <c r="AZ98" s="403"/>
    </row>
    <row r="99" spans="1:52" s="379" customFormat="1" ht="14.25" customHeight="1">
      <c r="A99" s="403"/>
      <c r="B99" s="457" t="s">
        <v>306</v>
      </c>
      <c r="C99" s="403"/>
      <c r="D99" s="958">
        <f>+_xlfn.XLOOKUP($B99,Inputs!$B:$B,Inputs!Q:Q)</f>
        <v>127.69999999999993</v>
      </c>
      <c r="E99" s="968">
        <v>6408</v>
      </c>
      <c r="F99" s="970">
        <v>935</v>
      </c>
      <c r="G99" s="964">
        <v>98</v>
      </c>
      <c r="H99" s="962">
        <v>1300</v>
      </c>
      <c r="I99" s="965">
        <v>52</v>
      </c>
      <c r="J99" s="852">
        <v>103</v>
      </c>
      <c r="K99" s="625"/>
      <c r="L99" s="625"/>
      <c r="M99" s="625"/>
      <c r="N99" s="455"/>
      <c r="O99" s="403"/>
      <c r="P99" s="403"/>
      <c r="Q99" s="403"/>
      <c r="R99" s="403"/>
      <c r="S99" s="403"/>
      <c r="T99" s="403"/>
      <c r="U99" s="403"/>
      <c r="V99" s="403"/>
      <c r="W99" s="403"/>
      <c r="X99" s="403"/>
      <c r="Y99" s="403"/>
      <c r="Z99" s="403"/>
      <c r="AA99" s="403"/>
      <c r="AB99" s="403"/>
      <c r="AC99" s="403"/>
      <c r="AD99" s="403"/>
      <c r="AE99" s="403"/>
      <c r="AF99" s="403"/>
      <c r="AG99" s="403"/>
      <c r="AH99" s="403"/>
      <c r="AI99" s="403"/>
      <c r="AJ99" s="403"/>
      <c r="AK99" s="403"/>
      <c r="AL99" s="403"/>
      <c r="AM99" s="403"/>
      <c r="AN99" s="403"/>
      <c r="AO99" s="403"/>
      <c r="AP99" s="403"/>
      <c r="AQ99" s="403"/>
      <c r="AR99" s="403"/>
      <c r="AS99" s="403"/>
      <c r="AT99" s="403"/>
      <c r="AU99" s="403"/>
      <c r="AV99" s="403"/>
      <c r="AW99" s="403"/>
      <c r="AX99" s="403"/>
      <c r="AY99" s="403"/>
      <c r="AZ99" s="403"/>
    </row>
    <row r="100" spans="1:52" s="379" customFormat="1" ht="14.25" customHeight="1">
      <c r="A100" s="403"/>
      <c r="B100" s="457" t="s">
        <v>307</v>
      </c>
      <c r="C100" s="403"/>
      <c r="D100" s="958">
        <f>+_xlfn.XLOOKUP($B100,Inputs!$B:$B,Inputs!Q:Q)</f>
        <v>2.33</v>
      </c>
      <c r="E100" s="972">
        <v>12</v>
      </c>
      <c r="F100" s="970">
        <v>3</v>
      </c>
      <c r="G100" s="964">
        <v>0</v>
      </c>
      <c r="H100" s="971">
        <v>26</v>
      </c>
      <c r="I100" s="965">
        <v>0</v>
      </c>
      <c r="J100" s="852">
        <v>0</v>
      </c>
      <c r="K100" s="637"/>
      <c r="L100" s="637"/>
      <c r="M100" s="637"/>
      <c r="N100" s="461"/>
      <c r="O100" s="403"/>
      <c r="P100" s="403"/>
      <c r="Q100" s="403"/>
      <c r="R100" s="403"/>
      <c r="S100" s="403"/>
      <c r="T100" s="403"/>
      <c r="U100" s="403"/>
      <c r="V100" s="403"/>
      <c r="W100" s="403"/>
      <c r="X100" s="403"/>
      <c r="Y100" s="403"/>
      <c r="Z100" s="403"/>
      <c r="AA100" s="403"/>
      <c r="AB100" s="403"/>
      <c r="AC100" s="403"/>
      <c r="AD100" s="403"/>
      <c r="AE100" s="403"/>
      <c r="AF100" s="403"/>
      <c r="AG100" s="403"/>
      <c r="AH100" s="403"/>
      <c r="AI100" s="403"/>
      <c r="AJ100" s="403"/>
      <c r="AK100" s="403"/>
      <c r="AL100" s="403"/>
      <c r="AM100" s="403"/>
      <c r="AN100" s="403"/>
      <c r="AO100" s="403"/>
      <c r="AP100" s="403"/>
      <c r="AQ100" s="403"/>
      <c r="AR100" s="403"/>
      <c r="AS100" s="403"/>
      <c r="AT100" s="403"/>
      <c r="AU100" s="403"/>
      <c r="AV100" s="403"/>
      <c r="AW100" s="403"/>
      <c r="AX100" s="403"/>
      <c r="AY100" s="403"/>
      <c r="AZ100" s="403"/>
    </row>
    <row r="101" spans="1:52" s="379" customFormat="1" ht="14.25" customHeight="1">
      <c r="A101" s="403"/>
      <c r="B101" s="457" t="s">
        <v>308</v>
      </c>
      <c r="C101" s="403"/>
      <c r="D101" s="958">
        <f>+_xlfn.XLOOKUP($B101,Inputs!$B:$B,Inputs!Q:Q)</f>
        <v>0</v>
      </c>
      <c r="E101" s="968">
        <v>1354</v>
      </c>
      <c r="F101" s="970">
        <v>792</v>
      </c>
      <c r="G101" s="964">
        <v>127</v>
      </c>
      <c r="H101" s="973">
        <v>0</v>
      </c>
      <c r="I101" s="965">
        <v>180</v>
      </c>
      <c r="J101" s="852" t="s">
        <v>309</v>
      </c>
      <c r="K101" s="625"/>
      <c r="L101" s="625"/>
      <c r="M101" s="625"/>
      <c r="N101" s="455"/>
      <c r="O101" s="403"/>
      <c r="P101" s="403"/>
      <c r="Q101" s="403"/>
      <c r="R101" s="403"/>
      <c r="S101" s="403"/>
      <c r="T101" s="403"/>
      <c r="U101" s="403"/>
      <c r="V101" s="403"/>
      <c r="W101" s="403"/>
      <c r="X101" s="403"/>
      <c r="Y101" s="403"/>
      <c r="Z101" s="403"/>
      <c r="AA101" s="403"/>
      <c r="AB101" s="403"/>
      <c r="AC101" s="403"/>
      <c r="AD101" s="403"/>
      <c r="AE101" s="403"/>
      <c r="AF101" s="403"/>
      <c r="AG101" s="403"/>
      <c r="AH101" s="403"/>
      <c r="AI101" s="403"/>
      <c r="AJ101" s="403"/>
      <c r="AK101" s="403"/>
      <c r="AL101" s="403"/>
      <c r="AM101" s="403"/>
      <c r="AN101" s="403"/>
      <c r="AO101" s="403"/>
      <c r="AP101" s="403"/>
      <c r="AQ101" s="403"/>
      <c r="AR101" s="403"/>
      <c r="AS101" s="403"/>
      <c r="AT101" s="403"/>
      <c r="AU101" s="403"/>
      <c r="AV101" s="403"/>
      <c r="AW101" s="403"/>
      <c r="AX101" s="403"/>
      <c r="AY101" s="403"/>
      <c r="AZ101" s="403"/>
    </row>
    <row r="102" spans="1:52" s="379" customFormat="1" ht="3.75" customHeight="1">
      <c r="A102" s="403"/>
      <c r="B102" s="457"/>
      <c r="C102" s="403"/>
      <c r="D102" s="974"/>
      <c r="E102" s="975"/>
      <c r="F102" s="976"/>
      <c r="G102" s="977"/>
      <c r="H102" s="978"/>
      <c r="I102" s="979"/>
      <c r="J102" s="631"/>
      <c r="K102" s="638"/>
      <c r="L102" s="638"/>
      <c r="M102" s="638"/>
      <c r="N102" s="437"/>
      <c r="O102" s="403"/>
      <c r="P102" s="403"/>
      <c r="Q102" s="403"/>
      <c r="R102" s="403"/>
      <c r="S102" s="403"/>
      <c r="T102" s="403"/>
      <c r="U102" s="403"/>
      <c r="V102" s="403"/>
      <c r="W102" s="403"/>
      <c r="X102" s="403"/>
      <c r="Y102" s="403"/>
      <c r="Z102" s="403"/>
      <c r="AA102" s="403"/>
      <c r="AB102" s="403"/>
      <c r="AC102" s="403"/>
      <c r="AD102" s="403"/>
      <c r="AE102" s="403"/>
      <c r="AF102" s="403"/>
      <c r="AG102" s="403"/>
      <c r="AH102" s="403"/>
      <c r="AI102" s="403"/>
      <c r="AJ102" s="403"/>
      <c r="AK102" s="403"/>
      <c r="AL102" s="403"/>
      <c r="AM102" s="403"/>
      <c r="AN102" s="403"/>
      <c r="AO102" s="403"/>
      <c r="AP102" s="403"/>
      <c r="AQ102" s="403"/>
      <c r="AR102" s="403"/>
      <c r="AS102" s="403"/>
      <c r="AT102" s="403"/>
      <c r="AU102" s="403"/>
      <c r="AV102" s="403"/>
      <c r="AW102" s="403"/>
      <c r="AX102" s="403"/>
      <c r="AY102" s="403"/>
      <c r="AZ102" s="403"/>
    </row>
    <row r="103" spans="1:52" s="379" customFormat="1" ht="14.25" customHeight="1">
      <c r="A103" s="403"/>
      <c r="B103" s="445" t="s">
        <v>310</v>
      </c>
      <c r="C103" s="430"/>
      <c r="D103" s="980"/>
      <c r="E103" s="981"/>
      <c r="F103" s="982"/>
      <c r="G103" s="983"/>
      <c r="H103" s="984"/>
      <c r="I103" s="985"/>
      <c r="J103" s="632"/>
      <c r="K103" s="626"/>
      <c r="L103" s="626"/>
      <c r="M103" s="626"/>
      <c r="N103" s="468"/>
      <c r="O103" s="403"/>
      <c r="P103" s="403"/>
      <c r="Q103" s="403"/>
      <c r="R103" s="403"/>
      <c r="S103" s="403"/>
      <c r="T103" s="403"/>
      <c r="U103" s="403"/>
      <c r="V103" s="403"/>
      <c r="W103" s="403"/>
      <c r="X103" s="403"/>
      <c r="Y103" s="403"/>
      <c r="Z103" s="403"/>
      <c r="AA103" s="403"/>
      <c r="AB103" s="403"/>
      <c r="AC103" s="403"/>
      <c r="AD103" s="403"/>
      <c r="AE103" s="403"/>
      <c r="AF103" s="403"/>
      <c r="AG103" s="403"/>
      <c r="AH103" s="403"/>
      <c r="AI103" s="403"/>
      <c r="AJ103" s="403"/>
      <c r="AK103" s="403"/>
      <c r="AL103" s="403"/>
      <c r="AM103" s="403"/>
      <c r="AN103" s="403"/>
      <c r="AO103" s="403"/>
      <c r="AP103" s="403"/>
      <c r="AQ103" s="403"/>
      <c r="AR103" s="403"/>
      <c r="AS103" s="403"/>
      <c r="AT103" s="403"/>
      <c r="AU103" s="403"/>
      <c r="AV103" s="403"/>
      <c r="AW103" s="403"/>
      <c r="AX103" s="403"/>
      <c r="AY103" s="403"/>
      <c r="AZ103" s="403"/>
    </row>
    <row r="104" spans="1:52" s="379" customFormat="1" ht="3.75" customHeight="1">
      <c r="A104" s="403"/>
      <c r="B104" s="446"/>
      <c r="C104" s="434"/>
      <c r="D104" s="986"/>
      <c r="E104" s="987"/>
      <c r="F104" s="988"/>
      <c r="G104" s="989"/>
      <c r="H104" s="914"/>
      <c r="I104" s="990"/>
      <c r="J104" s="865"/>
      <c r="K104" s="627"/>
      <c r="L104" s="627"/>
      <c r="M104" s="627"/>
      <c r="N104" s="439"/>
      <c r="O104" s="403"/>
      <c r="P104" s="403"/>
      <c r="Q104" s="403"/>
      <c r="R104" s="403"/>
      <c r="S104" s="403"/>
      <c r="T104" s="403"/>
      <c r="U104" s="403"/>
      <c r="V104" s="403"/>
      <c r="W104" s="403"/>
      <c r="X104" s="403"/>
      <c r="Y104" s="403"/>
      <c r="Z104" s="403"/>
      <c r="AA104" s="403"/>
      <c r="AB104" s="403"/>
      <c r="AC104" s="403"/>
      <c r="AD104" s="403"/>
      <c r="AE104" s="403"/>
      <c r="AF104" s="403"/>
      <c r="AG104" s="403"/>
      <c r="AH104" s="403"/>
      <c r="AI104" s="403"/>
      <c r="AJ104" s="403"/>
      <c r="AK104" s="403"/>
      <c r="AL104" s="403"/>
      <c r="AM104" s="403"/>
      <c r="AN104" s="403"/>
      <c r="AO104" s="403"/>
      <c r="AP104" s="403"/>
      <c r="AQ104" s="403"/>
      <c r="AR104" s="403"/>
      <c r="AS104" s="403"/>
      <c r="AT104" s="403"/>
      <c r="AU104" s="403"/>
      <c r="AV104" s="403"/>
      <c r="AW104" s="403"/>
      <c r="AX104" s="403"/>
      <c r="AY104" s="403"/>
      <c r="AZ104" s="403"/>
    </row>
    <row r="105" spans="1:52" s="379" customFormat="1" ht="14.25" customHeight="1">
      <c r="A105" s="403"/>
      <c r="B105" s="457" t="s">
        <v>311</v>
      </c>
      <c r="C105" s="403"/>
      <c r="D105" s="958">
        <f>+_xlfn.XLOOKUP($B105,Inputs!$B:$B,Inputs!Q:Q)</f>
        <v>108.2</v>
      </c>
      <c r="E105" s="968">
        <v>4052</v>
      </c>
      <c r="F105" s="961">
        <v>3395</v>
      </c>
      <c r="G105" s="964">
        <v>301</v>
      </c>
      <c r="H105" s="971">
        <v>767</v>
      </c>
      <c r="I105" s="965">
        <v>781</v>
      </c>
      <c r="J105" s="852">
        <v>722</v>
      </c>
      <c r="K105" s="625"/>
      <c r="L105" s="625"/>
      <c r="M105" s="625"/>
      <c r="N105" s="455"/>
      <c r="O105" s="403"/>
      <c r="P105" s="403"/>
      <c r="Q105" s="403"/>
      <c r="R105" s="403"/>
      <c r="S105" s="403"/>
      <c r="T105" s="403"/>
      <c r="U105" s="403"/>
      <c r="V105" s="403"/>
      <c r="W105" s="403"/>
      <c r="X105" s="403"/>
      <c r="Y105" s="403"/>
      <c r="Z105" s="403"/>
      <c r="AA105" s="403"/>
      <c r="AB105" s="403"/>
      <c r="AC105" s="403"/>
      <c r="AD105" s="403"/>
      <c r="AE105" s="403"/>
      <c r="AF105" s="403"/>
      <c r="AG105" s="403"/>
      <c r="AH105" s="403"/>
      <c r="AI105" s="403"/>
      <c r="AJ105" s="403"/>
      <c r="AK105" s="403"/>
      <c r="AL105" s="403"/>
      <c r="AM105" s="403"/>
      <c r="AN105" s="403"/>
      <c r="AO105" s="403"/>
      <c r="AP105" s="403"/>
      <c r="AQ105" s="403"/>
      <c r="AR105" s="403"/>
      <c r="AS105" s="403"/>
      <c r="AT105" s="403"/>
      <c r="AU105" s="403"/>
      <c r="AV105" s="403"/>
      <c r="AW105" s="403"/>
      <c r="AX105" s="403"/>
      <c r="AY105" s="403"/>
      <c r="AZ105" s="403"/>
    </row>
    <row r="106" spans="1:52" s="379" customFormat="1" ht="14.25" customHeight="1">
      <c r="A106" s="403"/>
      <c r="B106" s="457" t="s">
        <v>312</v>
      </c>
      <c r="C106" s="403"/>
      <c r="D106" s="958">
        <f>+_xlfn.XLOOKUP($B106,Inputs!$B:$B,Inputs!Q:Q)</f>
        <v>123.8</v>
      </c>
      <c r="E106" s="968">
        <v>5601</v>
      </c>
      <c r="F106" s="961">
        <v>1727</v>
      </c>
      <c r="G106" s="964">
        <v>442</v>
      </c>
      <c r="H106" s="971">
        <v>208</v>
      </c>
      <c r="I106" s="965">
        <v>933</v>
      </c>
      <c r="J106" s="852">
        <v>856</v>
      </c>
      <c r="K106" s="625"/>
      <c r="L106" s="625"/>
      <c r="M106" s="625"/>
      <c r="N106" s="455"/>
      <c r="O106" s="403"/>
      <c r="P106" s="403"/>
      <c r="Q106" s="403"/>
      <c r="R106" s="403"/>
      <c r="S106" s="403"/>
      <c r="T106" s="403"/>
      <c r="U106" s="403"/>
      <c r="V106" s="403"/>
      <c r="W106" s="403"/>
      <c r="X106" s="403"/>
      <c r="Y106" s="403"/>
      <c r="Z106" s="403"/>
      <c r="AA106" s="403"/>
      <c r="AB106" s="403"/>
      <c r="AC106" s="403"/>
      <c r="AD106" s="403"/>
      <c r="AE106" s="403"/>
      <c r="AF106" s="403"/>
      <c r="AG106" s="403"/>
      <c r="AH106" s="403"/>
      <c r="AI106" s="403"/>
      <c r="AJ106" s="403"/>
      <c r="AK106" s="403"/>
      <c r="AL106" s="403"/>
      <c r="AM106" s="403"/>
      <c r="AN106" s="403"/>
      <c r="AO106" s="403"/>
      <c r="AP106" s="403"/>
      <c r="AQ106" s="403"/>
      <c r="AR106" s="403"/>
      <c r="AS106" s="403"/>
      <c r="AT106" s="403"/>
      <c r="AU106" s="403"/>
      <c r="AV106" s="403"/>
      <c r="AW106" s="403"/>
      <c r="AX106" s="403"/>
      <c r="AY106" s="403"/>
      <c r="AZ106" s="403"/>
    </row>
    <row r="107" spans="1:52" s="379" customFormat="1" ht="14.25" customHeight="1">
      <c r="A107" s="403"/>
      <c r="B107" s="457" t="s">
        <v>313</v>
      </c>
      <c r="C107" s="403"/>
      <c r="D107" s="958">
        <f>+_xlfn.XLOOKUP("Inventory",Inputs!$B:$B,Inputs!P:P)</f>
        <v>81.3</v>
      </c>
      <c r="E107" s="968">
        <v>4482</v>
      </c>
      <c r="F107" s="961">
        <v>2979</v>
      </c>
      <c r="G107" s="964">
        <v>853</v>
      </c>
      <c r="H107" s="962">
        <v>1603</v>
      </c>
      <c r="I107" s="963">
        <v>1063</v>
      </c>
      <c r="J107" s="852">
        <v>636</v>
      </c>
      <c r="K107" s="625"/>
      <c r="L107" s="625"/>
      <c r="M107" s="625"/>
      <c r="N107" s="455"/>
      <c r="O107" s="403"/>
      <c r="P107" s="403"/>
      <c r="Q107" s="403"/>
      <c r="R107" s="403"/>
      <c r="S107" s="403"/>
      <c r="T107" s="403"/>
      <c r="U107" s="403"/>
      <c r="V107" s="403"/>
      <c r="W107" s="403"/>
      <c r="X107" s="403"/>
      <c r="Y107" s="403"/>
      <c r="Z107" s="403"/>
      <c r="AA107" s="403"/>
      <c r="AB107" s="403"/>
      <c r="AC107" s="403"/>
      <c r="AD107" s="403"/>
      <c r="AE107" s="403"/>
      <c r="AF107" s="403"/>
      <c r="AG107" s="403"/>
      <c r="AH107" s="403"/>
      <c r="AI107" s="403"/>
      <c r="AJ107" s="403"/>
      <c r="AK107" s="403"/>
      <c r="AL107" s="403"/>
      <c r="AM107" s="403"/>
      <c r="AN107" s="403"/>
      <c r="AO107" s="403"/>
      <c r="AP107" s="403"/>
      <c r="AQ107" s="403"/>
      <c r="AR107" s="403"/>
      <c r="AS107" s="403"/>
      <c r="AT107" s="403"/>
      <c r="AU107" s="403"/>
      <c r="AV107" s="403"/>
      <c r="AW107" s="403"/>
      <c r="AX107" s="403"/>
      <c r="AY107" s="403"/>
      <c r="AZ107" s="403"/>
    </row>
    <row r="108" spans="1:52" s="379" customFormat="1" ht="14.25" customHeight="1">
      <c r="A108" s="403"/>
      <c r="B108" s="457" t="s">
        <v>314</v>
      </c>
      <c r="C108" s="403"/>
      <c r="D108" s="958">
        <f>+_xlfn.XLOOKUP("Inventory",Inputs!$B:$B,Inputs!Q:Q)</f>
        <v>191.5</v>
      </c>
      <c r="E108" s="968">
        <v>4630</v>
      </c>
      <c r="F108" s="961">
        <v>2175</v>
      </c>
      <c r="G108" s="964">
        <v>764</v>
      </c>
      <c r="H108" s="962">
        <v>1742</v>
      </c>
      <c r="I108" s="963">
        <v>1020</v>
      </c>
      <c r="J108" s="852">
        <v>547</v>
      </c>
      <c r="K108" s="625"/>
      <c r="L108" s="625"/>
      <c r="M108" s="625"/>
      <c r="N108" s="455"/>
      <c r="O108" s="403"/>
      <c r="P108" s="403"/>
      <c r="Q108" s="403"/>
      <c r="R108" s="403"/>
      <c r="S108" s="403"/>
      <c r="T108" s="403"/>
      <c r="U108" s="403"/>
      <c r="V108" s="403"/>
      <c r="W108" s="403"/>
      <c r="X108" s="403"/>
      <c r="Y108" s="403"/>
      <c r="Z108" s="403"/>
      <c r="AA108" s="403"/>
      <c r="AB108" s="403"/>
      <c r="AC108" s="403"/>
      <c r="AD108" s="403"/>
      <c r="AE108" s="403"/>
      <c r="AF108" s="403"/>
      <c r="AG108" s="403"/>
      <c r="AH108" s="403"/>
      <c r="AI108" s="403"/>
      <c r="AJ108" s="403"/>
      <c r="AK108" s="403"/>
      <c r="AL108" s="403"/>
      <c r="AM108" s="403"/>
      <c r="AN108" s="403"/>
      <c r="AO108" s="403"/>
      <c r="AP108" s="403"/>
      <c r="AQ108" s="403"/>
      <c r="AR108" s="403"/>
      <c r="AS108" s="403"/>
      <c r="AT108" s="403"/>
      <c r="AU108" s="403"/>
      <c r="AV108" s="403"/>
      <c r="AW108" s="403"/>
      <c r="AX108" s="403"/>
      <c r="AY108" s="403"/>
      <c r="AZ108" s="403"/>
    </row>
    <row r="109" spans="1:52" s="379" customFormat="1" ht="14.25" customHeight="1">
      <c r="A109" s="403"/>
      <c r="B109" s="457" t="s">
        <v>315</v>
      </c>
      <c r="C109" s="403"/>
      <c r="D109" s="958">
        <f>+_xlfn.XLOOKUP($B109,Inputs!$B:$B,Inputs!Q:Q)</f>
        <v>477.1</v>
      </c>
      <c r="E109" s="968">
        <v>16473</v>
      </c>
      <c r="F109" s="961">
        <v>7922</v>
      </c>
      <c r="G109" s="961">
        <v>1964</v>
      </c>
      <c r="H109" s="962">
        <v>2837</v>
      </c>
      <c r="I109" s="963">
        <v>3036</v>
      </c>
      <c r="J109" s="853">
        <v>2453</v>
      </c>
      <c r="K109" s="625"/>
      <c r="L109" s="625"/>
      <c r="M109" s="625"/>
      <c r="N109" s="455"/>
      <c r="O109" s="403"/>
      <c r="P109" s="403"/>
      <c r="Q109" s="403"/>
      <c r="R109" s="403"/>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403"/>
    </row>
    <row r="110" spans="1:52" s="379" customFormat="1" ht="14.25" customHeight="1">
      <c r="A110" s="403"/>
      <c r="B110" s="457" t="s">
        <v>316</v>
      </c>
      <c r="C110" s="403"/>
      <c r="D110" s="958">
        <f>+_xlfn.XLOOKUP($B110,Inputs!$B:$B,Inputs!Q:Q)</f>
        <v>41.4</v>
      </c>
      <c r="E110" s="968">
        <v>5965</v>
      </c>
      <c r="F110" s="961">
        <v>4969</v>
      </c>
      <c r="G110" s="964">
        <v>974</v>
      </c>
      <c r="H110" s="962">
        <v>2757</v>
      </c>
      <c r="I110" s="963">
        <v>2537</v>
      </c>
      <c r="J110" s="852">
        <v>735</v>
      </c>
      <c r="K110" s="625"/>
      <c r="L110" s="625"/>
      <c r="M110" s="625"/>
      <c r="N110" s="455"/>
      <c r="O110" s="403"/>
      <c r="P110" s="403"/>
      <c r="Q110" s="403"/>
      <c r="R110" s="403"/>
      <c r="S110" s="403"/>
      <c r="T110" s="403"/>
      <c r="U110" s="403"/>
      <c r="V110" s="403"/>
      <c r="W110" s="403"/>
      <c r="X110" s="403"/>
      <c r="Y110" s="403"/>
      <c r="Z110" s="403"/>
      <c r="AA110" s="403"/>
      <c r="AB110" s="403"/>
      <c r="AC110" s="403"/>
      <c r="AD110" s="403"/>
      <c r="AE110" s="403"/>
      <c r="AF110" s="403"/>
      <c r="AG110" s="403"/>
      <c r="AH110" s="403"/>
      <c r="AI110" s="403"/>
      <c r="AJ110" s="403"/>
      <c r="AK110" s="403"/>
      <c r="AL110" s="403"/>
      <c r="AM110" s="403"/>
      <c r="AN110" s="403"/>
      <c r="AO110" s="403"/>
      <c r="AP110" s="403"/>
      <c r="AQ110" s="403"/>
      <c r="AR110" s="403"/>
      <c r="AS110" s="403"/>
      <c r="AT110" s="403"/>
      <c r="AU110" s="403"/>
      <c r="AV110" s="403"/>
      <c r="AW110" s="403"/>
      <c r="AX110" s="403"/>
      <c r="AY110" s="403"/>
      <c r="AZ110" s="403"/>
    </row>
    <row r="111" spans="1:52" s="379" customFormat="1" ht="14.25" customHeight="1">
      <c r="A111" s="403"/>
      <c r="B111" s="457" t="s">
        <v>317</v>
      </c>
      <c r="C111" s="472"/>
      <c r="D111" s="991">
        <f>+_xlfn.XLOOKUP($B111,Inputs!$B:$B,Inputs!Q:Q)</f>
        <v>1129.3000000000002</v>
      </c>
      <c r="E111" s="968">
        <v>56353</v>
      </c>
      <c r="F111" s="961">
        <v>21677</v>
      </c>
      <c r="G111" s="961">
        <v>12083</v>
      </c>
      <c r="H111" s="962">
        <v>5707</v>
      </c>
      <c r="I111" s="963">
        <v>8463</v>
      </c>
      <c r="J111" s="853">
        <v>6018</v>
      </c>
      <c r="K111" s="625"/>
      <c r="L111" s="625"/>
      <c r="M111" s="625"/>
      <c r="N111" s="455"/>
      <c r="O111" s="403"/>
      <c r="P111" s="403"/>
      <c r="Q111" s="403"/>
      <c r="R111" s="403"/>
      <c r="S111" s="403"/>
      <c r="T111" s="403"/>
      <c r="U111" s="403"/>
      <c r="V111" s="403"/>
      <c r="W111" s="403"/>
      <c r="X111" s="403"/>
      <c r="Y111" s="403"/>
      <c r="Z111" s="403"/>
      <c r="AA111" s="403"/>
      <c r="AB111" s="403"/>
      <c r="AC111" s="403"/>
      <c r="AD111" s="403"/>
      <c r="AE111" s="403"/>
      <c r="AF111" s="403"/>
      <c r="AG111" s="403"/>
      <c r="AH111" s="403"/>
      <c r="AI111" s="403"/>
      <c r="AJ111" s="403"/>
      <c r="AK111" s="403"/>
      <c r="AL111" s="403"/>
      <c r="AM111" s="403"/>
      <c r="AN111" s="403"/>
      <c r="AO111" s="403"/>
      <c r="AP111" s="403"/>
      <c r="AQ111" s="403"/>
      <c r="AR111" s="403"/>
      <c r="AS111" s="403"/>
      <c r="AT111" s="403"/>
      <c r="AU111" s="403"/>
      <c r="AV111" s="403"/>
      <c r="AW111" s="403"/>
      <c r="AX111" s="403"/>
      <c r="AY111" s="403"/>
      <c r="AZ111" s="403"/>
    </row>
    <row r="112" spans="1:52" s="379" customFormat="1" ht="14.25" customHeight="1">
      <c r="A112" s="403"/>
      <c r="B112" s="457" t="s">
        <v>318</v>
      </c>
      <c r="C112" s="403"/>
      <c r="D112" s="958">
        <f>+_xlfn.XLOOKUP($B112,Inputs!$B:$B,Inputs!Q:Q)</f>
        <v>81.099999999999994</v>
      </c>
      <c r="E112" s="968">
        <v>6468</v>
      </c>
      <c r="F112" s="961">
        <v>4674</v>
      </c>
      <c r="G112" s="961">
        <v>2358</v>
      </c>
      <c r="H112" s="971">
        <v>938</v>
      </c>
      <c r="I112" s="963">
        <v>1387</v>
      </c>
      <c r="J112" s="853">
        <v>1341</v>
      </c>
      <c r="K112" s="625"/>
      <c r="L112" s="625"/>
      <c r="M112" s="625"/>
      <c r="N112" s="455"/>
      <c r="O112" s="403"/>
      <c r="P112" s="403"/>
      <c r="Q112" s="403"/>
      <c r="R112" s="403"/>
      <c r="S112" s="403"/>
      <c r="T112" s="403"/>
      <c r="U112" s="403"/>
      <c r="V112" s="403"/>
      <c r="W112" s="403"/>
      <c r="X112" s="403"/>
      <c r="Y112" s="403"/>
      <c r="Z112" s="403"/>
      <c r="AA112" s="403"/>
      <c r="AB112" s="403"/>
      <c r="AC112" s="403"/>
      <c r="AD112" s="403"/>
      <c r="AE112" s="403"/>
      <c r="AF112" s="403"/>
      <c r="AG112" s="403"/>
      <c r="AH112" s="403"/>
      <c r="AI112" s="403"/>
      <c r="AJ112" s="403"/>
      <c r="AK112" s="403"/>
      <c r="AL112" s="403"/>
      <c r="AM112" s="403"/>
      <c r="AN112" s="403"/>
      <c r="AO112" s="403"/>
      <c r="AP112" s="403"/>
      <c r="AQ112" s="403"/>
      <c r="AR112" s="403"/>
      <c r="AS112" s="403"/>
      <c r="AT112" s="403"/>
      <c r="AU112" s="403"/>
      <c r="AV112" s="403"/>
      <c r="AW112" s="403"/>
      <c r="AX112" s="403"/>
      <c r="AY112" s="403"/>
      <c r="AZ112" s="403"/>
    </row>
    <row r="113" spans="1:52" s="379" customFormat="1" ht="14.25" customHeight="1">
      <c r="A113" s="403"/>
      <c r="B113" s="457" t="s">
        <v>319</v>
      </c>
      <c r="C113" s="403"/>
      <c r="D113" s="958">
        <f>+_xlfn.XLOOKUP($B113,Inputs!$B:$B,Inputs!Q:Q)</f>
        <v>299.10000000000002</v>
      </c>
      <c r="E113" s="968">
        <v>14636</v>
      </c>
      <c r="F113" s="961">
        <v>5702</v>
      </c>
      <c r="G113" s="961">
        <v>2602</v>
      </c>
      <c r="H113" s="962">
        <v>1658</v>
      </c>
      <c r="I113" s="963">
        <v>2533</v>
      </c>
      <c r="J113" s="853">
        <v>1557</v>
      </c>
      <c r="K113" s="625"/>
      <c r="L113" s="625"/>
      <c r="M113" s="625"/>
      <c r="N113" s="455"/>
      <c r="O113" s="403"/>
      <c r="P113" s="403"/>
      <c r="Q113" s="403"/>
      <c r="R113" s="403"/>
      <c r="S113" s="403"/>
      <c r="T113" s="403"/>
      <c r="U113" s="403"/>
      <c r="V113" s="403"/>
      <c r="W113" s="403"/>
      <c r="X113" s="403"/>
      <c r="Y113" s="403"/>
      <c r="Z113" s="403"/>
      <c r="AA113" s="403"/>
      <c r="AB113" s="403"/>
      <c r="AC113" s="403"/>
      <c r="AD113" s="403"/>
      <c r="AE113" s="403"/>
      <c r="AF113" s="403"/>
      <c r="AG113" s="403"/>
      <c r="AH113" s="403"/>
      <c r="AI113" s="403"/>
      <c r="AJ113" s="403"/>
      <c r="AK113" s="403"/>
      <c r="AL113" s="403"/>
      <c r="AM113" s="403"/>
      <c r="AN113" s="403"/>
      <c r="AO113" s="403"/>
      <c r="AP113" s="403"/>
      <c r="AQ113" s="403"/>
      <c r="AR113" s="403"/>
      <c r="AS113" s="403"/>
      <c r="AT113" s="403"/>
      <c r="AU113" s="403"/>
      <c r="AV113" s="403"/>
      <c r="AW113" s="403"/>
      <c r="AX113" s="403"/>
      <c r="AY113" s="403"/>
      <c r="AZ113" s="403"/>
    </row>
    <row r="114" spans="1:52" s="379" customFormat="1" ht="14.25" customHeight="1">
      <c r="A114" s="403"/>
      <c r="B114" s="457" t="s">
        <v>320</v>
      </c>
      <c r="C114" s="403"/>
      <c r="D114" s="958">
        <f>+_xlfn.XLOOKUP($B114,Inputs!$B:$B,Inputs!Q:Q)</f>
        <v>183.3</v>
      </c>
      <c r="E114" s="968">
        <v>5187</v>
      </c>
      <c r="F114" s="961">
        <v>8968</v>
      </c>
      <c r="G114" s="961">
        <v>4061</v>
      </c>
      <c r="H114" s="962">
        <v>1627</v>
      </c>
      <c r="I114" s="963">
        <v>1493</v>
      </c>
      <c r="J114" s="853">
        <v>1225</v>
      </c>
      <c r="K114" s="625"/>
      <c r="L114" s="625"/>
      <c r="M114" s="625"/>
      <c r="N114" s="455"/>
      <c r="O114" s="403"/>
      <c r="P114" s="403"/>
      <c r="Q114" s="403"/>
      <c r="R114" s="403"/>
      <c r="S114" s="403"/>
      <c r="T114" s="403"/>
      <c r="U114" s="403"/>
      <c r="V114" s="403"/>
      <c r="W114" s="403"/>
      <c r="X114" s="403"/>
      <c r="Y114" s="403"/>
      <c r="Z114" s="403"/>
      <c r="AA114" s="403"/>
      <c r="AB114" s="403"/>
      <c r="AC114" s="403"/>
      <c r="AD114" s="403"/>
      <c r="AE114" s="403"/>
      <c r="AF114" s="403"/>
      <c r="AG114" s="403"/>
      <c r="AH114" s="403"/>
      <c r="AI114" s="403"/>
      <c r="AJ114" s="403"/>
      <c r="AK114" s="403"/>
      <c r="AL114" s="403"/>
      <c r="AM114" s="403"/>
      <c r="AN114" s="403"/>
      <c r="AO114" s="403"/>
      <c r="AP114" s="403"/>
      <c r="AQ114" s="403"/>
      <c r="AR114" s="403"/>
      <c r="AS114" s="403"/>
      <c r="AT114" s="403"/>
      <c r="AU114" s="403"/>
      <c r="AV114" s="403"/>
      <c r="AW114" s="403"/>
      <c r="AX114" s="403"/>
      <c r="AY114" s="403"/>
      <c r="AZ114" s="403"/>
    </row>
    <row r="115" spans="1:52" s="379" customFormat="1" ht="14.25" customHeight="1">
      <c r="A115" s="403"/>
      <c r="B115" s="457" t="s">
        <v>321</v>
      </c>
      <c r="C115" s="403"/>
      <c r="D115" s="958">
        <f>+_xlfn.XLOOKUP($B115,Inputs!$B:$B,Inputs!Q:Q,,,-1)</f>
        <v>190.3</v>
      </c>
      <c r="E115" s="968">
        <v>8495</v>
      </c>
      <c r="F115" s="961">
        <v>9830</v>
      </c>
      <c r="G115" s="961">
        <v>4121</v>
      </c>
      <c r="H115" s="962">
        <v>1911</v>
      </c>
      <c r="I115" s="963">
        <v>2308</v>
      </c>
      <c r="J115" s="853">
        <v>1267</v>
      </c>
      <c r="K115" s="625"/>
      <c r="L115" s="625"/>
      <c r="M115" s="625"/>
      <c r="N115" s="455"/>
      <c r="O115" s="403"/>
      <c r="P115" s="403"/>
      <c r="Q115" s="403"/>
      <c r="R115" s="403"/>
      <c r="S115" s="403"/>
      <c r="T115" s="403"/>
      <c r="U115" s="403"/>
      <c r="V115" s="403"/>
      <c r="W115" s="403"/>
      <c r="X115" s="403"/>
      <c r="Y115" s="403"/>
      <c r="Z115" s="403"/>
      <c r="AA115" s="403"/>
      <c r="AB115" s="403"/>
      <c r="AC115" s="403"/>
      <c r="AD115" s="403"/>
      <c r="AE115" s="403"/>
      <c r="AF115" s="403"/>
      <c r="AG115" s="403"/>
      <c r="AH115" s="403"/>
      <c r="AI115" s="403"/>
      <c r="AJ115" s="403"/>
      <c r="AK115" s="403"/>
      <c r="AL115" s="403"/>
      <c r="AM115" s="403"/>
      <c r="AN115" s="403"/>
      <c r="AO115" s="403"/>
      <c r="AP115" s="403"/>
      <c r="AQ115" s="403"/>
      <c r="AR115" s="403"/>
      <c r="AS115" s="403"/>
      <c r="AT115" s="403"/>
      <c r="AU115" s="403"/>
      <c r="AV115" s="403"/>
      <c r="AW115" s="403"/>
      <c r="AX115" s="403"/>
      <c r="AY115" s="403"/>
      <c r="AZ115" s="403"/>
    </row>
    <row r="116" spans="1:52" s="379" customFormat="1" ht="14.25" customHeight="1">
      <c r="A116" s="403"/>
      <c r="B116" s="457" t="s">
        <v>322</v>
      </c>
      <c r="C116" s="403"/>
      <c r="D116" s="958">
        <f>+_xlfn.XLOOKUP($B116,Inputs!$B:$B,Inputs!Q:Q)</f>
        <v>642.60000000000014</v>
      </c>
      <c r="E116" s="992">
        <v>33137</v>
      </c>
      <c r="F116" s="963">
        <v>5314</v>
      </c>
      <c r="G116" s="961">
        <v>4248</v>
      </c>
      <c r="H116" s="962">
        <v>2279</v>
      </c>
      <c r="I116" s="963">
        <v>4160</v>
      </c>
      <c r="J116" s="853">
        <v>2540</v>
      </c>
      <c r="K116" s="625"/>
      <c r="L116" s="625"/>
      <c r="M116" s="625"/>
      <c r="N116" s="455"/>
      <c r="O116" s="403"/>
      <c r="P116" s="403"/>
      <c r="Q116" s="403"/>
      <c r="R116" s="403"/>
      <c r="S116" s="403"/>
      <c r="T116" s="403"/>
      <c r="U116" s="403"/>
      <c r="V116" s="403"/>
      <c r="W116" s="403"/>
      <c r="X116" s="403"/>
      <c r="Y116" s="403"/>
      <c r="Z116" s="403"/>
      <c r="AA116" s="403"/>
      <c r="AB116" s="403"/>
      <c r="AC116" s="403"/>
      <c r="AD116" s="403"/>
      <c r="AE116" s="403"/>
      <c r="AF116" s="403"/>
      <c r="AG116" s="403"/>
      <c r="AH116" s="403"/>
      <c r="AI116" s="403"/>
      <c r="AJ116" s="403"/>
      <c r="AK116" s="403"/>
      <c r="AL116" s="403"/>
      <c r="AM116" s="403"/>
      <c r="AN116" s="403"/>
      <c r="AO116" s="403"/>
      <c r="AP116" s="403"/>
      <c r="AQ116" s="403"/>
      <c r="AR116" s="403"/>
      <c r="AS116" s="403"/>
      <c r="AT116" s="403"/>
      <c r="AU116" s="403"/>
      <c r="AV116" s="403"/>
      <c r="AW116" s="403"/>
      <c r="AX116" s="403"/>
      <c r="AY116" s="403"/>
      <c r="AZ116" s="403"/>
    </row>
    <row r="117" spans="1:52" s="379" customFormat="1" ht="3.95" customHeight="1">
      <c r="A117" s="403"/>
      <c r="B117" s="457"/>
      <c r="C117" s="403"/>
      <c r="D117" s="993"/>
      <c r="E117" s="968"/>
      <c r="F117" s="938"/>
      <c r="G117" s="994"/>
      <c r="H117" s="995">
        <v>52</v>
      </c>
      <c r="I117" s="996"/>
      <c r="J117" s="630"/>
      <c r="K117" s="625"/>
      <c r="L117" s="625"/>
      <c r="M117" s="625"/>
      <c r="N117" s="455"/>
      <c r="O117" s="403"/>
      <c r="P117" s="403"/>
      <c r="Q117" s="403"/>
      <c r="R117" s="403"/>
      <c r="S117" s="403"/>
      <c r="T117" s="403"/>
      <c r="U117" s="403"/>
      <c r="V117" s="403"/>
      <c r="W117" s="403"/>
      <c r="X117" s="403"/>
      <c r="Y117" s="403"/>
      <c r="Z117" s="403"/>
      <c r="AA117" s="403"/>
      <c r="AB117" s="403"/>
      <c r="AC117" s="403"/>
      <c r="AD117" s="403"/>
      <c r="AE117" s="403"/>
      <c r="AF117" s="403"/>
      <c r="AG117" s="403"/>
      <c r="AH117" s="403"/>
      <c r="AI117" s="403"/>
      <c r="AJ117" s="403"/>
      <c r="AK117" s="403"/>
      <c r="AL117" s="403"/>
      <c r="AM117" s="403"/>
      <c r="AN117" s="403"/>
      <c r="AO117" s="403"/>
      <c r="AP117" s="403"/>
      <c r="AQ117" s="403"/>
      <c r="AR117" s="403"/>
      <c r="AS117" s="403"/>
      <c r="AT117" s="403"/>
      <c r="AU117" s="403"/>
      <c r="AV117" s="403"/>
      <c r="AW117" s="403"/>
      <c r="AX117" s="403"/>
      <c r="AY117" s="403"/>
      <c r="AZ117" s="403"/>
    </row>
    <row r="118" spans="1:52" s="379" customFormat="1" ht="14.25" customHeight="1">
      <c r="A118" s="403"/>
      <c r="B118" s="445" t="s">
        <v>323</v>
      </c>
      <c r="C118" s="430"/>
      <c r="D118" s="997"/>
      <c r="E118" s="998"/>
      <c r="F118" s="998"/>
      <c r="G118" s="983"/>
      <c r="H118" s="984"/>
      <c r="I118" s="985"/>
      <c r="J118" s="632"/>
      <c r="K118" s="626"/>
      <c r="L118" s="626"/>
      <c r="M118" s="626"/>
      <c r="N118" s="468"/>
      <c r="O118" s="403"/>
      <c r="P118" s="403"/>
      <c r="Q118" s="403"/>
      <c r="R118" s="403"/>
      <c r="S118" s="403"/>
      <c r="T118" s="403"/>
      <c r="U118" s="403"/>
      <c r="V118" s="403"/>
      <c r="W118" s="403"/>
      <c r="X118" s="403"/>
      <c r="Y118" s="403"/>
      <c r="Z118" s="403"/>
      <c r="AA118" s="403"/>
      <c r="AB118" s="403"/>
      <c r="AC118" s="403"/>
      <c r="AD118" s="403"/>
      <c r="AE118" s="403"/>
      <c r="AF118" s="403"/>
      <c r="AG118" s="403"/>
      <c r="AH118" s="403"/>
      <c r="AI118" s="403"/>
      <c r="AJ118" s="403"/>
      <c r="AK118" s="403"/>
      <c r="AL118" s="403"/>
      <c r="AM118" s="403"/>
      <c r="AN118" s="403"/>
      <c r="AO118" s="403"/>
      <c r="AP118" s="403"/>
      <c r="AQ118" s="403"/>
      <c r="AR118" s="403"/>
      <c r="AS118" s="403"/>
      <c r="AT118" s="403"/>
      <c r="AU118" s="403"/>
      <c r="AV118" s="403"/>
      <c r="AW118" s="403"/>
      <c r="AX118" s="403"/>
      <c r="AY118" s="403"/>
      <c r="AZ118" s="403"/>
    </row>
    <row r="119" spans="1:52" s="379" customFormat="1" ht="3.95" customHeight="1">
      <c r="A119" s="403"/>
      <c r="B119" s="446"/>
      <c r="C119" s="434"/>
      <c r="D119" s="989"/>
      <c r="E119" s="989"/>
      <c r="F119" s="999"/>
      <c r="G119" s="989"/>
      <c r="H119" s="914"/>
      <c r="I119" s="990"/>
      <c r="J119" s="624"/>
      <c r="K119" s="627"/>
      <c r="L119" s="627"/>
      <c r="M119" s="627"/>
      <c r="N119" s="439"/>
      <c r="O119" s="403"/>
      <c r="P119" s="403"/>
      <c r="Q119" s="403"/>
      <c r="R119" s="403"/>
      <c r="S119" s="403"/>
      <c r="T119" s="403"/>
      <c r="U119" s="403"/>
      <c r="V119" s="403"/>
      <c r="W119" s="403"/>
      <c r="X119" s="403"/>
      <c r="Y119" s="403"/>
      <c r="Z119" s="403"/>
      <c r="AA119" s="403"/>
      <c r="AB119" s="403"/>
      <c r="AC119" s="403"/>
      <c r="AD119" s="403"/>
      <c r="AE119" s="403"/>
      <c r="AF119" s="403"/>
      <c r="AG119" s="403"/>
      <c r="AH119" s="403"/>
      <c r="AI119" s="403"/>
      <c r="AJ119" s="403"/>
      <c r="AK119" s="403"/>
      <c r="AL119" s="403"/>
      <c r="AM119" s="403"/>
      <c r="AN119" s="403"/>
      <c r="AO119" s="403"/>
      <c r="AP119" s="403"/>
      <c r="AQ119" s="403"/>
      <c r="AR119" s="403"/>
      <c r="AS119" s="403"/>
      <c r="AT119" s="403"/>
      <c r="AU119" s="403"/>
      <c r="AV119" s="403"/>
      <c r="AW119" s="403"/>
      <c r="AX119" s="403"/>
      <c r="AY119" s="403"/>
      <c r="AZ119" s="403"/>
    </row>
    <row r="120" spans="1:52" s="379" customFormat="1" ht="14.25" customHeight="1">
      <c r="A120" s="403"/>
      <c r="B120" s="457" t="s">
        <v>324</v>
      </c>
      <c r="C120" s="403"/>
      <c r="D120" s="958">
        <f>+_xlfn.XLOOKUP($B120,Inputs!$B:$B,Inputs!Q:Q)</f>
        <v>71.2</v>
      </c>
      <c r="E120" s="938">
        <v>8286</v>
      </c>
      <c r="F120" s="962">
        <v>2360</v>
      </c>
      <c r="G120" s="965">
        <v>615</v>
      </c>
      <c r="H120" s="962">
        <v>1476</v>
      </c>
      <c r="I120" s="965">
        <v>320</v>
      </c>
      <c r="J120" s="852">
        <v>-476</v>
      </c>
      <c r="K120" s="625"/>
      <c r="L120" s="625"/>
      <c r="M120" s="625"/>
      <c r="N120" s="455"/>
      <c r="O120" s="403"/>
      <c r="P120" s="403"/>
      <c r="Q120" s="403"/>
      <c r="R120" s="403"/>
      <c r="S120" s="403"/>
      <c r="T120" s="403"/>
      <c r="U120" s="403"/>
      <c r="V120" s="403"/>
      <c r="W120" s="403"/>
      <c r="X120" s="403"/>
      <c r="Y120" s="403"/>
      <c r="Z120" s="403"/>
      <c r="AA120" s="403"/>
      <c r="AB120" s="403"/>
      <c r="AC120" s="403"/>
      <c r="AD120" s="403"/>
      <c r="AE120" s="403"/>
      <c r="AF120" s="403"/>
      <c r="AG120" s="403"/>
      <c r="AH120" s="403"/>
      <c r="AI120" s="403"/>
      <c r="AJ120" s="403"/>
      <c r="AK120" s="403"/>
      <c r="AL120" s="403"/>
      <c r="AM120" s="403"/>
      <c r="AN120" s="403"/>
      <c r="AO120" s="403"/>
      <c r="AP120" s="403"/>
      <c r="AQ120" s="403"/>
      <c r="AR120" s="403"/>
      <c r="AS120" s="403"/>
      <c r="AT120" s="403"/>
      <c r="AU120" s="403"/>
      <c r="AV120" s="403"/>
      <c r="AW120" s="403"/>
      <c r="AX120" s="403"/>
      <c r="AY120" s="403"/>
      <c r="AZ120" s="403"/>
    </row>
    <row r="121" spans="1:52" s="379" customFormat="1" ht="14.25" customHeight="1">
      <c r="A121" s="403"/>
      <c r="B121" s="457" t="s">
        <v>30</v>
      </c>
      <c r="C121" s="403"/>
      <c r="D121" s="958">
        <f>+_xlfn.XLOOKUP($B121,Inputs!$B:$B,Inputs!Q:Q)</f>
        <v>-8.6999999999999993</v>
      </c>
      <c r="E121" s="938">
        <v>-1641</v>
      </c>
      <c r="F121" s="971">
        <v>-919</v>
      </c>
      <c r="G121" s="965">
        <v>-226</v>
      </c>
      <c r="H121" s="971">
        <v>-435</v>
      </c>
      <c r="I121" s="965">
        <v>-325</v>
      </c>
      <c r="J121" s="852">
        <v>-97</v>
      </c>
      <c r="K121" s="625"/>
      <c r="L121" s="625"/>
      <c r="M121" s="625"/>
      <c r="N121" s="455"/>
      <c r="O121" s="403"/>
      <c r="P121" s="403"/>
      <c r="Q121" s="403"/>
      <c r="R121" s="403"/>
      <c r="S121" s="403"/>
      <c r="T121" s="403"/>
      <c r="U121" s="403"/>
      <c r="V121" s="403"/>
      <c r="W121" s="403"/>
      <c r="X121" s="403"/>
      <c r="Y121" s="403"/>
      <c r="Z121" s="403"/>
      <c r="AA121" s="403"/>
      <c r="AB121" s="403"/>
      <c r="AC121" s="403"/>
      <c r="AD121" s="403"/>
      <c r="AE121" s="403"/>
      <c r="AF121" s="403"/>
      <c r="AG121" s="403"/>
      <c r="AH121" s="403"/>
      <c r="AI121" s="403"/>
      <c r="AJ121" s="403"/>
      <c r="AK121" s="403"/>
      <c r="AL121" s="403"/>
      <c r="AM121" s="403"/>
      <c r="AN121" s="403"/>
      <c r="AO121" s="403"/>
      <c r="AP121" s="403"/>
      <c r="AQ121" s="403"/>
      <c r="AR121" s="403"/>
      <c r="AS121" s="403"/>
      <c r="AT121" s="403"/>
      <c r="AU121" s="403"/>
      <c r="AV121" s="403"/>
      <c r="AW121" s="403"/>
      <c r="AX121" s="403"/>
      <c r="AY121" s="403"/>
      <c r="AZ121" s="403"/>
    </row>
    <row r="122" spans="1:52" s="379" customFormat="1" ht="14.25" customHeight="1">
      <c r="A122" s="403"/>
      <c r="B122" s="457" t="s">
        <v>325</v>
      </c>
      <c r="C122" s="403"/>
      <c r="D122" s="958">
        <f>+_xlfn.XLOOKUP($B122,Inputs!$B:$B,Inputs!Q:Q)</f>
        <v>-284.7</v>
      </c>
      <c r="E122" s="938">
        <v>-3703</v>
      </c>
      <c r="F122" s="971">
        <v>-960</v>
      </c>
      <c r="G122" s="965">
        <v>-226</v>
      </c>
      <c r="H122" s="971">
        <v>-441</v>
      </c>
      <c r="I122" s="965">
        <v>-553</v>
      </c>
      <c r="J122" s="852">
        <v>424</v>
      </c>
      <c r="K122" s="625"/>
      <c r="L122" s="625"/>
      <c r="M122" s="625"/>
      <c r="N122" s="455"/>
      <c r="O122" s="403"/>
      <c r="P122" s="403"/>
      <c r="Q122" s="403"/>
      <c r="R122" s="403"/>
      <c r="S122" s="403"/>
      <c r="T122" s="403"/>
      <c r="U122" s="403"/>
      <c r="V122" s="403"/>
      <c r="W122" s="403"/>
      <c r="X122" s="403"/>
      <c r="Y122" s="403"/>
      <c r="Z122" s="403"/>
      <c r="AA122" s="403"/>
      <c r="AB122" s="403"/>
      <c r="AC122" s="403"/>
      <c r="AD122" s="403"/>
      <c r="AE122" s="403"/>
      <c r="AF122" s="403"/>
      <c r="AG122" s="403"/>
      <c r="AH122" s="403"/>
      <c r="AI122" s="403"/>
      <c r="AJ122" s="403"/>
      <c r="AK122" s="403"/>
      <c r="AL122" s="403"/>
      <c r="AM122" s="403"/>
      <c r="AN122" s="403"/>
      <c r="AO122" s="403"/>
      <c r="AP122" s="403"/>
      <c r="AQ122" s="403"/>
      <c r="AR122" s="403"/>
      <c r="AS122" s="403"/>
      <c r="AT122" s="403"/>
      <c r="AU122" s="403"/>
      <c r="AV122" s="403"/>
      <c r="AW122" s="403"/>
      <c r="AX122" s="403"/>
      <c r="AY122" s="403"/>
      <c r="AZ122" s="403"/>
    </row>
    <row r="123" spans="1:52" s="379" customFormat="1" ht="14.25" customHeight="1">
      <c r="A123" s="403"/>
      <c r="B123" s="457" t="s">
        <v>326</v>
      </c>
      <c r="C123" s="403"/>
      <c r="D123" s="958">
        <f>+_xlfn.XLOOKUP($B123,Inputs!$B:$B,Inputs!Q:Q)</f>
        <v>204.5</v>
      </c>
      <c r="E123" s="938">
        <v>-246</v>
      </c>
      <c r="F123" s="971">
        <v>-352</v>
      </c>
      <c r="G123" s="963">
        <v>4283</v>
      </c>
      <c r="H123" s="971">
        <v>195</v>
      </c>
      <c r="I123" s="965">
        <v>714</v>
      </c>
      <c r="J123" s="852"/>
      <c r="K123" s="625"/>
      <c r="L123" s="625"/>
      <c r="M123" s="625"/>
      <c r="N123" s="455"/>
      <c r="O123" s="403"/>
      <c r="P123" s="403"/>
      <c r="Q123" s="403"/>
      <c r="R123" s="403"/>
      <c r="S123" s="403"/>
      <c r="T123" s="403"/>
      <c r="U123" s="403"/>
      <c r="V123" s="403"/>
      <c r="W123" s="403"/>
      <c r="X123" s="403"/>
      <c r="Y123" s="403"/>
      <c r="Z123" s="403"/>
      <c r="AA123" s="403"/>
      <c r="AB123" s="403"/>
      <c r="AC123" s="403"/>
      <c r="AD123" s="403"/>
      <c r="AE123" s="403"/>
      <c r="AF123" s="403"/>
      <c r="AG123" s="403"/>
      <c r="AH123" s="403"/>
      <c r="AI123" s="403"/>
      <c r="AJ123" s="403"/>
      <c r="AK123" s="403"/>
      <c r="AL123" s="403"/>
      <c r="AM123" s="403"/>
      <c r="AN123" s="403"/>
      <c r="AO123" s="403"/>
      <c r="AP123" s="403"/>
      <c r="AQ123" s="403"/>
      <c r="AR123" s="403"/>
      <c r="AS123" s="403"/>
      <c r="AT123" s="403"/>
      <c r="AU123" s="403"/>
      <c r="AV123" s="403"/>
      <c r="AW123" s="403"/>
      <c r="AX123" s="403"/>
      <c r="AY123" s="403"/>
      <c r="AZ123" s="403"/>
    </row>
    <row r="124" spans="1:52" s="379" customFormat="1" ht="14.25" customHeight="1">
      <c r="A124" s="403"/>
      <c r="B124" s="457" t="s">
        <v>327</v>
      </c>
      <c r="C124" s="403"/>
      <c r="D124" s="958">
        <f>+_xlfn.XLOOKUP($B124,Inputs!$B:$B,Inputs!Q:Q)</f>
        <v>-7.9</v>
      </c>
      <c r="E124" s="938">
        <v>-2257</v>
      </c>
      <c r="F124" s="971">
        <v>638</v>
      </c>
      <c r="G124" s="965">
        <v>-328</v>
      </c>
      <c r="H124" s="971">
        <v>0</v>
      </c>
      <c r="I124" s="965">
        <v>64</v>
      </c>
      <c r="J124" s="852"/>
      <c r="K124" s="625"/>
      <c r="L124" s="625"/>
      <c r="M124" s="625"/>
      <c r="N124" s="455"/>
      <c r="O124" s="403"/>
      <c r="P124" s="403"/>
      <c r="Q124" s="403"/>
      <c r="R124" s="403"/>
      <c r="S124" s="403"/>
      <c r="T124" s="403"/>
      <c r="U124" s="403"/>
      <c r="V124" s="403"/>
      <c r="W124" s="403"/>
      <c r="X124" s="403"/>
      <c r="Y124" s="403"/>
      <c r="Z124" s="403"/>
      <c r="AA124" s="403"/>
      <c r="AB124" s="403"/>
      <c r="AC124" s="403"/>
      <c r="AD124" s="403"/>
      <c r="AE124" s="403"/>
      <c r="AF124" s="403"/>
      <c r="AG124" s="403"/>
      <c r="AH124" s="403"/>
      <c r="AI124" s="403"/>
      <c r="AJ124" s="403"/>
      <c r="AK124" s="403"/>
      <c r="AL124" s="403"/>
      <c r="AM124" s="403"/>
      <c r="AN124" s="403"/>
      <c r="AO124" s="403"/>
      <c r="AP124" s="403"/>
      <c r="AQ124" s="403"/>
      <c r="AR124" s="403"/>
      <c r="AS124" s="403"/>
      <c r="AT124" s="403"/>
      <c r="AU124" s="403"/>
      <c r="AV124" s="403"/>
      <c r="AW124" s="403"/>
      <c r="AX124" s="403"/>
      <c r="AY124" s="403"/>
      <c r="AZ124" s="403"/>
    </row>
    <row r="125" spans="1:52" s="379" customFormat="1" ht="14.25" customHeight="1">
      <c r="A125" s="403"/>
      <c r="B125" s="457" t="s">
        <v>328</v>
      </c>
      <c r="C125" s="403"/>
      <c r="D125" s="958">
        <f>+_xlfn.XLOOKUP($B125,Inputs!$B:$B,Inputs!Q:Q)</f>
        <v>200.9</v>
      </c>
      <c r="E125" s="938">
        <v>-4785</v>
      </c>
      <c r="F125" s="962">
        <v>-2035</v>
      </c>
      <c r="G125" s="965">
        <v>-337</v>
      </c>
      <c r="H125" s="962">
        <v>-1006</v>
      </c>
      <c r="I125" s="965">
        <v>154</v>
      </c>
      <c r="J125" s="852">
        <v>-181</v>
      </c>
      <c r="K125" s="625"/>
      <c r="L125" s="625"/>
      <c r="M125" s="625"/>
      <c r="N125" s="455"/>
      <c r="O125" s="403"/>
      <c r="P125" s="403"/>
      <c r="Q125" s="403"/>
      <c r="R125" s="403"/>
      <c r="S125" s="403"/>
      <c r="T125" s="403"/>
      <c r="U125" s="403"/>
      <c r="V125" s="403"/>
      <c r="W125" s="403"/>
      <c r="X125" s="403"/>
      <c r="Y125" s="403"/>
      <c r="Z125" s="403"/>
      <c r="AA125" s="403"/>
      <c r="AB125" s="403"/>
      <c r="AC125" s="403"/>
      <c r="AD125" s="403"/>
      <c r="AE125" s="403"/>
      <c r="AF125" s="403"/>
      <c r="AG125" s="403"/>
      <c r="AH125" s="403"/>
      <c r="AI125" s="403"/>
      <c r="AJ125" s="403"/>
      <c r="AK125" s="403"/>
      <c r="AL125" s="403"/>
      <c r="AM125" s="403"/>
      <c r="AN125" s="403"/>
      <c r="AO125" s="403"/>
      <c r="AP125" s="403"/>
      <c r="AQ125" s="403"/>
      <c r="AR125" s="403"/>
      <c r="AS125" s="403"/>
      <c r="AT125" s="403"/>
      <c r="AU125" s="403"/>
      <c r="AV125" s="403"/>
      <c r="AW125" s="403"/>
      <c r="AX125" s="403"/>
      <c r="AY125" s="403"/>
      <c r="AZ125" s="403"/>
    </row>
    <row r="126" spans="1:52" s="379" customFormat="1" ht="14.25" customHeight="1">
      <c r="A126" s="403"/>
      <c r="B126" s="457" t="s">
        <v>329</v>
      </c>
      <c r="C126" s="403"/>
      <c r="D126" s="958">
        <f>+_xlfn.XLOOKUP($B126,Inputs!$B:$B,Inputs!Q:Q)</f>
        <v>-12.6</v>
      </c>
      <c r="E126" s="938">
        <v>235</v>
      </c>
      <c r="F126" s="971">
        <v>-634</v>
      </c>
      <c r="G126" s="965">
        <v>37</v>
      </c>
      <c r="H126" s="971">
        <v>29</v>
      </c>
      <c r="I126" s="965">
        <v>-41</v>
      </c>
      <c r="J126" s="852">
        <v>-207</v>
      </c>
      <c r="K126" s="625"/>
      <c r="L126" s="625"/>
      <c r="M126" s="625"/>
      <c r="N126" s="455"/>
      <c r="O126" s="403"/>
      <c r="P126" s="403"/>
      <c r="Q126" s="403"/>
      <c r="R126" s="403"/>
      <c r="S126" s="403"/>
      <c r="T126" s="403"/>
      <c r="U126" s="403"/>
      <c r="V126" s="403"/>
      <c r="W126" s="403"/>
      <c r="X126" s="403"/>
      <c r="Y126" s="403"/>
      <c r="Z126" s="403"/>
      <c r="AA126" s="403"/>
      <c r="AB126" s="403"/>
      <c r="AC126" s="403"/>
      <c r="AD126" s="403"/>
      <c r="AE126" s="403"/>
      <c r="AF126" s="403"/>
      <c r="AG126" s="403"/>
      <c r="AH126" s="403"/>
      <c r="AI126" s="403"/>
      <c r="AJ126" s="403"/>
      <c r="AK126" s="403"/>
      <c r="AL126" s="403"/>
      <c r="AM126" s="403"/>
      <c r="AN126" s="403"/>
      <c r="AO126" s="403"/>
      <c r="AP126" s="403"/>
      <c r="AQ126" s="403"/>
      <c r="AR126" s="403"/>
      <c r="AS126" s="403"/>
      <c r="AT126" s="403"/>
      <c r="AU126" s="403"/>
      <c r="AV126" s="403"/>
      <c r="AW126" s="403"/>
      <c r="AX126" s="403"/>
      <c r="AY126" s="403"/>
      <c r="AZ126" s="403"/>
    </row>
    <row r="127" spans="1:52" s="379" customFormat="1" ht="3.95" customHeight="1">
      <c r="A127" s="403"/>
      <c r="B127" s="458"/>
      <c r="C127" s="403"/>
      <c r="D127" s="1000"/>
      <c r="E127" s="1001"/>
      <c r="F127" s="1001"/>
      <c r="G127" s="1001"/>
      <c r="H127" s="1001"/>
      <c r="I127" s="1001"/>
      <c r="J127" s="620"/>
      <c r="K127" s="620"/>
      <c r="L127" s="620"/>
      <c r="M127" s="620"/>
      <c r="N127" s="621"/>
      <c r="O127" s="403"/>
      <c r="P127" s="403"/>
      <c r="Q127" s="403"/>
      <c r="R127" s="403"/>
      <c r="S127" s="403"/>
      <c r="T127" s="403"/>
      <c r="U127" s="403"/>
      <c r="V127" s="403"/>
      <c r="W127" s="403"/>
      <c r="X127" s="403"/>
      <c r="Y127" s="403"/>
      <c r="Z127" s="403"/>
      <c r="AA127" s="403"/>
      <c r="AB127" s="403"/>
      <c r="AC127" s="403"/>
      <c r="AD127" s="403"/>
      <c r="AE127" s="403"/>
      <c r="AF127" s="403"/>
      <c r="AG127" s="403"/>
      <c r="AH127" s="403"/>
      <c r="AI127" s="403"/>
      <c r="AJ127" s="403"/>
      <c r="AK127" s="403"/>
      <c r="AL127" s="403"/>
      <c r="AM127" s="403"/>
      <c r="AN127" s="403"/>
      <c r="AO127" s="403"/>
      <c r="AP127" s="403"/>
      <c r="AQ127" s="403"/>
      <c r="AR127" s="403"/>
      <c r="AS127" s="403"/>
      <c r="AT127" s="403"/>
      <c r="AU127" s="403"/>
      <c r="AV127" s="403"/>
      <c r="AW127" s="403"/>
      <c r="AX127" s="403"/>
      <c r="AY127" s="403"/>
      <c r="AZ127" s="403"/>
    </row>
    <row r="128" spans="1:52" ht="14.25" customHeight="1">
      <c r="B128" s="67" t="s">
        <v>109</v>
      </c>
      <c r="C128" s="68"/>
      <c r="D128" s="1002"/>
      <c r="E128" s="1003"/>
      <c r="F128" s="1003"/>
      <c r="G128" s="1003"/>
      <c r="H128" s="1003"/>
      <c r="I128" s="1003"/>
      <c r="J128" s="94"/>
      <c r="K128" s="95"/>
      <c r="L128" s="95"/>
      <c r="M128" s="95"/>
      <c r="N128" s="95"/>
      <c r="O128" s="95"/>
    </row>
    <row r="129" spans="2:15" ht="3.75" customHeight="1">
      <c r="B129" s="69"/>
      <c r="C129" s="69"/>
      <c r="D129" s="1004"/>
      <c r="E129" s="1004"/>
      <c r="F129" s="1004"/>
      <c r="G129" s="1004"/>
      <c r="H129" s="1004"/>
      <c r="I129" s="1004"/>
      <c r="J129" s="96"/>
      <c r="K129" s="96"/>
      <c r="L129" s="96"/>
      <c r="M129" s="96"/>
      <c r="N129" s="96"/>
      <c r="O129" s="96"/>
    </row>
    <row r="136" spans="2:15" ht="14.25" customHeight="1">
      <c r="B136" s="67" t="s">
        <v>134</v>
      </c>
      <c r="C136" s="68"/>
      <c r="D136" s="1002"/>
      <c r="E136" s="1003"/>
      <c r="F136" s="1003"/>
      <c r="G136" s="1003"/>
      <c r="H136" s="1003"/>
      <c r="I136" s="1003"/>
      <c r="J136" s="94"/>
      <c r="K136" s="95"/>
      <c r="L136" s="95"/>
      <c r="M136" s="95"/>
      <c r="N136" s="95"/>
      <c r="O136" s="95"/>
    </row>
    <row r="137" spans="2:15" ht="4.3499999999999996" customHeight="1">
      <c r="B137" s="675"/>
      <c r="C137" s="675"/>
      <c r="D137" s="1005"/>
      <c r="E137" s="1005"/>
      <c r="F137" s="1005"/>
      <c r="G137" s="1005"/>
      <c r="H137" s="1005"/>
      <c r="I137" s="1005"/>
      <c r="J137" s="675"/>
      <c r="K137" s="675"/>
      <c r="L137" s="675"/>
      <c r="M137" s="675"/>
      <c r="N137" s="675"/>
      <c r="O137" s="675"/>
    </row>
  </sheetData>
  <mergeCells count="10">
    <mergeCell ref="D15:F15"/>
    <mergeCell ref="J15:L15"/>
    <mergeCell ref="M15:O15"/>
    <mergeCell ref="D2:E2"/>
    <mergeCell ref="H3:I3"/>
    <mergeCell ref="J3:K3"/>
    <mergeCell ref="F3:G3"/>
    <mergeCell ref="N3:O3"/>
    <mergeCell ref="D3:E3"/>
    <mergeCell ref="L3:M3"/>
  </mergeCells>
  <conditionalFormatting sqref="D5:E6 D8:E9 E11">
    <cfRule type="colorScale" priority="5">
      <colorScale>
        <cfvo type="num" val="0"/>
        <cfvo type="percentile" val="50"/>
        <cfvo type="max"/>
        <color rgb="FFFFFF00"/>
        <color rgb="FF92D050"/>
        <color rgb="FF63BE7B"/>
      </colorScale>
    </cfRule>
  </conditionalFormatting>
  <conditionalFormatting sqref="D7:E7 D10:E10 D11">
    <cfRule type="colorScale" priority="4">
      <colorScale>
        <cfvo type="min"/>
        <cfvo type="percentile" val="50"/>
        <cfvo type="num" val="0"/>
        <color rgb="FFFF0000"/>
        <color rgb="FFFFC000"/>
        <color rgb="FFFFFF00"/>
      </colorScale>
    </cfRule>
  </conditionalFormatting>
  <conditionalFormatting sqref="F5:G11">
    <cfRule type="colorScale" priority="10">
      <colorScale>
        <cfvo type="min"/>
        <cfvo type="percentile" val="50"/>
        <cfvo type="max"/>
        <color rgb="FFFFFF00"/>
        <color rgb="FF92D050"/>
        <color rgb="FF63BE7B"/>
      </colorScale>
    </cfRule>
  </conditionalFormatting>
  <conditionalFormatting sqref="H5:I11">
    <cfRule type="colorScale" priority="9">
      <colorScale>
        <cfvo type="min"/>
        <cfvo type="percentile" val="50"/>
        <cfvo type="max"/>
        <color rgb="FFFFFF00"/>
        <color rgb="FF92D050"/>
        <color rgb="FF63BE7B"/>
      </colorScale>
    </cfRule>
  </conditionalFormatting>
  <conditionalFormatting sqref="J5:K11">
    <cfRule type="colorScale" priority="2">
      <colorScale>
        <cfvo type="min"/>
        <cfvo type="percentile" val="50"/>
        <cfvo type="max"/>
        <color rgb="FF63BE7B"/>
        <color rgb="FF92D050"/>
        <color rgb="FFFFFF00"/>
      </colorScale>
    </cfRule>
  </conditionalFormatting>
  <conditionalFormatting sqref="L5:M11">
    <cfRule type="colorScale" priority="1">
      <colorScale>
        <cfvo type="min"/>
        <cfvo type="percentile" val="50"/>
        <cfvo type="max"/>
        <color rgb="FF63BE7B"/>
        <color rgb="FF92D050"/>
        <color rgb="FFFFFF00"/>
      </colorScale>
    </cfRule>
  </conditionalFormatting>
  <conditionalFormatting sqref="M18:O21">
    <cfRule type="colorScale" priority="16">
      <colorScale>
        <cfvo type="min"/>
        <cfvo type="num" val="0"/>
        <cfvo type="max"/>
        <color rgb="FFF8696B"/>
        <color rgb="FFFCFCFF"/>
        <color rgb="FF63BE7B"/>
      </colorScale>
    </cfRule>
  </conditionalFormatting>
  <conditionalFormatting sqref="N5:O11">
    <cfRule type="colorScale" priority="3">
      <colorScale>
        <cfvo type="min"/>
        <cfvo type="percentile" val="50"/>
        <cfvo type="max"/>
        <color rgb="FF63BE7B"/>
        <color rgb="FF92D050"/>
        <color rgb="FFFFFF00"/>
      </colorScale>
    </cfRule>
  </conditionalFormatting>
  <conditionalFormatting sqref="P11">
    <cfRule type="colorScale" priority="211">
      <colorScale>
        <cfvo type="min"/>
        <cfvo type="percentile" val="50"/>
        <cfvo type="max"/>
        <color rgb="FF63BE7B"/>
        <color rgb="FFFFEB84"/>
        <color rgb="FFF8696B"/>
      </colorScale>
    </cfRule>
  </conditionalFormatting>
  <conditionalFormatting sqref="Q11">
    <cfRule type="colorScale" priority="212">
      <colorScale>
        <cfvo type="min"/>
        <cfvo type="percentile" val="50"/>
        <cfvo type="max"/>
        <color rgb="FF63BE7B"/>
        <color rgb="FFFFEB84"/>
        <color rgb="FFF8696B"/>
      </colorScale>
    </cfRule>
  </conditionalFormatting>
  <conditionalFormatting sqref="R11">
    <cfRule type="colorScale" priority="213">
      <colorScale>
        <cfvo type="min"/>
        <cfvo type="percentile" val="50"/>
        <cfvo type="max"/>
        <color rgb="FFF8696B"/>
        <color rgb="FFFFEB84"/>
        <color rgb="FF63BE7B"/>
      </colorScale>
    </cfRule>
  </conditionalFormatting>
  <conditionalFormatting sqref="T11">
    <cfRule type="colorScale" priority="214">
      <colorScale>
        <cfvo type="min"/>
        <cfvo type="percentile" val="50"/>
        <cfvo type="max"/>
        <color rgb="FFF8696B"/>
        <color rgb="FFFFEB84"/>
        <color rgb="FF63BE7B"/>
      </colorScale>
    </cfRule>
    <cfRule type="colorScale" priority="215">
      <colorScale>
        <cfvo type="min"/>
        <cfvo type="percentile" val="50"/>
        <cfvo type="max"/>
        <color rgb="FFF8696B"/>
        <color rgb="FFFFEB84"/>
        <color rgb="FF63BE7B"/>
      </colorScale>
    </cfRule>
  </conditionalFormatting>
  <conditionalFormatting sqref="U11">
    <cfRule type="colorScale" priority="216">
      <colorScale>
        <cfvo type="min"/>
        <cfvo type="percentile" val="50"/>
        <cfvo type="max"/>
        <color rgb="FFF8696B"/>
        <color rgb="FFFFEB84"/>
        <color rgb="FF63BE7B"/>
      </colorScale>
    </cfRule>
    <cfRule type="colorScale" priority="217">
      <colorScale>
        <cfvo type="min"/>
        <cfvo type="percentile" val="50"/>
        <cfvo type="max"/>
        <color rgb="FFF8696B"/>
        <color rgb="FFFFEB84"/>
        <color rgb="FF63BE7B"/>
      </colorScale>
    </cfRule>
  </conditionalFormatting>
  <conditionalFormatting sqref="W11">
    <cfRule type="colorScale" priority="218">
      <colorScale>
        <cfvo type="min"/>
        <cfvo type="percentile" val="50"/>
        <cfvo type="max"/>
        <color rgb="FFF8696B"/>
        <color rgb="FFFFEB84"/>
        <color rgb="FF63BE7B"/>
      </colorScale>
    </cfRule>
    <cfRule type="colorScale" priority="219">
      <colorScale>
        <cfvo type="min"/>
        <cfvo type="percentile" val="50"/>
        <cfvo type="max"/>
        <color rgb="FFF8696B"/>
        <color rgb="FFFFEB84"/>
        <color rgb="FF63BE7B"/>
      </colorScale>
    </cfRule>
  </conditionalFormatting>
  <conditionalFormatting sqref="X11">
    <cfRule type="colorScale" priority="220">
      <colorScale>
        <cfvo type="min"/>
        <cfvo type="percentile" val="50"/>
        <cfvo type="max"/>
        <color rgb="FFF8696B"/>
        <color rgb="FFFFEB84"/>
        <color rgb="FF63BE7B"/>
      </colorScale>
    </cfRule>
    <cfRule type="colorScale" priority="221">
      <colorScale>
        <cfvo type="min"/>
        <cfvo type="percentile" val="50"/>
        <cfvo type="max"/>
        <color rgb="FFF8696B"/>
        <color rgb="FFFFEB84"/>
        <color rgb="FF63BE7B"/>
      </colorScale>
    </cfRule>
  </conditionalFormatting>
  <conditionalFormatting sqref="Y11">
    <cfRule type="colorScale" priority="222">
      <colorScale>
        <cfvo type="min"/>
        <cfvo type="percentile" val="50"/>
        <cfvo type="max"/>
        <color rgb="FF63BE7B"/>
        <color rgb="FFFFEB84"/>
        <color rgb="FFF8696B"/>
      </colorScale>
    </cfRule>
  </conditionalFormatting>
  <conditionalFormatting sqref="Z11">
    <cfRule type="colorScale" priority="223">
      <colorScale>
        <cfvo type="min"/>
        <cfvo type="percentile" val="50"/>
        <cfvo type="max"/>
        <color rgb="FFF8696B"/>
        <color rgb="FFFFEB84"/>
        <color rgb="FF63BE7B"/>
      </colorScale>
    </cfRule>
    <cfRule type="colorScale" priority="224">
      <colorScale>
        <cfvo type="min"/>
        <cfvo type="percentile" val="50"/>
        <cfvo type="max"/>
        <color rgb="FFF8696B"/>
        <color rgb="FFFFEB84"/>
        <color rgb="FF63BE7B"/>
      </colorScale>
    </cfRule>
  </conditionalFormatting>
  <conditionalFormatting sqref="AA11">
    <cfRule type="colorScale" priority="225">
      <colorScale>
        <cfvo type="min"/>
        <cfvo type="percentile" val="50"/>
        <cfvo type="max"/>
        <color rgb="FFF8696B"/>
        <color rgb="FFFFEB84"/>
        <color rgb="FF63BE7B"/>
      </colorScale>
    </cfRule>
    <cfRule type="colorScale" priority="226">
      <colorScale>
        <cfvo type="min"/>
        <cfvo type="percentile" val="50"/>
        <cfvo type="max"/>
        <color rgb="FFF8696B"/>
        <color rgb="FFFFEB84"/>
        <color rgb="FF63BE7B"/>
      </colorScale>
    </cfRule>
  </conditionalFormatting>
  <conditionalFormatting sqref="AB11">
    <cfRule type="colorScale" priority="227">
      <colorScale>
        <cfvo type="min"/>
        <cfvo type="percentile" val="50"/>
        <cfvo type="max"/>
        <color rgb="FF63BE7B"/>
        <color rgb="FFFFEB84"/>
        <color rgb="FFF8696B"/>
      </colorScale>
    </cfRule>
  </conditionalFormatting>
  <conditionalFormatting sqref="AD5:AD11">
    <cfRule type="colorScale" priority="232">
      <colorScale>
        <cfvo type="min"/>
        <cfvo type="percentile" val="50"/>
        <cfvo type="max"/>
        <color rgb="FF63BE7B"/>
        <color rgb="FFFFEB84"/>
        <color rgb="FFF8696B"/>
      </colorScale>
    </cfRule>
    <cfRule type="colorScale" priority="233">
      <colorScale>
        <cfvo type="min"/>
        <cfvo type="percentile" val="50"/>
        <cfvo type="max"/>
        <color rgb="FF63BE7B"/>
        <color rgb="FFFFEB84"/>
        <color rgb="FFF8696B"/>
      </colorScale>
    </cfRule>
  </conditionalFormatting>
  <conditionalFormatting sqref="AE5:AE11">
    <cfRule type="colorScale" priority="234">
      <colorScale>
        <cfvo type="min"/>
        <cfvo type="percentile" val="50"/>
        <cfvo type="max"/>
        <color rgb="FF63BE7B"/>
        <color rgb="FFFFEB84"/>
        <color rgb="FFF8696B"/>
      </colorScale>
    </cfRule>
    <cfRule type="colorScale" priority="235">
      <colorScale>
        <cfvo type="min"/>
        <cfvo type="percentile" val="50"/>
        <cfvo type="max"/>
        <color rgb="FF63BE7B"/>
        <color rgb="FFFFEB84"/>
        <color rgb="FFF8696B"/>
      </colorScale>
    </cfRule>
  </conditionalFormatting>
  <conditionalFormatting sqref="AF5:AF11">
    <cfRule type="colorScale" priority="236">
      <colorScale>
        <cfvo type="min"/>
        <cfvo type="percentile" val="50"/>
        <cfvo type="max"/>
        <color rgb="FF63BE7B"/>
        <color rgb="FFFFEB84"/>
        <color rgb="FFF8696B"/>
      </colorScale>
    </cfRule>
    <cfRule type="colorScale" priority="237">
      <colorScale>
        <cfvo type="min"/>
        <cfvo type="percentile" val="50"/>
        <cfvo type="max"/>
        <color rgb="FF63BE7B"/>
        <color rgb="FFFFEB84"/>
        <color rgb="FFF8696B"/>
      </colorScale>
    </cfRule>
  </conditionalFormatting>
  <conditionalFormatting sqref="AG5:AG11">
    <cfRule type="colorScale" priority="238">
      <colorScale>
        <cfvo type="min"/>
        <cfvo type="percentile" val="50"/>
        <cfvo type="max"/>
        <color rgb="FF63BE7B"/>
        <color rgb="FFFFEB84"/>
        <color rgb="FFF8696B"/>
      </colorScale>
    </cfRule>
    <cfRule type="colorScale" priority="239">
      <colorScale>
        <cfvo type="min"/>
        <cfvo type="percentile" val="50"/>
        <cfvo type="max"/>
        <color rgb="FF63BE7B"/>
        <color rgb="FFFFEB84"/>
        <color rgb="FFF8696B"/>
      </colorScale>
    </cfRule>
  </conditionalFormatting>
  <conditionalFormatting sqref="AH5:AH11">
    <cfRule type="colorScale" priority="240">
      <colorScale>
        <cfvo type="min"/>
        <cfvo type="percentile" val="50"/>
        <cfvo type="max"/>
        <color rgb="FF63BE7B"/>
        <color rgb="FFFFEB84"/>
        <color rgb="FFF8696B"/>
      </colorScale>
    </cfRule>
    <cfRule type="colorScale" priority="241">
      <colorScale>
        <cfvo type="min"/>
        <cfvo type="percentile" val="50"/>
        <cfvo type="max"/>
        <color rgb="FF63BE7B"/>
        <color rgb="FFFFEB84"/>
        <color rgb="FFF8696B"/>
      </colorScale>
    </cfRule>
  </conditionalFormatting>
  <conditionalFormatting sqref="AN5:AN11">
    <cfRule type="colorScale" priority="242">
      <colorScale>
        <cfvo type="min"/>
        <cfvo type="percentile" val="50"/>
        <cfvo type="max"/>
        <color rgb="FFF8696B"/>
        <color rgb="FFFFEB84"/>
        <color rgb="FF63BE7B"/>
      </colorScale>
    </cfRule>
  </conditionalFormatting>
  <pageMargins left="0.7" right="0.7" top="0.75" bottom="0.75" header="0.3" footer="0.3"/>
  <pageSetup orientation="portrait" r:id="rId1"/>
  <ignoredErrors>
    <ignoredError sqref="M13"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970C-8E31-4F38-9DEC-A3C3F4A5E2EA}">
  <sheetPr>
    <tabColor theme="5" tint="0.59999389629810485"/>
  </sheetPr>
  <dimension ref="A1:AT137"/>
  <sheetViews>
    <sheetView showGridLines="0" zoomScale="54" zoomScaleNormal="70" workbookViewId="0">
      <pane xSplit="3" topLeftCell="D1" activePane="topRight" state="frozen"/>
      <selection pane="topRight" activeCell="K16" sqref="K16"/>
      <selection activeCell="N5" sqref="N5:O11"/>
    </sheetView>
  </sheetViews>
  <sheetFormatPr defaultColWidth="9" defaultRowHeight="14.25" customHeight="1"/>
  <cols>
    <col min="1" max="1" width="2.125" style="380" customWidth="1"/>
    <col min="2" max="2" width="31" style="380" customWidth="1"/>
    <col min="3" max="3" width="8.125" style="380" customWidth="1"/>
    <col min="4" max="9" width="19.625" style="380" customWidth="1"/>
    <col min="10" max="12" width="9" style="380"/>
    <col min="13" max="13" width="9.125" style="380" bestFit="1" customWidth="1"/>
    <col min="14" max="15" width="9" style="380"/>
    <col min="16" max="21" width="19.625" style="380" customWidth="1"/>
    <col min="22" max="16384" width="9" style="380"/>
  </cols>
  <sheetData>
    <row r="1" spans="1:46" s="379" customFormat="1" ht="12" customHeight="1">
      <c r="A1" s="403"/>
      <c r="B1" s="403"/>
      <c r="C1" s="404"/>
      <c r="D1" s="403"/>
      <c r="E1" s="403"/>
      <c r="F1" s="403"/>
      <c r="G1" s="403"/>
      <c r="H1" s="403"/>
      <c r="I1" s="403"/>
      <c r="J1" s="403"/>
      <c r="K1" s="403"/>
      <c r="L1" s="403"/>
      <c r="M1" s="403"/>
      <c r="N1" s="403"/>
      <c r="O1" s="403"/>
      <c r="P1" s="403"/>
      <c r="Q1" s="403"/>
      <c r="R1" s="403"/>
      <c r="S1" s="403"/>
      <c r="T1" s="403"/>
      <c r="U1" s="403"/>
      <c r="V1" s="403"/>
      <c r="W1" s="403"/>
      <c r="X1" s="403"/>
      <c r="Y1" s="403"/>
      <c r="Z1" s="403"/>
      <c r="AA1" s="403"/>
      <c r="AB1" s="403"/>
      <c r="AC1" s="403"/>
      <c r="AD1" s="403"/>
      <c r="AE1" s="403"/>
      <c r="AF1" s="403"/>
      <c r="AG1" s="403"/>
      <c r="AH1" s="403"/>
      <c r="AI1" s="403"/>
      <c r="AJ1" s="403"/>
      <c r="AK1" s="403"/>
      <c r="AL1" s="403"/>
      <c r="AM1" s="403"/>
      <c r="AN1" s="403"/>
      <c r="AO1" s="403"/>
      <c r="AP1" s="403"/>
      <c r="AQ1" s="403"/>
      <c r="AR1" s="403"/>
      <c r="AS1" s="403"/>
      <c r="AT1" s="403"/>
    </row>
    <row r="2" spans="1:46" s="379" customFormat="1" ht="14.1">
      <c r="A2" s="403"/>
      <c r="B2" s="405"/>
      <c r="C2" s="405"/>
      <c r="D2" s="492"/>
      <c r="E2" s="502"/>
      <c r="F2" s="508"/>
      <c r="G2" s="502"/>
      <c r="H2" s="405"/>
      <c r="I2" s="405"/>
      <c r="J2" s="407"/>
      <c r="K2" s="407"/>
      <c r="L2" s="407"/>
      <c r="M2" s="403"/>
      <c r="N2" s="407"/>
      <c r="O2" s="407"/>
      <c r="P2" s="1054"/>
      <c r="Q2" s="1055"/>
      <c r="R2" s="492"/>
      <c r="S2" s="483"/>
      <c r="T2" s="492"/>
      <c r="U2" s="483"/>
      <c r="V2" s="408"/>
      <c r="W2" s="403"/>
      <c r="X2" s="408"/>
      <c r="Y2" s="408"/>
      <c r="Z2" s="408"/>
      <c r="AA2" s="408"/>
      <c r="AB2" s="408"/>
      <c r="AC2" s="403"/>
      <c r="AD2" s="408"/>
      <c r="AE2" s="409"/>
      <c r="AF2" s="409"/>
      <c r="AG2" s="409"/>
      <c r="AH2" s="409"/>
      <c r="AI2" s="403"/>
      <c r="AJ2" s="408"/>
      <c r="AK2" s="403"/>
      <c r="AL2" s="403"/>
      <c r="AM2" s="403"/>
      <c r="AN2" s="403"/>
      <c r="AO2" s="403"/>
      <c r="AP2" s="403"/>
      <c r="AQ2" s="403"/>
      <c r="AR2" s="403"/>
      <c r="AS2" s="403"/>
      <c r="AT2" s="403"/>
    </row>
    <row r="3" spans="1:46" s="379" customFormat="1" ht="14.1">
      <c r="A3" s="403"/>
      <c r="B3" s="405"/>
      <c r="C3" s="405"/>
      <c r="D3" s="1058" t="s">
        <v>229</v>
      </c>
      <c r="E3" s="1057"/>
      <c r="F3" s="1058" t="s">
        <v>17</v>
      </c>
      <c r="G3" s="1057"/>
      <c r="H3" s="1056" t="s">
        <v>21</v>
      </c>
      <c r="I3" s="1056"/>
      <c r="J3" s="407"/>
      <c r="K3" s="573"/>
      <c r="L3" s="407"/>
      <c r="M3" s="407"/>
      <c r="N3" s="407"/>
      <c r="O3" s="407"/>
      <c r="P3" s="1056" t="s">
        <v>227</v>
      </c>
      <c r="Q3" s="1057"/>
      <c r="R3" s="1058" t="s">
        <v>39</v>
      </c>
      <c r="S3" s="1057"/>
      <c r="T3" s="1058" t="s">
        <v>228</v>
      </c>
      <c r="U3" s="1057"/>
      <c r="V3" s="407"/>
      <c r="W3" s="407"/>
      <c r="X3" s="407"/>
      <c r="Y3" s="407"/>
      <c r="Z3" s="407"/>
      <c r="AA3" s="407"/>
      <c r="AB3" s="407"/>
      <c r="AC3" s="407"/>
      <c r="AD3" s="407"/>
      <c r="AE3" s="407"/>
      <c r="AF3" s="407"/>
      <c r="AG3" s="407"/>
      <c r="AH3" s="407"/>
      <c r="AI3" s="403"/>
      <c r="AJ3" s="407"/>
      <c r="AK3" s="403"/>
      <c r="AL3" s="403"/>
      <c r="AM3" s="403"/>
      <c r="AN3" s="403"/>
      <c r="AO3" s="403"/>
      <c r="AP3" s="403"/>
      <c r="AQ3" s="403"/>
      <c r="AR3" s="403"/>
      <c r="AS3" s="403"/>
      <c r="AT3" s="403"/>
    </row>
    <row r="4" spans="1:46" s="379" customFormat="1" ht="14.1">
      <c r="A4" s="403"/>
      <c r="B4" s="405" t="s">
        <v>230</v>
      </c>
      <c r="C4" s="405" t="s">
        <v>231</v>
      </c>
      <c r="D4" s="492">
        <v>2023</v>
      </c>
      <c r="E4" s="483">
        <v>2024</v>
      </c>
      <c r="F4" s="492">
        <v>2023</v>
      </c>
      <c r="G4" s="483">
        <v>2024</v>
      </c>
      <c r="H4" s="406">
        <v>2023</v>
      </c>
      <c r="I4" s="406">
        <v>2024</v>
      </c>
      <c r="J4" s="407"/>
      <c r="K4" s="573"/>
      <c r="L4" s="407"/>
      <c r="M4" s="407"/>
      <c r="N4" s="407"/>
      <c r="O4" s="407"/>
      <c r="P4" s="406" t="str">
        <f>+Inputs!O4&amp;"-"&amp;Inputs!P4</f>
        <v>2022-2023</v>
      </c>
      <c r="Q4" s="483" t="str">
        <f>+Inputs!P4&amp;"-"&amp;Inputs!Q4</f>
        <v>2023-2024</v>
      </c>
      <c r="R4" s="492">
        <v>2023</v>
      </c>
      <c r="S4" s="483">
        <v>2024</v>
      </c>
      <c r="T4" s="492" t="str">
        <f>+Inputs!O4&amp;"-"&amp;Inputs!P4</f>
        <v>2022-2023</v>
      </c>
      <c r="U4" s="483" t="str">
        <f>+Inputs!P4&amp;"-"&amp;Inputs!Q4</f>
        <v>2023-2024</v>
      </c>
      <c r="V4" s="407"/>
      <c r="W4" s="407"/>
      <c r="X4" s="407"/>
      <c r="Y4" s="407"/>
      <c r="Z4" s="407"/>
      <c r="AA4" s="407"/>
      <c r="AB4" s="407"/>
      <c r="AC4" s="407"/>
      <c r="AD4" s="407"/>
      <c r="AE4" s="407"/>
      <c r="AF4" s="407"/>
      <c r="AG4" s="407"/>
      <c r="AH4" s="407"/>
      <c r="AI4" s="403"/>
      <c r="AJ4" s="407"/>
      <c r="AK4" s="403"/>
      <c r="AL4" s="403"/>
      <c r="AM4" s="403"/>
      <c r="AN4" s="403"/>
      <c r="AO4" s="403"/>
      <c r="AP4" s="403"/>
      <c r="AQ4" s="403"/>
      <c r="AR4" s="403"/>
      <c r="AS4" s="403"/>
      <c r="AT4" s="403"/>
    </row>
    <row r="5" spans="1:46" s="388" customFormat="1" ht="17.25" customHeight="1">
      <c r="A5" s="410" t="e" vm="2">
        <f>+P85</f>
        <v>#VALUE!</v>
      </c>
      <c r="B5" s="411" t="str" cm="1">
        <f t="array" aca="1" ref="B5" ca="1">IFERROR(_FV(A5,"Name"),"")</f>
        <v>E.L.F. BEAUTY, INC.</v>
      </c>
      <c r="C5" s="412" t="str" cm="1">
        <f t="array" aca="1" ref="C5" ca="1">IFERROR(_FV(A5,"Ticker symbol",TRUE),"")</f>
        <v>ELF</v>
      </c>
      <c r="D5" s="522" cm="1">
        <f t="array" aca="1" ref="D5" ca="1">IFERROR((_FV(A5,"Market cap",TRUE)/1000000+P$115-P$105)/P$88,"")</f>
        <v>13.46396036454734</v>
      </c>
      <c r="E5" s="523" cm="1">
        <f t="array" aca="1" ref="E5" ca="1">IFERROR((_FV(A5,"Market cap",TRUE)/1000000+P$115-P$105)/P$91,"")</f>
        <v>7.6110364869616172</v>
      </c>
      <c r="F5" s="522" cm="1">
        <f t="array" aca="1" ref="F5" ca="1">+IFERROR((_FV(A5,"Market cap",TRUE)/1000000+P$115-P$105)/P$89,"")</f>
        <v>114.43377766519829</v>
      </c>
      <c r="G5" s="523" cm="1">
        <f t="array" aca="1" ref="G5" ca="1">IFERROR((_FV(A5,"Market cap",TRUE)/1000000+P$115-P$105)/P$94,"")</f>
        <v>52.057049158316659</v>
      </c>
      <c r="H5" s="522" cm="1">
        <f t="array" aca="1" ref="H5" ca="1">IFERROR((_FV(A5,"Market cap",TRUE)/1000000)/P$90,"")</f>
        <v>125.37951640650415</v>
      </c>
      <c r="I5" s="523" cm="1">
        <f t="array" aca="1" ref="I5" ca="1">IFERROR((_FV(A5,"Market cap",TRUE)/1000000)/P$99,"")</f>
        <v>60.382460916209894</v>
      </c>
      <c r="J5" s="414"/>
      <c r="K5" s="573"/>
      <c r="L5" s="415"/>
      <c r="M5" s="416"/>
      <c r="N5" s="415"/>
      <c r="O5" s="415"/>
      <c r="P5" s="484">
        <f>IFERROR(P88/P87-1,"")</f>
        <v>0.47577766445690961</v>
      </c>
      <c r="Q5" s="485">
        <f>IFERROR(P91/P88-1,"")</f>
        <v>0.76900483759502425</v>
      </c>
      <c r="R5" s="493">
        <f>IFERROR(P89/P88,"")</f>
        <v>0.11765722183828606</v>
      </c>
      <c r="S5" s="494">
        <f>IFERROR(P94/P91,"")</f>
        <v>0.14620568414884261</v>
      </c>
      <c r="T5" s="498">
        <f>IFERROR(P90/P88,"")</f>
        <v>0.10625431928127153</v>
      </c>
      <c r="U5" s="485">
        <f>IFERROR(P99/P91,"")</f>
        <v>0.12471921086043553</v>
      </c>
      <c r="V5" s="416"/>
      <c r="W5" s="416"/>
      <c r="X5" s="413"/>
      <c r="Y5" s="413"/>
      <c r="Z5" s="413"/>
      <c r="AA5" s="413"/>
      <c r="AB5" s="413"/>
      <c r="AC5" s="416"/>
      <c r="AD5" s="416"/>
      <c r="AE5" s="416"/>
      <c r="AF5" s="417"/>
      <c r="AG5" s="418"/>
      <c r="AH5" s="419"/>
      <c r="AI5" s="416"/>
      <c r="AJ5" s="416"/>
    </row>
    <row r="6" spans="1:46" s="382" customFormat="1" ht="17.25" customHeight="1">
      <c r="A6" s="410" t="e" vm="3">
        <v>#VALUE!</v>
      </c>
      <c r="B6" t="s">
        <v>232</v>
      </c>
      <c r="C6" s="412" t="str" cm="1">
        <f t="array" aca="1" ref="C6" ca="1">IFERROR(_FV(A6,"Ticker symbol",TRUE),"")</f>
        <v>OR</v>
      </c>
      <c r="D6" s="503" cm="1">
        <f t="array" aca="1" ref="D6" ca="1">+IFERROR((_FV(A6,"Market cap",TRUE)/1000000+Q$115-Q$105)/Q$88,"")</f>
        <v>4.9528507600407945</v>
      </c>
      <c r="E6" s="504" cm="1">
        <f t="array" aca="1" ref="E6" ca="1">IFERROR(+(_FV(A6,"Market cap",TRUE)/1000000+Q$115-Q$105)/Q$91,"")</f>
        <v>4.6904360023915741</v>
      </c>
      <c r="F6" s="503" cm="1">
        <f t="array" aca="1" ref="F6" ca="1">IFERROR(+(_FV(A6,"Market cap",TRUE)/1000000+Q$115-Q$105)/Q$89,"")</f>
        <v>22.738940914158306</v>
      </c>
      <c r="G6" s="504" cm="1">
        <f t="array" aca="1" ref="G6" ca="1">IFERROR(+(_FV(A6,"Market cap",TRUE)/1000000+Q$115-Q$105)/Q$94,"")</f>
        <v>21.154148516905206</v>
      </c>
      <c r="H6" s="503" cm="1">
        <f t="array" aca="1" ref="H6" ca="1">IFERROR(+(_FV(A6,"Market cap",TRUE)/1000000)/Q$90,"")</f>
        <v>32.264763906856402</v>
      </c>
      <c r="I6" s="504" cm="1">
        <f t="array" aca="1" ref="I6" ca="1">IFERROR(+(_FV(A6,"Market cap",TRUE)/1000000)/Q$99,"")</f>
        <v>31.136906991260922</v>
      </c>
      <c r="J6" s="414"/>
      <c r="K6" s="414"/>
      <c r="L6" s="415"/>
      <c r="M6" s="416"/>
      <c r="N6" s="415"/>
      <c r="O6" s="415"/>
      <c r="P6" s="486">
        <f>+IFERROR(Q88/Q87-1,"")</f>
        <v>7.6372190277051777E-2</v>
      </c>
      <c r="Q6" s="487">
        <f>IFERROR(Q91/Q88-1,"")</f>
        <v>5.5946772861930061E-2</v>
      </c>
      <c r="R6" s="495">
        <f>IFERROR(Q89/Q88,"")</f>
        <v>0.2178136078869409</v>
      </c>
      <c r="S6" s="487">
        <f>+IFERROR(Q94/Q91,"")</f>
        <v>0.22172653267718345</v>
      </c>
      <c r="T6" s="495">
        <f>IFERROR(Q90/Q88,"")</f>
        <v>0.15016269243844399</v>
      </c>
      <c r="U6" s="487">
        <f>+IFERROR(P99/P93,"")</f>
        <v>0.17635685678773644</v>
      </c>
      <c r="V6" s="416"/>
      <c r="W6" s="416"/>
      <c r="X6" s="413"/>
      <c r="Y6" s="413"/>
      <c r="Z6" s="413"/>
      <c r="AA6" s="413"/>
      <c r="AB6" s="413"/>
      <c r="AC6" s="416"/>
      <c r="AD6" s="416"/>
      <c r="AE6" s="416"/>
      <c r="AF6" s="417"/>
      <c r="AG6" s="418"/>
      <c r="AH6" s="419"/>
      <c r="AI6" s="416"/>
      <c r="AJ6" s="416"/>
      <c r="AK6" s="410"/>
      <c r="AL6" s="410"/>
      <c r="AM6" s="410"/>
      <c r="AN6" s="410"/>
      <c r="AO6" s="410"/>
      <c r="AP6" s="410"/>
      <c r="AQ6" s="410"/>
      <c r="AR6" s="410"/>
      <c r="AS6" s="410"/>
      <c r="AT6" s="410"/>
    </row>
    <row r="7" spans="1:46" s="382" customFormat="1" ht="17.25" customHeight="1">
      <c r="A7" s="425" t="e" vm="4">
        <v>#VALUE!</v>
      </c>
      <c r="B7" t="s">
        <v>233</v>
      </c>
      <c r="C7" s="412" t="str" cm="1">
        <f t="array" aca="1" ref="C7" ca="1">IFERROR(_FV(A7,"Ticker symbol",TRUE),"")</f>
        <v>EL</v>
      </c>
      <c r="D7" s="503" cm="1">
        <f t="array" aca="1" ref="D7" ca="1">IFERROR(+(_FV(A7,"Market cap",TRUE)/1000000+R$115-R$106)/R$88,"")</f>
        <v>2.519918275738529</v>
      </c>
      <c r="E7" s="504" cm="1">
        <f t="array" aca="1" ref="E7" ca="1">IFERROR(+(_FV(A7,"Market cap",TRUE)/1000000+R$115-R$106)/R$91,"")</f>
        <v>2.5686763049077395</v>
      </c>
      <c r="F7" s="503" cm="1">
        <f t="array" aca="1" ref="F7" ca="1">IFERROR(+(_FV(A7,"Market cap",TRUE)/1000000+R$115-R$106)/R$89,"")</f>
        <v>13.315144392892725</v>
      </c>
      <c r="G7" s="504" cm="1">
        <f t="array" aca="1" ref="G7" ca="1">IFERROR(+(_FV(A7,"Market cap",TRUE)/1000000+R$115-R$106)/R$94,"")</f>
        <v>13.964437397074189</v>
      </c>
      <c r="H7" s="503" cm="1">
        <f t="array" aca="1" ref="H7" ca="1">IFERROR(+(_FV(A7,"Market cap",TRUE)/1000000)/R$90,"")</f>
        <v>25.632131223557693</v>
      </c>
      <c r="I7" s="504" cm="1">
        <f t="array" aca="1" ref="I7" ca="1">IFERROR(+(_FV(A7,"Market cap",TRUE)/1000000)/R$99,"")</f>
        <v>34.212727023529411</v>
      </c>
      <c r="J7" s="414"/>
      <c r="K7" s="414"/>
      <c r="L7" s="415"/>
      <c r="M7" s="416"/>
      <c r="N7" s="415"/>
      <c r="O7" s="415"/>
      <c r="P7" s="486">
        <f>IFERROR(R88/R87-1,"")</f>
        <v>-0.10300501775948578</v>
      </c>
      <c r="Q7" s="487">
        <f>IFERROR(+R91/R88-1,"")</f>
        <v>-1.8981772470144542E-2</v>
      </c>
      <c r="R7" s="495">
        <f>IFERROR(R89/R88,"")</f>
        <v>0.18925204274041482</v>
      </c>
      <c r="S7" s="487">
        <f>IFERROR(R94/R91,"")</f>
        <v>0.18394413121476166</v>
      </c>
      <c r="T7" s="495">
        <f>IFERROR(R90/R88,"")</f>
        <v>7.8441231929604019E-2</v>
      </c>
      <c r="U7" s="487">
        <f>+IFERROR(R99/R91,"")</f>
        <v>5.9905176832393645E-2</v>
      </c>
      <c r="V7" s="416"/>
      <c r="W7" s="416"/>
      <c r="X7" s="413"/>
      <c r="Y7" s="413"/>
      <c r="Z7" s="413"/>
      <c r="AA7" s="413"/>
      <c r="AB7" s="413"/>
      <c r="AC7" s="416"/>
      <c r="AD7" s="416"/>
      <c r="AE7" s="416"/>
      <c r="AF7" s="417"/>
      <c r="AG7" s="418"/>
      <c r="AH7" s="419"/>
      <c r="AI7" s="416"/>
      <c r="AJ7" s="416"/>
      <c r="AK7" s="410"/>
      <c r="AL7" s="410"/>
      <c r="AM7" s="410"/>
      <c r="AN7" s="410"/>
      <c r="AO7" s="410"/>
      <c r="AP7" s="410"/>
      <c r="AQ7" s="410"/>
      <c r="AR7" s="410"/>
      <c r="AS7" s="410"/>
      <c r="AT7" s="410"/>
    </row>
    <row r="8" spans="1:46" s="382" customFormat="1" ht="17.25" customHeight="1">
      <c r="A8" s="425" t="e" vm="5">
        <v>#VALUE!</v>
      </c>
      <c r="B8" t="s">
        <v>187</v>
      </c>
      <c r="C8" s="412" t="str" cm="1">
        <f t="array" aca="1" ref="C8" ca="1">IFERROR(_FV(A8,"Ticker symbol",TRUE),"")</f>
        <v>COTY</v>
      </c>
      <c r="D8" s="503" cm="1">
        <f t="array" aca="1" ref="D8" ca="1">IFERROR(+(_FV(A8,"Market cap",TRUE)/1000000+S$115-S$105)/S$88,"")</f>
        <v>1.3077058966510624</v>
      </c>
      <c r="E8" s="504" cm="1">
        <f t="array" aca="1" ref="E8" ca="1">IFERROR(+(_FV(A8,"Market cap",TRUE)/1000000+S$115-S$105)/S$91,"")</f>
        <v>1.1871524272638116</v>
      </c>
      <c r="F8" s="503" cm="1">
        <f t="array" aca="1" ref="F8" ca="1">IFERROR(+(_FV(A8,"Market cap",TRUE)/1000000+S$115-S$105)/S$89,"")</f>
        <v>8.0879716592427613</v>
      </c>
      <c r="G8" s="504" cm="1">
        <f t="array" aca="1" ref="G8" ca="1">IFERROR(+(_FV(A8,"Market cap",TRUE)/1000000+S$115-S$105)/S$94,"")</f>
        <v>6.8518854245283025</v>
      </c>
      <c r="H8" s="503" cm="1">
        <f t="array" aca="1" ref="H8" ca="1">IFERROR(+(_FV(A8,"Market cap",TRUE)/1000000)/S$90,"")</f>
        <v>17.839370725388601</v>
      </c>
      <c r="I8" s="504" cm="1">
        <f t="array" aca="1" ref="I8" ca="1">IFERROR(+(_FV(A8,"Market cap",TRUE)/1000000)/S$99,"")</f>
        <v>35.13263826530612</v>
      </c>
      <c r="J8" s="414"/>
      <c r="K8" s="414"/>
      <c r="L8" s="414"/>
      <c r="M8" s="416"/>
      <c r="N8" s="415"/>
      <c r="O8" s="415"/>
      <c r="P8" s="486">
        <f>+IFERROR(S88/S87-1,"")</f>
        <v>4.7134238310708954E-2</v>
      </c>
      <c r="Q8" s="487">
        <f>IFERROR(S91/S88-1,"")</f>
        <v>0.1015484335613972</v>
      </c>
      <c r="R8" s="495">
        <f>IFERROR(S89/S88,"")</f>
        <v>0.1616852718761253</v>
      </c>
      <c r="S8" s="487">
        <f>IFERROR(S94/S91,"")</f>
        <v>0.17325923504413207</v>
      </c>
      <c r="T8" s="495">
        <f>IFERROR(S90/S88,"")</f>
        <v>3.4749729924378824E-2</v>
      </c>
      <c r="U8" s="487">
        <f>+IFERROR(S99/S91,"")</f>
        <v>1.6018306636155607E-2</v>
      </c>
      <c r="V8" s="416"/>
      <c r="W8" s="416"/>
      <c r="X8" s="413"/>
      <c r="Y8" s="413"/>
      <c r="Z8" s="413"/>
      <c r="AA8" s="413"/>
      <c r="AB8" s="413"/>
      <c r="AC8" s="416"/>
      <c r="AD8" s="416"/>
      <c r="AE8" s="416"/>
      <c r="AF8" s="417"/>
      <c r="AG8" s="418"/>
      <c r="AH8" s="419"/>
      <c r="AI8" s="416"/>
      <c r="AJ8" s="416"/>
      <c r="AK8" s="410"/>
      <c r="AL8" s="410"/>
      <c r="AM8" s="410"/>
      <c r="AN8" s="410"/>
      <c r="AO8" s="410"/>
      <c r="AP8" s="410"/>
      <c r="AQ8" s="410"/>
      <c r="AR8" s="410"/>
      <c r="AS8" s="410"/>
      <c r="AT8" s="410"/>
    </row>
    <row r="9" spans="1:46" s="382" customFormat="1" ht="17.25" customHeight="1">
      <c r="A9" s="425" t="e" vm="6">
        <v>#VALUE!</v>
      </c>
      <c r="B9" s="411" t="s">
        <v>234</v>
      </c>
      <c r="C9" s="412" t="str" cm="1">
        <f t="array" aca="1" ref="C9" ca="1">IFERROR(_FV(A9,"Ticker symbol",TRUE),"")</f>
        <v>ULTA</v>
      </c>
      <c r="D9" s="503" cm="1">
        <f t="array" aca="1" ref="D9" ca="1">IFERROR((_FV(A9,"Market cap",TRUE)/1000000+T$115-T$105)/T$88,"")</f>
        <v>2.5620270325203252</v>
      </c>
      <c r="E9" s="504" cm="1">
        <f t="array" aca="1" ref="E9" ca="1">IFERROR(+(_FV(A9,"Market cap",TRUE)/1000000+T$115-T$105)/T$91,"")</f>
        <v>2.3338747189256712</v>
      </c>
      <c r="F9" s="503" cm="1">
        <f t="array" aca="1" ref="F9" ca="1">IFERROR(+(_FV(A9,"Market cap",TRUE)/1000000+T$115-T$105)/T$89,"")</f>
        <v>11.851261429542365</v>
      </c>
      <c r="G9" s="504" cm="1">
        <f t="array" aca="1" ref="G9" ca="1">IFERROR(+(_FV(A9,"Market cap",TRUE)/1000000+T$115-T$105)/T$94,"")</f>
        <v>11.491974505711775</v>
      </c>
      <c r="H9" s="503" cm="1">
        <f t="array" aca="1" ref="H9" ca="1">IFERROR(+(_FV(A9,"Market cap",TRUE)/1000000)/T$90,"")</f>
        <v>20.041453505608974</v>
      </c>
      <c r="I9" s="504" cm="1">
        <f t="array" aca="1" ref="I9" ca="1">IFERROR(+(_FV(A9,"Market cap",TRUE)/1000000)/T$99,"")</f>
        <v>19.239795365384616</v>
      </c>
      <c r="J9" s="414"/>
      <c r="K9" s="414"/>
      <c r="L9" s="414"/>
      <c r="M9" s="416"/>
      <c r="N9" s="415"/>
      <c r="O9" s="415"/>
      <c r="P9" s="486">
        <f>IFERROR(T88/T87-1,"")</f>
        <v>0.18282933611400765</v>
      </c>
      <c r="Q9" s="487">
        <f>IFERROR(T91/T88-1,"")</f>
        <v>9.7756881183269639E-2</v>
      </c>
      <c r="R9" s="495">
        <f>IFERROR(T89/T88,"")</f>
        <v>0.21618180037222059</v>
      </c>
      <c r="S9" s="487">
        <f>IFERROR(T94/T91,"")</f>
        <v>0.20308735611671277</v>
      </c>
      <c r="T9" s="495">
        <f>IFERROR(T90/T88,"")</f>
        <v>0.12224507787246547</v>
      </c>
      <c r="U9" s="487">
        <f>+IFERROR(T99/T91,"")</f>
        <v>0.11599892924065316</v>
      </c>
      <c r="V9" s="416"/>
      <c r="W9" s="416"/>
      <c r="X9" s="413"/>
      <c r="Y9" s="413"/>
      <c r="Z9" s="413"/>
      <c r="AA9" s="413"/>
      <c r="AB9" s="413"/>
      <c r="AC9" s="416"/>
      <c r="AD9" s="416"/>
      <c r="AE9" s="416"/>
      <c r="AF9" s="417"/>
      <c r="AG9" s="418"/>
      <c r="AH9" s="419"/>
      <c r="AI9" s="416"/>
      <c r="AJ9" s="416"/>
      <c r="AK9" s="410"/>
      <c r="AL9" s="410"/>
      <c r="AM9" s="410"/>
      <c r="AN9" s="410"/>
      <c r="AO9" s="410"/>
      <c r="AP9" s="410"/>
      <c r="AQ9" s="410"/>
      <c r="AR9" s="410"/>
      <c r="AS9" s="410"/>
      <c r="AT9" s="410"/>
    </row>
    <row r="10" spans="1:46" s="382" customFormat="1" ht="17.25" customHeight="1">
      <c r="A10" s="425" t="e" vm="11">
        <v>#VALUE!</v>
      </c>
      <c r="B10" s="411" t="s">
        <v>189</v>
      </c>
      <c r="C10" s="412" t="str" cm="1">
        <f t="array" aca="1" ref="C10" ca="1">IFERROR(_FV(A10,"Ticker symbol",TRUE),"")</f>
        <v>SSDOY</v>
      </c>
      <c r="D10" s="503" cm="1">
        <f t="array" aca="1" ref="D10" ca="1">IFERROR((_FV(A10,"Market cap",TRUE)/1000000+U$115-U$105)/U$88,"")</f>
        <v>1.1936757457846954</v>
      </c>
      <c r="E10" s="504" cm="1">
        <f t="array" aca="1" ref="E10" ca="1">IFERROR(+(_FV(A10,"Market cap",TRUE)/1000000+U$115-U$105)/U$91,"")</f>
        <v>1.2655333842627963</v>
      </c>
      <c r="F10" s="503" cm="1">
        <f t="array" aca="1" ref="F10" ca="1">IFERROR(+(_FV(A10,"Market cap",TRUE)/1000000+U$115-U$105)/U$89,"")</f>
        <v>10.289336645962734</v>
      </c>
      <c r="G10" s="504" cm="1">
        <f t="array" aca="1" ref="G10" ca="1">IFERROR(+(_FV(A10,"Market cap",TRUE)/1000000+U$115-U$105)/U$94,"")</f>
        <v>11.362024691358027</v>
      </c>
      <c r="H10" s="503" cm="1">
        <f t="array" aca="1" ref="H10" ca="1">IFERROR(+(_FV(A10,"Market cap",TRUE)/1000000)/U$90,"")</f>
        <v>33.611522388059704</v>
      </c>
      <c r="I10" s="504" cm="1">
        <f t="array" aca="1" ref="I10" ca="1">IFERROR(+(_FV(A10,"Market cap",TRUE)/1000000)/U$99,"")</f>
        <v>129.92146153846153</v>
      </c>
      <c r="J10" s="414"/>
      <c r="K10" s="414"/>
      <c r="L10" s="414"/>
      <c r="M10" s="416"/>
      <c r="N10" s="415"/>
      <c r="O10" s="415"/>
      <c r="P10" s="486">
        <f>+IFERROR(U88/U87-1,"")</f>
        <v>-0.15056922511935367</v>
      </c>
      <c r="Q10" s="487">
        <f>IFERROR(U91/U88-1,"")</f>
        <v>-5.6780515924484742E-2</v>
      </c>
      <c r="R10" s="495">
        <f>IFERROR(U89/U88,"")</f>
        <v>0.11601095258682807</v>
      </c>
      <c r="S10" s="487">
        <f>IFERROR(U94/U91,"")</f>
        <v>0.11138273491214667</v>
      </c>
      <c r="T10" s="495">
        <f>IFERROR(U90/U88,"")</f>
        <v>2.8966709900562042E-2</v>
      </c>
      <c r="U10" s="487">
        <f>+IFERROR(U99/U91,"")</f>
        <v>7.9449961802902976E-3</v>
      </c>
      <c r="V10" s="416"/>
      <c r="W10" s="416"/>
      <c r="X10" s="413"/>
      <c r="Y10" s="413"/>
      <c r="Z10" s="413"/>
      <c r="AA10" s="413"/>
      <c r="AB10" s="413"/>
      <c r="AC10" s="416"/>
      <c r="AD10" s="416"/>
      <c r="AE10" s="416"/>
      <c r="AF10" s="417"/>
      <c r="AG10" s="418"/>
      <c r="AH10" s="419"/>
      <c r="AI10" s="416"/>
      <c r="AJ10" s="416"/>
      <c r="AK10" s="410"/>
      <c r="AL10" s="410"/>
      <c r="AM10" s="410"/>
      <c r="AN10" s="410"/>
      <c r="AO10" s="410"/>
      <c r="AP10" s="410"/>
      <c r="AQ10" s="410"/>
      <c r="AR10" s="410"/>
      <c r="AS10" s="410"/>
      <c r="AT10" s="410"/>
    </row>
    <row r="11" spans="1:46" s="382" customFormat="1" ht="17.25" customHeight="1">
      <c r="A11" s="425" t="e" vm="8">
        <v>#VALUE!</v>
      </c>
      <c r="B11" t="s">
        <v>191</v>
      </c>
      <c r="C11" s="412" t="str" cm="1">
        <f t="array" aca="1" ref="C11" ca="1">IFERROR(_FV(A11,"Ticker symbol",TRUE),"")</f>
        <v>NTCO3Q</v>
      </c>
      <c r="D11" s="880" cm="1">
        <f t="array" aca="1" ref="D11" ca="1">IFERROR(+(_FV(A11,"Market cap",TRUE)/1000000+D$115-D$105)/D$88,"")</f>
        <v>5.0926627075993967</v>
      </c>
      <c r="E11" s="504" cm="1">
        <f t="array" aca="1" ref="E11" ca="1">IFERROR(+(_FV(A11,"Market cap",TRUE)/1000000+D$115-D$105)/D$91,"")</f>
        <v>4.5104171161132163</v>
      </c>
      <c r="F11" s="880" cm="1">
        <f t="array" aca="1" ref="F11" ca="1">IFERROR(+(_FV(A11,"Market cap",TRUE)/1000000+D$115-D$105)/D$89,"")</f>
        <v>25.585640455120103</v>
      </c>
      <c r="G11" s="504" cm="1">
        <f t="array" aca="1" ref="G11" ca="1">IFERROR(+(_FV(A11,"Market cap",TRUE)/1000000+D$115-D$105)/D$94,"")</f>
        <v>28.30523300699301</v>
      </c>
      <c r="H11" s="880" cm="1">
        <f t="array" aca="1" ref="H11" ca="1">IFERROR(+(_FV(A11,"Market cap",TRUE)/1000000)/D$90,"")</f>
        <v>87.525518222222232</v>
      </c>
      <c r="I11" s="504" cm="1">
        <f t="array" aca="1" ref="I11" ca="1">IFERROR(+(_FV(A11,"Market cap",TRUE)/1000000)/D$99,"")</f>
        <v>191.19652038834951</v>
      </c>
      <c r="J11" s="414"/>
      <c r="K11" s="414"/>
      <c r="L11" s="414"/>
      <c r="M11" s="416"/>
      <c r="N11" s="415"/>
      <c r="O11" s="415"/>
      <c r="P11" s="486">
        <f>IFERROR(D88/D87-1,"")</f>
        <v>-0.29924175630400285</v>
      </c>
      <c r="Q11" s="487">
        <f>IFERROR(D91/D88-1,"")</f>
        <v>0.12908907901358835</v>
      </c>
      <c r="R11" s="495">
        <f>IFERROR(D89/D88,"")</f>
        <v>0.19904378459989935</v>
      </c>
      <c r="S11" s="487">
        <f>IFERROR(D94/D91,"")</f>
        <v>0.15934923111210161</v>
      </c>
      <c r="T11" s="499">
        <f>IFERROR(D90/D88,"")</f>
        <v>5.6618017111222947E-2</v>
      </c>
      <c r="U11" s="487">
        <f>+IFERROR(D99/D91,"")</f>
        <v>2.2955203922442612E-2</v>
      </c>
      <c r="V11" s="416"/>
      <c r="W11" s="416"/>
      <c r="X11" s="413"/>
      <c r="Y11" s="413"/>
      <c r="Z11" s="413"/>
      <c r="AA11" s="413"/>
      <c r="AB11" s="413"/>
      <c r="AC11" s="416"/>
      <c r="AD11" s="416"/>
      <c r="AE11" s="416"/>
      <c r="AF11" s="417"/>
      <c r="AG11" s="418"/>
      <c r="AH11" s="419"/>
      <c r="AI11" s="416"/>
      <c r="AJ11" s="416"/>
      <c r="AK11" s="410"/>
      <c r="AL11" s="410"/>
      <c r="AM11" s="410"/>
      <c r="AN11" s="410"/>
      <c r="AO11" s="410"/>
      <c r="AP11" s="410"/>
      <c r="AQ11" s="410"/>
      <c r="AR11" s="410"/>
      <c r="AS11" s="410"/>
      <c r="AT11" s="410"/>
    </row>
    <row r="12" spans="1:46" s="379" customFormat="1" ht="15.75" customHeight="1">
      <c r="A12" s="425"/>
      <c r="B12" s="381" t="s">
        <v>235</v>
      </c>
      <c r="C12" s="381"/>
      <c r="D12" s="505">
        <f t="shared" ref="D12:I12" ca="1" si="0">IFERROR(AVERAGE(D5:D11),"")</f>
        <v>4.441828683268878</v>
      </c>
      <c r="E12" s="506">
        <f t="shared" ca="1" si="0"/>
        <v>3.452446634403775</v>
      </c>
      <c r="F12" s="505">
        <f t="shared" ca="1" si="0"/>
        <v>29.471724737445328</v>
      </c>
      <c r="G12" s="506">
        <f t="shared" ca="1" si="0"/>
        <v>20.740964671555311</v>
      </c>
      <c r="H12" s="397">
        <f t="shared" ca="1" si="0"/>
        <v>48.899182339742538</v>
      </c>
      <c r="I12" s="397">
        <f t="shared" ca="1" si="0"/>
        <v>71.603215784071722</v>
      </c>
      <c r="J12" s="519"/>
      <c r="K12" s="426"/>
      <c r="L12" s="426"/>
      <c r="M12" s="422"/>
      <c r="N12" s="426"/>
      <c r="O12" s="426"/>
      <c r="P12" s="488">
        <f t="shared" ref="P12:U12" si="1">IFERROR(AVERAGE(P5:P11),"")</f>
        <v>3.2756775710833672E-2</v>
      </c>
      <c r="Q12" s="489">
        <f t="shared" si="1"/>
        <v>0.15394053083151144</v>
      </c>
      <c r="R12" s="496">
        <f t="shared" si="1"/>
        <v>0.17394924027153075</v>
      </c>
      <c r="S12" s="489">
        <f t="shared" si="1"/>
        <v>0.17127927217512587</v>
      </c>
      <c r="T12" s="500">
        <f t="shared" si="1"/>
        <v>8.2491111208278387E-2</v>
      </c>
      <c r="U12" s="501">
        <f t="shared" si="1"/>
        <v>7.4842668637158188E-2</v>
      </c>
      <c r="V12" s="426"/>
      <c r="W12" s="422"/>
      <c r="X12" s="426"/>
      <c r="Y12" s="426"/>
      <c r="Z12" s="426"/>
      <c r="AA12" s="426"/>
      <c r="AB12" s="426"/>
      <c r="AC12" s="422"/>
      <c r="AD12" s="427"/>
      <c r="AE12" s="422"/>
      <c r="AF12" s="427"/>
      <c r="AG12" s="424"/>
      <c r="AH12" s="427"/>
      <c r="AI12" s="422"/>
      <c r="AJ12" s="427"/>
      <c r="AK12" s="403"/>
      <c r="AL12" s="403"/>
      <c r="AM12" s="403"/>
      <c r="AN12" s="403"/>
      <c r="AO12" s="403"/>
      <c r="AP12" s="403"/>
      <c r="AQ12" s="403"/>
      <c r="AR12" s="403"/>
      <c r="AS12" s="403"/>
      <c r="AT12" s="403"/>
    </row>
    <row r="13" spans="1:46" s="379" customFormat="1" ht="15.75" customHeight="1">
      <c r="A13" s="425"/>
      <c r="B13" s="428" t="s">
        <v>236</v>
      </c>
      <c r="C13" s="381"/>
      <c r="D13" s="524">
        <f ca="1">+IFERROR(D5-D12,"")</f>
        <v>9.0221316812784629</v>
      </c>
      <c r="E13" s="507">
        <f ca="1">+IFERROR(E5-E12,"")</f>
        <v>4.1585898525578422</v>
      </c>
      <c r="F13" s="524">
        <f ca="1">IFERROR(+F5-F12,"")</f>
        <v>84.962052927752964</v>
      </c>
      <c r="G13" s="507">
        <f ca="1">IFERROR(G5-G12,"")</f>
        <v>31.316084486761348</v>
      </c>
      <c r="H13" s="524">
        <f ca="1">IFERROR(+H5-H12,"")</f>
        <v>76.480334066761614</v>
      </c>
      <c r="I13" s="524">
        <f ca="1">IFERROR(+I5-I12,"")</f>
        <v>-11.220754867861828</v>
      </c>
      <c r="J13" s="520"/>
      <c r="K13" s="423"/>
      <c r="L13" s="423"/>
      <c r="M13" s="422"/>
      <c r="N13" s="423"/>
      <c r="O13" s="423"/>
      <c r="P13" s="490">
        <f>IFERROR(+P12-P5,"")</f>
        <v>-0.44302088874607592</v>
      </c>
      <c r="Q13" s="491">
        <f>IFERROR(Q12-Q5,"")</f>
        <v>-0.61506430676351287</v>
      </c>
      <c r="R13" s="497">
        <f>+IFERROR(R12-R5,"")</f>
        <v>5.6292018433244689E-2</v>
      </c>
      <c r="S13" s="491">
        <f>IFERROR(S12-S5,"")</f>
        <v>2.5073588026283261E-2</v>
      </c>
      <c r="T13" s="497">
        <f>IFERROR(+T5-T12,"")</f>
        <v>2.3763208072993147E-2</v>
      </c>
      <c r="U13" s="491">
        <f>+IFERROR(U5-U12,"")</f>
        <v>4.9876542223277337E-2</v>
      </c>
      <c r="V13" s="423"/>
      <c r="W13" s="422"/>
      <c r="X13" s="423"/>
      <c r="Y13" s="423"/>
      <c r="Z13" s="423"/>
      <c r="AA13" s="423"/>
      <c r="AB13" s="423"/>
      <c r="AC13" s="422"/>
      <c r="AD13" s="429"/>
      <c r="AE13" s="422"/>
      <c r="AF13" s="429"/>
      <c r="AG13" s="422"/>
      <c r="AH13" s="429"/>
      <c r="AI13" s="422"/>
      <c r="AJ13" s="429"/>
      <c r="AK13" s="403"/>
      <c r="AL13" s="403"/>
      <c r="AM13" s="403"/>
      <c r="AN13" s="403"/>
      <c r="AO13" s="403"/>
      <c r="AP13" s="403"/>
      <c r="AQ13" s="403"/>
      <c r="AR13" s="403"/>
      <c r="AS13" s="403"/>
      <c r="AT13" s="403"/>
    </row>
    <row r="14" spans="1:46" s="379" customFormat="1" ht="14.25" customHeight="1">
      <c r="A14" s="403"/>
      <c r="B14" s="403"/>
      <c r="C14" s="403"/>
      <c r="D14" s="403"/>
      <c r="E14" s="403"/>
      <c r="F14" s="403"/>
      <c r="G14" s="403"/>
      <c r="H14" s="403"/>
      <c r="I14" s="403"/>
      <c r="J14" s="431"/>
      <c r="K14" s="403"/>
      <c r="L14" s="403"/>
      <c r="M14" s="403"/>
      <c r="N14" s="403"/>
      <c r="O14" s="403"/>
      <c r="P14" s="403"/>
      <c r="Q14" s="403"/>
      <c r="R14" s="403"/>
      <c r="S14" s="403"/>
      <c r="T14" s="403"/>
      <c r="U14" s="403"/>
      <c r="V14" s="403"/>
      <c r="W14" s="403"/>
      <c r="X14" s="403"/>
      <c r="Y14" s="403"/>
      <c r="Z14" s="403"/>
      <c r="AA14" s="403"/>
      <c r="AB14" s="403"/>
      <c r="AC14" s="403"/>
      <c r="AD14" s="403"/>
      <c r="AE14" s="403"/>
      <c r="AF14" s="403"/>
      <c r="AG14" s="403"/>
      <c r="AH14" s="403"/>
      <c r="AI14" s="403"/>
      <c r="AJ14" s="403"/>
      <c r="AK14" s="403"/>
      <c r="AL14" s="403"/>
      <c r="AM14" s="403"/>
      <c r="AN14" s="403"/>
      <c r="AO14" s="403"/>
      <c r="AP14" s="403"/>
      <c r="AQ14" s="403"/>
      <c r="AR14" s="403"/>
      <c r="AS14" s="403"/>
      <c r="AT14" s="403"/>
    </row>
    <row r="15" spans="1:46" s="379" customFormat="1" ht="14.1">
      <c r="A15" s="403"/>
      <c r="B15" s="430"/>
      <c r="C15" s="430"/>
      <c r="D15" s="1048" t="s">
        <v>241</v>
      </c>
      <c r="E15" s="1048"/>
      <c r="F15" s="1048"/>
      <c r="G15" s="1048" t="s">
        <v>242</v>
      </c>
      <c r="H15" s="1048"/>
      <c r="I15" s="1048"/>
      <c r="J15" s="517"/>
      <c r="K15" s="431"/>
      <c r="L15" s="431"/>
      <c r="M15" s="431"/>
      <c r="N15" s="431"/>
      <c r="O15" s="431"/>
      <c r="P15" s="1048" t="s">
        <v>237</v>
      </c>
      <c r="Q15" s="1048"/>
      <c r="R15" s="1048"/>
      <c r="S15" s="578" t="s">
        <v>238</v>
      </c>
      <c r="T15" s="578" t="s">
        <v>239</v>
      </c>
      <c r="U15" s="578" t="s">
        <v>240</v>
      </c>
      <c r="V15" s="403"/>
      <c r="W15" s="403"/>
      <c r="X15" s="403"/>
      <c r="Y15" s="403"/>
      <c r="Z15" s="403"/>
      <c r="AA15" s="403"/>
      <c r="AB15" s="403"/>
      <c r="AC15" s="403"/>
      <c r="AD15" s="403"/>
      <c r="AE15" s="403"/>
      <c r="AF15" s="403"/>
      <c r="AG15" s="403"/>
      <c r="AH15" s="403"/>
      <c r="AI15" s="403"/>
      <c r="AJ15" s="403"/>
      <c r="AK15" s="403"/>
      <c r="AL15" s="403"/>
      <c r="AM15" s="403"/>
      <c r="AN15" s="403"/>
      <c r="AO15" s="403"/>
      <c r="AP15" s="403"/>
      <c r="AQ15" s="403"/>
      <c r="AR15" s="403"/>
      <c r="AS15" s="403"/>
      <c r="AT15" s="403"/>
    </row>
    <row r="16" spans="1:46" s="379" customFormat="1" ht="14.25" customHeight="1">
      <c r="A16" s="403"/>
      <c r="B16" s="432" t="s">
        <v>243</v>
      </c>
      <c r="C16" s="430"/>
      <c r="D16" s="406" t="s">
        <v>244</v>
      </c>
      <c r="E16" s="406" t="s">
        <v>245</v>
      </c>
      <c r="F16" s="406" t="s">
        <v>246</v>
      </c>
      <c r="G16" s="406" t="s">
        <v>244</v>
      </c>
      <c r="H16" s="406" t="s">
        <v>245</v>
      </c>
      <c r="I16" s="406" t="s">
        <v>246</v>
      </c>
      <c r="J16" s="517" t="s">
        <v>250</v>
      </c>
      <c r="K16" s="431"/>
      <c r="L16" s="431"/>
      <c r="M16" s="431"/>
      <c r="N16" s="431"/>
      <c r="O16" s="431"/>
      <c r="P16" s="406" t="s">
        <v>244</v>
      </c>
      <c r="Q16" s="406" t="s">
        <v>245</v>
      </c>
      <c r="R16" s="406" t="s">
        <v>246</v>
      </c>
      <c r="S16" s="406" t="s">
        <v>247</v>
      </c>
      <c r="T16" s="406" t="s">
        <v>248</v>
      </c>
      <c r="U16" s="406" t="s">
        <v>249</v>
      </c>
      <c r="V16" s="403"/>
      <c r="W16" s="403"/>
      <c r="X16" s="403"/>
      <c r="Y16" s="403"/>
      <c r="Z16" s="403"/>
      <c r="AA16" s="403"/>
      <c r="AB16" s="403"/>
      <c r="AC16" s="403"/>
      <c r="AD16" s="403"/>
      <c r="AE16" s="403"/>
      <c r="AF16" s="403"/>
      <c r="AG16" s="403"/>
      <c r="AH16" s="403"/>
      <c r="AI16" s="403"/>
      <c r="AJ16" s="403"/>
      <c r="AK16" s="403"/>
      <c r="AL16" s="403"/>
      <c r="AM16" s="403"/>
      <c r="AN16" s="403"/>
      <c r="AO16" s="403"/>
      <c r="AP16" s="403"/>
      <c r="AQ16" s="403"/>
      <c r="AR16" s="403"/>
      <c r="AS16" s="403"/>
      <c r="AT16" s="403"/>
    </row>
    <row r="17" spans="1:36" s="379" customFormat="1" ht="3.75" customHeight="1">
      <c r="A17" s="403"/>
      <c r="B17" s="433"/>
      <c r="C17" s="434"/>
      <c r="D17" s="434"/>
      <c r="E17" s="434"/>
      <c r="F17" s="509"/>
      <c r="G17" s="434"/>
      <c r="H17" s="434"/>
      <c r="I17" s="434"/>
      <c r="J17" s="518"/>
      <c r="K17" s="431"/>
      <c r="L17" s="431"/>
      <c r="M17" s="431"/>
      <c r="N17" s="431"/>
      <c r="O17" s="431"/>
      <c r="P17" s="512"/>
      <c r="Q17" s="514"/>
      <c r="R17" s="509"/>
      <c r="S17" s="512"/>
      <c r="T17" s="514"/>
      <c r="U17" s="509"/>
      <c r="V17" s="403"/>
      <c r="W17" s="403"/>
      <c r="X17" s="403"/>
      <c r="Y17" s="403"/>
      <c r="Z17" s="403"/>
      <c r="AA17" s="403"/>
      <c r="AB17" s="403"/>
      <c r="AC17" s="403"/>
      <c r="AD17" s="403"/>
      <c r="AE17" s="403"/>
      <c r="AF17" s="403"/>
      <c r="AG17" s="403"/>
      <c r="AH17" s="403"/>
      <c r="AI17" s="403"/>
      <c r="AJ17" s="403"/>
    </row>
    <row r="18" spans="1:36" s="379" customFormat="1" ht="14.1">
      <c r="A18" s="403"/>
      <c r="B18" s="403" t="s">
        <v>251</v>
      </c>
      <c r="C18" s="403"/>
      <c r="D18" s="435">
        <f ca="1">IFERROR(+P18*$P$91+S18+T18+U18,"")</f>
        <v>1377.8796321466771</v>
      </c>
      <c r="E18" s="435">
        <f ca="1">IFERROR(Q18*$P$94+S18+T18+U18,"")</f>
        <v>1782.9950962962957</v>
      </c>
      <c r="F18" s="511">
        <f ca="1">IFERROR(R18*$P$99,"")</f>
        <v>3976.1830227840178</v>
      </c>
      <c r="G18" s="516" cm="1">
        <f t="array" aca="1" ref="G18" ca="1">IFERROR(+(D18/_FV($A$5,"Shares outstanding",TRUE)*1000000)/$J$18-1,"")</f>
        <v>-0.82130616302958259</v>
      </c>
      <c r="H18" s="516" cm="1">
        <f t="array" aca="1" ref="H18" ca="1">IFERROR((+E18/_FV($A$5,"Shares outstanding",TRUE)*1000000)/$J$18-1,"")</f>
        <v>-0.76876773005183119</v>
      </c>
      <c r="I18" s="516" cm="1">
        <f t="array" aca="1" ref="I18" ca="1">IFERROR(+(F18/_FV($A$5,"Shares outstanding",TRUE)*1000000)/$J$18-1,"")</f>
        <v>-0.48433855595140041</v>
      </c>
      <c r="J18" s="521" cm="1">
        <f t="array" aca="1" ref="J18" ca="1">+_FV(A5,"Price")</f>
        <v>135.91</v>
      </c>
      <c r="K18" s="403"/>
      <c r="L18" s="403"/>
      <c r="M18" s="403"/>
      <c r="N18" s="403"/>
      <c r="O18" s="403"/>
      <c r="P18" s="513">
        <f ca="1">IFERROR(SMALL(E5:E11,2),"")</f>
        <v>1.2655333842627963</v>
      </c>
      <c r="Q18" s="515">
        <f ca="1">IFERROR(SMALL(G5:G11,2),"")</f>
        <v>11.362024691358027</v>
      </c>
      <c r="R18" s="510">
        <f ca="1">IFERROR(SMALL(I5:I11,2),"")</f>
        <v>31.136906991260922</v>
      </c>
      <c r="S18" s="513">
        <f>-Inputs!$Q$98+Inputs!$Q$99</f>
        <v>82.100000000000009</v>
      </c>
      <c r="T18" s="515">
        <f>+Inputs!$Q$100</f>
        <v>0</v>
      </c>
      <c r="U18" s="510">
        <f>+Inputs!$Q$101</f>
        <v>0</v>
      </c>
      <c r="V18" s="403"/>
      <c r="W18" s="403"/>
      <c r="X18" s="403"/>
      <c r="Y18" s="403"/>
      <c r="Z18" s="403"/>
      <c r="AA18" s="403"/>
      <c r="AB18" s="403"/>
      <c r="AC18" s="403"/>
      <c r="AD18" s="403"/>
      <c r="AE18" s="403"/>
      <c r="AF18" s="403"/>
      <c r="AG18" s="403"/>
      <c r="AH18" s="403"/>
      <c r="AI18" s="403"/>
      <c r="AJ18" s="403"/>
    </row>
    <row r="19" spans="1:36" ht="14.1">
      <c r="B19" s="403" t="s">
        <v>235</v>
      </c>
      <c r="C19" s="403"/>
      <c r="D19" s="435">
        <f ca="1">IFERROR(+P19*$P$91+S19+T19+U19,"")</f>
        <v>3617.0601089660249</v>
      </c>
      <c r="E19" s="435">
        <f ca="1">IFERROR(Q19*$P$94+S19+T19+U19,"")</f>
        <v>3187.0224113318286</v>
      </c>
      <c r="F19" s="511">
        <f ca="1">IFERROR(+R19*$P$99,"")</f>
        <v>9143.7306556259537</v>
      </c>
      <c r="G19" s="516" cm="1">
        <f t="array" aca="1" ref="G19" ca="1">IFERROR(+(D19/_FV($A$5,"Shares outstanding",TRUE)*1000000)/$J$18-1,"")</f>
        <v>-0.53091232764882712</v>
      </c>
      <c r="H19" s="516" cm="1">
        <f t="array" aca="1" ref="H19" ca="1">IFERROR((+E19/_FV($A$5,"Shares outstanding",TRUE)*1000000)/$J$18-1,"")</f>
        <v>-0.58668286408709158</v>
      </c>
      <c r="I19" s="516" cm="1">
        <f t="array" aca="1" ref="I19" ca="1">IFERROR(+(F19/_FV($A$5,"Shares outstanding",TRUE)*1000000)/$J$18-1,"")</f>
        <v>0.18582804837040978</v>
      </c>
      <c r="J19" s="517"/>
      <c r="P19" s="513">
        <f ca="1">+IFERROR(AVERAGE(E5:E11),"")</f>
        <v>3.452446634403775</v>
      </c>
      <c r="Q19" s="515">
        <f ca="1">IFERROR(+AVERAGE(G5:G11),"")</f>
        <v>20.740964671555311</v>
      </c>
      <c r="R19" s="510">
        <f ca="1">IFERROR(+AVERAGE(I5:I11),"")</f>
        <v>71.603215784071722</v>
      </c>
      <c r="S19" s="513">
        <f>-Inputs!$Q$98+Inputs!$Q$99</f>
        <v>82.100000000000009</v>
      </c>
      <c r="T19" s="515">
        <f>+Inputs!$Q$100</f>
        <v>0</v>
      </c>
      <c r="U19" s="510">
        <f>+Inputs!$Q$101</f>
        <v>0</v>
      </c>
    </row>
    <row r="20" spans="1:36" s="379" customFormat="1" ht="14.1">
      <c r="A20" s="403"/>
      <c r="B20" s="403" t="s">
        <v>252</v>
      </c>
      <c r="C20" s="403"/>
      <c r="D20" s="435">
        <f ca="1">IFERROR(P20*$P$91+S20+T20+U20,"")</f>
        <v>2712.1676685950342</v>
      </c>
      <c r="E20" s="435">
        <f ca="1">IFERROR(Q20*$P$94+S20+T20+U20,"")</f>
        <v>2172.576278342005</v>
      </c>
      <c r="F20" s="511">
        <f ca="1">IFERROR(+R20*$P$99,"")</f>
        <v>4486.4379064795894</v>
      </c>
      <c r="G20" s="516" cm="1">
        <f t="array" aca="1" ref="G20" ca="1">IFERROR(+(D20/_FV($A$5,"Shares outstanding",TRUE)*1000000)/$J$18-1,"")</f>
        <v>-0.64826561340971567</v>
      </c>
      <c r="H20" s="516" cm="1">
        <f t="array" aca="1" ref="H20" ca="1">IFERROR((+E20/_FV($A$5,"Shares outstanding",TRUE)*1000000)/$J$18-1,"")</f>
        <v>-0.71824390009815076</v>
      </c>
      <c r="I20" s="516" cm="1">
        <f t="array" aca="1" ref="I20" ca="1">+IFERROR((F20/_FV($A$5,"Shares outstanding",TRUE)*1000000)/$J$18-1,"")</f>
        <v>-0.41816484899384698</v>
      </c>
      <c r="J20" s="518"/>
      <c r="K20" s="403"/>
      <c r="L20" s="403"/>
      <c r="M20" s="403"/>
      <c r="N20" s="403"/>
      <c r="O20" s="403"/>
      <c r="P20" s="513">
        <f ca="1">IFERROR(MEDIAN(E5:E11),"")</f>
        <v>2.5686763049077395</v>
      </c>
      <c r="Q20" s="515">
        <f ca="1">IFERROR(MEDIAN(G5:G11),"")</f>
        <v>13.964437397074189</v>
      </c>
      <c r="R20" s="510">
        <f ca="1">IFERROR(MEDIAN(I5:I11),"")</f>
        <v>35.13263826530612</v>
      </c>
      <c r="S20" s="513">
        <f>-Inputs!$Q$98+Inputs!$Q$99</f>
        <v>82.100000000000009</v>
      </c>
      <c r="T20" s="515">
        <f>+Inputs!$Q$100</f>
        <v>0</v>
      </c>
      <c r="U20" s="510">
        <f>+Inputs!$Q$101</f>
        <v>0</v>
      </c>
      <c r="V20" s="403"/>
      <c r="W20" s="403"/>
      <c r="X20" s="403"/>
      <c r="Y20" s="403"/>
      <c r="Z20" s="403"/>
      <c r="AA20" s="403"/>
      <c r="AB20" s="403"/>
      <c r="AC20" s="403"/>
      <c r="AD20" s="403"/>
      <c r="AE20" s="403"/>
      <c r="AF20" s="403"/>
      <c r="AG20" s="403"/>
      <c r="AH20" s="403"/>
      <c r="AI20" s="403"/>
      <c r="AJ20" s="403"/>
    </row>
    <row r="21" spans="1:36" s="379" customFormat="1" ht="14.1">
      <c r="A21" s="403"/>
      <c r="B21" s="403" t="s">
        <v>253</v>
      </c>
      <c r="C21" s="403"/>
      <c r="D21" s="435">
        <f ca="1">IFERROR(+P21*$P$91+S21+T21+U21,"")</f>
        <v>4884.637422848733</v>
      </c>
      <c r="E21" s="435">
        <f ca="1">IFERROR(Q21*$P$94+S21+T21+U21,"")</f>
        <v>4319.3933811468523</v>
      </c>
      <c r="F21" s="511">
        <f ca="1">IFERROR(+R21*$P$99,"")</f>
        <v>16590.970638461527</v>
      </c>
      <c r="G21" s="516" cm="1">
        <f t="array" aca="1" ref="G21" ca="1">IFERROR(+(D21/_FV($A$5,"Shares outstanding",TRUE)*1000000)/$J$18-1,"")</f>
        <v>-0.36652332835614865</v>
      </c>
      <c r="H21" s="516" cm="1">
        <f t="array" aca="1" ref="H21" ca="1">IFERROR((+E21/_FV($A$5,"Shares outstanding",TRUE)*1000000)/$J$18-1,"")</f>
        <v>-0.43982844462309956</v>
      </c>
      <c r="I21" s="516" cm="1">
        <f t="array" aca="1" ref="I21" ca="1">IFERROR(+(F21/_FV($A$5,"Shares outstanding",TRUE)*1000000)/$J$18-1,"")</f>
        <v>1.151642373747368</v>
      </c>
      <c r="J21" s="518"/>
      <c r="K21" s="403"/>
      <c r="L21" s="403"/>
      <c r="M21" s="403"/>
      <c r="N21" s="403"/>
      <c r="O21" s="403"/>
      <c r="P21" s="513">
        <f ca="1">IFERROR(LARGE(E5:E11,2),"")</f>
        <v>4.6904360023915741</v>
      </c>
      <c r="Q21" s="515">
        <f ca="1">IFERROR(LARGE(G5:G11,2),"")</f>
        <v>28.30523300699301</v>
      </c>
      <c r="R21" s="510">
        <f ca="1">IFERROR(LARGE(I5:I11,2),"")</f>
        <v>129.92146153846153</v>
      </c>
      <c r="S21" s="513">
        <f>-Inputs!$Q$98+Inputs!$Q$99</f>
        <v>82.100000000000009</v>
      </c>
      <c r="T21" s="515">
        <f>+Inputs!$Q$100</f>
        <v>0</v>
      </c>
      <c r="U21" s="510">
        <f>+Inputs!$Q$101</f>
        <v>0</v>
      </c>
      <c r="V21" s="403"/>
      <c r="W21" s="403"/>
      <c r="X21" s="403"/>
      <c r="Y21" s="403"/>
      <c r="Z21" s="403"/>
      <c r="AA21" s="403"/>
      <c r="AB21" s="403"/>
      <c r="AC21" s="403"/>
      <c r="AD21" s="403"/>
      <c r="AE21" s="403"/>
      <c r="AF21" s="403"/>
      <c r="AG21" s="403"/>
      <c r="AH21" s="403"/>
      <c r="AI21" s="403"/>
      <c r="AJ21" s="403"/>
    </row>
    <row r="22" spans="1:36" s="379" customFormat="1" ht="14.25" customHeight="1">
      <c r="A22" s="403"/>
      <c r="B22" s="403"/>
      <c r="C22" s="403"/>
      <c r="D22" s="403"/>
      <c r="E22" s="403"/>
      <c r="F22" s="403"/>
      <c r="G22" s="403"/>
      <c r="H22" s="403"/>
      <c r="I22" s="437"/>
      <c r="J22" s="403"/>
      <c r="K22" s="403"/>
      <c r="L22" s="403"/>
      <c r="M22" s="403"/>
      <c r="N22" s="403"/>
      <c r="O22" s="403"/>
      <c r="P22" s="403"/>
      <c r="Q22" s="403"/>
      <c r="R22" s="403"/>
      <c r="S22" s="403"/>
      <c r="T22" s="403"/>
      <c r="U22" s="403"/>
      <c r="V22" s="403"/>
      <c r="W22" s="403"/>
      <c r="X22" s="403"/>
      <c r="Y22" s="403"/>
      <c r="Z22" s="403"/>
      <c r="AA22" s="403"/>
      <c r="AB22" s="403"/>
      <c r="AC22" s="403"/>
      <c r="AD22" s="403"/>
      <c r="AE22" s="403"/>
      <c r="AF22" s="403"/>
      <c r="AG22" s="403"/>
      <c r="AH22" s="403"/>
      <c r="AI22" s="403"/>
      <c r="AJ22" s="403"/>
    </row>
    <row r="23" spans="1:36" s="382" customFormat="1" ht="14.25" customHeight="1">
      <c r="A23" s="410"/>
      <c r="B23" s="575" t="s">
        <v>254</v>
      </c>
      <c r="C23" s="576"/>
      <c r="D23" s="389" t="str">
        <f>+LEFT(B11, FIND(" ", B11 &amp; " ") - 1)</f>
        <v>Natura</v>
      </c>
      <c r="E23" s="389"/>
      <c r="F23" s="389" t="e">
        <f>+LEFT(#REF!, FIND(" ",#REF! &amp; " ") - 1)</f>
        <v>#REF!</v>
      </c>
      <c r="G23" s="389" t="e">
        <f>+LEFT(#REF!, FIND(" ",#REF! &amp; " ") - 1)</f>
        <v>#REF!</v>
      </c>
      <c r="H23" s="389" t="e">
        <f>+LEFT(#REF!, FIND(" ",#REF! &amp; " ") - 1)</f>
        <v>#REF!</v>
      </c>
      <c r="I23" s="438" t="s">
        <v>235</v>
      </c>
      <c r="J23" s="410"/>
      <c r="K23" s="410" t="s">
        <v>255</v>
      </c>
      <c r="L23" s="410"/>
      <c r="M23" s="410"/>
      <c r="N23" s="410"/>
      <c r="O23" s="410"/>
      <c r="P23" s="389" t="str">
        <f ca="1">+LEFT(B5, FIND(" ", B5 &amp; " ") - 1)</f>
        <v>E.L.F.</v>
      </c>
      <c r="Q23" s="389" t="str">
        <f>+LEFT(B6, FIND(" ", B6 &amp; " ") - 1)</f>
        <v>L'Oreal</v>
      </c>
      <c r="R23" s="389" t="str">
        <f>+_xlfn.TEXTBEFORE(B7, " ",2)</f>
        <v>Estée Lauder</v>
      </c>
      <c r="S23" s="389" t="str">
        <f>+LEFT(B8, FIND(" ", B8 &amp; " ") - 1)</f>
        <v>Coty</v>
      </c>
      <c r="T23" s="389" t="str">
        <f>B9</f>
        <v>Ulta Beauty</v>
      </c>
      <c r="U23" s="389" t="str">
        <f>+LEFT(B10, FIND(" ", B10 &amp; " ") - 1)</f>
        <v>Shiseido</v>
      </c>
      <c r="V23" s="410"/>
      <c r="W23" s="410"/>
      <c r="X23" s="410"/>
      <c r="Y23" s="410"/>
      <c r="Z23" s="410"/>
      <c r="AA23" s="410"/>
      <c r="AB23" s="410"/>
      <c r="AC23" s="410"/>
      <c r="AD23" s="410"/>
      <c r="AE23" s="410"/>
      <c r="AF23" s="410"/>
      <c r="AG23" s="410"/>
      <c r="AH23" s="410"/>
      <c r="AI23" s="410"/>
      <c r="AJ23" s="410"/>
    </row>
    <row r="24" spans="1:36" s="379" customFormat="1" ht="3.75" customHeight="1">
      <c r="A24" s="403"/>
      <c r="B24" s="428"/>
      <c r="C24" s="428"/>
      <c r="D24" s="428"/>
      <c r="E24" s="428"/>
      <c r="F24" s="428"/>
      <c r="G24" s="428"/>
      <c r="H24" s="428"/>
      <c r="I24" s="439"/>
      <c r="J24" s="403"/>
      <c r="K24" s="403"/>
      <c r="L24" s="440"/>
      <c r="M24" s="403"/>
      <c r="N24" s="403"/>
      <c r="O24" s="403"/>
      <c r="P24" s="428"/>
      <c r="Q24" s="428"/>
      <c r="R24" s="428"/>
      <c r="S24" s="428"/>
      <c r="T24" s="428"/>
      <c r="U24" s="428"/>
      <c r="V24" s="403"/>
      <c r="W24" s="403"/>
      <c r="X24" s="403"/>
      <c r="Y24" s="403"/>
      <c r="Z24" s="403"/>
      <c r="AA24" s="403"/>
      <c r="AB24" s="403"/>
      <c r="AC24" s="403"/>
      <c r="AD24" s="403"/>
      <c r="AE24" s="403"/>
      <c r="AF24" s="403"/>
      <c r="AG24" s="403"/>
      <c r="AH24" s="403"/>
      <c r="AI24" s="403"/>
      <c r="AJ24" s="403"/>
    </row>
    <row r="25" spans="1:36" s="379" customFormat="1" ht="14.25" customHeight="1">
      <c r="A25" s="403"/>
      <c r="B25" s="403" t="s">
        <v>256</v>
      </c>
      <c r="C25" s="403"/>
      <c r="D25" s="441">
        <f t="shared" ref="D25:H25" si="2">IFERROR(D95/D91,"")</f>
        <v>0.11901047470470247</v>
      </c>
      <c r="E25" s="441" t="str">
        <f t="shared" si="2"/>
        <v/>
      </c>
      <c r="F25" s="441" t="str">
        <f t="shared" si="2"/>
        <v/>
      </c>
      <c r="G25" s="441" t="str">
        <f t="shared" si="2"/>
        <v/>
      </c>
      <c r="H25" s="441" t="str">
        <f t="shared" si="2"/>
        <v/>
      </c>
      <c r="I25" s="641">
        <f t="shared" ref="I25:I30" si="3">IFERROR(+AVERAGE(D25:H25),"")</f>
        <v>0.11901047470470247</v>
      </c>
      <c r="J25" s="403"/>
      <c r="K25" s="403"/>
      <c r="L25" s="440"/>
      <c r="M25" s="403"/>
      <c r="N25" s="403"/>
      <c r="O25" s="403"/>
      <c r="P25" s="441">
        <f t="shared" ref="P25:U25" si="4">IFERROR(P95/P91,"")</f>
        <v>0.11114366637366924</v>
      </c>
      <c r="Q25" s="441">
        <f t="shared" si="4"/>
        <v>0.19951248677735364</v>
      </c>
      <c r="R25" s="441">
        <f t="shared" si="4"/>
        <v>0.10174269605330599</v>
      </c>
      <c r="S25" s="441">
        <f t="shared" si="4"/>
        <v>9.4965675057208238E-2</v>
      </c>
      <c r="T25" s="441">
        <f t="shared" si="4"/>
        <v>0.15070937806727938</v>
      </c>
      <c r="U25" s="441">
        <f t="shared" si="4"/>
        <v>3.4988540870893814E-2</v>
      </c>
      <c r="V25" s="403"/>
      <c r="W25" s="403"/>
      <c r="X25" s="403"/>
      <c r="Y25" s="403"/>
      <c r="Z25" s="403"/>
      <c r="AA25" s="403"/>
      <c r="AB25" s="403"/>
      <c r="AC25" s="403"/>
      <c r="AD25" s="403"/>
      <c r="AE25" s="403"/>
      <c r="AF25" s="403"/>
      <c r="AG25" s="403"/>
      <c r="AH25" s="403"/>
      <c r="AI25" s="403"/>
      <c r="AJ25" s="403"/>
    </row>
    <row r="26" spans="1:36" s="379" customFormat="1" ht="14.25" customHeight="1">
      <c r="A26" s="403"/>
      <c r="B26" s="403" t="s">
        <v>45</v>
      </c>
      <c r="C26" s="403"/>
      <c r="D26" s="441">
        <f t="shared" ref="D26:H26" si="5">IFERROR(D99/D91,"")</f>
        <v>2.2955203922442612E-2</v>
      </c>
      <c r="E26" s="441" t="str">
        <f t="shared" si="5"/>
        <v/>
      </c>
      <c r="F26" s="441" t="str">
        <f t="shared" si="5"/>
        <v/>
      </c>
      <c r="G26" s="441" t="str">
        <f t="shared" si="5"/>
        <v/>
      </c>
      <c r="H26" s="441" t="str">
        <f t="shared" si="5"/>
        <v/>
      </c>
      <c r="I26" s="641">
        <f t="shared" si="3"/>
        <v>2.2955203922442612E-2</v>
      </c>
      <c r="J26" s="403"/>
      <c r="K26" s="403"/>
      <c r="L26" s="440"/>
      <c r="M26" s="403"/>
      <c r="N26" s="403"/>
      <c r="O26" s="403"/>
      <c r="P26" s="441">
        <f t="shared" ref="P26:U26" si="6">IFERROR(P99/P91,"")</f>
        <v>0.12471921086043553</v>
      </c>
      <c r="Q26" s="441">
        <f t="shared" si="6"/>
        <v>0.1473577703168836</v>
      </c>
      <c r="R26" s="441">
        <f t="shared" si="6"/>
        <v>5.9905176832393645E-2</v>
      </c>
      <c r="S26" s="441">
        <f t="shared" si="6"/>
        <v>1.6018306636155607E-2</v>
      </c>
      <c r="T26" s="441">
        <f t="shared" si="6"/>
        <v>0.11599892924065316</v>
      </c>
      <c r="U26" s="441">
        <f t="shared" si="6"/>
        <v>7.9449961802902976E-3</v>
      </c>
      <c r="V26" s="403"/>
      <c r="W26" s="403"/>
      <c r="X26" s="403"/>
      <c r="Y26" s="403"/>
      <c r="Z26" s="403"/>
      <c r="AA26" s="403"/>
      <c r="AB26" s="403"/>
      <c r="AC26" s="403"/>
      <c r="AD26" s="403"/>
      <c r="AE26" s="403"/>
      <c r="AF26" s="403"/>
      <c r="AG26" s="403"/>
      <c r="AH26" s="403"/>
      <c r="AI26" s="403"/>
      <c r="AJ26" s="403"/>
    </row>
    <row r="27" spans="1:36" s="379" customFormat="1" ht="14.25" customHeight="1">
      <c r="A27" s="403"/>
      <c r="B27" s="403" t="s">
        <v>257</v>
      </c>
      <c r="C27" s="403"/>
      <c r="D27" s="441">
        <f t="shared" ref="D27:H27" si="7">IFERROR(D99/D111,"")</f>
        <v>1.7115320704553006E-2</v>
      </c>
      <c r="E27" s="441" t="str">
        <f t="shared" si="7"/>
        <v/>
      </c>
      <c r="F27" s="441" t="str">
        <f t="shared" si="7"/>
        <v/>
      </c>
      <c r="G27" s="441" t="str">
        <f t="shared" si="7"/>
        <v/>
      </c>
      <c r="H27" s="441" t="str">
        <f t="shared" si="7"/>
        <v/>
      </c>
      <c r="I27" s="641">
        <f t="shared" si="3"/>
        <v>1.7115320704553006E-2</v>
      </c>
      <c r="J27" s="403"/>
      <c r="K27" s="403"/>
      <c r="L27" s="440"/>
      <c r="M27" s="403"/>
      <c r="N27" s="403"/>
      <c r="O27" s="403"/>
      <c r="P27" s="441">
        <f t="shared" ref="P27:U27" si="8">IFERROR(P99/P111,"")</f>
        <v>0.11307889843265732</v>
      </c>
      <c r="Q27" s="441">
        <f t="shared" si="8"/>
        <v>0.11371178109417422</v>
      </c>
      <c r="R27" s="441">
        <f t="shared" si="8"/>
        <v>4.3133274899663239E-2</v>
      </c>
      <c r="S27" s="441">
        <f t="shared" si="8"/>
        <v>8.1105685674087557E-3</v>
      </c>
      <c r="T27" s="441">
        <f t="shared" si="8"/>
        <v>0.22779043280182232</v>
      </c>
      <c r="U27" s="441">
        <f t="shared" si="8"/>
        <v>6.1443932411674347E-3</v>
      </c>
      <c r="V27" s="403"/>
      <c r="W27" s="403"/>
      <c r="X27" s="403"/>
      <c r="Y27" s="403"/>
      <c r="Z27" s="403"/>
      <c r="AA27" s="403"/>
      <c r="AB27" s="403"/>
      <c r="AC27" s="403"/>
      <c r="AD27" s="403"/>
      <c r="AE27" s="403"/>
      <c r="AF27" s="403"/>
      <c r="AG27" s="403"/>
      <c r="AH27" s="403"/>
      <c r="AI27" s="403"/>
      <c r="AJ27" s="403"/>
    </row>
    <row r="28" spans="1:36" s="379" customFormat="1" ht="14.25" customHeight="1">
      <c r="A28" s="403"/>
      <c r="B28" s="403" t="s">
        <v>258</v>
      </c>
      <c r="C28" s="403"/>
      <c r="D28" s="441">
        <f t="shared" ref="D28:H28" si="9">IFERROR(+(D96/D115)*(1-(D98/D97)),"")</f>
        <v>9.2334375943952367E-3</v>
      </c>
      <c r="E28" s="441" t="str">
        <f t="shared" si="9"/>
        <v/>
      </c>
      <c r="F28" s="441" t="str">
        <f t="shared" si="9"/>
        <v/>
      </c>
      <c r="G28" s="441" t="str">
        <f t="shared" si="9"/>
        <v/>
      </c>
      <c r="H28" s="441" t="str">
        <f t="shared" si="9"/>
        <v/>
      </c>
      <c r="I28" s="641">
        <f t="shared" si="3"/>
        <v>9.2334375943952367E-3</v>
      </c>
      <c r="J28" s="403"/>
      <c r="K28" s="403"/>
      <c r="L28" s="440"/>
      <c r="M28" s="403"/>
      <c r="N28" s="403"/>
      <c r="O28" s="403"/>
      <c r="P28" s="441">
        <f t="shared" ref="P28:U28" si="10">IFERROR(+(P96/P115)*(1-(P98/P97)),"")</f>
        <v>3.2129148577562688E-2</v>
      </c>
      <c r="Q28" s="441">
        <f t="shared" si="10"/>
        <v>1.9618508979411097E-2</v>
      </c>
      <c r="R28" s="441">
        <f t="shared" si="10"/>
        <v>1.4732027196147456E-2</v>
      </c>
      <c r="S28" s="441">
        <f t="shared" si="10"/>
        <v>3.3718338031554808E-2</v>
      </c>
      <c r="T28" s="441">
        <f t="shared" si="10"/>
        <v>-7.1733438542376533E-3</v>
      </c>
      <c r="U28" s="441">
        <f t="shared" si="10"/>
        <v>-3.2989753412995225E-3</v>
      </c>
      <c r="V28" s="403"/>
      <c r="W28" s="403"/>
      <c r="X28" s="403"/>
      <c r="Y28" s="403"/>
      <c r="Z28" s="403"/>
      <c r="AA28" s="403"/>
      <c r="AB28" s="403"/>
      <c r="AC28" s="403"/>
      <c r="AD28" s="403"/>
      <c r="AE28" s="403"/>
      <c r="AF28" s="403"/>
      <c r="AG28" s="403"/>
      <c r="AH28" s="403"/>
      <c r="AI28" s="403"/>
      <c r="AJ28" s="403"/>
    </row>
    <row r="29" spans="1:36" s="379" customFormat="1" ht="14.25" customHeight="1">
      <c r="A29" s="403"/>
      <c r="B29" s="403" t="s">
        <v>259</v>
      </c>
      <c r="C29" s="403"/>
      <c r="D29" s="441">
        <f t="shared" ref="D29:H29" si="11">IFERROR(+D99/D116,"")</f>
        <v>4.0551181102362208E-2</v>
      </c>
      <c r="E29" s="441" t="str">
        <f t="shared" si="11"/>
        <v/>
      </c>
      <c r="F29" s="441" t="str">
        <f t="shared" si="11"/>
        <v/>
      </c>
      <c r="G29" s="441" t="str">
        <f t="shared" si="11"/>
        <v/>
      </c>
      <c r="H29" s="441" t="str">
        <f t="shared" si="11"/>
        <v/>
      </c>
      <c r="I29" s="641">
        <f t="shared" si="3"/>
        <v>4.0551181102362208E-2</v>
      </c>
      <c r="J29" s="403"/>
      <c r="K29" s="403"/>
      <c r="L29" s="440"/>
      <c r="M29" s="403"/>
      <c r="N29" s="403"/>
      <c r="O29" s="403"/>
      <c r="P29" s="441">
        <f t="shared" ref="P29:U29" si="12">IFERROR(+P99/P116,"")</f>
        <v>0.19872393401805152</v>
      </c>
      <c r="Q29" s="441">
        <f t="shared" si="12"/>
        <v>0.19337900232368652</v>
      </c>
      <c r="R29" s="441">
        <f t="shared" si="12"/>
        <v>0.17595031990967255</v>
      </c>
      <c r="S29" s="441">
        <f t="shared" si="12"/>
        <v>2.3069679849340868E-2</v>
      </c>
      <c r="T29" s="441">
        <f t="shared" si="12"/>
        <v>0.57042562527424312</v>
      </c>
      <c r="U29" s="441">
        <f t="shared" si="12"/>
        <v>1.2500000000000001E-2</v>
      </c>
      <c r="V29" s="403"/>
      <c r="W29" s="403"/>
      <c r="X29" s="403"/>
      <c r="Y29" s="403"/>
      <c r="Z29" s="403"/>
      <c r="AA29" s="403"/>
      <c r="AB29" s="403"/>
      <c r="AC29" s="403"/>
      <c r="AD29" s="403"/>
      <c r="AE29" s="403"/>
      <c r="AF29" s="403"/>
      <c r="AG29" s="403"/>
      <c r="AH29" s="403"/>
      <c r="AI29" s="403"/>
      <c r="AJ29" s="403"/>
    </row>
    <row r="30" spans="1:36" s="379" customFormat="1" ht="14.25" customHeight="1">
      <c r="A30" s="403"/>
      <c r="B30" s="403" t="s">
        <v>260</v>
      </c>
      <c r="C30" s="403"/>
      <c r="D30" s="441">
        <f t="shared" ref="D30:H30" si="13">IFERROR(+D99/(D115+D116),"")</f>
        <v>2.7055424218544784E-2</v>
      </c>
      <c r="E30" s="441" t="str">
        <f t="shared" si="13"/>
        <v/>
      </c>
      <c r="F30" s="441" t="str">
        <f t="shared" si="13"/>
        <v/>
      </c>
      <c r="G30" s="441" t="str">
        <f t="shared" si="13"/>
        <v/>
      </c>
      <c r="H30" s="441" t="str">
        <f t="shared" si="13"/>
        <v/>
      </c>
      <c r="I30" s="641">
        <f t="shared" si="3"/>
        <v>2.7055424218544784E-2</v>
      </c>
      <c r="J30" s="403"/>
      <c r="K30" s="403"/>
      <c r="L30" s="440"/>
      <c r="M30" s="403"/>
      <c r="N30" s="403"/>
      <c r="O30" s="403"/>
      <c r="P30" s="441">
        <f>IFERROR(+P99/(P115+P116),"")</f>
        <v>0.15331972625765389</v>
      </c>
      <c r="Q30" s="441">
        <f>IFERROR(+Q99/(Q115+Q117),"")</f>
        <v>0.75432607416127129</v>
      </c>
      <c r="R30" s="441">
        <f>IFERROR(+R99/(R115+R116),"")</f>
        <v>6.1740623349181192E-2</v>
      </c>
      <c r="S30" s="441">
        <f>IFERROR(+S99/(S115+S116),"")</f>
        <v>1.1709881706297049E-2</v>
      </c>
      <c r="T30" s="441">
        <f>IFERROR(+T99/(T115+T116),"")</f>
        <v>0.31026252983293556</v>
      </c>
      <c r="U30" s="441">
        <f>IFERROR(+U99/(U115+U116),"")</f>
        <v>8.0395794681508963E-3</v>
      </c>
      <c r="V30" s="403"/>
      <c r="W30" s="403"/>
      <c r="X30" s="403"/>
      <c r="Y30" s="403"/>
      <c r="Z30" s="403"/>
      <c r="AA30" s="403"/>
      <c r="AB30" s="403"/>
      <c r="AC30" s="403"/>
      <c r="AD30" s="403"/>
      <c r="AE30" s="403"/>
      <c r="AF30" s="403"/>
      <c r="AG30" s="403"/>
      <c r="AH30" s="403"/>
      <c r="AI30" s="403"/>
      <c r="AJ30" s="403"/>
    </row>
    <row r="31" spans="1:36" s="379" customFormat="1" ht="3.75" customHeight="1">
      <c r="A31" s="403"/>
      <c r="B31" s="403"/>
      <c r="C31" s="403"/>
      <c r="D31" s="403"/>
      <c r="E31" s="403"/>
      <c r="F31" s="403"/>
      <c r="G31" s="403"/>
      <c r="H31" s="403"/>
      <c r="I31" s="437"/>
      <c r="J31" s="403"/>
      <c r="K31" s="403"/>
      <c r="L31" s="440"/>
      <c r="M31" s="403"/>
      <c r="N31" s="403"/>
      <c r="O31" s="403"/>
      <c r="P31" s="403"/>
      <c r="Q31" s="403"/>
      <c r="R31" s="403"/>
      <c r="S31" s="403"/>
      <c r="T31" s="403"/>
      <c r="U31" s="403"/>
      <c r="V31" s="403"/>
      <c r="W31" s="403"/>
      <c r="X31" s="403"/>
      <c r="Y31" s="403"/>
      <c r="Z31" s="403"/>
      <c r="AA31" s="403"/>
      <c r="AB31" s="403"/>
      <c r="AC31" s="403"/>
      <c r="AD31" s="403"/>
      <c r="AE31" s="403"/>
      <c r="AF31" s="403"/>
      <c r="AG31" s="403"/>
      <c r="AH31" s="403"/>
      <c r="AI31" s="403"/>
      <c r="AJ31" s="403"/>
    </row>
    <row r="32" spans="1:36" s="382" customFormat="1" ht="14.25" customHeight="1">
      <c r="A32" s="410"/>
      <c r="B32" s="575" t="s">
        <v>261</v>
      </c>
      <c r="C32" s="576"/>
      <c r="D32" s="389" t="str">
        <f t="shared" ref="D32:I32" si="14">+D23</f>
        <v>Natura</v>
      </c>
      <c r="E32" s="389">
        <f t="shared" si="14"/>
        <v>0</v>
      </c>
      <c r="F32" s="389" t="e">
        <f t="shared" si="14"/>
        <v>#REF!</v>
      </c>
      <c r="G32" s="389" t="e">
        <f t="shared" si="14"/>
        <v>#REF!</v>
      </c>
      <c r="H32" s="389" t="e">
        <f t="shared" si="14"/>
        <v>#REF!</v>
      </c>
      <c r="I32" s="389" t="str">
        <f t="shared" si="14"/>
        <v>Average</v>
      </c>
      <c r="J32" s="410"/>
      <c r="K32" s="410"/>
      <c r="L32" s="577"/>
      <c r="M32" s="410"/>
      <c r="N32" s="410"/>
      <c r="O32" s="410"/>
      <c r="P32" s="389" t="str">
        <f t="shared" ref="P32:U32" ca="1" si="15">+P23</f>
        <v>E.L.F.</v>
      </c>
      <c r="Q32" s="389" t="str">
        <f t="shared" si="15"/>
        <v>L'Oreal</v>
      </c>
      <c r="R32" s="389" t="str">
        <f t="shared" si="15"/>
        <v>Estée Lauder</v>
      </c>
      <c r="S32" s="389" t="str">
        <f t="shared" si="15"/>
        <v>Coty</v>
      </c>
      <c r="T32" s="389" t="str">
        <f t="shared" si="15"/>
        <v>Ulta Beauty</v>
      </c>
      <c r="U32" s="389" t="str">
        <f t="shared" si="15"/>
        <v>Shiseido</v>
      </c>
      <c r="V32" s="410"/>
      <c r="W32" s="410"/>
      <c r="X32" s="410"/>
      <c r="Y32" s="410"/>
      <c r="Z32" s="410"/>
      <c r="AA32" s="410"/>
      <c r="AB32" s="410"/>
      <c r="AC32" s="410"/>
      <c r="AD32" s="410"/>
      <c r="AE32" s="410"/>
      <c r="AF32" s="410"/>
      <c r="AG32" s="410"/>
      <c r="AH32" s="410"/>
      <c r="AI32" s="410"/>
      <c r="AJ32" s="410"/>
    </row>
    <row r="33" spans="2:21" s="379" customFormat="1" ht="3.75" customHeight="1">
      <c r="B33" s="428"/>
      <c r="C33" s="428"/>
      <c r="D33" s="428"/>
      <c r="E33" s="428"/>
      <c r="F33" s="428"/>
      <c r="G33" s="428"/>
      <c r="H33" s="428"/>
      <c r="I33" s="439"/>
      <c r="J33" s="403"/>
      <c r="K33" s="403"/>
      <c r="L33" s="440"/>
      <c r="M33" s="403"/>
      <c r="N33" s="403"/>
      <c r="O33" s="403"/>
      <c r="P33" s="428"/>
      <c r="Q33" s="428"/>
      <c r="R33" s="428"/>
      <c r="S33" s="428"/>
      <c r="T33" s="428"/>
      <c r="U33" s="428"/>
    </row>
    <row r="34" spans="2:21" s="379" customFormat="1" ht="14.25" customHeight="1">
      <c r="B34" s="403" t="s">
        <v>262</v>
      </c>
      <c r="C34" s="403"/>
      <c r="D34" s="442">
        <f t="shared" ref="D34:H34" si="16">IFERROR(D115/D111,"")</f>
        <v>0.21053506148222001</v>
      </c>
      <c r="E34" s="442" t="str">
        <f t="shared" si="16"/>
        <v/>
      </c>
      <c r="F34" s="442" t="str">
        <f t="shared" si="16"/>
        <v/>
      </c>
      <c r="G34" s="442" t="str">
        <f t="shared" si="16"/>
        <v/>
      </c>
      <c r="H34" s="442" t="str">
        <f t="shared" si="16"/>
        <v/>
      </c>
      <c r="I34" s="640">
        <f>IFERROR(+AVERAGE(D34:H34),"")</f>
        <v>0.21053506148222001</v>
      </c>
      <c r="J34" s="403"/>
      <c r="K34" s="403"/>
      <c r="L34" s="440"/>
      <c r="M34" s="403"/>
      <c r="N34" s="403"/>
      <c r="O34" s="403"/>
      <c r="P34" s="442">
        <f t="shared" ref="P34:U34" si="17">IFERROR(P115/P111,"")</f>
        <v>0.16851146728061631</v>
      </c>
      <c r="Q34" s="442">
        <f t="shared" si="17"/>
        <v>0.15074618920022004</v>
      </c>
      <c r="R34" s="442">
        <f t="shared" si="17"/>
        <v>0.45347603450661994</v>
      </c>
      <c r="S34" s="442">
        <f t="shared" si="17"/>
        <v>0.34105768434991313</v>
      </c>
      <c r="T34" s="442">
        <f t="shared" si="17"/>
        <v>0.33485193621867881</v>
      </c>
      <c r="U34" s="442">
        <f t="shared" si="17"/>
        <v>0.27271653078104691</v>
      </c>
    </row>
    <row r="35" spans="2:21" s="379" customFormat="1" ht="14.25" customHeight="1">
      <c r="B35" s="403" t="s">
        <v>263</v>
      </c>
      <c r="C35" s="403"/>
      <c r="D35" s="442">
        <f t="shared" ref="D35:H35" si="18">IFERROR(+(D115-D105)/D94,"")</f>
        <v>0.76223776223776218</v>
      </c>
      <c r="E35" s="442" t="str">
        <f t="shared" si="18"/>
        <v/>
      </c>
      <c r="F35" s="442" t="str">
        <f t="shared" si="18"/>
        <v/>
      </c>
      <c r="G35" s="442" t="str">
        <f t="shared" si="18"/>
        <v/>
      </c>
      <c r="H35" s="442" t="str">
        <f t="shared" si="18"/>
        <v/>
      </c>
      <c r="I35" s="640">
        <f>IFERROR(+AVERAGE(D35:H35),"")</f>
        <v>0.76223776223776218</v>
      </c>
      <c r="J35" s="403"/>
      <c r="K35" s="403"/>
      <c r="L35" s="440"/>
      <c r="M35" s="403"/>
      <c r="N35" s="403"/>
      <c r="O35" s="403"/>
      <c r="P35" s="442">
        <f>IFERROR(+(P115-P105)/P94,"")</f>
        <v>0.54843019372077517</v>
      </c>
      <c r="Q35" s="442">
        <f>IFERROR(+(Q115-Q105)/Q94,"")</f>
        <v>0.46079651524579962</v>
      </c>
      <c r="R35" s="442">
        <f>IFERROR(+(R115-R106)/R94,"")</f>
        <v>2.8223615464994776</v>
      </c>
      <c r="S35" s="442">
        <f>IFERROR(+(S115-S105)/S94,"")</f>
        <v>3.6037735849056602</v>
      </c>
      <c r="T35" s="442">
        <f>IFERROR(+(T115-T105)/T94,"")</f>
        <v>0.50263620386643237</v>
      </c>
      <c r="U35" s="442">
        <f>IFERROR(+(U115-U105)/U94,"")</f>
        <v>2.094650205761317</v>
      </c>
    </row>
    <row r="36" spans="2:21" s="379" customFormat="1" ht="14.25" customHeight="1">
      <c r="B36" s="403" t="s">
        <v>264</v>
      </c>
      <c r="C36" s="403"/>
      <c r="D36" s="442">
        <f t="shared" ref="D36:H36" si="19">IFERROR(D95/D96,"")</f>
        <v>11.608695652173912</v>
      </c>
      <c r="E36" s="442" t="str">
        <f t="shared" si="19"/>
        <v/>
      </c>
      <c r="F36" s="442" t="str">
        <f t="shared" si="19"/>
        <v/>
      </c>
      <c r="G36" s="442" t="str">
        <f t="shared" si="19"/>
        <v/>
      </c>
      <c r="H36" s="442" t="str">
        <f t="shared" si="19"/>
        <v/>
      </c>
      <c r="I36" s="640">
        <f>IFERROR(+AVERAGE(D36:H36),"")</f>
        <v>11.608695652173912</v>
      </c>
      <c r="J36" s="403"/>
      <c r="K36" s="403"/>
      <c r="L36" s="440"/>
      <c r="M36" s="403"/>
      <c r="N36" s="403"/>
      <c r="O36" s="403"/>
      <c r="P36" s="442">
        <f>IFERROR(P95/P96,"")</f>
        <v>16.257142857142846</v>
      </c>
      <c r="Q36" s="442">
        <f>IFERROR(Q95/Q96,"")</f>
        <v>39.61643835616438</v>
      </c>
      <c r="R36" s="442">
        <f>IFERROR(R95/R96,"")</f>
        <v>7.5260663507109005</v>
      </c>
      <c r="S36" s="442">
        <f>IFERROR(S95/S96,"")</f>
        <v>2.3055555555555554</v>
      </c>
      <c r="T36" s="442">
        <f>IFERROR(T95/R75,"")</f>
        <v>-84.45</v>
      </c>
      <c r="U36" s="442">
        <f>IFERROR(U95/U96,"")</f>
        <v>-10.904761904761905</v>
      </c>
    </row>
    <row r="37" spans="2:21" s="379" customFormat="1" ht="3.75" customHeight="1">
      <c r="B37" s="403"/>
      <c r="C37" s="403"/>
      <c r="D37" s="403"/>
      <c r="E37" s="403"/>
      <c r="F37" s="403"/>
      <c r="G37" s="403"/>
      <c r="H37" s="403"/>
      <c r="I37" s="437"/>
      <c r="J37" s="403"/>
      <c r="K37" s="403"/>
      <c r="L37" s="440"/>
      <c r="M37" s="403"/>
      <c r="N37" s="403"/>
      <c r="O37" s="403"/>
      <c r="P37" s="403"/>
      <c r="Q37" s="403"/>
      <c r="R37" s="403"/>
      <c r="S37" s="403"/>
      <c r="T37" s="403"/>
      <c r="U37" s="403"/>
    </row>
    <row r="38" spans="2:21" s="382" customFormat="1" ht="14.25" customHeight="1">
      <c r="B38" s="575" t="s">
        <v>265</v>
      </c>
      <c r="C38" s="576"/>
      <c r="D38" s="389" t="str">
        <f t="shared" ref="D38:I38" si="20">+D23</f>
        <v>Natura</v>
      </c>
      <c r="E38" s="389">
        <f t="shared" si="20"/>
        <v>0</v>
      </c>
      <c r="F38" s="389" t="e">
        <f t="shared" si="20"/>
        <v>#REF!</v>
      </c>
      <c r="G38" s="389" t="e">
        <f t="shared" si="20"/>
        <v>#REF!</v>
      </c>
      <c r="H38" s="389" t="e">
        <f t="shared" si="20"/>
        <v>#REF!</v>
      </c>
      <c r="I38" s="389" t="str">
        <f t="shared" si="20"/>
        <v>Average</v>
      </c>
      <c r="J38" s="410"/>
      <c r="K38" s="410"/>
      <c r="L38" s="577"/>
      <c r="M38" s="410"/>
      <c r="N38" s="410"/>
      <c r="O38" s="410"/>
      <c r="P38" s="389" t="str">
        <f t="shared" ref="P38:U38" ca="1" si="21">+P23</f>
        <v>E.L.F.</v>
      </c>
      <c r="Q38" s="389" t="str">
        <f t="shared" si="21"/>
        <v>L'Oreal</v>
      </c>
      <c r="R38" s="389" t="str">
        <f t="shared" si="21"/>
        <v>Estée Lauder</v>
      </c>
      <c r="S38" s="389" t="str">
        <f t="shared" si="21"/>
        <v>Coty</v>
      </c>
      <c r="T38" s="389" t="str">
        <f t="shared" si="21"/>
        <v>Ulta Beauty</v>
      </c>
      <c r="U38" s="389" t="str">
        <f t="shared" si="21"/>
        <v>Shiseido</v>
      </c>
    </row>
    <row r="39" spans="2:21" s="379" customFormat="1" ht="3.75" customHeight="1">
      <c r="B39" s="428"/>
      <c r="C39" s="428"/>
      <c r="D39" s="428"/>
      <c r="E39" s="428"/>
      <c r="F39" s="428"/>
      <c r="G39" s="428"/>
      <c r="H39" s="428"/>
      <c r="I39" s="439"/>
      <c r="J39" s="403"/>
      <c r="K39" s="403"/>
      <c r="L39" s="440"/>
      <c r="M39" s="403"/>
      <c r="N39" s="403"/>
      <c r="O39" s="403"/>
      <c r="P39" s="428"/>
      <c r="Q39" s="428"/>
      <c r="R39" s="428"/>
      <c r="S39" s="428"/>
      <c r="T39" s="428"/>
      <c r="U39" s="428"/>
    </row>
    <row r="40" spans="2:21" s="379" customFormat="1" ht="14.25" customHeight="1">
      <c r="B40" s="403" t="s">
        <v>53</v>
      </c>
      <c r="C40" s="403"/>
      <c r="D40" s="442">
        <f t="shared" ref="D40:H40" si="22">IFERROR(D105/D113,"")</f>
        <v>0.46371226718047526</v>
      </c>
      <c r="E40" s="442" t="str">
        <f t="shared" si="22"/>
        <v/>
      </c>
      <c r="F40" s="442" t="str">
        <f t="shared" si="22"/>
        <v/>
      </c>
      <c r="G40" s="442" t="str">
        <f t="shared" si="22"/>
        <v/>
      </c>
      <c r="H40" s="442" t="str">
        <f t="shared" si="22"/>
        <v/>
      </c>
      <c r="I40" s="640">
        <f>IFERROR(+AVERAGE(D40:H40),"")</f>
        <v>0.46371226718047526</v>
      </c>
      <c r="J40" s="403"/>
      <c r="K40" s="403"/>
      <c r="L40" s="440"/>
      <c r="M40" s="403"/>
      <c r="N40" s="403"/>
      <c r="O40" s="403"/>
      <c r="P40" s="442">
        <f>IFERROR(P105/P113,"")</f>
        <v>0.36175192243396853</v>
      </c>
      <c r="Q40" s="442">
        <f>IFERROR(Q105/Q113,"")</f>
        <v>0.27685159879748567</v>
      </c>
      <c r="R40" s="442">
        <f>IFERROR(R106/R113,"")</f>
        <v>0.30287618379515957</v>
      </c>
      <c r="S40" s="442">
        <f>IFERROR(S105/S113,"")</f>
        <v>0.11568024596464259</v>
      </c>
      <c r="T40" s="442">
        <f>IFERROR(T105/T113,"")</f>
        <v>0.46260554885404104</v>
      </c>
      <c r="U40" s="442">
        <f>IFERROR(U105/U113,"")</f>
        <v>0.30833004342676668</v>
      </c>
    </row>
    <row r="41" spans="2:21" s="379" customFormat="1" ht="14.25" customHeight="1">
      <c r="B41" s="403" t="s">
        <v>56</v>
      </c>
      <c r="C41" s="403"/>
      <c r="D41" s="442">
        <f t="shared" ref="D41:H41" si="23">IFERROR(+(D105+D106)/D113,"")</f>
        <v>1.0134874759152215</v>
      </c>
      <c r="E41" s="442" t="str">
        <f t="shared" si="23"/>
        <v/>
      </c>
      <c r="F41" s="442" t="str">
        <f t="shared" si="23"/>
        <v/>
      </c>
      <c r="G41" s="442" t="str">
        <f t="shared" si="23"/>
        <v/>
      </c>
      <c r="H41" s="442" t="str">
        <f t="shared" si="23"/>
        <v/>
      </c>
      <c r="I41" s="640">
        <f>IFERROR(+AVERAGE(D41:H41),"")</f>
        <v>1.0134874759152215</v>
      </c>
      <c r="J41" s="403"/>
      <c r="K41" s="403"/>
      <c r="L41" s="440"/>
      <c r="M41" s="403"/>
      <c r="N41" s="403"/>
      <c r="O41" s="403"/>
      <c r="P41" s="442">
        <f t="shared" ref="P41:U41" si="24">IFERROR(+(P105+P106)/P113,"")</f>
        <v>0.77566031427616178</v>
      </c>
      <c r="Q41" s="442">
        <f t="shared" si="24"/>
        <v>0.65953812517081167</v>
      </c>
      <c r="R41" s="442">
        <f t="shared" si="24"/>
        <v>0.89828130480533142</v>
      </c>
      <c r="S41" s="442">
        <f t="shared" si="24"/>
        <v>0.28554957724827057</v>
      </c>
      <c r="T41" s="442">
        <f t="shared" si="24"/>
        <v>0.58805790108564537</v>
      </c>
      <c r="U41" s="442">
        <f t="shared" si="24"/>
        <v>0.67666798262929329</v>
      </c>
    </row>
    <row r="42" spans="2:21" s="379" customFormat="1" ht="14.25" customHeight="1">
      <c r="B42" s="403" t="s">
        <v>58</v>
      </c>
      <c r="C42" s="403"/>
      <c r="D42" s="442">
        <f t="shared" ref="D42:H42" si="25">IFERROR(D109/D113,"")</f>
        <v>1.5754656390494541</v>
      </c>
      <c r="E42" s="442" t="str">
        <f t="shared" si="25"/>
        <v/>
      </c>
      <c r="F42" s="442" t="str">
        <f t="shared" si="25"/>
        <v/>
      </c>
      <c r="G42" s="442" t="str">
        <f t="shared" si="25"/>
        <v/>
      </c>
      <c r="H42" s="442" t="str">
        <f t="shared" si="25"/>
        <v/>
      </c>
      <c r="I42" s="640">
        <f>IFERROR(+AVERAGE(D42:H42),"")</f>
        <v>1.5754656390494541</v>
      </c>
      <c r="J42" s="403"/>
      <c r="K42" s="403"/>
      <c r="L42" s="440"/>
      <c r="M42" s="403"/>
      <c r="N42" s="403"/>
      <c r="O42" s="403"/>
      <c r="P42" s="442">
        <f t="shared" ref="P42:U42" si="26">IFERROR(P109/P113,"")</f>
        <v>1.5951186894015379</v>
      </c>
      <c r="Q42" s="442">
        <f t="shared" si="26"/>
        <v>1.1255124350915551</v>
      </c>
      <c r="R42" s="442">
        <f t="shared" si="26"/>
        <v>1.389337074710628</v>
      </c>
      <c r="S42" s="442">
        <f t="shared" si="26"/>
        <v>0.75480399692544198</v>
      </c>
      <c r="T42" s="442">
        <f t="shared" si="26"/>
        <v>1.7110977080820264</v>
      </c>
      <c r="U42" s="442">
        <f t="shared" si="26"/>
        <v>1.1985787603632057</v>
      </c>
    </row>
    <row r="43" spans="2:21" s="379" customFormat="1" ht="3.75" customHeight="1">
      <c r="B43" s="403"/>
      <c r="C43" s="403"/>
      <c r="D43" s="403"/>
      <c r="E43" s="403"/>
      <c r="F43" s="403"/>
      <c r="G43" s="403"/>
      <c r="H43" s="403"/>
      <c r="I43" s="437"/>
      <c r="J43" s="403"/>
      <c r="K43" s="403"/>
      <c r="L43" s="440"/>
      <c r="M43" s="403"/>
      <c r="N43" s="403"/>
      <c r="O43" s="403"/>
      <c r="P43" s="442"/>
      <c r="Q43" s="403"/>
      <c r="R43" s="403"/>
      <c r="S43" s="403"/>
      <c r="T43" s="403"/>
      <c r="U43" s="403"/>
    </row>
    <row r="44" spans="2:21" s="382" customFormat="1" ht="14.25" customHeight="1">
      <c r="B44" s="575" t="s">
        <v>266</v>
      </c>
      <c r="C44" s="576"/>
      <c r="D44" s="389" t="str">
        <f t="shared" ref="D44:I44" si="27">+D23</f>
        <v>Natura</v>
      </c>
      <c r="E44" s="389">
        <f t="shared" si="27"/>
        <v>0</v>
      </c>
      <c r="F44" s="389" t="e">
        <f t="shared" si="27"/>
        <v>#REF!</v>
      </c>
      <c r="G44" s="389" t="e">
        <f t="shared" si="27"/>
        <v>#REF!</v>
      </c>
      <c r="H44" s="389" t="e">
        <f t="shared" si="27"/>
        <v>#REF!</v>
      </c>
      <c r="I44" s="389" t="str">
        <f t="shared" si="27"/>
        <v>Average</v>
      </c>
      <c r="J44" s="410"/>
      <c r="K44" s="410"/>
      <c r="L44" s="577"/>
      <c r="M44" s="410"/>
      <c r="N44" s="410"/>
      <c r="O44" s="410"/>
      <c r="P44" s="389" t="str">
        <f t="shared" ref="P44:U44" ca="1" si="28">+P23</f>
        <v>E.L.F.</v>
      </c>
      <c r="Q44" s="389" t="str">
        <f t="shared" si="28"/>
        <v>L'Oreal</v>
      </c>
      <c r="R44" s="389" t="str">
        <f t="shared" si="28"/>
        <v>Estée Lauder</v>
      </c>
      <c r="S44" s="389" t="str">
        <f t="shared" si="28"/>
        <v>Coty</v>
      </c>
      <c r="T44" s="389" t="str">
        <f t="shared" si="28"/>
        <v>Ulta Beauty</v>
      </c>
      <c r="U44" s="389" t="str">
        <f t="shared" si="28"/>
        <v>Shiseido</v>
      </c>
    </row>
    <row r="45" spans="2:21" s="379" customFormat="1" ht="3.75" customHeight="1">
      <c r="B45" s="428"/>
      <c r="C45" s="428"/>
      <c r="D45" s="428"/>
      <c r="E45" s="428"/>
      <c r="F45" s="428"/>
      <c r="G45" s="428"/>
      <c r="H45" s="428"/>
      <c r="I45" s="439"/>
      <c r="J45" s="403"/>
      <c r="K45" s="403"/>
      <c r="L45" s="440"/>
      <c r="M45" s="403"/>
      <c r="N45" s="403"/>
      <c r="O45" s="403"/>
      <c r="P45" s="428"/>
      <c r="Q45" s="428"/>
      <c r="R45" s="428"/>
      <c r="S45" s="428"/>
      <c r="T45" s="428"/>
      <c r="U45" s="428"/>
    </row>
    <row r="46" spans="2:21" s="379" customFormat="1" ht="14.25" customHeight="1">
      <c r="B46" s="403" t="s">
        <v>267</v>
      </c>
      <c r="C46" s="403"/>
      <c r="D46" s="693">
        <f t="shared" ref="D46:H46" si="29">IFERROR(D92/(AVERAGE(D107:D108)),"")</f>
        <v>2.6373626373626373</v>
      </c>
      <c r="E46" s="693" t="str">
        <f t="shared" si="29"/>
        <v/>
      </c>
      <c r="F46" s="693" t="str">
        <f t="shared" si="29"/>
        <v/>
      </c>
      <c r="G46" s="693" t="str">
        <f t="shared" si="29"/>
        <v/>
      </c>
      <c r="H46" s="693" t="str">
        <f t="shared" si="29"/>
        <v/>
      </c>
      <c r="I46" s="640">
        <f t="shared" ref="I46:I51" si="30">IFERROR(+AVERAGE(D46:H46),"")</f>
        <v>2.6373626373626373</v>
      </c>
      <c r="J46" s="403"/>
      <c r="K46" s="403"/>
      <c r="L46" s="440"/>
      <c r="M46" s="403"/>
      <c r="N46" s="403"/>
      <c r="O46" s="403"/>
      <c r="P46" s="693">
        <f t="shared" ref="P46:U46" si="31">IFERROR(P92/(AVERAGE(P107:P108)),"")</f>
        <v>2.1979472140762462</v>
      </c>
      <c r="Q46" s="693">
        <f t="shared" si="31"/>
        <v>2.4642230026338892</v>
      </c>
      <c r="R46" s="693">
        <f t="shared" si="31"/>
        <v>1.7163368257663951</v>
      </c>
      <c r="S46" s="693">
        <f t="shared" si="31"/>
        <v>2.6493506493506493</v>
      </c>
      <c r="T46" s="693">
        <f t="shared" si="31"/>
        <v>4.0813153961136024</v>
      </c>
      <c r="U46" s="693">
        <f t="shared" si="31"/>
        <v>1.5055208833413347</v>
      </c>
    </row>
    <row r="47" spans="2:21" s="379" customFormat="1" ht="14.25" customHeight="1">
      <c r="B47" s="403" t="s">
        <v>268</v>
      </c>
      <c r="C47" s="403"/>
      <c r="D47" s="693">
        <f t="shared" ref="D47:H47" si="32">IFERROR(D91/D106,"")</f>
        <v>5.2418224299065423</v>
      </c>
      <c r="E47" s="693" t="str">
        <f t="shared" si="32"/>
        <v/>
      </c>
      <c r="F47" s="693" t="str">
        <f t="shared" si="32"/>
        <v/>
      </c>
      <c r="G47" s="693" t="str">
        <f t="shared" si="32"/>
        <v/>
      </c>
      <c r="H47" s="693" t="str">
        <f t="shared" si="32"/>
        <v/>
      </c>
      <c r="I47" s="640">
        <f t="shared" si="30"/>
        <v>5.2418224299065423</v>
      </c>
      <c r="J47" s="403"/>
      <c r="K47" s="403"/>
      <c r="L47" s="440"/>
      <c r="M47" s="403"/>
      <c r="N47" s="403"/>
      <c r="O47" s="403"/>
      <c r="P47" s="693">
        <f t="shared" ref="P47:U47" si="33">IFERROR(P91/P106,"")</f>
        <v>8.2705977382875613</v>
      </c>
      <c r="Q47" s="693">
        <f t="shared" si="33"/>
        <v>7.7639707195143721</v>
      </c>
      <c r="R47" s="693">
        <f t="shared" si="33"/>
        <v>9.037637521713954</v>
      </c>
      <c r="S47" s="693">
        <f t="shared" si="33"/>
        <v>13.841628959276019</v>
      </c>
      <c r="T47" s="693">
        <f t="shared" si="33"/>
        <v>53.879807692307693</v>
      </c>
      <c r="U47" s="693">
        <f t="shared" si="33"/>
        <v>7.015005359056806</v>
      </c>
    </row>
    <row r="48" spans="2:21" s="379" customFormat="1" ht="14.25" customHeight="1">
      <c r="B48" s="403" t="s">
        <v>269</v>
      </c>
      <c r="C48" s="403"/>
      <c r="D48" s="693">
        <f t="shared" ref="D48:H48" si="34">IFERROR(D92/D112,"")</f>
        <v>1.1633109619686801</v>
      </c>
      <c r="E48" s="693" t="str">
        <f t="shared" si="34"/>
        <v/>
      </c>
      <c r="F48" s="693" t="str">
        <f t="shared" si="34"/>
        <v/>
      </c>
      <c r="G48" s="693" t="str">
        <f t="shared" si="34"/>
        <v/>
      </c>
      <c r="H48" s="693" t="str">
        <f t="shared" si="34"/>
        <v/>
      </c>
      <c r="I48" s="640">
        <f t="shared" si="30"/>
        <v>1.1633109619686801</v>
      </c>
      <c r="J48" s="403"/>
      <c r="K48" s="403"/>
      <c r="L48" s="440"/>
      <c r="M48" s="403"/>
      <c r="N48" s="403"/>
      <c r="O48" s="403"/>
      <c r="P48" s="693">
        <f t="shared" ref="P48:U48" si="35">IFERROR(P92/P112,"")</f>
        <v>3.6966707768187428</v>
      </c>
      <c r="Q48" s="693">
        <f t="shared" si="35"/>
        <v>1.7357761286332716</v>
      </c>
      <c r="R48" s="693">
        <f t="shared" si="35"/>
        <v>0.94629867351305097</v>
      </c>
      <c r="S48" s="693">
        <f t="shared" si="35"/>
        <v>0.90839694656488545</v>
      </c>
      <c r="T48" s="693">
        <f t="shared" si="35"/>
        <v>7.2771855010660982</v>
      </c>
      <c r="U48" s="693">
        <f t="shared" si="35"/>
        <v>1.1304974765681326</v>
      </c>
    </row>
    <row r="49" spans="1:46" s="379" customFormat="1" ht="14.25" customHeight="1">
      <c r="A49" s="403"/>
      <c r="B49" s="403" t="s">
        <v>270</v>
      </c>
      <c r="C49" s="403"/>
      <c r="D49" s="442">
        <f t="shared" ref="D49:H49" si="36">IFERROR(D91/D110,"")</f>
        <v>6.1047619047619044</v>
      </c>
      <c r="E49" s="442" t="str">
        <f t="shared" si="36"/>
        <v/>
      </c>
      <c r="F49" s="442" t="str">
        <f t="shared" si="36"/>
        <v/>
      </c>
      <c r="G49" s="442" t="str">
        <f t="shared" si="36"/>
        <v/>
      </c>
      <c r="H49" s="442" t="str">
        <f t="shared" si="36"/>
        <v/>
      </c>
      <c r="I49" s="640">
        <f t="shared" si="30"/>
        <v>6.1047619047619044</v>
      </c>
      <c r="J49" s="403"/>
      <c r="K49" s="403"/>
      <c r="L49" s="440"/>
      <c r="M49" s="403"/>
      <c r="N49" s="403"/>
      <c r="O49" s="403"/>
      <c r="P49" s="442">
        <f t="shared" ref="P49:U49" si="37">IFERROR(P91/P110,"")</f>
        <v>24.731884057971016</v>
      </c>
      <c r="Q49" s="442">
        <f t="shared" si="37"/>
        <v>7.2901927912824815</v>
      </c>
      <c r="R49" s="442">
        <f t="shared" si="37"/>
        <v>3.1410746629100421</v>
      </c>
      <c r="S49" s="442">
        <f t="shared" si="37"/>
        <v>6.2813141683778237</v>
      </c>
      <c r="T49" s="442">
        <f t="shared" si="37"/>
        <v>4.0649256438157417</v>
      </c>
      <c r="U49" s="442">
        <f t="shared" si="37"/>
        <v>2.5798186834844303</v>
      </c>
      <c r="V49" s="403"/>
      <c r="W49" s="403"/>
      <c r="X49" s="403"/>
      <c r="Y49" s="403"/>
      <c r="Z49" s="403"/>
      <c r="AA49" s="403"/>
      <c r="AB49" s="403"/>
      <c r="AC49" s="403"/>
      <c r="AD49" s="403"/>
      <c r="AE49" s="403"/>
      <c r="AF49" s="403"/>
      <c r="AG49" s="403"/>
      <c r="AH49" s="403"/>
      <c r="AI49" s="403"/>
      <c r="AJ49" s="403"/>
      <c r="AK49" s="403"/>
      <c r="AL49" s="403"/>
      <c r="AM49" s="403"/>
      <c r="AN49" s="403"/>
      <c r="AO49" s="403"/>
      <c r="AP49" s="403"/>
      <c r="AQ49" s="403"/>
      <c r="AR49" s="403"/>
      <c r="AS49" s="403"/>
      <c r="AT49" s="403"/>
    </row>
    <row r="50" spans="1:46" s="379" customFormat="1" ht="14.25" customHeight="1">
      <c r="A50" s="403"/>
      <c r="B50" s="403" t="s">
        <v>271</v>
      </c>
      <c r="C50" s="403"/>
      <c r="D50" s="442">
        <f t="shared" ref="D50:H50" si="38">IFERROR(D91/D111,"")</f>
        <v>0.74559654370222661</v>
      </c>
      <c r="E50" s="442" t="str">
        <f t="shared" si="38"/>
        <v/>
      </c>
      <c r="F50" s="442" t="str">
        <f t="shared" si="38"/>
        <v/>
      </c>
      <c r="G50" s="442" t="str">
        <f t="shared" si="38"/>
        <v/>
      </c>
      <c r="H50" s="442" t="str">
        <f t="shared" si="38"/>
        <v/>
      </c>
      <c r="I50" s="640">
        <f t="shared" si="30"/>
        <v>0.74559654370222661</v>
      </c>
      <c r="J50" s="403"/>
      <c r="K50" s="403"/>
      <c r="L50" s="440"/>
      <c r="M50" s="403"/>
      <c r="N50" s="403"/>
      <c r="O50" s="403"/>
      <c r="P50" s="442">
        <f t="shared" ref="P50:U50" si="39">IFERROR(P91/P111,"")</f>
        <v>0.90666784733905947</v>
      </c>
      <c r="Q50" s="442">
        <f t="shared" si="39"/>
        <v>0.77167142831792446</v>
      </c>
      <c r="R50" s="442">
        <f t="shared" si="39"/>
        <v>0.72002583383309493</v>
      </c>
      <c r="S50" s="442">
        <f t="shared" si="39"/>
        <v>0.50633120913680374</v>
      </c>
      <c r="T50" s="442">
        <f t="shared" si="39"/>
        <v>1.963728754161556</v>
      </c>
      <c r="U50" s="442">
        <f t="shared" si="39"/>
        <v>0.77336641852770882</v>
      </c>
      <c r="V50" s="403"/>
      <c r="W50" s="403"/>
      <c r="X50" s="403"/>
      <c r="Y50" s="403"/>
      <c r="Z50" s="403"/>
      <c r="AA50" s="403"/>
      <c r="AB50" s="403"/>
      <c r="AC50" s="403"/>
      <c r="AD50" s="403"/>
      <c r="AE50" s="403"/>
      <c r="AF50" s="403"/>
      <c r="AG50" s="403"/>
      <c r="AH50" s="403"/>
      <c r="AI50" s="403"/>
      <c r="AJ50" s="403"/>
      <c r="AK50" s="403"/>
      <c r="AL50" s="403"/>
      <c r="AM50" s="403"/>
      <c r="AN50" s="403"/>
      <c r="AO50" s="403"/>
      <c r="AP50" s="403"/>
      <c r="AQ50" s="403"/>
      <c r="AR50" s="403"/>
      <c r="AS50" s="403"/>
      <c r="AT50" s="403"/>
    </row>
    <row r="51" spans="1:46" s="379" customFormat="1" ht="14.25" customHeight="1">
      <c r="A51" s="403"/>
      <c r="B51" s="403" t="s">
        <v>272</v>
      </c>
      <c r="C51" s="403"/>
      <c r="D51" s="694">
        <f t="shared" ref="D51:H51" si="40">IFERROR(365/D46+365/D47-365/D48,"")</f>
        <v>-105.7315110461561</v>
      </c>
      <c r="E51" s="694" t="str">
        <f t="shared" si="40"/>
        <v/>
      </c>
      <c r="F51" s="694" t="str">
        <f t="shared" si="40"/>
        <v/>
      </c>
      <c r="G51" s="694" t="str">
        <f t="shared" si="40"/>
        <v/>
      </c>
      <c r="H51" s="694" t="str">
        <f t="shared" si="40"/>
        <v/>
      </c>
      <c r="I51" s="640">
        <f t="shared" si="30"/>
        <v>-105.7315110461561</v>
      </c>
      <c r="J51" s="403"/>
      <c r="K51" s="403"/>
      <c r="L51" s="440"/>
      <c r="M51" s="403"/>
      <c r="N51" s="403"/>
      <c r="O51" s="403"/>
      <c r="P51" s="694">
        <f t="shared" ref="P51:U51" si="41">IFERROR(365/P46+365/P47-365/P48,"")</f>
        <v>111.45879051053409</v>
      </c>
      <c r="Q51" s="694">
        <f t="shared" si="41"/>
        <v>-15.148835347960016</v>
      </c>
      <c r="R51" s="694">
        <f t="shared" si="41"/>
        <v>-132.66443585398213</v>
      </c>
      <c r="S51" s="694">
        <f t="shared" si="41"/>
        <v>-237.66738617643853</v>
      </c>
      <c r="T51" s="694">
        <f t="shared" si="41"/>
        <v>46.049535240874199</v>
      </c>
      <c r="U51" s="694">
        <f t="shared" si="41"/>
        <v>-28.394379911055353</v>
      </c>
      <c r="V51" s="403"/>
      <c r="W51" s="403"/>
      <c r="X51" s="403"/>
      <c r="Y51" s="403"/>
      <c r="Z51" s="403"/>
      <c r="AA51" s="403"/>
      <c r="AB51" s="403"/>
      <c r="AC51" s="403"/>
      <c r="AD51" s="403"/>
      <c r="AE51" s="403"/>
      <c r="AF51" s="403"/>
      <c r="AG51" s="403"/>
      <c r="AH51" s="403"/>
      <c r="AI51" s="403"/>
      <c r="AJ51" s="403"/>
      <c r="AK51" s="403"/>
      <c r="AL51" s="403"/>
      <c r="AM51" s="403"/>
      <c r="AN51" s="403"/>
      <c r="AO51" s="403"/>
      <c r="AP51" s="403"/>
      <c r="AQ51" s="403"/>
      <c r="AR51" s="403"/>
      <c r="AS51" s="403"/>
      <c r="AT51" s="403"/>
    </row>
    <row r="52" spans="1:46" s="379" customFormat="1" ht="3.95" customHeight="1">
      <c r="A52" s="403"/>
      <c r="B52" s="403"/>
      <c r="C52" s="403"/>
      <c r="D52" s="640"/>
      <c r="E52" s="640"/>
      <c r="F52" s="640"/>
      <c r="G52" s="640"/>
      <c r="H52" s="640"/>
      <c r="I52" s="640"/>
      <c r="J52" s="403"/>
      <c r="K52" s="403"/>
      <c r="L52" s="440"/>
      <c r="M52" s="403"/>
      <c r="N52" s="403"/>
      <c r="O52" s="403"/>
      <c r="P52" s="640"/>
      <c r="Q52" s="640"/>
      <c r="R52" s="640"/>
      <c r="S52" s="640"/>
      <c r="T52" s="640"/>
      <c r="U52" s="640"/>
      <c r="V52" s="403"/>
      <c r="W52" s="403"/>
      <c r="X52" s="403"/>
      <c r="Y52" s="403"/>
      <c r="Z52" s="403"/>
      <c r="AA52" s="403"/>
      <c r="AB52" s="403"/>
      <c r="AC52" s="403"/>
      <c r="AD52" s="403"/>
      <c r="AE52" s="403"/>
      <c r="AF52" s="403"/>
      <c r="AG52" s="403"/>
      <c r="AH52" s="403"/>
      <c r="AI52" s="403"/>
      <c r="AJ52" s="403"/>
      <c r="AK52" s="403"/>
      <c r="AL52" s="403"/>
      <c r="AM52" s="403"/>
      <c r="AN52" s="403"/>
      <c r="AO52" s="403"/>
      <c r="AP52" s="403"/>
      <c r="AQ52" s="403"/>
      <c r="AR52" s="403"/>
      <c r="AS52" s="403"/>
      <c r="AT52" s="403"/>
    </row>
    <row r="53" spans="1:46" s="379" customFormat="1" ht="14.25" customHeight="1">
      <c r="A53" s="403"/>
      <c r="B53" s="575" t="s">
        <v>273</v>
      </c>
      <c r="C53" s="576"/>
      <c r="D53" s="389" t="str">
        <f t="shared" ref="D53:I53" si="42">+D32</f>
        <v>Natura</v>
      </c>
      <c r="E53" s="389">
        <f t="shared" si="42"/>
        <v>0</v>
      </c>
      <c r="F53" s="389" t="e">
        <f t="shared" si="42"/>
        <v>#REF!</v>
      </c>
      <c r="G53" s="389" t="e">
        <f t="shared" si="42"/>
        <v>#REF!</v>
      </c>
      <c r="H53" s="389" t="e">
        <f t="shared" si="42"/>
        <v>#REF!</v>
      </c>
      <c r="I53" s="389" t="str">
        <f t="shared" si="42"/>
        <v>Average</v>
      </c>
      <c r="J53" s="403"/>
      <c r="K53" s="403"/>
      <c r="L53" s="440"/>
      <c r="M53" s="403"/>
      <c r="N53" s="403"/>
      <c r="O53" s="403"/>
      <c r="P53" s="389" t="str">
        <f t="shared" ref="P53:U53" ca="1" si="43">+P32</f>
        <v>E.L.F.</v>
      </c>
      <c r="Q53" s="389" t="str">
        <f t="shared" si="43"/>
        <v>L'Oreal</v>
      </c>
      <c r="R53" s="389" t="str">
        <f t="shared" si="43"/>
        <v>Estée Lauder</v>
      </c>
      <c r="S53" s="389" t="str">
        <f t="shared" si="43"/>
        <v>Coty</v>
      </c>
      <c r="T53" s="389" t="str">
        <f t="shared" si="43"/>
        <v>Ulta Beauty</v>
      </c>
      <c r="U53" s="389" t="str">
        <f t="shared" si="43"/>
        <v>Shiseido</v>
      </c>
      <c r="V53" s="403"/>
      <c r="W53" s="403"/>
      <c r="X53" s="403"/>
      <c r="Y53" s="403"/>
      <c r="Z53" s="403"/>
      <c r="AA53" s="403"/>
      <c r="AB53" s="403"/>
      <c r="AC53" s="403"/>
      <c r="AD53" s="403"/>
      <c r="AE53" s="403"/>
      <c r="AF53" s="403"/>
      <c r="AG53" s="403"/>
      <c r="AH53" s="403"/>
      <c r="AI53" s="403"/>
      <c r="AJ53" s="403"/>
      <c r="AK53" s="403"/>
      <c r="AL53" s="403"/>
      <c r="AM53" s="403"/>
      <c r="AN53" s="403"/>
      <c r="AO53" s="403"/>
      <c r="AP53" s="403"/>
      <c r="AQ53" s="403"/>
      <c r="AR53" s="403"/>
      <c r="AS53" s="403"/>
      <c r="AT53" s="403"/>
    </row>
    <row r="54" spans="1:46" s="379" customFormat="1" ht="3.95" customHeight="1">
      <c r="A54" s="403"/>
      <c r="B54" s="428"/>
      <c r="C54" s="428"/>
      <c r="D54" s="428"/>
      <c r="E54" s="428"/>
      <c r="F54" s="428"/>
      <c r="G54" s="428"/>
      <c r="H54" s="428"/>
      <c r="I54" s="439"/>
      <c r="J54" s="403"/>
      <c r="K54" s="403"/>
      <c r="L54" s="440"/>
      <c r="M54" s="403"/>
      <c r="N54" s="403"/>
      <c r="O54" s="403"/>
      <c r="P54" s="428"/>
      <c r="Q54" s="428"/>
      <c r="R54" s="428"/>
      <c r="S54" s="428"/>
      <c r="T54" s="428"/>
      <c r="U54" s="428"/>
      <c r="V54" s="403"/>
      <c r="W54" s="403"/>
      <c r="X54" s="403"/>
      <c r="Y54" s="403"/>
      <c r="Z54" s="403"/>
      <c r="AA54" s="403"/>
      <c r="AB54" s="403"/>
      <c r="AC54" s="403"/>
      <c r="AD54" s="403"/>
      <c r="AE54" s="403"/>
      <c r="AF54" s="403"/>
      <c r="AG54" s="403"/>
      <c r="AH54" s="403"/>
      <c r="AI54" s="403"/>
      <c r="AJ54" s="403"/>
      <c r="AK54" s="403"/>
      <c r="AL54" s="403"/>
      <c r="AM54" s="403"/>
      <c r="AN54" s="403"/>
      <c r="AO54" s="403"/>
      <c r="AP54" s="403"/>
      <c r="AQ54" s="403"/>
      <c r="AR54" s="403"/>
      <c r="AS54" s="403"/>
      <c r="AT54" s="403"/>
    </row>
    <row r="55" spans="1:46" s="379" customFormat="1" ht="14.25" customHeight="1">
      <c r="A55" s="403"/>
      <c r="B55" s="403" t="s">
        <v>274</v>
      </c>
      <c r="C55" s="403"/>
      <c r="D55" s="641">
        <f t="shared" ref="D55:H55" si="44">IFERROR(D126/D91,"")</f>
        <v>-4.6133273902384669E-2</v>
      </c>
      <c r="E55" s="641" t="str">
        <f t="shared" si="44"/>
        <v/>
      </c>
      <c r="F55" s="641" t="str">
        <f t="shared" si="44"/>
        <v/>
      </c>
      <c r="G55" s="641" t="str">
        <f t="shared" si="44"/>
        <v/>
      </c>
      <c r="H55" s="641" t="str">
        <f t="shared" si="44"/>
        <v/>
      </c>
      <c r="I55" s="641">
        <f t="shared" ref="I55:I63" si="45">IFERROR(+AVERAGE(D55:H55),"")</f>
        <v>-4.6133273902384669E-2</v>
      </c>
      <c r="J55" s="403"/>
      <c r="K55" s="403"/>
      <c r="L55" s="440"/>
      <c r="M55" s="403"/>
      <c r="N55" s="403"/>
      <c r="O55" s="403"/>
      <c r="P55" s="641">
        <f t="shared" ref="P55:U55" si="46">IFERROR(P126/P91,"")</f>
        <v>-1.2305889246996778E-2</v>
      </c>
      <c r="Q55" s="641">
        <f t="shared" si="46"/>
        <v>5.4040380812215424E-3</v>
      </c>
      <c r="R55" s="641">
        <f t="shared" si="46"/>
        <v>-4.0620194771911838E-2</v>
      </c>
      <c r="S55" s="641">
        <f t="shared" si="46"/>
        <v>6.0477280156914026E-3</v>
      </c>
      <c r="T55" s="641">
        <f t="shared" si="46"/>
        <v>2.5876684215222628E-3</v>
      </c>
      <c r="U55" s="641">
        <f t="shared" si="46"/>
        <v>-6.2643239113827345E-3</v>
      </c>
      <c r="V55" s="403"/>
      <c r="W55" s="403"/>
      <c r="X55" s="403"/>
      <c r="Y55" s="403"/>
      <c r="Z55" s="403"/>
      <c r="AA55" s="403"/>
      <c r="AB55" s="403"/>
      <c r="AC55" s="403"/>
      <c r="AD55" s="403"/>
      <c r="AE55" s="403"/>
      <c r="AF55" s="403"/>
      <c r="AG55" s="403"/>
      <c r="AH55" s="403"/>
      <c r="AI55" s="403"/>
      <c r="AJ55" s="403"/>
      <c r="AK55" s="403"/>
      <c r="AL55" s="403"/>
      <c r="AM55" s="403"/>
      <c r="AN55" s="403"/>
      <c r="AO55" s="403"/>
      <c r="AP55" s="403"/>
      <c r="AQ55" s="403"/>
      <c r="AR55" s="403"/>
      <c r="AS55" s="403"/>
      <c r="AT55" s="403"/>
    </row>
    <row r="56" spans="1:46" s="379" customFormat="1" ht="14.25" customHeight="1">
      <c r="A56" s="403"/>
      <c r="B56" s="403" t="s">
        <v>275</v>
      </c>
      <c r="C56" s="403"/>
      <c r="D56" s="641">
        <f t="shared" ref="D56:H56" si="47">IFERROR(D126/D90,"")</f>
        <v>-0.92</v>
      </c>
      <c r="E56" s="641" t="str">
        <f t="shared" si="47"/>
        <v/>
      </c>
      <c r="F56" s="641" t="str">
        <f t="shared" si="47"/>
        <v/>
      </c>
      <c r="G56" s="641" t="str">
        <f t="shared" si="47"/>
        <v/>
      </c>
      <c r="H56" s="641" t="str">
        <f t="shared" si="47"/>
        <v/>
      </c>
      <c r="I56" s="641">
        <f t="shared" si="45"/>
        <v>-0.92</v>
      </c>
      <c r="J56" s="403"/>
      <c r="K56" s="403"/>
      <c r="L56" s="440"/>
      <c r="M56" s="403"/>
      <c r="N56" s="403"/>
      <c r="O56" s="403"/>
      <c r="P56" s="641">
        <f t="shared" ref="P56:U56" si="48">IFERROR(P126/P90,"")</f>
        <v>-0.20487804878048793</v>
      </c>
      <c r="Q56" s="641">
        <f t="shared" si="48"/>
        <v>3.8001293661060802E-2</v>
      </c>
      <c r="R56" s="641">
        <f t="shared" si="48"/>
        <v>-0.50801282051282048</v>
      </c>
      <c r="S56" s="641">
        <f t="shared" si="48"/>
        <v>0.19170984455958548</v>
      </c>
      <c r="T56" s="641">
        <f t="shared" si="48"/>
        <v>2.3237179487179488E-2</v>
      </c>
      <c r="U56" s="641">
        <f t="shared" si="48"/>
        <v>-0.20398009950248755</v>
      </c>
      <c r="V56" s="403"/>
      <c r="W56" s="403"/>
      <c r="X56" s="403"/>
      <c r="Y56" s="403"/>
      <c r="Z56" s="403"/>
      <c r="AA56" s="403"/>
      <c r="AB56" s="403"/>
      <c r="AC56" s="403"/>
      <c r="AD56" s="403"/>
      <c r="AE56" s="403"/>
      <c r="AF56" s="403"/>
      <c r="AG56" s="403"/>
      <c r="AH56" s="403"/>
      <c r="AI56" s="403"/>
      <c r="AJ56" s="403"/>
      <c r="AK56" s="403"/>
      <c r="AL56" s="403"/>
      <c r="AM56" s="403"/>
      <c r="AN56" s="403"/>
      <c r="AO56" s="403"/>
      <c r="AP56" s="403"/>
      <c r="AQ56" s="403"/>
      <c r="AR56" s="403"/>
      <c r="AS56" s="403"/>
      <c r="AT56" s="403"/>
    </row>
    <row r="57" spans="1:46" s="379" customFormat="1" ht="14.25" customHeight="1">
      <c r="A57" s="403"/>
      <c r="B57" s="403" t="s">
        <v>276</v>
      </c>
      <c r="C57" s="403"/>
      <c r="D57" s="641">
        <f t="shared" ref="D57:H57" si="49">+IFERROR(D120/D99,"")</f>
        <v>-4.6213592233009706</v>
      </c>
      <c r="E57" s="641" t="str">
        <f t="shared" si="49"/>
        <v/>
      </c>
      <c r="F57" s="641" t="str">
        <f t="shared" si="49"/>
        <v/>
      </c>
      <c r="G57" s="641" t="str">
        <f t="shared" si="49"/>
        <v/>
      </c>
      <c r="H57" s="641" t="str">
        <f t="shared" si="49"/>
        <v/>
      </c>
      <c r="I57" s="641">
        <f t="shared" si="45"/>
        <v>-4.6213592233009706</v>
      </c>
      <c r="J57" s="403"/>
      <c r="K57" s="403"/>
      <c r="L57" s="440"/>
      <c r="M57" s="403"/>
      <c r="N57" s="403"/>
      <c r="O57" s="403"/>
      <c r="P57" s="641">
        <f>+IFERROR(P120/P99,"")</f>
        <v>0.55755677368833234</v>
      </c>
      <c r="Q57" s="641">
        <f>+IFERROR(Q120/Q99,"")</f>
        <v>1.2930711610486891</v>
      </c>
      <c r="R57" s="641">
        <f>+IFERROR(R120/R99,"")</f>
        <v>2.5240641711229945</v>
      </c>
      <c r="S57" s="641">
        <f>+IFERROR(S121/S99,"")</f>
        <v>-2.306122448979592</v>
      </c>
      <c r="T57" s="641">
        <f>+IFERROR(T120/T99,"")</f>
        <v>1.1353846153846154</v>
      </c>
      <c r="U57" s="641">
        <f>+IFERROR(U120/U99,"")</f>
        <v>6.1538461538461542</v>
      </c>
      <c r="V57" s="403"/>
      <c r="W57" s="403"/>
      <c r="X57" s="403"/>
      <c r="Y57" s="403"/>
      <c r="Z57" s="403"/>
      <c r="AA57" s="403"/>
      <c r="AB57" s="403"/>
      <c r="AC57" s="403"/>
      <c r="AD57" s="403"/>
      <c r="AE57" s="403"/>
      <c r="AF57" s="403"/>
      <c r="AG57" s="403"/>
      <c r="AH57" s="403"/>
      <c r="AI57" s="403"/>
      <c r="AJ57" s="403"/>
      <c r="AK57" s="403"/>
      <c r="AL57" s="403"/>
      <c r="AM57" s="403"/>
      <c r="AN57" s="403"/>
      <c r="AO57" s="403"/>
      <c r="AP57" s="403"/>
      <c r="AQ57" s="403"/>
      <c r="AR57" s="403"/>
      <c r="AS57" s="403"/>
      <c r="AT57" s="403"/>
    </row>
    <row r="58" spans="1:46" s="379" customFormat="1" ht="14.25" customHeight="1">
      <c r="A58" s="403"/>
      <c r="B58" s="403" t="s">
        <v>277</v>
      </c>
      <c r="C58" s="403"/>
      <c r="D58" s="641">
        <f t="shared" ref="D58:H58" si="50">IFERROR(-D121/D120,"")</f>
        <v>-0.20378151260504201</v>
      </c>
      <c r="E58" s="641" t="str">
        <f t="shared" si="50"/>
        <v/>
      </c>
      <c r="F58" s="641" t="str">
        <f t="shared" si="50"/>
        <v/>
      </c>
      <c r="G58" s="641" t="str">
        <f t="shared" si="50"/>
        <v/>
      </c>
      <c r="H58" s="641" t="str">
        <f t="shared" si="50"/>
        <v/>
      </c>
      <c r="I58" s="641">
        <f t="shared" si="45"/>
        <v>-0.20378151260504201</v>
      </c>
      <c r="J58" s="403"/>
      <c r="K58" s="403"/>
      <c r="L58" s="440"/>
      <c r="M58" s="403"/>
      <c r="N58" s="403"/>
      <c r="O58" s="403"/>
      <c r="P58" s="641">
        <f>IFERROR(-P121/P120,"")</f>
        <v>0.12219101123595504</v>
      </c>
      <c r="Q58" s="641">
        <f>IFERROR(-Q121/Q120,"")</f>
        <v>0.19804489500362057</v>
      </c>
      <c r="R58" s="641">
        <f>IFERROR(-R121/R120,"")</f>
        <v>0.38940677966101694</v>
      </c>
      <c r="S58" s="641">
        <f>IFERROR(-S120/S121,"")</f>
        <v>2.7212389380530975</v>
      </c>
      <c r="T58" s="641">
        <f>IFERROR(-T121/T120,"")</f>
        <v>0.29471544715447157</v>
      </c>
      <c r="U58" s="641">
        <f>IFERROR(-U121/U120,"")</f>
        <v>1.015625</v>
      </c>
      <c r="V58" s="403"/>
      <c r="W58" s="403"/>
      <c r="X58" s="403"/>
      <c r="Y58" s="403"/>
      <c r="Z58" s="403"/>
      <c r="AA58" s="403"/>
      <c r="AB58" s="403"/>
      <c r="AC58" s="403"/>
      <c r="AD58" s="403"/>
      <c r="AE58" s="403"/>
      <c r="AF58" s="403"/>
      <c r="AG58" s="403"/>
      <c r="AH58" s="403"/>
      <c r="AI58" s="403"/>
      <c r="AJ58" s="403"/>
      <c r="AK58" s="403"/>
      <c r="AL58" s="403"/>
      <c r="AM58" s="403"/>
      <c r="AN58" s="403"/>
      <c r="AO58" s="403"/>
      <c r="AP58" s="403"/>
      <c r="AQ58" s="403"/>
      <c r="AR58" s="403"/>
      <c r="AS58" s="403"/>
      <c r="AT58" s="403"/>
    </row>
    <row r="59" spans="1:46" s="379" customFormat="1" ht="14.25" customHeight="1">
      <c r="A59" s="403"/>
      <c r="B59" s="403" t="s">
        <v>278</v>
      </c>
      <c r="C59" s="403"/>
      <c r="D59" s="641">
        <f t="shared" ref="D59:H59" si="51">IFERROR(-D122/D120,"")</f>
        <v>0.89075630252100846</v>
      </c>
      <c r="E59" s="641" t="str">
        <f t="shared" si="51"/>
        <v/>
      </c>
      <c r="F59" s="641" t="str">
        <f t="shared" si="51"/>
        <v/>
      </c>
      <c r="G59" s="641" t="str">
        <f t="shared" si="51"/>
        <v/>
      </c>
      <c r="H59" s="641" t="str">
        <f t="shared" si="51"/>
        <v/>
      </c>
      <c r="I59" s="641">
        <f t="shared" si="45"/>
        <v>0.89075630252100846</v>
      </c>
      <c r="J59" s="403"/>
      <c r="K59" s="403"/>
      <c r="L59" s="440"/>
      <c r="M59" s="403"/>
      <c r="N59" s="403"/>
      <c r="O59" s="403"/>
      <c r="P59" s="641">
        <f>IFERROR(-P122/P120,"")</f>
        <v>3.9985955056179772</v>
      </c>
      <c r="Q59" s="641">
        <f>IFERROR(-Q122/Q120,"")</f>
        <v>0.44689838281438571</v>
      </c>
      <c r="R59" s="641">
        <f>IFERROR(-R122/R120,"")</f>
        <v>0.40677966101694918</v>
      </c>
      <c r="S59" s="641">
        <f>IFERROR(-S122/S121,"")</f>
        <v>-1</v>
      </c>
      <c r="T59" s="641">
        <f>IFERROR(-T122/T120,"")</f>
        <v>0.29878048780487804</v>
      </c>
      <c r="U59" s="641">
        <f>IFERROR(-U122/U120,"")</f>
        <v>1.7281249999999999</v>
      </c>
      <c r="V59" s="403"/>
      <c r="W59" s="403"/>
      <c r="X59" s="403"/>
      <c r="Y59" s="403"/>
      <c r="Z59" s="403"/>
      <c r="AA59" s="403"/>
      <c r="AB59" s="403"/>
      <c r="AC59" s="403"/>
      <c r="AD59" s="403"/>
      <c r="AE59" s="403"/>
      <c r="AF59" s="403"/>
      <c r="AG59" s="403"/>
      <c r="AH59" s="403"/>
      <c r="AI59" s="403"/>
      <c r="AJ59" s="403"/>
      <c r="AK59" s="403"/>
      <c r="AL59" s="403"/>
      <c r="AM59" s="403"/>
      <c r="AN59" s="403"/>
      <c r="AO59" s="403"/>
      <c r="AP59" s="403"/>
      <c r="AQ59" s="403"/>
      <c r="AR59" s="403"/>
      <c r="AS59" s="403"/>
      <c r="AT59" s="403"/>
    </row>
    <row r="60" spans="1:46" s="379" customFormat="1" ht="14.25" customHeight="1">
      <c r="A60" s="403"/>
      <c r="B60" s="403" t="s">
        <v>279</v>
      </c>
      <c r="C60" s="403"/>
      <c r="D60" s="641">
        <f t="shared" ref="D60:H60" si="52">IFERROR((D123+D124)/D120,"")</f>
        <v>0</v>
      </c>
      <c r="E60" s="641" t="str">
        <f t="shared" si="52"/>
        <v/>
      </c>
      <c r="F60" s="641" t="str">
        <f t="shared" si="52"/>
        <v/>
      </c>
      <c r="G60" s="641" t="str">
        <f t="shared" si="52"/>
        <v/>
      </c>
      <c r="H60" s="641" t="str">
        <f t="shared" si="52"/>
        <v/>
      </c>
      <c r="I60" s="641">
        <f t="shared" si="45"/>
        <v>0</v>
      </c>
      <c r="J60" s="403"/>
      <c r="K60" s="403"/>
      <c r="L60" s="440"/>
      <c r="M60" s="403"/>
      <c r="N60" s="403"/>
      <c r="O60" s="403"/>
      <c r="P60" s="641">
        <f>IFERROR((P123+P124)/P120,"")</f>
        <v>2.7612359550561796</v>
      </c>
      <c r="Q60" s="641">
        <f>IFERROR((Q123+Q124)/Q120,"")</f>
        <v>-0.30207579048998312</v>
      </c>
      <c r="R60" s="641">
        <f>IFERROR((R123+R124)/R120,"")</f>
        <v>0.12118644067796611</v>
      </c>
      <c r="S60" s="641">
        <f>IFERROR((S123+S124)/S121,"")</f>
        <v>-17.5</v>
      </c>
      <c r="T60" s="641">
        <f>IFERROR((T123+T124)/T120,"")</f>
        <v>0.13211382113821138</v>
      </c>
      <c r="U60" s="641">
        <f>IFERROR((U123+U124)/U120,"")</f>
        <v>2.4312499999999999</v>
      </c>
      <c r="V60" s="403"/>
      <c r="W60" s="403"/>
      <c r="X60" s="403"/>
      <c r="Y60" s="403"/>
      <c r="Z60" s="403"/>
      <c r="AA60" s="403"/>
      <c r="AB60" s="403"/>
      <c r="AC60" s="403"/>
      <c r="AD60" s="403"/>
      <c r="AE60" s="403"/>
      <c r="AF60" s="403"/>
      <c r="AG60" s="403"/>
      <c r="AH60" s="403"/>
      <c r="AI60" s="403"/>
      <c r="AJ60" s="403"/>
      <c r="AK60" s="403"/>
      <c r="AL60" s="403"/>
      <c r="AM60" s="403"/>
      <c r="AN60" s="403"/>
      <c r="AO60" s="403"/>
      <c r="AP60" s="403"/>
      <c r="AQ60" s="403"/>
      <c r="AR60" s="403"/>
      <c r="AS60" s="403"/>
      <c r="AT60" s="403"/>
    </row>
    <row r="61" spans="1:46" s="379" customFormat="1" ht="14.25" customHeight="1">
      <c r="A61" s="403"/>
      <c r="B61" s="403" t="s">
        <v>280</v>
      </c>
      <c r="C61" s="403"/>
      <c r="D61" s="641" t="str">
        <f t="shared" ref="D61:H61" si="53">+IFERROR(-D124/D123,"")</f>
        <v/>
      </c>
      <c r="E61" s="641" t="str">
        <f t="shared" si="53"/>
        <v/>
      </c>
      <c r="F61" s="641" t="str">
        <f t="shared" si="53"/>
        <v/>
      </c>
      <c r="G61" s="641" t="str">
        <f t="shared" si="53"/>
        <v/>
      </c>
      <c r="H61" s="641" t="str">
        <f t="shared" si="53"/>
        <v/>
      </c>
      <c r="I61" s="641" t="str">
        <f t="shared" si="45"/>
        <v/>
      </c>
      <c r="J61" s="403"/>
      <c r="K61" s="403"/>
      <c r="L61" s="440"/>
      <c r="M61" s="403"/>
      <c r="N61" s="403"/>
      <c r="O61" s="403"/>
      <c r="P61" s="641">
        <f t="shared" ref="P61:U61" si="54">+IFERROR(-P124/P123,"")</f>
        <v>3.8630806845965773E-2</v>
      </c>
      <c r="Q61" s="641">
        <f t="shared" si="54"/>
        <v>-9.1747967479674788</v>
      </c>
      <c r="R61" s="641">
        <f t="shared" si="54"/>
        <v>1.8125</v>
      </c>
      <c r="S61" s="641">
        <f t="shared" si="54"/>
        <v>7.6581835162269435E-2</v>
      </c>
      <c r="T61" s="641">
        <f t="shared" si="54"/>
        <v>0</v>
      </c>
      <c r="U61" s="641">
        <f t="shared" si="54"/>
        <v>-8.9635854341736695E-2</v>
      </c>
      <c r="V61" s="403"/>
      <c r="W61" s="403"/>
      <c r="X61" s="403"/>
      <c r="Y61" s="403"/>
      <c r="Z61" s="403"/>
      <c r="AA61" s="403"/>
      <c r="AB61" s="403"/>
      <c r="AC61" s="403"/>
      <c r="AD61" s="403"/>
      <c r="AE61" s="403"/>
      <c r="AF61" s="403"/>
      <c r="AG61" s="403"/>
      <c r="AH61" s="403"/>
      <c r="AI61" s="403"/>
      <c r="AJ61" s="403"/>
      <c r="AK61" s="403"/>
      <c r="AL61" s="403"/>
      <c r="AM61" s="403"/>
      <c r="AN61" s="403"/>
      <c r="AO61" s="403"/>
      <c r="AP61" s="403"/>
      <c r="AQ61" s="403"/>
      <c r="AR61" s="403"/>
      <c r="AS61" s="403"/>
      <c r="AT61" s="403"/>
    </row>
    <row r="62" spans="1:46" s="379" customFormat="1" ht="14.25" customHeight="1">
      <c r="A62" s="403"/>
      <c r="B62" s="403" t="s">
        <v>281</v>
      </c>
      <c r="C62" s="403"/>
      <c r="D62" s="641">
        <f t="shared" ref="D62:H62" si="55">IFERROR(-D125/D120,"")</f>
        <v>-0.38025210084033612</v>
      </c>
      <c r="E62" s="641" t="str">
        <f t="shared" si="55"/>
        <v/>
      </c>
      <c r="F62" s="641" t="str">
        <f t="shared" si="55"/>
        <v/>
      </c>
      <c r="G62" s="641" t="str">
        <f t="shared" si="55"/>
        <v/>
      </c>
      <c r="H62" s="641" t="str">
        <f t="shared" si="55"/>
        <v/>
      </c>
      <c r="I62" s="641">
        <f t="shared" si="45"/>
        <v>-0.38025210084033612</v>
      </c>
      <c r="J62" s="403"/>
      <c r="K62" s="403"/>
      <c r="L62" s="440"/>
      <c r="M62" s="403"/>
      <c r="N62" s="403"/>
      <c r="O62" s="403"/>
      <c r="P62" s="641">
        <f>IFERROR(-P125/P120,"")</f>
        <v>-2.821629213483146</v>
      </c>
      <c r="Q62" s="641">
        <f>IFERROR(-Q125/Q120,"")</f>
        <v>0.57748008689355534</v>
      </c>
      <c r="R62" s="641">
        <f>IFERROR(-R125/R120,"")</f>
        <v>0.86228813559322037</v>
      </c>
      <c r="S62" s="641">
        <f>IFERROR(-S125/S121,"")</f>
        <v>-1.4911504424778761</v>
      </c>
      <c r="T62" s="641">
        <f>IFERROR(-T125/T120,"")</f>
        <v>0.68157181571815717</v>
      </c>
      <c r="U62" s="641">
        <f>IFERROR(-U125/U120,"")</f>
        <v>-0.48125000000000001</v>
      </c>
      <c r="V62" s="403"/>
      <c r="W62" s="403"/>
      <c r="X62" s="403"/>
      <c r="Y62" s="403"/>
      <c r="Z62" s="403"/>
      <c r="AA62" s="403"/>
      <c r="AB62" s="403"/>
      <c r="AC62" s="403"/>
      <c r="AD62" s="403"/>
      <c r="AE62" s="403"/>
      <c r="AF62" s="403"/>
      <c r="AG62" s="403"/>
      <c r="AH62" s="403"/>
      <c r="AI62" s="403"/>
      <c r="AJ62" s="403"/>
      <c r="AK62" s="403"/>
      <c r="AL62" s="403"/>
      <c r="AM62" s="403"/>
      <c r="AN62" s="403"/>
      <c r="AO62" s="403"/>
      <c r="AP62" s="403"/>
      <c r="AQ62" s="403"/>
      <c r="AR62" s="403"/>
      <c r="AS62" s="403"/>
      <c r="AT62" s="403"/>
    </row>
    <row r="63" spans="1:46" s="379" customFormat="1" ht="14.25" customHeight="1">
      <c r="A63" s="403"/>
      <c r="B63" s="871" t="s">
        <v>282</v>
      </c>
      <c r="C63" s="403"/>
      <c r="D63" s="443">
        <v>0</v>
      </c>
      <c r="E63" s="443"/>
      <c r="F63" s="443"/>
      <c r="G63" s="443"/>
      <c r="H63" s="443"/>
      <c r="I63" s="641">
        <f t="shared" si="45"/>
        <v>0</v>
      </c>
      <c r="J63" s="403"/>
      <c r="K63" s="403"/>
      <c r="L63" s="440"/>
      <c r="M63" s="403"/>
      <c r="N63" s="403"/>
      <c r="O63" s="403"/>
      <c r="P63" s="443">
        <v>0</v>
      </c>
      <c r="Q63" s="443">
        <v>0.55230000000000001</v>
      </c>
      <c r="R63" s="443">
        <v>4.7142999999999997</v>
      </c>
      <c r="S63" s="443">
        <v>0</v>
      </c>
      <c r="T63" s="443">
        <v>0</v>
      </c>
      <c r="U63" s="443">
        <v>12.362</v>
      </c>
      <c r="V63" s="403"/>
      <c r="W63" s="403"/>
      <c r="X63" s="403"/>
      <c r="Y63" s="403"/>
      <c r="Z63" s="403"/>
      <c r="AA63" s="403"/>
      <c r="AB63" s="403"/>
      <c r="AC63" s="403"/>
      <c r="AD63" s="403"/>
      <c r="AE63" s="403"/>
      <c r="AF63" s="403"/>
      <c r="AG63" s="403"/>
      <c r="AH63" s="403"/>
      <c r="AI63" s="403"/>
      <c r="AJ63" s="403"/>
      <c r="AK63" s="403"/>
      <c r="AL63" s="403"/>
      <c r="AM63" s="403"/>
      <c r="AN63" s="403"/>
      <c r="AO63" s="403"/>
      <c r="AP63" s="403"/>
      <c r="AQ63" s="403"/>
      <c r="AR63" s="403"/>
      <c r="AS63" s="403"/>
      <c r="AT63" s="403"/>
    </row>
    <row r="64" spans="1:46" s="379" customFormat="1" ht="3.75" customHeight="1">
      <c r="A64" s="403"/>
      <c r="B64" s="403"/>
      <c r="C64" s="403"/>
      <c r="D64" s="403"/>
      <c r="E64" s="403"/>
      <c r="F64" s="403"/>
      <c r="G64" s="403"/>
      <c r="H64" s="403"/>
      <c r="I64" s="437"/>
      <c r="J64" s="403"/>
      <c r="K64" s="403"/>
      <c r="L64" s="440"/>
      <c r="M64" s="403"/>
      <c r="N64" s="403"/>
      <c r="O64" s="403"/>
      <c r="P64" s="403"/>
      <c r="Q64" s="403"/>
      <c r="R64" s="403"/>
      <c r="S64" s="403"/>
      <c r="T64" s="403"/>
      <c r="U64" s="403"/>
      <c r="V64" s="403"/>
      <c r="W64" s="403"/>
      <c r="X64" s="403"/>
      <c r="Y64" s="403"/>
      <c r="Z64" s="403"/>
      <c r="AA64" s="403"/>
      <c r="AB64" s="403"/>
      <c r="AC64" s="403"/>
      <c r="AD64" s="403"/>
      <c r="AE64" s="403"/>
      <c r="AF64" s="403"/>
      <c r="AG64" s="403"/>
      <c r="AH64" s="403"/>
      <c r="AI64" s="403"/>
      <c r="AJ64" s="403"/>
      <c r="AK64" s="403"/>
      <c r="AL64" s="403"/>
      <c r="AM64" s="403"/>
      <c r="AN64" s="403"/>
      <c r="AO64" s="403"/>
      <c r="AP64" s="403"/>
      <c r="AQ64" s="403"/>
      <c r="AR64" s="403"/>
      <c r="AS64" s="403"/>
      <c r="AT64" s="403"/>
    </row>
    <row r="65" spans="1:46" s="382" customFormat="1" ht="14.25" customHeight="1">
      <c r="A65" s="410"/>
      <c r="B65" s="575" t="s">
        <v>283</v>
      </c>
      <c r="C65" s="576"/>
      <c r="D65" s="389" t="str">
        <f t="shared" ref="D65:I65" si="56">+D23</f>
        <v>Natura</v>
      </c>
      <c r="E65" s="389">
        <f t="shared" si="56"/>
        <v>0</v>
      </c>
      <c r="F65" s="389" t="e">
        <f t="shared" si="56"/>
        <v>#REF!</v>
      </c>
      <c r="G65" s="389" t="e">
        <f t="shared" si="56"/>
        <v>#REF!</v>
      </c>
      <c r="H65" s="389" t="e">
        <f t="shared" si="56"/>
        <v>#REF!</v>
      </c>
      <c r="I65" s="389" t="str">
        <f t="shared" si="56"/>
        <v>Average</v>
      </c>
      <c r="J65" s="410"/>
      <c r="K65" s="410"/>
      <c r="L65" s="577"/>
      <c r="M65" s="410"/>
      <c r="N65" s="410"/>
      <c r="O65" s="410"/>
      <c r="P65" s="389" t="str">
        <f t="shared" ref="P65:U65" ca="1" si="57">+P23</f>
        <v>E.L.F.</v>
      </c>
      <c r="Q65" s="389" t="str">
        <f t="shared" si="57"/>
        <v>L'Oreal</v>
      </c>
      <c r="R65" s="389" t="str">
        <f t="shared" si="57"/>
        <v>Estée Lauder</v>
      </c>
      <c r="S65" s="389" t="str">
        <f t="shared" si="57"/>
        <v>Coty</v>
      </c>
      <c r="T65" s="389" t="str">
        <f t="shared" si="57"/>
        <v>Ulta Beauty</v>
      </c>
      <c r="U65" s="389" t="str">
        <f t="shared" si="57"/>
        <v>Shiseido</v>
      </c>
      <c r="V65" s="410"/>
      <c r="W65" s="410"/>
      <c r="X65" s="410"/>
      <c r="Y65" s="410"/>
      <c r="Z65" s="410"/>
      <c r="AA65" s="410"/>
      <c r="AB65" s="410"/>
      <c r="AC65" s="410"/>
      <c r="AD65" s="410"/>
      <c r="AE65" s="410"/>
      <c r="AF65" s="410"/>
      <c r="AG65" s="410"/>
      <c r="AH65" s="410"/>
      <c r="AI65" s="410"/>
      <c r="AJ65" s="410"/>
      <c r="AK65" s="410"/>
      <c r="AL65" s="410"/>
      <c r="AM65" s="410"/>
      <c r="AN65" s="410"/>
      <c r="AO65" s="410"/>
      <c r="AP65" s="410"/>
      <c r="AQ65" s="410"/>
      <c r="AR65" s="410"/>
      <c r="AS65" s="410"/>
      <c r="AT65" s="410"/>
    </row>
    <row r="66" spans="1:46" s="379" customFormat="1" ht="3.75" customHeight="1">
      <c r="A66" s="403"/>
      <c r="B66" s="428"/>
      <c r="C66" s="428"/>
      <c r="D66" s="428"/>
      <c r="E66" s="428"/>
      <c r="F66" s="428"/>
      <c r="G66" s="428"/>
      <c r="H66" s="428"/>
      <c r="I66" s="439"/>
      <c r="J66" s="403"/>
      <c r="K66" s="403"/>
      <c r="L66" s="440"/>
      <c r="M66" s="403"/>
      <c r="N66" s="403"/>
      <c r="O66" s="403"/>
      <c r="P66" s="428"/>
      <c r="Q66" s="428"/>
      <c r="R66" s="428"/>
      <c r="S66" s="428"/>
      <c r="T66" s="428"/>
      <c r="U66" s="428"/>
      <c r="V66" s="403"/>
      <c r="W66" s="403"/>
      <c r="X66" s="403"/>
      <c r="Y66" s="403"/>
      <c r="Z66" s="403"/>
      <c r="AA66" s="403"/>
      <c r="AB66" s="403"/>
      <c r="AC66" s="403"/>
      <c r="AD66" s="403"/>
      <c r="AE66" s="403"/>
      <c r="AF66" s="403"/>
      <c r="AG66" s="403"/>
      <c r="AH66" s="403"/>
      <c r="AI66" s="403"/>
      <c r="AJ66" s="403"/>
      <c r="AK66" s="403"/>
      <c r="AL66" s="403"/>
      <c r="AM66" s="403"/>
      <c r="AN66" s="403"/>
      <c r="AO66" s="403"/>
      <c r="AP66" s="403"/>
      <c r="AQ66" s="403"/>
      <c r="AR66" s="403"/>
      <c r="AS66" s="403"/>
      <c r="AT66" s="403"/>
    </row>
    <row r="67" spans="1:46" s="379" customFormat="1" ht="14.25" customHeight="1">
      <c r="A67" s="403"/>
      <c r="B67" s="871" t="s">
        <v>284</v>
      </c>
      <c r="C67" s="403"/>
      <c r="D67" s="443">
        <f>812.98/1430</f>
        <v>0.56851748251748258</v>
      </c>
      <c r="E67" s="443"/>
      <c r="F67" s="443"/>
      <c r="G67" s="443"/>
      <c r="H67" s="443"/>
      <c r="I67" s="641">
        <f t="shared" ref="I67:I72" si="58">IFERROR(+AVERAGE(D67:H67),"")</f>
        <v>0.56851748251748258</v>
      </c>
      <c r="J67" s="403"/>
      <c r="K67" s="403"/>
      <c r="L67" s="440"/>
      <c r="M67" s="403"/>
      <c r="N67" s="403"/>
      <c r="O67" s="403"/>
      <c r="P67" s="443">
        <f>55.23/56.4</f>
        <v>0.97925531914893615</v>
      </c>
      <c r="Q67" s="443">
        <f>261.73/534.32</f>
        <v>0.48983755053151667</v>
      </c>
      <c r="R67" s="443">
        <f>232.92/359.72</f>
        <v>0.64750361392193923</v>
      </c>
      <c r="S67" s="443">
        <f>367.14/871.99</f>
        <v>0.42103693849700108</v>
      </c>
      <c r="T67" s="443">
        <f>45.13/45.31</f>
        <v>0.99602736702714634</v>
      </c>
      <c r="U67" s="443">
        <f>348.16/400.99</f>
        <v>0.86825107858051331</v>
      </c>
      <c r="V67" s="403"/>
      <c r="W67" s="403"/>
      <c r="X67" s="403"/>
      <c r="Y67" s="403"/>
      <c r="Z67" s="403"/>
      <c r="AA67" s="403"/>
      <c r="AB67" s="403"/>
      <c r="AC67" s="403"/>
      <c r="AD67" s="403"/>
      <c r="AE67" s="403"/>
      <c r="AF67" s="403"/>
      <c r="AG67" s="403"/>
      <c r="AH67" s="403"/>
      <c r="AI67" s="403"/>
      <c r="AJ67" s="403"/>
      <c r="AK67" s="403"/>
      <c r="AL67" s="403"/>
      <c r="AM67" s="403"/>
      <c r="AN67" s="403"/>
      <c r="AO67" s="403"/>
      <c r="AP67" s="403"/>
      <c r="AQ67" s="403"/>
      <c r="AR67" s="403"/>
      <c r="AS67" s="403"/>
      <c r="AT67" s="403"/>
    </row>
    <row r="68" spans="1:46" s="379" customFormat="1" ht="14.25" customHeight="1">
      <c r="A68" s="403"/>
      <c r="B68" s="871" t="s">
        <v>285</v>
      </c>
      <c r="C68" s="403"/>
      <c r="D68" s="421" cm="1">
        <f t="array" aca="1" ref="D68" ca="1">IFERROR(_FV(D85,"Beta"),"")</f>
        <v>1.2257</v>
      </c>
      <c r="E68" s="421" t="str" cm="1">
        <f t="array" ref="E68">IFERROR(_FV(E85,"Beta"),"")</f>
        <v/>
      </c>
      <c r="F68" s="421" t="str" cm="1">
        <f t="array" ref="F68">IFERROR(_FV(F85,"Beta"),"")</f>
        <v/>
      </c>
      <c r="G68" s="421" t="str" cm="1">
        <f t="array" ref="G68">IFERROR(_FV(G85,"Beta"),"")</f>
        <v/>
      </c>
      <c r="H68" s="421" t="str" cm="1">
        <f t="array" ref="H68">IFERROR(_FV(H85,"Beta"),"")</f>
        <v/>
      </c>
      <c r="I68" s="642">
        <f t="shared" ca="1" si="58"/>
        <v>1.2257</v>
      </c>
      <c r="J68" s="403"/>
      <c r="K68" s="403"/>
      <c r="L68" s="440"/>
      <c r="M68" s="403"/>
      <c r="N68" s="403"/>
      <c r="O68" s="403"/>
      <c r="P68" s="421" cm="1">
        <f t="array" aca="1" ref="P68" ca="1">IFERROR(_FV(P85,"Beta"),"")</f>
        <v>1.6084000000000001</v>
      </c>
      <c r="Q68" s="421" cm="1">
        <f t="array" aca="1" ref="Q68" ca="1">IFERROR(_FV(Q85,"Beta"),"")</f>
        <v>0.84799999999999998</v>
      </c>
      <c r="R68" s="421" cm="1">
        <f t="array" aca="1" ref="R68" ca="1">IFERROR(_FV(R85,"Beta"),"")</f>
        <v>1.1779999999999999</v>
      </c>
      <c r="S68" s="421" cm="1">
        <f t="array" aca="1" ref="S68" ca="1">IFERROR(_FV(S85,"Beta"),"")</f>
        <v>2.0169999999999999</v>
      </c>
      <c r="T68" s="421" cm="1">
        <f t="array" aca="1" ref="T68" ca="1">IFERROR(_FV(T85,"Beta"),"")</f>
        <v>1.0561</v>
      </c>
      <c r="U68" s="421" cm="1">
        <f t="array" aca="1" ref="U68" ca="1">IFERROR(_FV(U85,"Beta"),"")</f>
        <v>0.45240000000000002</v>
      </c>
      <c r="V68" s="403"/>
      <c r="W68" s="403"/>
      <c r="X68" s="403"/>
      <c r="Y68" s="403"/>
      <c r="Z68" s="403"/>
      <c r="AA68" s="403"/>
      <c r="AB68" s="403"/>
      <c r="AC68" s="403"/>
      <c r="AD68" s="403"/>
      <c r="AE68" s="403"/>
      <c r="AF68" s="403"/>
      <c r="AG68" s="403"/>
      <c r="AH68" s="403"/>
      <c r="AI68" s="403"/>
      <c r="AJ68" s="403"/>
      <c r="AK68" s="403"/>
      <c r="AL68" s="403"/>
      <c r="AM68" s="403"/>
      <c r="AN68" s="403"/>
      <c r="AO68" s="403"/>
      <c r="AP68" s="403"/>
      <c r="AQ68" s="403"/>
      <c r="AR68" s="403"/>
      <c r="AS68" s="403"/>
      <c r="AT68" s="403"/>
    </row>
    <row r="69" spans="1:46" s="379" customFormat="1" ht="14.1" customHeight="1">
      <c r="A69" s="403"/>
      <c r="B69" s="871" t="s">
        <v>286</v>
      </c>
      <c r="C69" s="403"/>
      <c r="D69" s="421">
        <f t="shared" ref="D69:H69" ca="1" si="59">IFERROR(D68/(1+(1-D98/D97)*(D115/D116)),"")</f>
        <v>1.0877126486260795</v>
      </c>
      <c r="E69" s="421" t="str">
        <f t="shared" si="59"/>
        <v/>
      </c>
      <c r="F69" s="421" t="str">
        <f t="shared" si="59"/>
        <v/>
      </c>
      <c r="G69" s="421" t="str">
        <f t="shared" si="59"/>
        <v/>
      </c>
      <c r="H69" s="421" t="str">
        <f t="shared" si="59"/>
        <v/>
      </c>
      <c r="I69" s="642">
        <f t="shared" ca="1" si="58"/>
        <v>1.0877126486260795</v>
      </c>
      <c r="J69" s="403"/>
      <c r="K69" s="403"/>
      <c r="L69" s="440"/>
      <c r="M69" s="403"/>
      <c r="N69" s="403"/>
      <c r="O69" s="403"/>
      <c r="P69" s="421">
        <f t="shared" ref="P69:U69" ca="1" si="60">IFERROR(P68/(1+(1-P98/P97)*(P115/P116)),"")</f>
        <v>1.2778616414686825</v>
      </c>
      <c r="Q69" s="421">
        <f t="shared" ca="1" si="60"/>
        <v>0.70956986980971026</v>
      </c>
      <c r="R69" s="421">
        <f t="shared" ca="1" si="60"/>
        <v>0.51903510797958519</v>
      </c>
      <c r="S69" s="421">
        <f t="shared" ca="1" si="60"/>
        <v>1.3140776321353065</v>
      </c>
      <c r="T69" s="421">
        <f t="shared" ca="1" si="60"/>
        <v>0.64451518299400756</v>
      </c>
      <c r="U69" s="421">
        <f t="shared" ca="1" si="60"/>
        <v>0.37663643768666849</v>
      </c>
      <c r="V69" s="403"/>
      <c r="W69" s="403"/>
      <c r="X69" s="403"/>
      <c r="Y69" s="403"/>
      <c r="Z69" s="403"/>
      <c r="AA69" s="403"/>
      <c r="AB69" s="403"/>
      <c r="AC69" s="403"/>
      <c r="AD69" s="403"/>
      <c r="AE69" s="403"/>
      <c r="AF69" s="403"/>
      <c r="AG69" s="403"/>
      <c r="AH69" s="403"/>
      <c r="AI69" s="403"/>
      <c r="AJ69" s="403"/>
      <c r="AK69" s="403"/>
      <c r="AL69" s="403"/>
      <c r="AM69" s="403"/>
      <c r="AN69" s="403"/>
      <c r="AO69" s="403"/>
      <c r="AP69" s="403"/>
      <c r="AQ69" s="403"/>
      <c r="AR69" s="403"/>
      <c r="AS69" s="403"/>
      <c r="AT69" s="403"/>
    </row>
    <row r="70" spans="1:46" s="379" customFormat="1" ht="14.25" customHeight="1">
      <c r="A70" s="403"/>
      <c r="B70" s="871" t="s">
        <v>46</v>
      </c>
      <c r="C70" s="403"/>
      <c r="D70" s="443">
        <v>0.35899999999999999</v>
      </c>
      <c r="E70" s="443"/>
      <c r="F70" s="443"/>
      <c r="G70" s="443"/>
      <c r="H70" s="443"/>
      <c r="I70" s="641">
        <f t="shared" si="58"/>
        <v>0.35899999999999999</v>
      </c>
      <c r="J70" s="403"/>
      <c r="K70" s="403"/>
      <c r="L70" s="440"/>
      <c r="M70" s="403"/>
      <c r="N70" s="403"/>
      <c r="O70" s="403"/>
      <c r="P70" s="813">
        <v>2.64E-2</v>
      </c>
      <c r="Q70" s="443">
        <v>0.57169999999999999</v>
      </c>
      <c r="R70" s="443">
        <v>4.3E-3</v>
      </c>
      <c r="S70" s="443">
        <v>0.6048</v>
      </c>
      <c r="T70" s="443">
        <v>2.8E-3</v>
      </c>
      <c r="U70" s="443">
        <v>0</v>
      </c>
      <c r="V70" s="403"/>
      <c r="W70" s="403"/>
      <c r="X70" s="403"/>
      <c r="Y70" s="403"/>
      <c r="Z70" s="403"/>
      <c r="AA70" s="403"/>
      <c r="AB70" s="403"/>
      <c r="AC70" s="403"/>
      <c r="AD70" s="403"/>
      <c r="AE70" s="403"/>
      <c r="AF70" s="403"/>
      <c r="AG70" s="403"/>
      <c r="AH70" s="403"/>
      <c r="AI70" s="403"/>
      <c r="AJ70" s="403"/>
      <c r="AK70" s="403"/>
      <c r="AL70" s="403"/>
      <c r="AM70" s="403"/>
      <c r="AN70" s="403"/>
      <c r="AO70" s="403"/>
      <c r="AP70" s="403"/>
      <c r="AQ70" s="403"/>
      <c r="AR70" s="403"/>
      <c r="AS70" s="403"/>
      <c r="AT70" s="403"/>
    </row>
    <row r="71" spans="1:46" s="379" customFormat="1" ht="14.25" customHeight="1">
      <c r="A71" s="403"/>
      <c r="B71" s="871" t="s">
        <v>47</v>
      </c>
      <c r="C71" s="403"/>
      <c r="D71" s="443">
        <v>0.5877</v>
      </c>
      <c r="E71" s="443"/>
      <c r="F71" s="443"/>
      <c r="G71" s="443"/>
      <c r="H71" s="443"/>
      <c r="I71" s="641">
        <f t="shared" si="58"/>
        <v>0.5877</v>
      </c>
      <c r="J71" s="403"/>
      <c r="K71" s="403"/>
      <c r="L71" s="440"/>
      <c r="M71" s="403"/>
      <c r="N71" s="403"/>
      <c r="O71" s="403"/>
      <c r="P71" s="443">
        <v>0.96160000000000001</v>
      </c>
      <c r="Q71" s="443">
        <v>0.1469</v>
      </c>
      <c r="R71" s="443">
        <v>0.93710000000000004</v>
      </c>
      <c r="S71" s="443">
        <v>0.39369999999999999</v>
      </c>
      <c r="T71" s="443">
        <v>0.95320000000000005</v>
      </c>
      <c r="U71" s="443">
        <v>1E-4</v>
      </c>
      <c r="V71" s="403"/>
      <c r="W71" s="403"/>
      <c r="X71" s="403"/>
      <c r="Y71" s="403"/>
      <c r="Z71" s="403"/>
      <c r="AA71" s="403"/>
      <c r="AB71" s="403"/>
      <c r="AC71" s="403"/>
      <c r="AD71" s="403"/>
      <c r="AE71" s="403"/>
      <c r="AF71" s="403"/>
      <c r="AG71" s="403"/>
      <c r="AH71" s="403"/>
      <c r="AI71" s="403"/>
      <c r="AJ71" s="403"/>
      <c r="AK71" s="403"/>
      <c r="AL71" s="403"/>
      <c r="AM71" s="403"/>
      <c r="AN71" s="403"/>
      <c r="AO71" s="403"/>
      <c r="AP71" s="403"/>
      <c r="AQ71" s="403"/>
      <c r="AR71" s="403"/>
      <c r="AS71" s="403"/>
      <c r="AT71" s="403"/>
    </row>
    <row r="72" spans="1:46" s="379" customFormat="1" ht="14.25" customHeight="1">
      <c r="A72" s="403"/>
      <c r="B72" s="871" t="s">
        <v>287</v>
      </c>
      <c r="C72" s="403"/>
      <c r="D72" s="443"/>
      <c r="E72" s="443"/>
      <c r="F72" s="443"/>
      <c r="G72" s="443"/>
      <c r="H72" s="443"/>
      <c r="I72" s="641" t="str">
        <f t="shared" si="58"/>
        <v/>
      </c>
      <c r="J72" s="403"/>
      <c r="K72" s="403"/>
      <c r="L72" s="440"/>
      <c r="M72" s="403"/>
      <c r="N72" s="403"/>
      <c r="O72" s="403"/>
      <c r="P72" s="443">
        <v>0.1837</v>
      </c>
      <c r="Q72" s="443"/>
      <c r="R72" s="443">
        <v>3.4799999999999998E-2</v>
      </c>
      <c r="S72" s="443">
        <v>4.5499999999999999E-2</v>
      </c>
      <c r="T72" s="443">
        <v>6.7100000000000007E-2</v>
      </c>
      <c r="U72" s="403"/>
      <c r="V72" s="403"/>
      <c r="W72" s="403"/>
      <c r="X72" s="403"/>
      <c r="Y72" s="403"/>
      <c r="Z72" s="403"/>
      <c r="AA72" s="403"/>
      <c r="AB72" s="403"/>
      <c r="AC72" s="403"/>
      <c r="AD72" s="403"/>
      <c r="AE72" s="403"/>
      <c r="AF72" s="403"/>
      <c r="AG72" s="403"/>
      <c r="AH72" s="403"/>
      <c r="AI72" s="403"/>
      <c r="AJ72" s="403"/>
      <c r="AK72" s="403"/>
      <c r="AL72" s="403"/>
      <c r="AM72" s="403"/>
      <c r="AN72" s="403"/>
      <c r="AO72" s="403"/>
      <c r="AP72" s="403"/>
      <c r="AQ72" s="403"/>
      <c r="AR72" s="403"/>
      <c r="AS72" s="403"/>
      <c r="AT72" s="403"/>
    </row>
    <row r="73" spans="1:46" s="379" customFormat="1" ht="3.75" customHeight="1">
      <c r="A73" s="403"/>
      <c r="B73" s="403"/>
      <c r="C73" s="403"/>
      <c r="D73" s="403"/>
      <c r="E73" s="403"/>
      <c r="F73" s="403"/>
      <c r="G73" s="403"/>
      <c r="H73" s="403"/>
      <c r="I73" s="403"/>
      <c r="J73" s="403"/>
      <c r="K73" s="403"/>
      <c r="L73" s="440"/>
      <c r="M73" s="403"/>
      <c r="N73" s="403"/>
      <c r="O73" s="403"/>
      <c r="P73" s="403"/>
      <c r="Q73" s="403"/>
      <c r="R73" s="403"/>
      <c r="S73" s="403"/>
      <c r="T73" s="403"/>
      <c r="U73" s="403"/>
      <c r="V73" s="403"/>
      <c r="W73" s="403"/>
      <c r="X73" s="403"/>
      <c r="Y73" s="403"/>
      <c r="Z73" s="403"/>
      <c r="AA73" s="403"/>
      <c r="AB73" s="403"/>
      <c r="AC73" s="403"/>
      <c r="AD73" s="403"/>
      <c r="AE73" s="403"/>
      <c r="AF73" s="403"/>
      <c r="AG73" s="403"/>
      <c r="AH73" s="403"/>
      <c r="AI73" s="403"/>
      <c r="AJ73" s="403"/>
      <c r="AK73" s="403"/>
      <c r="AL73" s="403"/>
      <c r="AM73" s="403"/>
      <c r="AN73" s="403"/>
      <c r="AO73" s="403"/>
      <c r="AP73" s="403"/>
      <c r="AQ73" s="403"/>
      <c r="AR73" s="403"/>
      <c r="AS73" s="403"/>
      <c r="AT73" s="403"/>
    </row>
    <row r="74" spans="1:46" s="382" customFormat="1" ht="14.25" customHeight="1">
      <c r="A74" s="410"/>
      <c r="B74" s="575" t="s">
        <v>93</v>
      </c>
      <c r="C74" s="576"/>
      <c r="D74" s="389" t="str">
        <f t="shared" ref="D74:I74" si="61">+D23</f>
        <v>Natura</v>
      </c>
      <c r="E74" s="389">
        <f t="shared" si="61"/>
        <v>0</v>
      </c>
      <c r="F74" s="389" t="e">
        <f t="shared" si="61"/>
        <v>#REF!</v>
      </c>
      <c r="G74" s="389" t="e">
        <f t="shared" si="61"/>
        <v>#REF!</v>
      </c>
      <c r="H74" s="389" t="e">
        <f t="shared" si="61"/>
        <v>#REF!</v>
      </c>
      <c r="I74" s="389" t="str">
        <f t="shared" si="61"/>
        <v>Average</v>
      </c>
      <c r="J74" s="410"/>
      <c r="K74" s="410"/>
      <c r="L74" s="577"/>
      <c r="M74" s="410"/>
      <c r="N74" s="410"/>
      <c r="O74" s="410"/>
      <c r="P74" s="389" t="str">
        <f t="shared" ref="P74:U74" ca="1" si="62">+P23</f>
        <v>E.L.F.</v>
      </c>
      <c r="Q74" s="389" t="str">
        <f t="shared" si="62"/>
        <v>L'Oreal</v>
      </c>
      <c r="R74" s="389" t="str">
        <f t="shared" si="62"/>
        <v>Estée Lauder</v>
      </c>
      <c r="S74" s="389" t="str">
        <f t="shared" si="62"/>
        <v>Coty</v>
      </c>
      <c r="T74" s="389" t="str">
        <f t="shared" si="62"/>
        <v>Ulta Beauty</v>
      </c>
      <c r="U74" s="389" t="str">
        <f t="shared" si="62"/>
        <v>Shiseido</v>
      </c>
      <c r="V74" s="410"/>
      <c r="W74" s="410"/>
      <c r="X74" s="410"/>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row>
    <row r="75" spans="1:46" s="379" customFormat="1" ht="3.75" customHeight="1">
      <c r="A75" s="403"/>
      <c r="B75" s="428"/>
      <c r="C75" s="428"/>
      <c r="D75" s="428"/>
      <c r="E75" s="428"/>
      <c r="F75" s="428"/>
      <c r="G75" s="428"/>
      <c r="H75" s="428"/>
      <c r="I75" s="428"/>
      <c r="J75" s="403"/>
      <c r="K75" s="403"/>
      <c r="L75" s="440"/>
      <c r="M75" s="403"/>
      <c r="N75" s="403"/>
      <c r="O75" s="403"/>
      <c r="P75" s="428"/>
      <c r="Q75" s="428"/>
      <c r="R75" s="625">
        <v>-20</v>
      </c>
      <c r="S75" s="428"/>
      <c r="T75" s="428"/>
      <c r="U75" s="428"/>
      <c r="V75" s="403"/>
      <c r="W75" s="403"/>
      <c r="X75" s="403"/>
      <c r="Y75" s="403"/>
      <c r="Z75" s="403"/>
      <c r="AA75" s="403"/>
      <c r="AB75" s="403"/>
      <c r="AC75" s="403"/>
      <c r="AD75" s="403"/>
      <c r="AE75" s="403"/>
      <c r="AF75" s="403"/>
      <c r="AG75" s="403"/>
      <c r="AH75" s="403"/>
      <c r="AI75" s="403"/>
      <c r="AJ75" s="403"/>
      <c r="AK75" s="403"/>
      <c r="AL75" s="403"/>
      <c r="AM75" s="403"/>
      <c r="AN75" s="403"/>
      <c r="AO75" s="403"/>
      <c r="AP75" s="403"/>
      <c r="AQ75" s="403"/>
      <c r="AR75" s="403"/>
      <c r="AS75" s="403"/>
      <c r="AT75" s="403"/>
    </row>
    <row r="76" spans="1:46" s="379" customFormat="1" ht="14.25" customHeight="1">
      <c r="A76" s="403"/>
      <c r="B76" s="871" t="s">
        <v>288</v>
      </c>
      <c r="C76" s="403"/>
      <c r="D76" s="444" t="str" cm="1">
        <f t="array" aca="1" ref="D76" ca="1">IFERROR((G79/_xlfn.STOCKHISTORY(C11,TODAY()-1,TODAY()-1,0,0,1))-1,"Non-trading days")</f>
        <v>Non-trading days</v>
      </c>
      <c r="E76" s="444" t="str" cm="1">
        <f t="array" aca="1" ref="E76" ca="1">IFERROR((H79/_xlfn.STOCKHISTORY(#REF!,TODAY()-1,TODAY()-1,0,0,1))-1,"Non-trading days")</f>
        <v>Non-trading days</v>
      </c>
      <c r="F76" s="444" t="str" cm="1">
        <f t="array" aca="1" ref="F76" ca="1">IFERROR((F79/_xlfn.STOCKHISTORY(#REF!,TODAY()-1,TODAY()-1,0,0,1))-1,"Non-trading days")</f>
        <v>Non-trading days</v>
      </c>
      <c r="G76" s="444" t="str" cm="1">
        <f t="array" aca="1" ref="G76" ca="1">IFERROR((G79/_xlfn.STOCKHISTORY(#REF!,TODAY()-1,TODAY()-1,0,0,1))-1,"Non-trading days")</f>
        <v>Non-trading days</v>
      </c>
      <c r="H76" s="444" t="str" cm="1">
        <f t="array" aca="1" ref="H76" ca="1">IFERROR((H79/_xlfn.STOCKHISTORY(#REF!,TODAY()-1,TODAY()-1,0,0,1))-1,"Non-trading days")</f>
        <v>Non-trading days</v>
      </c>
      <c r="I76" s="441" t="str">
        <f ca="1">IFERROR(+AVERAGE(D76:H76),"")</f>
        <v/>
      </c>
      <c r="J76" s="403"/>
      <c r="K76" s="403"/>
      <c r="L76" s="440"/>
      <c r="M76" s="403"/>
      <c r="N76" s="403"/>
      <c r="O76" s="403"/>
      <c r="P76" s="444" cm="1">
        <f t="array" aca="1" ref="P76" ca="1">IFERROR((P79/_xlfn.STOCKHISTORY(C5,TODAY()-1,TODAY()-1,0,0,1))-1,"Non-trading days")</f>
        <v>0</v>
      </c>
      <c r="Q76" s="444" cm="1">
        <f t="array" aca="1" ref="Q76" ca="1">IFERROR((Q79/_xlfn.STOCKHISTORY(C6,TODAY()-1,TODAY()-1,0,0,1))-1,"Non-trading days")</f>
        <v>2.0042757883484974E-3</v>
      </c>
      <c r="R76" s="444" cm="1">
        <f t="array" aca="1" ref="R76" ca="1">IFERROR((R79/_xlfn.STOCKHISTORY(C7,TODAY()-1,TODAY()-1,0,0,1))-1,"Non-trading days")</f>
        <v>0</v>
      </c>
      <c r="S76" s="444" cm="1">
        <f t="array" aca="1" ref="S76" ca="1">IFERROR((S79/_xlfn.STOCKHISTORY(C8,TODAY()-1,TODAY()-1,0,0,1))-1,"Non-trading days")</f>
        <v>0</v>
      </c>
      <c r="T76" s="444" t="str" cm="1">
        <f t="array" aca="1" ref="T76" ca="1">IFERROR((E79/_xlfn.STOCKHISTORY(C9,TODAY()-1,TODAY()-1,0,0,1))-1,"Non-trading days")</f>
        <v>Non-trading days</v>
      </c>
      <c r="U76" s="444" t="str" cm="1">
        <f t="array" aca="1" ref="U76" ca="1">IFERROR((F79/_xlfn.STOCKHISTORY(C10,TODAY()-1,TODAY()-1,0,0,1))-1,"Non-trading days")</f>
        <v>Non-trading days</v>
      </c>
      <c r="V76" s="403"/>
      <c r="W76" s="403"/>
      <c r="X76" s="403"/>
      <c r="Y76" s="403"/>
      <c r="Z76" s="403"/>
      <c r="AA76" s="403"/>
      <c r="AB76" s="403"/>
      <c r="AC76" s="403"/>
      <c r="AD76" s="403"/>
      <c r="AE76" s="403"/>
      <c r="AF76" s="403"/>
      <c r="AG76" s="403"/>
      <c r="AH76" s="403"/>
      <c r="AI76" s="403"/>
      <c r="AJ76" s="403"/>
      <c r="AK76" s="403"/>
      <c r="AL76" s="403"/>
      <c r="AM76" s="403"/>
      <c r="AN76" s="403"/>
      <c r="AO76" s="403"/>
      <c r="AP76" s="403"/>
      <c r="AQ76" s="403"/>
      <c r="AR76" s="403"/>
      <c r="AS76" s="403"/>
      <c r="AT76" s="403"/>
    </row>
    <row r="77" spans="1:46" s="379" customFormat="1" ht="14.25" customHeight="1">
      <c r="A77" s="403"/>
      <c r="B77" s="871" t="s">
        <v>289</v>
      </c>
      <c r="C77" s="403"/>
      <c r="D77" s="444" t="str" cm="1">
        <f t="array" aca="1" ref="D77" ca="1">IFERROR((G79/_xlfn.STOCKHISTORY(C11,TODAY()-29,TODAY()-29,0,0,1))-1,"Non-trading days")</f>
        <v>Non-trading days</v>
      </c>
      <c r="E77" s="444" t="str" cm="1">
        <f t="array" aca="1" ref="E77" ca="1">IFERROR((H79/_xlfn.STOCKHISTORY(#REF!,TODAY()-29,TODAY()-29,0,0,1))-1,"Non-trading days")</f>
        <v>Non-trading days</v>
      </c>
      <c r="F77" s="444" t="str" cm="1">
        <f t="array" aca="1" ref="F77" ca="1">IFERROR((F79/_xlfn.STOCKHISTORY(#REF!,TODAY()-29,TODAY()-29,0,0,1))-1,"Non-trading days")</f>
        <v>Non-trading days</v>
      </c>
      <c r="G77" s="444" t="str" cm="1">
        <f t="array" aca="1" ref="G77" ca="1">IFERROR((G79/_xlfn.STOCKHISTORY(#REF!,TODAY()-29,TODAY()-29,0,0,1))-1,"Non-trading days")</f>
        <v>Non-trading days</v>
      </c>
      <c r="H77" s="444" t="str" cm="1">
        <f t="array" aca="1" ref="H77" ca="1">IFERROR((H79/_xlfn.STOCKHISTORY(#REF!,TODAY()-29,TODAY()-29,0,0,1))-1,"Non-trading days")</f>
        <v>Non-trading days</v>
      </c>
      <c r="I77" s="441" t="str">
        <f ca="1">IFERROR(AVERAGE(D77:H77),"")</f>
        <v/>
      </c>
      <c r="J77" s="403"/>
      <c r="K77" s="403"/>
      <c r="L77" s="440"/>
      <c r="M77" s="403"/>
      <c r="N77" s="403"/>
      <c r="O77" s="403"/>
      <c r="P77" s="444" cm="1">
        <f t="array" aca="1" ref="P77" ca="1">IFERROR((P79/_xlfn.STOCKHISTORY(C5,TODAY()-29,TODAY()-29,0,0,1))-1,"Non-trading days")</f>
        <v>1.6377505234818956E-2</v>
      </c>
      <c r="Q77" s="444" cm="1">
        <f t="array" aca="1" ref="Q77" ca="1">IFERROR((Q79/_xlfn.STOCKHISTORY(C6,TODAY()-29,TODAY()-29,0,0,1))-1,"Non-trading days")</f>
        <v>-7.2823936696340241E-2</v>
      </c>
      <c r="R77" s="444" cm="1">
        <f t="array" aca="1" ref="R77" ca="1">IFERROR((R79/_xlfn.STOCKHISTORY(C7,TODAY()-29,TODAY()-29,0,0,1))-1,"Non-trading days")</f>
        <v>1.4978275783215311E-2</v>
      </c>
      <c r="S77" s="444" cm="1">
        <f t="array" aca="1" ref="S77" ca="1">IFERROR((S79/_xlfn.STOCKHISTORY(C8,TODAY()-29,TODAY()-29,0,0,1))-1,"Non-trading days")</f>
        <v>-0.1004566210045662</v>
      </c>
      <c r="T77" s="444" t="str" cm="1">
        <f t="array" aca="1" ref="T77" ca="1">IFERROR((E79/_xlfn.STOCKHISTORY(C9,TODAY()-29,TODAY()-29,0,0,1))-1,"Non-trading days")</f>
        <v>Non-trading days</v>
      </c>
      <c r="U77" s="444" t="str" cm="1">
        <f t="array" aca="1" ref="U77" ca="1">IFERROR((F79/_xlfn.STOCKHISTORY(C10,TODAY()-29,TODAY()-29,0,0,1))-1,"Non-trading days")</f>
        <v>Non-trading days</v>
      </c>
      <c r="V77" s="403"/>
      <c r="W77" s="403"/>
      <c r="X77" s="403"/>
      <c r="Y77" s="403"/>
      <c r="Z77" s="403"/>
      <c r="AA77" s="403"/>
      <c r="AB77" s="403"/>
      <c r="AC77" s="403"/>
      <c r="AD77" s="403"/>
      <c r="AE77" s="403"/>
      <c r="AF77" s="403"/>
      <c r="AG77" s="403"/>
      <c r="AH77" s="403"/>
      <c r="AI77" s="403"/>
      <c r="AJ77" s="403"/>
      <c r="AK77" s="403"/>
      <c r="AL77" s="403"/>
      <c r="AM77" s="403"/>
      <c r="AN77" s="403"/>
      <c r="AO77" s="403"/>
      <c r="AP77" s="403"/>
      <c r="AQ77" s="403"/>
      <c r="AR77" s="403"/>
      <c r="AS77" s="403"/>
      <c r="AT77" s="403"/>
    </row>
    <row r="78" spans="1:46" s="379" customFormat="1" ht="14.25" customHeight="1">
      <c r="A78" s="403"/>
      <c r="B78" s="871" t="s">
        <v>290</v>
      </c>
      <c r="C78" s="403"/>
      <c r="D78" s="444" t="str" cm="1">
        <f t="array" aca="1" ref="D78" ca="1">IFERROR((G79/_xlfn.STOCKHISTORY(C11,"2025-01-02","2025-01-02",0,0,1))-1,"Non-trading days")</f>
        <v>Non-trading days</v>
      </c>
      <c r="E78" s="444" t="str" cm="1">
        <f t="array" ref="E78">IFERROR((H79/_xlfn.STOCKHISTORY(#REF!,"2025-01-02","2025-01-02",0,0,1))-1,"Non-trading days")</f>
        <v>Non-trading days</v>
      </c>
      <c r="F78" s="444" t="str" cm="1">
        <f t="array" ref="F78">IFERROR((F79/_xlfn.STOCKHISTORY(#REF!,"2025-01-02","2025-01-02",0,0,1))-1,"Non-trading days")</f>
        <v>Non-trading days</v>
      </c>
      <c r="G78" s="444" t="str" cm="1">
        <f t="array" ref="G78">IFERROR((G79/_xlfn.STOCKHISTORY(#REF!,"2025-01-02","2025-01-02",0,0,1))-1,"Non-trading days")</f>
        <v>Non-trading days</v>
      </c>
      <c r="H78" s="444" t="str" cm="1">
        <f t="array" ref="H78">IFERROR((H79/_xlfn.STOCKHISTORY(#REF!,"2025-01-02","2025-01-02",0,0,1))-1,"Non-trading days")</f>
        <v>Non-trading days</v>
      </c>
      <c r="I78" s="441" t="str">
        <f ca="1">IFERROR(AVERAGE(D78:H78),"")</f>
        <v/>
      </c>
      <c r="J78" s="403"/>
      <c r="K78" s="403"/>
      <c r="L78" s="440"/>
      <c r="M78" s="403"/>
      <c r="N78" s="403"/>
      <c r="O78" s="403"/>
      <c r="P78" s="444" cm="1">
        <f t="array" aca="1" ref="P78" ca="1">IFERROR((P79/_xlfn.STOCKHISTORY(C5,"2025-01-02","2025-01-02",0,0,1))-1,"Non-trading days")</f>
        <v>0.10504919099113752</v>
      </c>
      <c r="Q78" s="444" cm="1">
        <f t="array" aca="1" ref="Q78" ca="1">IFERROR((Q79/_xlfn.STOCKHISTORY(C6,"2025-01-02","2025-01-02",0,0,1))-1,"Non-trading days")</f>
        <v>0.10899142265601891</v>
      </c>
      <c r="R78" s="444" cm="1">
        <f t="array" aca="1" ref="R78" ca="1">IFERROR((R79/_xlfn.STOCKHISTORY(C7,"2025-01-02","2025-01-02",0,0,1))-1,"Non-trading days")</f>
        <v>0.19991889699918874</v>
      </c>
      <c r="S78" s="444" cm="1">
        <f t="array" aca="1" ref="S78" ca="1">IFERROR((S79/_xlfn.STOCKHISTORY(C8,"2025-01-02","2025-01-02",0,0,1))-1,"Non-trading days")</f>
        <v>-0.42565597667638488</v>
      </c>
      <c r="T78" s="444" t="str" cm="1">
        <f t="array" aca="1" ref="T78" ca="1">IFERROR((E79/_xlfn.STOCKHISTORY(C9,"2025-01-02","2025-01-02",0,0,1))-1,"Non-trading days")</f>
        <v>Non-trading days</v>
      </c>
      <c r="U78" s="444" t="str" cm="1">
        <f t="array" aca="1" ref="U78" ca="1">IFERROR((F79/_xlfn.STOCKHISTORY(C10,"2025-01-02","2025-01-02",0,0,1))-1,"Non-trading days")</f>
        <v>Non-trading days</v>
      </c>
      <c r="V78" s="403"/>
      <c r="W78" s="403"/>
      <c r="X78" s="403"/>
      <c r="Y78" s="403"/>
      <c r="Z78" s="403"/>
      <c r="AA78" s="403"/>
      <c r="AB78" s="403"/>
      <c r="AC78" s="403"/>
      <c r="AD78" s="403"/>
      <c r="AE78" s="403"/>
      <c r="AF78" s="403"/>
      <c r="AG78" s="403"/>
      <c r="AH78" s="403"/>
      <c r="AI78" s="403"/>
      <c r="AJ78" s="403"/>
      <c r="AK78" s="403"/>
      <c r="AL78" s="403"/>
      <c r="AM78" s="403"/>
      <c r="AN78" s="403"/>
      <c r="AO78" s="403"/>
      <c r="AP78" s="403"/>
      <c r="AQ78" s="403"/>
      <c r="AR78" s="403"/>
      <c r="AS78" s="403"/>
      <c r="AT78" s="403"/>
    </row>
    <row r="79" spans="1:46" s="379" customFormat="1" ht="14.25" customHeight="1">
      <c r="A79" s="403"/>
      <c r="B79" s="871" t="s">
        <v>250</v>
      </c>
      <c r="C79" s="403"/>
      <c r="D79" s="436" t="str" cm="1">
        <f t="array" ref="D79">+IFERROR(_FV(D85,"Price"),"")</f>
        <v/>
      </c>
      <c r="E79" s="436" t="str" cm="1">
        <f t="array" ref="E79">+IFERROR(_FV(E85,"Price"),"")</f>
        <v/>
      </c>
      <c r="F79" s="436" t="str" cm="1">
        <f t="array" ref="F79">+IFERROR(_FV(F85,"Price"),"")</f>
        <v/>
      </c>
      <c r="G79" s="436" t="str" cm="1">
        <f t="array" ref="G79">+IFERROR(_FV(G85,"Price"),"")</f>
        <v/>
      </c>
      <c r="H79" s="436" t="str" cm="1">
        <f t="array" ref="H79">+IFERROR(_FV(H85,"Price"),"")</f>
        <v/>
      </c>
      <c r="I79" s="441" t="str">
        <f>IFERROR(AVERAGE(D79:H79),"")</f>
        <v/>
      </c>
      <c r="J79" s="403"/>
      <c r="K79" s="403"/>
      <c r="L79" s="440"/>
      <c r="M79" s="403"/>
      <c r="N79" s="403"/>
      <c r="O79" s="403"/>
      <c r="P79" s="436" cm="1">
        <f t="array" aca="1" ref="P79" ca="1">+IFERROR(_FV(P85,"Price"),"")</f>
        <v>135.91</v>
      </c>
      <c r="Q79" s="436" cm="1">
        <f t="array" aca="1" ref="Q79" ca="1">+IFERROR(_FV(Q85,"Price"),"")</f>
        <v>374.95</v>
      </c>
      <c r="R79" s="436" cm="1">
        <f t="array" aca="1" ref="R79" ca="1">+IFERROR(_FV(R85,"Price"),"")</f>
        <v>88.77</v>
      </c>
      <c r="S79" s="436" cm="1">
        <f t="array" aca="1" ref="S79" ca="1">+IFERROR(_FV(S85,"Price"),"")</f>
        <v>3.94</v>
      </c>
      <c r="T79" s="436" cm="1">
        <f t="array" aca="1" ref="T79" ca="1">+IFERROR(_FV(T85,"Price"),"")</f>
        <v>557.82000000000005</v>
      </c>
      <c r="U79" s="436" cm="1">
        <f t="array" aca="1" ref="U79" ca="1">+IFERROR(_FV(U85,"Price"),"")</f>
        <v>17.337</v>
      </c>
      <c r="V79" s="403"/>
      <c r="W79" s="403"/>
      <c r="X79" s="403"/>
      <c r="Y79" s="403"/>
      <c r="Z79" s="403"/>
      <c r="AA79" s="403"/>
      <c r="AB79" s="403"/>
      <c r="AC79" s="403"/>
      <c r="AD79" s="403"/>
      <c r="AE79" s="403"/>
      <c r="AF79" s="403"/>
      <c r="AG79" s="403"/>
      <c r="AH79" s="403"/>
      <c r="AI79" s="403"/>
      <c r="AJ79" s="403"/>
      <c r="AK79" s="403"/>
      <c r="AL79" s="403"/>
      <c r="AM79" s="403"/>
      <c r="AN79" s="403"/>
      <c r="AO79" s="403"/>
      <c r="AP79" s="403"/>
      <c r="AQ79" s="403"/>
      <c r="AR79" s="403"/>
      <c r="AS79" s="403"/>
      <c r="AT79" s="403"/>
    </row>
    <row r="80" spans="1:46" s="379" customFormat="1" ht="3.75" customHeight="1">
      <c r="A80" s="403"/>
      <c r="B80" s="403"/>
      <c r="C80" s="403"/>
      <c r="D80" s="403"/>
      <c r="E80" s="403"/>
      <c r="F80" s="403"/>
      <c r="G80" s="403"/>
      <c r="H80" s="403"/>
      <c r="I80" s="403"/>
      <c r="J80" s="403"/>
      <c r="K80" s="403"/>
      <c r="L80" s="440"/>
      <c r="M80" s="403"/>
      <c r="N80" s="403"/>
      <c r="O80" s="403"/>
      <c r="P80" s="403"/>
      <c r="Q80" s="403"/>
      <c r="R80" s="403"/>
      <c r="S80" s="403"/>
      <c r="T80" s="403"/>
      <c r="U80" s="403"/>
      <c r="V80" s="403"/>
      <c r="W80" s="403"/>
      <c r="X80" s="403"/>
      <c r="Y80" s="403"/>
      <c r="Z80" s="403"/>
      <c r="AA80" s="403"/>
      <c r="AB80" s="403"/>
      <c r="AC80" s="403"/>
      <c r="AD80" s="403"/>
      <c r="AE80" s="403"/>
      <c r="AF80" s="403"/>
      <c r="AG80" s="403"/>
      <c r="AH80" s="403"/>
      <c r="AI80" s="403"/>
      <c r="AJ80" s="403"/>
      <c r="AK80" s="403"/>
      <c r="AL80" s="403"/>
      <c r="AM80" s="403"/>
      <c r="AN80" s="403"/>
      <c r="AO80" s="403"/>
      <c r="AP80" s="403"/>
      <c r="AQ80" s="403"/>
      <c r="AR80" s="403"/>
      <c r="AS80" s="403"/>
      <c r="AT80" s="403"/>
    </row>
    <row r="81" spans="1:46" s="382" customFormat="1" ht="14.25" customHeight="1">
      <c r="A81" s="410"/>
      <c r="B81" s="575" t="s">
        <v>291</v>
      </c>
      <c r="C81" s="576"/>
      <c r="D81" s="575"/>
      <c r="E81" s="575"/>
      <c r="F81" s="575"/>
      <c r="G81" s="575"/>
      <c r="H81" s="575"/>
      <c r="I81" s="575"/>
      <c r="J81" s="410"/>
      <c r="K81" s="410"/>
      <c r="L81" s="577"/>
      <c r="M81" s="410"/>
      <c r="N81" s="410"/>
      <c r="O81" s="410"/>
      <c r="P81" s="575"/>
      <c r="Q81" s="575"/>
      <c r="R81" s="575"/>
      <c r="S81" s="575"/>
      <c r="T81" s="575"/>
      <c r="U81" s="575"/>
      <c r="V81" s="410"/>
      <c r="W81" s="410"/>
      <c r="X81" s="410"/>
      <c r="Y81" s="410"/>
      <c r="Z81" s="410"/>
      <c r="AA81" s="410"/>
      <c r="AB81" s="410"/>
      <c r="AC81" s="410"/>
      <c r="AD81" s="410"/>
      <c r="AE81" s="410"/>
      <c r="AF81" s="410"/>
      <c r="AG81" s="410"/>
      <c r="AH81" s="410"/>
      <c r="AI81" s="410"/>
      <c r="AJ81" s="410"/>
      <c r="AK81" s="410"/>
      <c r="AL81" s="410"/>
      <c r="AM81" s="410"/>
      <c r="AN81" s="410"/>
      <c r="AO81" s="410"/>
      <c r="AP81" s="410"/>
      <c r="AQ81" s="410"/>
      <c r="AR81" s="410"/>
      <c r="AS81" s="410"/>
      <c r="AT81" s="410"/>
    </row>
    <row r="82" spans="1:46" s="379" customFormat="1" ht="3.75" customHeight="1">
      <c r="A82" s="403"/>
      <c r="B82" s="428"/>
      <c r="C82" s="428"/>
      <c r="D82" s="428"/>
      <c r="E82" s="428"/>
      <c r="F82" s="428"/>
      <c r="G82" s="428"/>
      <c r="H82" s="428"/>
      <c r="I82" s="428"/>
      <c r="J82" s="403"/>
      <c r="K82" s="403"/>
      <c r="L82" s="440"/>
      <c r="M82" s="403"/>
      <c r="N82" s="403"/>
      <c r="O82" s="403"/>
      <c r="P82" s="428"/>
      <c r="Q82" s="428"/>
      <c r="R82" s="428"/>
      <c r="S82" s="428"/>
      <c r="T82" s="428"/>
      <c r="U82" s="428"/>
      <c r="V82" s="403"/>
      <c r="W82" s="403"/>
      <c r="X82" s="403"/>
      <c r="Y82" s="403"/>
      <c r="Z82" s="403"/>
      <c r="AA82" s="403"/>
      <c r="AB82" s="403"/>
      <c r="AC82" s="403"/>
      <c r="AD82" s="403"/>
      <c r="AE82" s="403"/>
      <c r="AF82" s="403"/>
      <c r="AG82" s="403"/>
      <c r="AH82" s="403"/>
      <c r="AI82" s="403"/>
      <c r="AJ82" s="403"/>
      <c r="AK82" s="403"/>
      <c r="AL82" s="403"/>
      <c r="AM82" s="403"/>
      <c r="AN82" s="403"/>
      <c r="AO82" s="403"/>
      <c r="AP82" s="403"/>
      <c r="AQ82" s="403"/>
      <c r="AR82" s="403"/>
      <c r="AS82" s="403"/>
      <c r="AT82" s="403"/>
    </row>
    <row r="83" spans="1:46" s="379" customFormat="1" ht="14.25" customHeight="1">
      <c r="A83" s="403"/>
      <c r="B83" s="403" t="s">
        <v>292</v>
      </c>
      <c r="C83" s="403"/>
      <c r="D83" s="403"/>
      <c r="E83" s="403"/>
      <c r="F83" s="403"/>
      <c r="G83" s="403"/>
      <c r="H83" s="403"/>
      <c r="I83" s="403"/>
      <c r="J83" s="403"/>
      <c r="K83" s="403"/>
      <c r="L83" s="440"/>
      <c r="M83" s="403"/>
      <c r="N83" s="403"/>
      <c r="O83" s="403"/>
      <c r="P83" s="403"/>
      <c r="Q83" s="403"/>
      <c r="R83" s="403"/>
      <c r="S83" s="403"/>
      <c r="T83" s="403"/>
      <c r="U83" s="403"/>
      <c r="V83" s="403"/>
      <c r="W83" s="403"/>
      <c r="X83" s="403"/>
      <c r="Y83" s="403"/>
      <c r="Z83" s="403"/>
      <c r="AA83" s="403"/>
      <c r="AB83" s="403"/>
      <c r="AC83" s="403"/>
      <c r="AD83" s="403"/>
      <c r="AE83" s="403"/>
      <c r="AF83" s="403"/>
      <c r="AG83" s="403"/>
      <c r="AH83" s="403"/>
      <c r="AI83" s="403"/>
      <c r="AJ83" s="403"/>
      <c r="AK83" s="403"/>
      <c r="AL83" s="403"/>
      <c r="AM83" s="403"/>
      <c r="AN83" s="403"/>
      <c r="AO83" s="403"/>
      <c r="AP83" s="403"/>
      <c r="AQ83" s="403"/>
      <c r="AR83" s="403"/>
      <c r="AS83" s="403"/>
      <c r="AT83" s="403"/>
    </row>
    <row r="84" spans="1:46" s="379" customFormat="1" ht="5.25" customHeight="1">
      <c r="A84" s="403"/>
      <c r="B84" s="403"/>
      <c r="C84" s="403"/>
      <c r="D84" s="403"/>
      <c r="E84" s="403"/>
      <c r="F84" s="403"/>
      <c r="G84" s="403"/>
      <c r="H84" s="403"/>
      <c r="I84" s="403"/>
      <c r="J84" s="403"/>
      <c r="K84" s="403"/>
      <c r="L84" s="440"/>
      <c r="M84" s="403"/>
      <c r="N84" s="403"/>
      <c r="O84" s="403"/>
      <c r="P84" s="403"/>
      <c r="Q84" s="403"/>
      <c r="R84" s="403"/>
      <c r="S84" s="403"/>
      <c r="T84" s="403"/>
      <c r="U84" s="403"/>
      <c r="V84" s="403"/>
      <c r="W84" s="403"/>
      <c r="X84" s="403"/>
      <c r="Y84" s="403"/>
      <c r="Z84" s="403"/>
      <c r="AA84" s="403"/>
      <c r="AB84" s="403"/>
      <c r="AC84" s="403"/>
      <c r="AD84" s="403"/>
      <c r="AE84" s="403"/>
      <c r="AF84" s="403"/>
      <c r="AG84" s="403"/>
      <c r="AH84" s="403"/>
      <c r="AI84" s="403"/>
      <c r="AJ84" s="403"/>
      <c r="AK84" s="403"/>
      <c r="AL84" s="403"/>
      <c r="AM84" s="403"/>
      <c r="AN84" s="403"/>
      <c r="AO84" s="403"/>
      <c r="AP84" s="403"/>
      <c r="AQ84" s="403"/>
      <c r="AR84" s="403"/>
      <c r="AS84" s="403"/>
      <c r="AT84" s="403"/>
    </row>
    <row r="85" spans="1:46" s="379" customFormat="1" ht="24.75" customHeight="1">
      <c r="A85" s="403"/>
      <c r="B85" s="445" t="s">
        <v>293</v>
      </c>
      <c r="C85" s="430"/>
      <c r="D85" s="633" t="e" vm="10">
        <v>#VALUE!</v>
      </c>
      <c r="E85" s="633" t="s">
        <v>294</v>
      </c>
      <c r="F85" s="633" t="s">
        <v>295</v>
      </c>
      <c r="G85" s="633" t="s">
        <v>296</v>
      </c>
      <c r="H85" s="392" t="s">
        <v>297</v>
      </c>
      <c r="I85" s="403"/>
      <c r="J85" s="403"/>
      <c r="K85" s="403"/>
      <c r="L85" s="440"/>
      <c r="M85" s="403"/>
      <c r="N85" s="403"/>
      <c r="O85" s="403"/>
      <c r="P85" s="390" t="e" vm="2">
        <f>+DCF!R4</f>
        <v>#VALUE!</v>
      </c>
      <c r="Q85" s="391" t="e" vm="3">
        <f>A6</f>
        <v>#VALUE!</v>
      </c>
      <c r="R85" s="843" t="e" vm="4">
        <f>A7</f>
        <v>#VALUE!</v>
      </c>
      <c r="S85" s="628" t="e" vm="5">
        <f>A8</f>
        <v>#VALUE!</v>
      </c>
      <c r="T85" s="633" t="e" vm="6">
        <f>A9</f>
        <v>#VALUE!</v>
      </c>
      <c r="U85" s="633" t="e" vm="11">
        <f>A10</f>
        <v>#VALUE!</v>
      </c>
      <c r="V85" s="403"/>
      <c r="W85" s="403"/>
      <c r="X85" s="403"/>
      <c r="Y85" s="403"/>
      <c r="Z85" s="403"/>
      <c r="AA85" s="403"/>
      <c r="AB85" s="403"/>
      <c r="AC85" s="403"/>
      <c r="AD85" s="403"/>
      <c r="AE85" s="403"/>
      <c r="AF85" s="403"/>
      <c r="AG85" s="403"/>
      <c r="AH85" s="403"/>
      <c r="AI85" s="403"/>
      <c r="AJ85" s="403"/>
      <c r="AK85" s="403"/>
      <c r="AL85" s="403"/>
      <c r="AM85" s="403"/>
      <c r="AN85" s="403"/>
      <c r="AO85" s="403"/>
      <c r="AP85" s="403"/>
      <c r="AQ85" s="403"/>
      <c r="AR85" s="403"/>
      <c r="AS85" s="403"/>
      <c r="AT85" s="403"/>
    </row>
    <row r="86" spans="1:46" s="379" customFormat="1" ht="3.75" customHeight="1">
      <c r="A86" s="403"/>
      <c r="B86" s="446"/>
      <c r="C86" s="434"/>
      <c r="D86" s="634"/>
      <c r="E86" s="634"/>
      <c r="F86" s="634"/>
      <c r="G86" s="634"/>
      <c r="H86" s="395"/>
      <c r="I86" s="403"/>
      <c r="J86" s="403"/>
      <c r="K86" s="403"/>
      <c r="L86" s="440"/>
      <c r="M86" s="403"/>
      <c r="N86" s="403"/>
      <c r="O86" s="403"/>
      <c r="P86" s="393"/>
      <c r="Q86" s="394"/>
      <c r="R86" s="396"/>
      <c r="S86" s="629"/>
      <c r="T86" s="634"/>
      <c r="U86" s="634"/>
      <c r="V86" s="403"/>
      <c r="W86" s="403"/>
      <c r="X86" s="403"/>
      <c r="Y86" s="403"/>
      <c r="Z86" s="403"/>
      <c r="AA86" s="403"/>
      <c r="AB86" s="403"/>
      <c r="AC86" s="403"/>
      <c r="AD86" s="403"/>
      <c r="AE86" s="403"/>
      <c r="AF86" s="403"/>
      <c r="AG86" s="403"/>
      <c r="AH86" s="403"/>
      <c r="AI86" s="403"/>
      <c r="AJ86" s="403"/>
      <c r="AK86" s="403"/>
      <c r="AL86" s="403"/>
      <c r="AM86" s="403"/>
      <c r="AN86" s="403"/>
      <c r="AO86" s="403"/>
      <c r="AP86" s="403"/>
      <c r="AQ86" s="403"/>
      <c r="AR86" s="403"/>
      <c r="AS86" s="403"/>
      <c r="AT86" s="403"/>
    </row>
    <row r="87" spans="1:46" s="379" customFormat="1" ht="14.25" customHeight="1">
      <c r="A87" s="403"/>
      <c r="B87" s="447" t="str">
        <f>+Inputs!$B$6&amp;" ("&amp;Inputs!O$4&amp;")"</f>
        <v>Revenue (Sales) (2022)</v>
      </c>
      <c r="C87" s="448"/>
      <c r="D87" s="857">
        <v>5671</v>
      </c>
      <c r="E87" s="635"/>
      <c r="F87" s="635"/>
      <c r="G87" s="635"/>
      <c r="H87" s="451"/>
      <c r="I87" s="403"/>
      <c r="J87" s="403"/>
      <c r="K87" s="403"/>
      <c r="L87" s="440"/>
      <c r="M87" s="403"/>
      <c r="N87" s="403"/>
      <c r="O87" s="403"/>
      <c r="P87" s="449">
        <f>+_xlfn.XLOOKUP("Revenue (Sales)",Inputs!$B:$B,Inputs!O:O)</f>
        <v>392.2</v>
      </c>
      <c r="Q87" s="450">
        <v>38260</v>
      </c>
      <c r="R87" s="847">
        <v>17737</v>
      </c>
      <c r="S87" s="856">
        <v>5304</v>
      </c>
      <c r="T87" s="857">
        <v>8631</v>
      </c>
      <c r="U87" s="868">
        <v>8169</v>
      </c>
      <c r="V87" s="403"/>
      <c r="W87" s="403"/>
      <c r="X87" s="403"/>
      <c r="Y87" s="403"/>
      <c r="Z87" s="403"/>
      <c r="AA87" s="403"/>
      <c r="AB87" s="403"/>
      <c r="AC87" s="403"/>
      <c r="AD87" s="403"/>
      <c r="AE87" s="403"/>
      <c r="AF87" s="403"/>
      <c r="AG87" s="403"/>
      <c r="AH87" s="403"/>
      <c r="AI87" s="403"/>
      <c r="AJ87" s="403"/>
      <c r="AK87" s="403"/>
      <c r="AL87" s="403"/>
      <c r="AM87" s="403"/>
      <c r="AN87" s="403"/>
      <c r="AO87" s="403"/>
      <c r="AP87" s="403"/>
      <c r="AQ87" s="403"/>
      <c r="AR87" s="403"/>
      <c r="AS87" s="403"/>
      <c r="AT87" s="403"/>
    </row>
    <row r="88" spans="1:46" s="379" customFormat="1" ht="14.25" customHeight="1">
      <c r="A88" s="403"/>
      <c r="B88" s="452" t="str">
        <f>+Inputs!$B$6&amp;" ("&amp;Inputs!P$4&amp;")"</f>
        <v>Revenue (Sales) (2023)</v>
      </c>
      <c r="C88" s="403"/>
      <c r="D88" s="853">
        <v>3974</v>
      </c>
      <c r="E88" s="636"/>
      <c r="F88" s="636"/>
      <c r="G88" s="636"/>
      <c r="H88" s="455"/>
      <c r="I88" s="403"/>
      <c r="J88" s="403"/>
      <c r="K88" s="403"/>
      <c r="L88" s="440"/>
      <c r="M88" s="403"/>
      <c r="N88" s="403"/>
      <c r="O88" s="403"/>
      <c r="P88" s="453">
        <f>+_xlfn.XLOOKUP("Revenue (Sales)",Inputs!$B:$B,Inputs!P:P)</f>
        <v>578.79999999999995</v>
      </c>
      <c r="Q88" s="454">
        <v>41182</v>
      </c>
      <c r="R88" s="848">
        <v>15910</v>
      </c>
      <c r="S88" s="850">
        <v>5554</v>
      </c>
      <c r="T88" s="853">
        <v>10209</v>
      </c>
      <c r="U88" s="854">
        <v>6939</v>
      </c>
      <c r="V88" s="403"/>
      <c r="W88" s="403"/>
      <c r="X88" s="403"/>
      <c r="Y88" s="403"/>
      <c r="Z88" s="403"/>
      <c r="AA88" s="403"/>
      <c r="AB88" s="403"/>
      <c r="AC88" s="403"/>
      <c r="AD88" s="403"/>
      <c r="AE88" s="403"/>
      <c r="AF88" s="403"/>
      <c r="AG88" s="403"/>
      <c r="AH88" s="403"/>
      <c r="AI88" s="403"/>
      <c r="AJ88" s="403"/>
      <c r="AK88" s="403"/>
      <c r="AL88" s="403"/>
      <c r="AM88" s="403"/>
      <c r="AN88" s="403"/>
      <c r="AO88" s="403"/>
      <c r="AP88" s="403"/>
      <c r="AQ88" s="403"/>
      <c r="AR88" s="403"/>
      <c r="AS88" s="403"/>
      <c r="AT88" s="403"/>
    </row>
    <row r="89" spans="1:46" s="379" customFormat="1" ht="14.25" customHeight="1">
      <c r="A89" s="403"/>
      <c r="B89" s="452" t="s">
        <v>298</v>
      </c>
      <c r="C89" s="403"/>
      <c r="D89" s="852">
        <v>791</v>
      </c>
      <c r="E89" s="636"/>
      <c r="F89" s="636"/>
      <c r="G89" s="636"/>
      <c r="H89" s="455"/>
      <c r="I89" s="403"/>
      <c r="J89" s="403"/>
      <c r="K89" s="403"/>
      <c r="L89" s="440"/>
      <c r="M89" s="403"/>
      <c r="N89" s="403"/>
      <c r="O89" s="403"/>
      <c r="P89" s="453">
        <f>+_xlfn.XLOOKUP("EBITDA",Inputs!$B:$B,Inputs!P:P)</f>
        <v>68.099999999999966</v>
      </c>
      <c r="Q89" s="454">
        <v>8970</v>
      </c>
      <c r="R89" s="848">
        <v>3011</v>
      </c>
      <c r="S89" s="851">
        <v>898</v>
      </c>
      <c r="T89" s="853">
        <v>2207</v>
      </c>
      <c r="U89" s="855">
        <v>805</v>
      </c>
      <c r="V89" s="403"/>
      <c r="W89" s="403"/>
      <c r="X89" s="403"/>
      <c r="Y89" s="403"/>
      <c r="Z89" s="403"/>
      <c r="AA89" s="403"/>
      <c r="AB89" s="403"/>
      <c r="AC89" s="403"/>
      <c r="AD89" s="403"/>
      <c r="AE89" s="403"/>
      <c r="AF89" s="403"/>
      <c r="AG89" s="403"/>
      <c r="AH89" s="403"/>
      <c r="AI89" s="403"/>
      <c r="AJ89" s="403"/>
      <c r="AK89" s="403"/>
      <c r="AL89" s="403"/>
      <c r="AM89" s="403"/>
      <c r="AN89" s="403"/>
      <c r="AO89" s="403"/>
      <c r="AP89" s="403"/>
      <c r="AQ89" s="403"/>
      <c r="AR89" s="403"/>
      <c r="AS89" s="403"/>
      <c r="AT89" s="403"/>
    </row>
    <row r="90" spans="1:46" s="379" customFormat="1" ht="14.25" customHeight="1">
      <c r="A90" s="403"/>
      <c r="B90" s="447" t="s">
        <v>299</v>
      </c>
      <c r="C90" s="448"/>
      <c r="D90" s="859">
        <v>225</v>
      </c>
      <c r="E90" s="635"/>
      <c r="F90" s="635"/>
      <c r="G90" s="635"/>
      <c r="H90" s="451"/>
      <c r="I90" s="403"/>
      <c r="J90" s="403"/>
      <c r="K90" s="403"/>
      <c r="L90" s="440"/>
      <c r="M90" s="403"/>
      <c r="N90" s="403"/>
      <c r="O90" s="403"/>
      <c r="P90" s="449">
        <f>+_xlfn.XLOOKUP("Net Income",Inputs!$B:$B,Inputs!P:P)</f>
        <v>61.499999999999957</v>
      </c>
      <c r="Q90" s="450">
        <v>6184</v>
      </c>
      <c r="R90" s="847">
        <v>1248</v>
      </c>
      <c r="S90" s="858">
        <v>193</v>
      </c>
      <c r="T90" s="857">
        <v>1248</v>
      </c>
      <c r="U90" s="869">
        <v>201</v>
      </c>
      <c r="V90" s="403"/>
      <c r="W90" s="403"/>
      <c r="X90" s="403"/>
      <c r="Y90" s="403"/>
      <c r="Z90" s="403"/>
      <c r="AA90" s="403"/>
      <c r="AB90" s="403"/>
      <c r="AC90" s="403"/>
      <c r="AD90" s="403"/>
      <c r="AE90" s="403"/>
      <c r="AF90" s="403"/>
      <c r="AG90" s="403"/>
      <c r="AH90" s="403"/>
      <c r="AI90" s="403"/>
      <c r="AJ90" s="403"/>
      <c r="AK90" s="403"/>
      <c r="AL90" s="403"/>
      <c r="AM90" s="403"/>
      <c r="AN90" s="403"/>
      <c r="AO90" s="403"/>
      <c r="AP90" s="403"/>
      <c r="AQ90" s="403"/>
      <c r="AR90" s="403"/>
      <c r="AS90" s="403"/>
      <c r="AT90" s="403"/>
    </row>
    <row r="91" spans="1:46" s="379" customFormat="1" ht="14.25" customHeight="1">
      <c r="A91" s="403"/>
      <c r="B91" s="452" t="str">
        <f>+Inputs!$B$6&amp;" ("&amp;Inputs!Q$4&amp;")"</f>
        <v>Revenue (Sales) (2024)</v>
      </c>
      <c r="C91" s="403"/>
      <c r="D91" s="853">
        <v>4487</v>
      </c>
      <c r="E91" s="636"/>
      <c r="F91" s="636"/>
      <c r="G91" s="636"/>
      <c r="H91" s="455"/>
      <c r="I91" s="403"/>
      <c r="J91" s="403"/>
      <c r="K91" s="403"/>
      <c r="L91" s="440"/>
      <c r="M91" s="403"/>
      <c r="N91" s="403"/>
      <c r="O91" s="403"/>
      <c r="P91" s="453">
        <f>+_xlfn.XLOOKUP("Revenue (Sales)",Inputs!$B:$B,Inputs!Q:Q)</f>
        <v>1023.9</v>
      </c>
      <c r="Q91" s="456">
        <v>43486</v>
      </c>
      <c r="R91" s="848">
        <v>15608</v>
      </c>
      <c r="S91" s="850">
        <v>6118</v>
      </c>
      <c r="T91" s="853">
        <v>11207</v>
      </c>
      <c r="U91" s="854">
        <v>6545</v>
      </c>
      <c r="V91" s="403"/>
      <c r="W91" s="403"/>
      <c r="X91" s="403"/>
      <c r="Y91" s="403"/>
      <c r="Z91" s="403"/>
      <c r="AA91" s="403"/>
      <c r="AB91" s="403"/>
      <c r="AC91" s="403"/>
      <c r="AD91" s="403"/>
      <c r="AE91" s="403"/>
      <c r="AF91" s="403"/>
      <c r="AG91" s="403"/>
      <c r="AH91" s="403"/>
      <c r="AI91" s="403"/>
      <c r="AJ91" s="403"/>
      <c r="AK91" s="403"/>
      <c r="AL91" s="403"/>
      <c r="AM91" s="403"/>
      <c r="AN91" s="403"/>
      <c r="AO91" s="403"/>
      <c r="AP91" s="403"/>
      <c r="AQ91" s="403"/>
      <c r="AR91" s="403"/>
      <c r="AS91" s="403"/>
      <c r="AT91" s="403"/>
    </row>
    <row r="92" spans="1:46" s="379" customFormat="1" ht="14.25" customHeight="1">
      <c r="A92" s="403"/>
      <c r="B92" s="457" t="s">
        <v>300</v>
      </c>
      <c r="C92" s="403"/>
      <c r="D92" s="853">
        <v>1560</v>
      </c>
      <c r="E92" s="636"/>
      <c r="F92" s="636"/>
      <c r="G92" s="636"/>
      <c r="H92" s="455"/>
      <c r="I92" s="403"/>
      <c r="J92" s="403"/>
      <c r="K92" s="403"/>
      <c r="L92" s="440"/>
      <c r="M92" s="403"/>
      <c r="N92" s="403"/>
      <c r="O92" s="403"/>
      <c r="P92" s="453">
        <f>+_xlfn.XLOOKUP($B92,Inputs!$B:$B,Inputs!Q:Q)</f>
        <v>299.8</v>
      </c>
      <c r="Q92" s="454">
        <v>11227</v>
      </c>
      <c r="R92" s="848">
        <v>4423</v>
      </c>
      <c r="S92" s="850">
        <v>2142</v>
      </c>
      <c r="T92" s="853">
        <v>6826</v>
      </c>
      <c r="U92" s="854">
        <v>1568</v>
      </c>
      <c r="V92" s="403"/>
      <c r="W92" s="403"/>
      <c r="X92" s="403"/>
      <c r="Y92" s="403"/>
      <c r="Z92" s="403"/>
      <c r="AA92" s="403"/>
      <c r="AB92" s="403"/>
      <c r="AC92" s="403"/>
      <c r="AD92" s="403"/>
      <c r="AE92" s="403"/>
      <c r="AF92" s="403"/>
      <c r="AG92" s="403"/>
      <c r="AH92" s="403"/>
      <c r="AI92" s="403"/>
      <c r="AJ92" s="403"/>
      <c r="AK92" s="403"/>
      <c r="AL92" s="403"/>
      <c r="AM92" s="403"/>
      <c r="AN92" s="403"/>
      <c r="AO92" s="403"/>
      <c r="AP92" s="403"/>
      <c r="AQ92" s="403"/>
      <c r="AR92" s="403"/>
      <c r="AS92" s="403"/>
      <c r="AT92" s="403"/>
    </row>
    <row r="93" spans="1:46" s="379" customFormat="1" ht="14.25" customHeight="1">
      <c r="A93" s="403"/>
      <c r="B93" s="458" t="s">
        <v>301</v>
      </c>
      <c r="C93" s="403"/>
      <c r="D93" s="853">
        <v>2928</v>
      </c>
      <c r="E93" s="846">
        <f>+E91-E92</f>
        <v>0</v>
      </c>
      <c r="F93" s="846">
        <f>+F91-F92</f>
        <v>0</v>
      </c>
      <c r="G93" s="846">
        <f>+G91-G92</f>
        <v>0</v>
      </c>
      <c r="H93" s="459">
        <f>+H91-H92</f>
        <v>0</v>
      </c>
      <c r="I93" s="420"/>
      <c r="J93" s="420"/>
      <c r="K93" s="420"/>
      <c r="L93" s="117"/>
      <c r="M93" s="403"/>
      <c r="N93" s="403"/>
      <c r="O93" s="403"/>
      <c r="P93" s="453">
        <f>+_xlfn.XLOOKUP($B93,Inputs!$B:$B,Inputs!Q:Q)</f>
        <v>724.09999999999991</v>
      </c>
      <c r="Q93" s="845">
        <f>+Q91-Q92</f>
        <v>32259</v>
      </c>
      <c r="R93" s="848">
        <v>11185</v>
      </c>
      <c r="S93" s="850">
        <v>3976</v>
      </c>
      <c r="T93" s="853">
        <v>4381</v>
      </c>
      <c r="U93" s="854">
        <v>4976</v>
      </c>
      <c r="V93" s="403"/>
      <c r="W93" s="403"/>
      <c r="X93" s="403"/>
      <c r="Y93" s="403"/>
      <c r="Z93" s="403"/>
      <c r="AA93" s="403"/>
      <c r="AB93" s="403"/>
      <c r="AC93" s="403"/>
      <c r="AD93" s="403"/>
      <c r="AE93" s="403"/>
      <c r="AF93" s="403"/>
      <c r="AG93" s="403"/>
      <c r="AH93" s="403"/>
      <c r="AI93" s="403"/>
      <c r="AJ93" s="403"/>
      <c r="AK93" s="403"/>
      <c r="AL93" s="403"/>
      <c r="AM93" s="403"/>
      <c r="AN93" s="403"/>
      <c r="AO93" s="403"/>
      <c r="AP93" s="403"/>
      <c r="AQ93" s="403"/>
      <c r="AR93" s="403"/>
      <c r="AS93" s="403"/>
      <c r="AT93" s="403"/>
    </row>
    <row r="94" spans="1:46" s="379" customFormat="1" ht="14.25" customHeight="1">
      <c r="A94" s="403"/>
      <c r="B94" s="457" t="s">
        <v>245</v>
      </c>
      <c r="C94" s="403"/>
      <c r="D94" s="852">
        <v>715</v>
      </c>
      <c r="E94" s="625"/>
      <c r="F94" s="625"/>
      <c r="G94" s="625"/>
      <c r="H94" s="455"/>
      <c r="I94" s="403"/>
      <c r="J94" s="403"/>
      <c r="K94" s="403"/>
      <c r="L94" s="403"/>
      <c r="M94" s="403"/>
      <c r="N94" s="403"/>
      <c r="O94" s="403"/>
      <c r="P94" s="453">
        <f>+_xlfn.XLOOKUP($B94,Inputs!$B:$B,Inputs!Q:Q)</f>
        <v>149.69999999999993</v>
      </c>
      <c r="Q94" s="456">
        <v>9642</v>
      </c>
      <c r="R94" s="848">
        <v>2871</v>
      </c>
      <c r="S94" s="850">
        <v>1060</v>
      </c>
      <c r="T94" s="853">
        <v>2276</v>
      </c>
      <c r="U94" s="855">
        <v>729</v>
      </c>
      <c r="V94" s="403"/>
      <c r="W94" s="403"/>
      <c r="X94" s="403"/>
      <c r="Y94" s="403"/>
      <c r="Z94" s="403"/>
      <c r="AA94" s="403"/>
      <c r="AB94" s="403"/>
      <c r="AC94" s="403"/>
      <c r="AD94" s="403"/>
      <c r="AE94" s="403"/>
      <c r="AF94" s="403"/>
      <c r="AG94" s="403"/>
      <c r="AH94" s="403"/>
      <c r="AI94" s="403"/>
      <c r="AJ94" s="403"/>
      <c r="AK94" s="403"/>
      <c r="AL94" s="403"/>
      <c r="AM94" s="403"/>
      <c r="AN94" s="403"/>
      <c r="AO94" s="403"/>
      <c r="AP94" s="403"/>
      <c r="AQ94" s="403"/>
      <c r="AR94" s="403"/>
      <c r="AS94" s="403"/>
      <c r="AT94" s="403"/>
    </row>
    <row r="95" spans="1:46" s="379" customFormat="1" ht="14.25" customHeight="1">
      <c r="A95" s="403"/>
      <c r="B95" s="457" t="s">
        <v>302</v>
      </c>
      <c r="C95" s="403"/>
      <c r="D95" s="852">
        <v>534</v>
      </c>
      <c r="E95" s="625"/>
      <c r="F95" s="625"/>
      <c r="G95" s="625"/>
      <c r="H95" s="455"/>
      <c r="I95" s="403"/>
      <c r="J95" s="403"/>
      <c r="K95" s="403"/>
      <c r="L95" s="403"/>
      <c r="M95" s="403"/>
      <c r="N95" s="403"/>
      <c r="O95" s="403"/>
      <c r="P95" s="453">
        <f>+_xlfn.XLOOKUP($B95,Inputs!$B:$B,Inputs!Q:Q)</f>
        <v>113.79999999999993</v>
      </c>
      <c r="Q95" s="456">
        <v>8676</v>
      </c>
      <c r="R95" s="848">
        <v>1588</v>
      </c>
      <c r="S95" s="851">
        <v>581</v>
      </c>
      <c r="T95" s="853">
        <v>1689</v>
      </c>
      <c r="U95" s="855">
        <v>229</v>
      </c>
      <c r="V95" s="403"/>
      <c r="W95" s="403"/>
      <c r="X95" s="403"/>
      <c r="Y95" s="403"/>
      <c r="Z95" s="403"/>
      <c r="AA95" s="403"/>
      <c r="AB95" s="403"/>
      <c r="AC95" s="403"/>
      <c r="AD95" s="403"/>
      <c r="AE95" s="403"/>
      <c r="AF95" s="403"/>
      <c r="AG95" s="403"/>
      <c r="AH95" s="403"/>
      <c r="AI95" s="403"/>
      <c r="AJ95" s="403"/>
      <c r="AK95" s="403"/>
      <c r="AL95" s="403"/>
      <c r="AM95" s="403"/>
      <c r="AN95" s="403"/>
      <c r="AO95" s="403"/>
      <c r="AP95" s="403"/>
      <c r="AQ95" s="403"/>
      <c r="AR95" s="403"/>
      <c r="AS95" s="403"/>
      <c r="AT95" s="403"/>
    </row>
    <row r="96" spans="1:46" s="379" customFormat="1" ht="14.25" customHeight="1">
      <c r="A96" s="403"/>
      <c r="B96" s="457" t="s">
        <v>303</v>
      </c>
      <c r="C96" s="403"/>
      <c r="D96" s="852">
        <v>46</v>
      </c>
      <c r="E96" s="625"/>
      <c r="F96" s="639"/>
      <c r="G96" s="639"/>
      <c r="H96" s="459"/>
      <c r="I96" s="403"/>
      <c r="J96" s="403"/>
      <c r="K96" s="403"/>
      <c r="L96" s="403"/>
      <c r="M96" s="403"/>
      <c r="N96" s="403"/>
      <c r="O96" s="403"/>
      <c r="P96" s="453">
        <f>+_xlfn.XLOOKUP($B96,Inputs!$B:$B,Inputs!Q:Q)</f>
        <v>7</v>
      </c>
      <c r="Q96" s="456">
        <v>219</v>
      </c>
      <c r="R96" s="849">
        <v>211</v>
      </c>
      <c r="S96" s="851">
        <v>252</v>
      </c>
      <c r="T96" s="852">
        <v>-18</v>
      </c>
      <c r="U96" s="855">
        <v>-21</v>
      </c>
      <c r="V96" s="403"/>
      <c r="W96" s="403"/>
      <c r="X96" s="403"/>
      <c r="Y96" s="403"/>
      <c r="Z96" s="403"/>
      <c r="AA96" s="403"/>
      <c r="AB96" s="403"/>
      <c r="AC96" s="403"/>
      <c r="AD96" s="403"/>
      <c r="AE96" s="403"/>
      <c r="AF96" s="403"/>
      <c r="AG96" s="403"/>
      <c r="AH96" s="403"/>
      <c r="AI96" s="403"/>
      <c r="AJ96" s="403"/>
      <c r="AK96" s="403"/>
      <c r="AL96" s="403"/>
      <c r="AM96" s="403"/>
      <c r="AN96" s="403"/>
      <c r="AO96" s="403"/>
      <c r="AP96" s="403"/>
      <c r="AQ96" s="403"/>
      <c r="AR96" s="403"/>
      <c r="AS96" s="403"/>
      <c r="AT96" s="403"/>
    </row>
    <row r="97" spans="1:46" s="379" customFormat="1" ht="14.25" customHeight="1">
      <c r="A97" s="403"/>
      <c r="B97" s="457" t="s">
        <v>304</v>
      </c>
      <c r="C97" s="403"/>
      <c r="D97" s="852">
        <v>405</v>
      </c>
      <c r="E97" s="625"/>
      <c r="F97" s="625"/>
      <c r="G97" s="625"/>
      <c r="H97" s="455"/>
      <c r="I97" s="403"/>
      <c r="J97" s="403"/>
      <c r="K97" s="403"/>
      <c r="L97" s="403"/>
      <c r="M97" s="403"/>
      <c r="N97" s="403"/>
      <c r="O97" s="403"/>
      <c r="P97" s="453">
        <f>+_xlfn.XLOOKUP($B97,Inputs!$B:$B,Inputs!Q:Q)</f>
        <v>105.09999999999992</v>
      </c>
      <c r="Q97" s="456">
        <v>8431</v>
      </c>
      <c r="R97" s="848">
        <v>1390</v>
      </c>
      <c r="S97" s="851">
        <v>214</v>
      </c>
      <c r="T97" s="853">
        <v>1707</v>
      </c>
      <c r="U97" s="855">
        <v>171</v>
      </c>
      <c r="V97" s="403"/>
      <c r="W97" s="403"/>
      <c r="X97" s="403"/>
      <c r="Y97" s="403"/>
      <c r="Z97" s="403"/>
      <c r="AA97" s="403"/>
      <c r="AB97" s="403"/>
      <c r="AC97" s="403"/>
      <c r="AD97" s="403"/>
      <c r="AE97" s="403"/>
      <c r="AF97" s="403"/>
      <c r="AG97" s="403"/>
      <c r="AH97" s="403"/>
      <c r="AI97" s="403"/>
      <c r="AJ97" s="403"/>
      <c r="AK97" s="403"/>
      <c r="AL97" s="403"/>
      <c r="AM97" s="403"/>
      <c r="AN97" s="403"/>
      <c r="AO97" s="403"/>
      <c r="AP97" s="403"/>
      <c r="AQ97" s="403"/>
      <c r="AR97" s="403"/>
      <c r="AS97" s="403"/>
      <c r="AT97" s="403"/>
    </row>
    <row r="98" spans="1:46" s="379" customFormat="1" ht="14.25" customHeight="1">
      <c r="A98" s="403"/>
      <c r="B98" s="457" t="s">
        <v>305</v>
      </c>
      <c r="C98" s="403"/>
      <c r="D98" s="852">
        <v>302</v>
      </c>
      <c r="E98" s="625"/>
      <c r="F98" s="625"/>
      <c r="G98" s="625"/>
      <c r="H98" s="455"/>
      <c r="I98" s="403"/>
      <c r="J98" s="403"/>
      <c r="K98" s="403"/>
      <c r="L98" s="403"/>
      <c r="M98" s="403"/>
      <c r="N98" s="403"/>
      <c r="O98" s="403"/>
      <c r="P98" s="453">
        <f>+_xlfn.XLOOKUP($B98,Inputs!$B:$B,Inputs!Q:Q)</f>
        <v>13.3</v>
      </c>
      <c r="Q98" s="456">
        <v>2015</v>
      </c>
      <c r="R98" s="849">
        <v>436</v>
      </c>
      <c r="S98" s="851">
        <v>96</v>
      </c>
      <c r="T98" s="852">
        <v>407</v>
      </c>
      <c r="U98" s="855">
        <v>109</v>
      </c>
      <c r="V98" s="403"/>
      <c r="W98" s="403"/>
      <c r="X98" s="403"/>
      <c r="Y98" s="403"/>
      <c r="Z98" s="403"/>
      <c r="AA98" s="403"/>
      <c r="AB98" s="403"/>
      <c r="AC98" s="403"/>
      <c r="AD98" s="403"/>
      <c r="AE98" s="403"/>
      <c r="AF98" s="403"/>
      <c r="AG98" s="403"/>
      <c r="AH98" s="403"/>
      <c r="AI98" s="403"/>
      <c r="AJ98" s="403"/>
      <c r="AK98" s="403"/>
      <c r="AL98" s="403"/>
      <c r="AM98" s="403"/>
      <c r="AN98" s="403"/>
      <c r="AO98" s="403"/>
      <c r="AP98" s="403"/>
      <c r="AQ98" s="403"/>
      <c r="AR98" s="403"/>
      <c r="AS98" s="403"/>
      <c r="AT98" s="403"/>
    </row>
    <row r="99" spans="1:46" s="379" customFormat="1" ht="14.25" customHeight="1">
      <c r="A99" s="403"/>
      <c r="B99" s="457" t="s">
        <v>306</v>
      </c>
      <c r="C99" s="403"/>
      <c r="D99" s="852">
        <v>103</v>
      </c>
      <c r="E99" s="625"/>
      <c r="F99" s="625"/>
      <c r="G99" s="625"/>
      <c r="H99" s="455"/>
      <c r="I99" s="403"/>
      <c r="J99" s="403"/>
      <c r="K99" s="403"/>
      <c r="L99" s="403"/>
      <c r="M99" s="403"/>
      <c r="N99" s="403"/>
      <c r="O99" s="403"/>
      <c r="P99" s="453">
        <f>+_xlfn.XLOOKUP($B99,Inputs!$B:$B,Inputs!Q:Q)</f>
        <v>127.69999999999993</v>
      </c>
      <c r="Q99" s="456">
        <v>6408</v>
      </c>
      <c r="R99" s="849">
        <v>935</v>
      </c>
      <c r="S99" s="851">
        <v>98</v>
      </c>
      <c r="T99" s="853">
        <v>1300</v>
      </c>
      <c r="U99" s="855">
        <v>52</v>
      </c>
      <c r="V99" s="403"/>
      <c r="W99" s="403"/>
      <c r="X99" s="403"/>
      <c r="Y99" s="403"/>
      <c r="Z99" s="403"/>
      <c r="AA99" s="403"/>
      <c r="AB99" s="403"/>
      <c r="AC99" s="403"/>
      <c r="AD99" s="403"/>
      <c r="AE99" s="403"/>
      <c r="AF99" s="403"/>
      <c r="AG99" s="403"/>
      <c r="AH99" s="403"/>
      <c r="AI99" s="403"/>
      <c r="AJ99" s="403"/>
      <c r="AK99" s="403"/>
      <c r="AL99" s="403"/>
      <c r="AM99" s="403"/>
      <c r="AN99" s="403"/>
      <c r="AO99" s="403"/>
      <c r="AP99" s="403"/>
      <c r="AQ99" s="403"/>
      <c r="AR99" s="403"/>
      <c r="AS99" s="403"/>
      <c r="AT99" s="403"/>
    </row>
    <row r="100" spans="1:46" s="379" customFormat="1" ht="14.25" customHeight="1">
      <c r="A100" s="403"/>
      <c r="B100" s="457" t="s">
        <v>307</v>
      </c>
      <c r="C100" s="403"/>
      <c r="D100" s="852">
        <v>0</v>
      </c>
      <c r="E100" s="637"/>
      <c r="F100" s="637"/>
      <c r="G100" s="637"/>
      <c r="H100" s="461"/>
      <c r="I100" s="403"/>
      <c r="J100" s="403"/>
      <c r="K100" s="403"/>
      <c r="L100" s="403"/>
      <c r="M100" s="403"/>
      <c r="N100" s="403"/>
      <c r="O100" s="403"/>
      <c r="P100" s="453">
        <f>+_xlfn.XLOOKUP($B100,Inputs!$B:$B,Inputs!Q:Q)</f>
        <v>2.33</v>
      </c>
      <c r="Q100" s="460">
        <v>12</v>
      </c>
      <c r="R100" s="849">
        <v>3</v>
      </c>
      <c r="S100" s="851">
        <v>0</v>
      </c>
      <c r="T100" s="852">
        <v>26</v>
      </c>
      <c r="U100" s="855">
        <v>0</v>
      </c>
      <c r="V100" s="403"/>
      <c r="W100" s="403"/>
      <c r="X100" s="403"/>
      <c r="Y100" s="403"/>
      <c r="Z100" s="403"/>
      <c r="AA100" s="403"/>
      <c r="AB100" s="403"/>
      <c r="AC100" s="403"/>
      <c r="AD100" s="403"/>
      <c r="AE100" s="403"/>
      <c r="AF100" s="403"/>
      <c r="AG100" s="403"/>
      <c r="AH100" s="403"/>
      <c r="AI100" s="403"/>
      <c r="AJ100" s="403"/>
      <c r="AK100" s="403"/>
      <c r="AL100" s="403"/>
      <c r="AM100" s="403"/>
      <c r="AN100" s="403"/>
      <c r="AO100" s="403"/>
      <c r="AP100" s="403"/>
      <c r="AQ100" s="403"/>
      <c r="AR100" s="403"/>
      <c r="AS100" s="403"/>
      <c r="AT100" s="403"/>
    </row>
    <row r="101" spans="1:46" s="379" customFormat="1" ht="14.25" customHeight="1">
      <c r="A101" s="403"/>
      <c r="B101" s="457" t="s">
        <v>308</v>
      </c>
      <c r="C101" s="403"/>
      <c r="D101" s="852" t="s">
        <v>309</v>
      </c>
      <c r="E101" s="625"/>
      <c r="F101" s="625"/>
      <c r="G101" s="625"/>
      <c r="H101" s="455"/>
      <c r="I101" s="403"/>
      <c r="J101" s="403"/>
      <c r="K101" s="403"/>
      <c r="L101" s="403"/>
      <c r="M101" s="403"/>
      <c r="N101" s="403"/>
      <c r="O101" s="403"/>
      <c r="P101" s="453">
        <f>+_xlfn.XLOOKUP($B101,Inputs!$B:$B,Inputs!Q:Q)</f>
        <v>0</v>
      </c>
      <c r="Q101" s="456">
        <v>1354</v>
      </c>
      <c r="R101" s="849">
        <v>792</v>
      </c>
      <c r="S101" s="851">
        <v>127</v>
      </c>
      <c r="T101" s="861">
        <v>0</v>
      </c>
      <c r="U101" s="855">
        <v>180</v>
      </c>
      <c r="V101" s="403"/>
      <c r="W101" s="403"/>
      <c r="X101" s="403"/>
      <c r="Y101" s="403"/>
      <c r="Z101" s="403"/>
      <c r="AA101" s="403"/>
      <c r="AB101" s="403"/>
      <c r="AC101" s="403"/>
      <c r="AD101" s="403"/>
      <c r="AE101" s="403"/>
      <c r="AF101" s="403"/>
      <c r="AG101" s="403"/>
      <c r="AH101" s="403"/>
      <c r="AI101" s="403"/>
      <c r="AJ101" s="403"/>
      <c r="AK101" s="403"/>
      <c r="AL101" s="403"/>
      <c r="AM101" s="403"/>
      <c r="AN101" s="403"/>
      <c r="AO101" s="403"/>
      <c r="AP101" s="403"/>
      <c r="AQ101" s="403"/>
      <c r="AR101" s="403"/>
      <c r="AS101" s="403"/>
      <c r="AT101" s="403"/>
    </row>
    <row r="102" spans="1:46" s="379" customFormat="1" ht="3.75" customHeight="1">
      <c r="A102" s="403"/>
      <c r="B102" s="457"/>
      <c r="C102" s="403"/>
      <c r="D102" s="631"/>
      <c r="E102" s="638"/>
      <c r="F102" s="638"/>
      <c r="G102" s="638"/>
      <c r="H102" s="437"/>
      <c r="I102" s="403"/>
      <c r="J102" s="403"/>
      <c r="K102" s="403"/>
      <c r="L102" s="403"/>
      <c r="M102" s="403"/>
      <c r="N102" s="403"/>
      <c r="O102" s="403"/>
      <c r="P102" s="462"/>
      <c r="Q102" s="463"/>
      <c r="R102" s="464"/>
      <c r="S102" s="631"/>
      <c r="T102" s="862"/>
      <c r="U102" s="866"/>
      <c r="V102" s="403"/>
      <c r="W102" s="403"/>
      <c r="X102" s="403"/>
      <c r="Y102" s="403"/>
      <c r="Z102" s="403"/>
      <c r="AA102" s="403"/>
      <c r="AB102" s="403"/>
      <c r="AC102" s="403"/>
      <c r="AD102" s="403"/>
      <c r="AE102" s="403"/>
      <c r="AF102" s="403"/>
      <c r="AG102" s="403"/>
      <c r="AH102" s="403"/>
      <c r="AI102" s="403"/>
      <c r="AJ102" s="403"/>
      <c r="AK102" s="403"/>
      <c r="AL102" s="403"/>
      <c r="AM102" s="403"/>
      <c r="AN102" s="403"/>
      <c r="AO102" s="403"/>
      <c r="AP102" s="403"/>
      <c r="AQ102" s="403"/>
      <c r="AR102" s="403"/>
      <c r="AS102" s="403"/>
      <c r="AT102" s="403"/>
    </row>
    <row r="103" spans="1:46" s="379" customFormat="1" ht="14.25" customHeight="1">
      <c r="A103" s="403"/>
      <c r="B103" s="445" t="s">
        <v>310</v>
      </c>
      <c r="C103" s="430"/>
      <c r="D103" s="632"/>
      <c r="E103" s="626"/>
      <c r="F103" s="626"/>
      <c r="G103" s="626"/>
      <c r="H103" s="468"/>
      <c r="I103" s="403"/>
      <c r="J103" s="403"/>
      <c r="K103" s="403"/>
      <c r="L103" s="403"/>
      <c r="M103" s="403"/>
      <c r="N103" s="403"/>
      <c r="O103" s="403"/>
      <c r="P103" s="465"/>
      <c r="Q103" s="466"/>
      <c r="R103" s="467"/>
      <c r="S103" s="632"/>
      <c r="T103" s="863"/>
      <c r="U103" s="870"/>
      <c r="V103" s="403"/>
      <c r="W103" s="403"/>
      <c r="X103" s="403"/>
      <c r="Y103" s="403"/>
      <c r="Z103" s="403"/>
      <c r="AA103" s="403"/>
      <c r="AB103" s="403"/>
      <c r="AC103" s="403"/>
      <c r="AD103" s="403"/>
      <c r="AE103" s="403"/>
      <c r="AF103" s="403"/>
      <c r="AG103" s="403"/>
      <c r="AH103" s="403"/>
      <c r="AI103" s="403"/>
      <c r="AJ103" s="403"/>
      <c r="AK103" s="403"/>
      <c r="AL103" s="403"/>
      <c r="AM103" s="403"/>
      <c r="AN103" s="403"/>
      <c r="AO103" s="403"/>
      <c r="AP103" s="403"/>
      <c r="AQ103" s="403"/>
      <c r="AR103" s="403"/>
      <c r="AS103" s="403"/>
      <c r="AT103" s="403"/>
    </row>
    <row r="104" spans="1:46" s="379" customFormat="1" ht="3.75" customHeight="1">
      <c r="A104" s="403"/>
      <c r="B104" s="446"/>
      <c r="C104" s="434"/>
      <c r="D104" s="865"/>
      <c r="E104" s="627"/>
      <c r="F104" s="627"/>
      <c r="G104" s="627"/>
      <c r="H104" s="439"/>
      <c r="I104" s="403"/>
      <c r="J104" s="403"/>
      <c r="K104" s="403"/>
      <c r="L104" s="403"/>
      <c r="M104" s="403"/>
      <c r="N104" s="403"/>
      <c r="O104" s="403"/>
      <c r="P104" s="469"/>
      <c r="Q104" s="470"/>
      <c r="R104" s="471"/>
      <c r="S104" s="624"/>
      <c r="T104" s="428"/>
      <c r="U104" s="860"/>
      <c r="V104" s="403"/>
      <c r="W104" s="403"/>
      <c r="X104" s="403"/>
      <c r="Y104" s="403"/>
      <c r="Z104" s="403"/>
      <c r="AA104" s="403"/>
      <c r="AB104" s="403"/>
      <c r="AC104" s="403"/>
      <c r="AD104" s="403"/>
      <c r="AE104" s="403"/>
      <c r="AF104" s="403"/>
      <c r="AG104" s="403"/>
      <c r="AH104" s="403"/>
      <c r="AI104" s="403"/>
      <c r="AJ104" s="403"/>
      <c r="AK104" s="403"/>
      <c r="AL104" s="403"/>
      <c r="AM104" s="403"/>
      <c r="AN104" s="403"/>
      <c r="AO104" s="403"/>
      <c r="AP104" s="403"/>
      <c r="AQ104" s="403"/>
      <c r="AR104" s="403"/>
      <c r="AS104" s="403"/>
      <c r="AT104" s="403"/>
    </row>
    <row r="105" spans="1:46" s="379" customFormat="1" ht="14.25" customHeight="1">
      <c r="A105" s="403"/>
      <c r="B105" s="457" t="s">
        <v>311</v>
      </c>
      <c r="C105" s="403"/>
      <c r="D105" s="852">
        <v>722</v>
      </c>
      <c r="E105" s="625"/>
      <c r="F105" s="625"/>
      <c r="G105" s="625"/>
      <c r="H105" s="455"/>
      <c r="I105" s="403"/>
      <c r="J105" s="403"/>
      <c r="K105" s="403"/>
      <c r="L105" s="403"/>
      <c r="M105" s="403"/>
      <c r="N105" s="403"/>
      <c r="O105" s="403"/>
      <c r="P105" s="453">
        <f>+_xlfn.XLOOKUP($B105,Inputs!$B:$B,Inputs!Q:Q)</f>
        <v>108.2</v>
      </c>
      <c r="Q105" s="456">
        <v>4052</v>
      </c>
      <c r="R105" s="850">
        <v>3395</v>
      </c>
      <c r="S105" s="851">
        <v>301</v>
      </c>
      <c r="T105" s="852">
        <v>767</v>
      </c>
      <c r="U105" s="855">
        <v>781</v>
      </c>
      <c r="V105" s="403"/>
      <c r="W105" s="403"/>
      <c r="X105" s="403"/>
      <c r="Y105" s="403"/>
      <c r="Z105" s="403"/>
      <c r="AA105" s="403"/>
      <c r="AB105" s="403"/>
      <c r="AC105" s="403"/>
      <c r="AD105" s="403"/>
      <c r="AE105" s="403"/>
      <c r="AF105" s="403"/>
      <c r="AG105" s="403"/>
      <c r="AH105" s="403"/>
      <c r="AI105" s="403"/>
      <c r="AJ105" s="403"/>
      <c r="AK105" s="403"/>
      <c r="AL105" s="403"/>
      <c r="AM105" s="403"/>
      <c r="AN105" s="403"/>
      <c r="AO105" s="403"/>
      <c r="AP105" s="403"/>
      <c r="AQ105" s="403"/>
      <c r="AR105" s="403"/>
      <c r="AS105" s="403"/>
      <c r="AT105" s="403"/>
    </row>
    <row r="106" spans="1:46" s="379" customFormat="1" ht="14.25" customHeight="1">
      <c r="A106" s="403"/>
      <c r="B106" s="457" t="s">
        <v>312</v>
      </c>
      <c r="C106" s="403"/>
      <c r="D106" s="852">
        <v>856</v>
      </c>
      <c r="E106" s="625"/>
      <c r="F106" s="625"/>
      <c r="G106" s="625"/>
      <c r="H106" s="455"/>
      <c r="I106" s="403"/>
      <c r="J106" s="403"/>
      <c r="K106" s="403"/>
      <c r="L106" s="403"/>
      <c r="M106" s="403"/>
      <c r="N106" s="403"/>
      <c r="O106" s="403"/>
      <c r="P106" s="453">
        <f>+_xlfn.XLOOKUP($B106,Inputs!$B:$B,Inputs!Q:Q)</f>
        <v>123.8</v>
      </c>
      <c r="Q106" s="456">
        <v>5601</v>
      </c>
      <c r="R106" s="850">
        <v>1727</v>
      </c>
      <c r="S106" s="851">
        <v>442</v>
      </c>
      <c r="T106" s="852">
        <v>208</v>
      </c>
      <c r="U106" s="855">
        <v>933</v>
      </c>
      <c r="V106" s="403"/>
      <c r="W106" s="403"/>
      <c r="X106" s="403"/>
      <c r="Y106" s="403"/>
      <c r="Z106" s="403"/>
      <c r="AA106" s="403"/>
      <c r="AB106" s="403"/>
      <c r="AC106" s="403"/>
      <c r="AD106" s="403"/>
      <c r="AE106" s="403"/>
      <c r="AF106" s="403"/>
      <c r="AG106" s="403"/>
      <c r="AH106" s="403"/>
      <c r="AI106" s="403"/>
      <c r="AJ106" s="403"/>
      <c r="AK106" s="403"/>
      <c r="AL106" s="403"/>
      <c r="AM106" s="403"/>
      <c r="AN106" s="403"/>
      <c r="AO106" s="403"/>
      <c r="AP106" s="403"/>
      <c r="AQ106" s="403"/>
      <c r="AR106" s="403"/>
      <c r="AS106" s="403"/>
      <c r="AT106" s="403"/>
    </row>
    <row r="107" spans="1:46" s="379" customFormat="1" ht="14.25" customHeight="1">
      <c r="A107" s="403"/>
      <c r="B107" s="457" t="s">
        <v>313</v>
      </c>
      <c r="C107" s="403"/>
      <c r="D107" s="852">
        <v>636</v>
      </c>
      <c r="E107" s="625"/>
      <c r="F107" s="625"/>
      <c r="G107" s="625"/>
      <c r="H107" s="455"/>
      <c r="I107" s="403"/>
      <c r="J107" s="403"/>
      <c r="K107" s="403"/>
      <c r="L107" s="403"/>
      <c r="M107" s="403"/>
      <c r="N107" s="403"/>
      <c r="O107" s="403"/>
      <c r="P107" s="453">
        <f>+_xlfn.XLOOKUP("Inventory",Inputs!$B:$B,Inputs!P:P)</f>
        <v>81.3</v>
      </c>
      <c r="Q107" s="456">
        <v>4482</v>
      </c>
      <c r="R107" s="850">
        <v>2979</v>
      </c>
      <c r="S107" s="851">
        <v>853</v>
      </c>
      <c r="T107" s="853">
        <v>1603</v>
      </c>
      <c r="U107" s="854">
        <v>1063</v>
      </c>
      <c r="V107" s="403"/>
      <c r="W107" s="403"/>
      <c r="X107" s="403"/>
      <c r="Y107" s="403"/>
      <c r="Z107" s="403"/>
      <c r="AA107" s="403"/>
      <c r="AB107" s="403"/>
      <c r="AC107" s="403"/>
      <c r="AD107" s="403"/>
      <c r="AE107" s="403"/>
      <c r="AF107" s="403"/>
      <c r="AG107" s="403"/>
      <c r="AH107" s="403"/>
      <c r="AI107" s="403"/>
      <c r="AJ107" s="403"/>
      <c r="AK107" s="403"/>
      <c r="AL107" s="403"/>
      <c r="AM107" s="403"/>
      <c r="AN107" s="403"/>
      <c r="AO107" s="403"/>
      <c r="AP107" s="403"/>
      <c r="AQ107" s="403"/>
      <c r="AR107" s="403"/>
      <c r="AS107" s="403"/>
      <c r="AT107" s="403"/>
    </row>
    <row r="108" spans="1:46" s="379" customFormat="1" ht="14.25" customHeight="1">
      <c r="A108" s="403"/>
      <c r="B108" s="457" t="s">
        <v>314</v>
      </c>
      <c r="C108" s="403"/>
      <c r="D108" s="852">
        <v>547</v>
      </c>
      <c r="E108" s="625"/>
      <c r="F108" s="625"/>
      <c r="G108" s="625"/>
      <c r="H108" s="455"/>
      <c r="I108" s="403"/>
      <c r="J108" s="403"/>
      <c r="K108" s="403"/>
      <c r="L108" s="403"/>
      <c r="M108" s="403"/>
      <c r="N108" s="403"/>
      <c r="O108" s="403"/>
      <c r="P108" s="453">
        <f>+_xlfn.XLOOKUP("Inventory",Inputs!$B:$B,Inputs!Q:Q)</f>
        <v>191.5</v>
      </c>
      <c r="Q108" s="456">
        <v>4630</v>
      </c>
      <c r="R108" s="850">
        <v>2175</v>
      </c>
      <c r="S108" s="851">
        <v>764</v>
      </c>
      <c r="T108" s="853">
        <v>1742</v>
      </c>
      <c r="U108" s="854">
        <v>1020</v>
      </c>
      <c r="V108" s="403"/>
      <c r="W108" s="403"/>
      <c r="X108" s="403"/>
      <c r="Y108" s="403"/>
      <c r="Z108" s="403"/>
      <c r="AA108" s="403"/>
      <c r="AB108" s="403"/>
      <c r="AC108" s="403"/>
      <c r="AD108" s="403"/>
      <c r="AE108" s="403"/>
      <c r="AF108" s="403"/>
      <c r="AG108" s="403"/>
      <c r="AH108" s="403"/>
      <c r="AI108" s="403"/>
      <c r="AJ108" s="403"/>
      <c r="AK108" s="403"/>
      <c r="AL108" s="403"/>
      <c r="AM108" s="403"/>
      <c r="AN108" s="403"/>
      <c r="AO108" s="403"/>
      <c r="AP108" s="403"/>
      <c r="AQ108" s="403"/>
      <c r="AR108" s="403"/>
      <c r="AS108" s="403"/>
      <c r="AT108" s="403"/>
    </row>
    <row r="109" spans="1:46" s="379" customFormat="1" ht="14.25" customHeight="1">
      <c r="A109" s="403"/>
      <c r="B109" s="457" t="s">
        <v>315</v>
      </c>
      <c r="C109" s="403"/>
      <c r="D109" s="853">
        <v>2453</v>
      </c>
      <c r="E109" s="625"/>
      <c r="F109" s="625"/>
      <c r="G109" s="625"/>
      <c r="H109" s="455"/>
      <c r="I109" s="403"/>
      <c r="J109" s="403"/>
      <c r="K109" s="403"/>
      <c r="L109" s="403"/>
      <c r="M109" s="403"/>
      <c r="N109" s="403"/>
      <c r="O109" s="403"/>
      <c r="P109" s="453">
        <f>+_xlfn.XLOOKUP($B109,Inputs!$B:$B,Inputs!Q:Q)</f>
        <v>477.1</v>
      </c>
      <c r="Q109" s="456">
        <v>16473</v>
      </c>
      <c r="R109" s="850">
        <v>7922</v>
      </c>
      <c r="S109" s="850">
        <v>1964</v>
      </c>
      <c r="T109" s="853">
        <v>2837</v>
      </c>
      <c r="U109" s="854">
        <v>3036</v>
      </c>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row>
    <row r="110" spans="1:46" s="379" customFormat="1" ht="14.25" customHeight="1">
      <c r="A110" s="403"/>
      <c r="B110" s="457" t="s">
        <v>316</v>
      </c>
      <c r="C110" s="403"/>
      <c r="D110" s="852">
        <v>735</v>
      </c>
      <c r="E110" s="625"/>
      <c r="F110" s="625"/>
      <c r="G110" s="625"/>
      <c r="H110" s="455"/>
      <c r="I110" s="403"/>
      <c r="J110" s="403"/>
      <c r="K110" s="403"/>
      <c r="L110" s="403"/>
      <c r="M110" s="403"/>
      <c r="N110" s="403"/>
      <c r="O110" s="403"/>
      <c r="P110" s="453">
        <f>+_xlfn.XLOOKUP($B110,Inputs!$B:$B,Inputs!Q:Q)</f>
        <v>41.4</v>
      </c>
      <c r="Q110" s="456">
        <v>5965</v>
      </c>
      <c r="R110" s="850">
        <v>4969</v>
      </c>
      <c r="S110" s="851">
        <v>974</v>
      </c>
      <c r="T110" s="853">
        <v>2757</v>
      </c>
      <c r="U110" s="854">
        <v>2537</v>
      </c>
      <c r="V110" s="403"/>
      <c r="W110" s="403"/>
      <c r="X110" s="403"/>
      <c r="Y110" s="403"/>
      <c r="Z110" s="403"/>
      <c r="AA110" s="403"/>
      <c r="AB110" s="403"/>
      <c r="AC110" s="403"/>
      <c r="AD110" s="403"/>
      <c r="AE110" s="403"/>
      <c r="AF110" s="403"/>
      <c r="AG110" s="403"/>
      <c r="AH110" s="403"/>
      <c r="AI110" s="403"/>
      <c r="AJ110" s="403"/>
      <c r="AK110" s="403"/>
      <c r="AL110" s="403"/>
      <c r="AM110" s="403"/>
      <c r="AN110" s="403"/>
      <c r="AO110" s="403"/>
      <c r="AP110" s="403"/>
      <c r="AQ110" s="403"/>
      <c r="AR110" s="403"/>
      <c r="AS110" s="403"/>
      <c r="AT110" s="403"/>
    </row>
    <row r="111" spans="1:46" s="379" customFormat="1" ht="14.25" customHeight="1">
      <c r="A111" s="403"/>
      <c r="B111" s="457" t="s">
        <v>317</v>
      </c>
      <c r="C111" s="472"/>
      <c r="D111" s="853">
        <v>6018</v>
      </c>
      <c r="E111" s="625"/>
      <c r="F111" s="625"/>
      <c r="G111" s="625"/>
      <c r="H111" s="455"/>
      <c r="I111" s="403"/>
      <c r="J111" s="403"/>
      <c r="K111" s="403"/>
      <c r="L111" s="403"/>
      <c r="M111" s="403"/>
      <c r="N111" s="403"/>
      <c r="O111" s="403"/>
      <c r="P111" s="473">
        <f>+_xlfn.XLOOKUP($B111,Inputs!$B:$B,Inputs!Q:Q)</f>
        <v>1129.3000000000002</v>
      </c>
      <c r="Q111" s="456">
        <v>56353</v>
      </c>
      <c r="R111" s="850">
        <v>21677</v>
      </c>
      <c r="S111" s="850">
        <v>12083</v>
      </c>
      <c r="T111" s="853">
        <v>5707</v>
      </c>
      <c r="U111" s="854">
        <v>8463</v>
      </c>
      <c r="V111" s="403"/>
      <c r="W111" s="403"/>
      <c r="X111" s="403"/>
      <c r="Y111" s="403"/>
      <c r="Z111" s="403"/>
      <c r="AA111" s="403"/>
      <c r="AB111" s="403"/>
      <c r="AC111" s="403"/>
      <c r="AD111" s="403"/>
      <c r="AE111" s="403"/>
      <c r="AF111" s="403"/>
      <c r="AG111" s="403"/>
      <c r="AH111" s="403"/>
      <c r="AI111" s="403"/>
      <c r="AJ111" s="403"/>
      <c r="AK111" s="403"/>
      <c r="AL111" s="403"/>
      <c r="AM111" s="403"/>
      <c r="AN111" s="403"/>
      <c r="AO111" s="403"/>
      <c r="AP111" s="403"/>
      <c r="AQ111" s="403"/>
      <c r="AR111" s="403"/>
      <c r="AS111" s="403"/>
      <c r="AT111" s="403"/>
    </row>
    <row r="112" spans="1:46" s="379" customFormat="1" ht="14.25" customHeight="1">
      <c r="A112" s="403"/>
      <c r="B112" s="457" t="s">
        <v>318</v>
      </c>
      <c r="C112" s="403"/>
      <c r="D112" s="853">
        <v>1341</v>
      </c>
      <c r="E112" s="625"/>
      <c r="F112" s="625"/>
      <c r="G112" s="625"/>
      <c r="H112" s="455"/>
      <c r="I112" s="403"/>
      <c r="J112" s="403"/>
      <c r="K112" s="403"/>
      <c r="L112" s="403"/>
      <c r="M112" s="403"/>
      <c r="N112" s="403"/>
      <c r="O112" s="403"/>
      <c r="P112" s="453">
        <f>+_xlfn.XLOOKUP($B112,Inputs!$B:$B,Inputs!Q:Q)</f>
        <v>81.099999999999994</v>
      </c>
      <c r="Q112" s="456">
        <v>6468</v>
      </c>
      <c r="R112" s="850">
        <v>4674</v>
      </c>
      <c r="S112" s="850">
        <v>2358</v>
      </c>
      <c r="T112" s="852">
        <v>938</v>
      </c>
      <c r="U112" s="854">
        <v>1387</v>
      </c>
      <c r="V112" s="403"/>
      <c r="W112" s="403"/>
      <c r="X112" s="403"/>
      <c r="Y112" s="403"/>
      <c r="Z112" s="403"/>
      <c r="AA112" s="403"/>
      <c r="AB112" s="403"/>
      <c r="AC112" s="403"/>
      <c r="AD112" s="403"/>
      <c r="AE112" s="403"/>
      <c r="AF112" s="403"/>
      <c r="AG112" s="403"/>
      <c r="AH112" s="403"/>
      <c r="AI112" s="403"/>
      <c r="AJ112" s="403"/>
      <c r="AK112" s="403"/>
      <c r="AL112" s="403"/>
      <c r="AM112" s="403"/>
      <c r="AN112" s="403"/>
      <c r="AO112" s="403"/>
      <c r="AP112" s="403"/>
      <c r="AQ112" s="403"/>
      <c r="AR112" s="403"/>
      <c r="AS112" s="403"/>
      <c r="AT112" s="403"/>
    </row>
    <row r="113" spans="1:46" s="379" customFormat="1" ht="14.25" customHeight="1">
      <c r="A113" s="403"/>
      <c r="B113" s="457" t="s">
        <v>319</v>
      </c>
      <c r="C113" s="403"/>
      <c r="D113" s="853">
        <v>1557</v>
      </c>
      <c r="E113" s="625"/>
      <c r="F113" s="625"/>
      <c r="G113" s="625"/>
      <c r="H113" s="455"/>
      <c r="I113" s="403"/>
      <c r="J113" s="403"/>
      <c r="K113" s="403"/>
      <c r="L113" s="403"/>
      <c r="M113" s="403"/>
      <c r="N113" s="403"/>
      <c r="O113" s="403"/>
      <c r="P113" s="453">
        <f>+_xlfn.XLOOKUP($B113,Inputs!$B:$B,Inputs!Q:Q)</f>
        <v>299.10000000000002</v>
      </c>
      <c r="Q113" s="456">
        <v>14636</v>
      </c>
      <c r="R113" s="850">
        <v>5702</v>
      </c>
      <c r="S113" s="850">
        <v>2602</v>
      </c>
      <c r="T113" s="853">
        <v>1658</v>
      </c>
      <c r="U113" s="854">
        <v>2533</v>
      </c>
      <c r="V113" s="403"/>
      <c r="W113" s="403"/>
      <c r="X113" s="403"/>
      <c r="Y113" s="403"/>
      <c r="Z113" s="403"/>
      <c r="AA113" s="403"/>
      <c r="AB113" s="403"/>
      <c r="AC113" s="403"/>
      <c r="AD113" s="403"/>
      <c r="AE113" s="403"/>
      <c r="AF113" s="403"/>
      <c r="AG113" s="403"/>
      <c r="AH113" s="403"/>
      <c r="AI113" s="403"/>
      <c r="AJ113" s="403"/>
      <c r="AK113" s="403"/>
      <c r="AL113" s="403"/>
      <c r="AM113" s="403"/>
      <c r="AN113" s="403"/>
      <c r="AO113" s="403"/>
      <c r="AP113" s="403"/>
      <c r="AQ113" s="403"/>
      <c r="AR113" s="403"/>
      <c r="AS113" s="403"/>
      <c r="AT113" s="403"/>
    </row>
    <row r="114" spans="1:46" s="379" customFormat="1" ht="14.25" customHeight="1">
      <c r="A114" s="403"/>
      <c r="B114" s="457" t="s">
        <v>320</v>
      </c>
      <c r="C114" s="403"/>
      <c r="D114" s="853">
        <v>1225</v>
      </c>
      <c r="E114" s="625"/>
      <c r="F114" s="625"/>
      <c r="G114" s="625"/>
      <c r="H114" s="455"/>
      <c r="I114" s="403"/>
      <c r="J114" s="403"/>
      <c r="K114" s="403"/>
      <c r="L114" s="403"/>
      <c r="M114" s="403"/>
      <c r="N114" s="403"/>
      <c r="O114" s="403"/>
      <c r="P114" s="453">
        <f>+_xlfn.XLOOKUP($B114,Inputs!$B:$B,Inputs!Q:Q)</f>
        <v>183.3</v>
      </c>
      <c r="Q114" s="456">
        <v>5187</v>
      </c>
      <c r="R114" s="850">
        <v>8968</v>
      </c>
      <c r="S114" s="850">
        <v>4061</v>
      </c>
      <c r="T114" s="853">
        <v>1627</v>
      </c>
      <c r="U114" s="854">
        <v>1493</v>
      </c>
      <c r="V114" s="403"/>
      <c r="W114" s="403"/>
      <c r="X114" s="403"/>
      <c r="Y114" s="403"/>
      <c r="Z114" s="403"/>
      <c r="AA114" s="403"/>
      <c r="AB114" s="403"/>
      <c r="AC114" s="403"/>
      <c r="AD114" s="403"/>
      <c r="AE114" s="403"/>
      <c r="AF114" s="403"/>
      <c r="AG114" s="403"/>
      <c r="AH114" s="403"/>
      <c r="AI114" s="403"/>
      <c r="AJ114" s="403"/>
      <c r="AK114" s="403"/>
      <c r="AL114" s="403"/>
      <c r="AM114" s="403"/>
      <c r="AN114" s="403"/>
      <c r="AO114" s="403"/>
      <c r="AP114" s="403"/>
      <c r="AQ114" s="403"/>
      <c r="AR114" s="403"/>
      <c r="AS114" s="403"/>
      <c r="AT114" s="403"/>
    </row>
    <row r="115" spans="1:46" s="379" customFormat="1" ht="14.25" customHeight="1">
      <c r="A115" s="403"/>
      <c r="B115" s="457" t="s">
        <v>321</v>
      </c>
      <c r="C115" s="403"/>
      <c r="D115" s="853">
        <v>1267</v>
      </c>
      <c r="E115" s="625"/>
      <c r="F115" s="625"/>
      <c r="G115" s="625"/>
      <c r="H115" s="455"/>
      <c r="I115" s="403"/>
      <c r="J115" s="403"/>
      <c r="K115" s="403"/>
      <c r="L115" s="403"/>
      <c r="M115" s="403"/>
      <c r="N115" s="403"/>
      <c r="O115" s="403"/>
      <c r="P115" s="453">
        <f>+_xlfn.XLOOKUP($B115,Inputs!$B:$B,Inputs!Q:Q,,,-1)</f>
        <v>190.3</v>
      </c>
      <c r="Q115" s="456">
        <v>8495</v>
      </c>
      <c r="R115" s="850">
        <v>9830</v>
      </c>
      <c r="S115" s="850">
        <v>4121</v>
      </c>
      <c r="T115" s="853">
        <v>1911</v>
      </c>
      <c r="U115" s="854">
        <v>2308</v>
      </c>
      <c r="V115" s="403"/>
      <c r="W115" s="403"/>
      <c r="X115" s="403"/>
      <c r="Y115" s="403"/>
      <c r="Z115" s="403"/>
      <c r="AA115" s="403"/>
      <c r="AB115" s="403"/>
      <c r="AC115" s="403"/>
      <c r="AD115" s="403"/>
      <c r="AE115" s="403"/>
      <c r="AF115" s="403"/>
      <c r="AG115" s="403"/>
      <c r="AH115" s="403"/>
      <c r="AI115" s="403"/>
      <c r="AJ115" s="403"/>
      <c r="AK115" s="403"/>
      <c r="AL115" s="403"/>
      <c r="AM115" s="403"/>
      <c r="AN115" s="403"/>
      <c r="AO115" s="403"/>
      <c r="AP115" s="403"/>
      <c r="AQ115" s="403"/>
      <c r="AR115" s="403"/>
      <c r="AS115" s="403"/>
      <c r="AT115" s="403"/>
    </row>
    <row r="116" spans="1:46" s="379" customFormat="1" ht="14.25" customHeight="1">
      <c r="A116" s="403"/>
      <c r="B116" s="457" t="s">
        <v>322</v>
      </c>
      <c r="C116" s="403"/>
      <c r="D116" s="853">
        <v>2540</v>
      </c>
      <c r="E116" s="625"/>
      <c r="F116" s="625"/>
      <c r="G116" s="625"/>
      <c r="H116" s="455"/>
      <c r="I116" s="403"/>
      <c r="J116" s="403"/>
      <c r="K116" s="403"/>
      <c r="L116" s="403"/>
      <c r="M116" s="403"/>
      <c r="N116" s="403"/>
      <c r="O116" s="403"/>
      <c r="P116" s="453">
        <f>+_xlfn.XLOOKUP($B116,Inputs!$B:$B,Inputs!Q:Q)</f>
        <v>642.60000000000014</v>
      </c>
      <c r="Q116" s="844">
        <v>33137</v>
      </c>
      <c r="R116" s="854">
        <v>5314</v>
      </c>
      <c r="S116" s="850">
        <v>4248</v>
      </c>
      <c r="T116" s="853">
        <v>2279</v>
      </c>
      <c r="U116" s="854">
        <v>4160</v>
      </c>
      <c r="V116" s="403"/>
      <c r="W116" s="403"/>
      <c r="X116" s="403"/>
      <c r="Y116" s="403"/>
      <c r="Z116" s="403"/>
      <c r="AA116" s="403"/>
      <c r="AB116" s="403"/>
      <c r="AC116" s="403"/>
      <c r="AD116" s="403"/>
      <c r="AE116" s="403"/>
      <c r="AF116" s="403"/>
      <c r="AG116" s="403"/>
      <c r="AH116" s="403"/>
      <c r="AI116" s="403"/>
      <c r="AJ116" s="403"/>
      <c r="AK116" s="403"/>
      <c r="AL116" s="403"/>
      <c r="AM116" s="403"/>
      <c r="AN116" s="403"/>
      <c r="AO116" s="403"/>
      <c r="AP116" s="403"/>
      <c r="AQ116" s="403"/>
      <c r="AR116" s="403"/>
      <c r="AS116" s="403"/>
      <c r="AT116" s="403"/>
    </row>
    <row r="117" spans="1:46" s="379" customFormat="1" ht="3.95" customHeight="1">
      <c r="A117" s="403"/>
      <c r="B117" s="457"/>
      <c r="C117" s="403"/>
      <c r="D117" s="630"/>
      <c r="E117" s="625"/>
      <c r="F117" s="625"/>
      <c r="G117" s="625"/>
      <c r="H117" s="455"/>
      <c r="I117" s="403"/>
      <c r="J117" s="403"/>
      <c r="K117" s="403"/>
      <c r="L117" s="403"/>
      <c r="M117" s="403"/>
      <c r="N117" s="403"/>
      <c r="O117" s="403"/>
      <c r="P117" s="622"/>
      <c r="Q117" s="456"/>
      <c r="R117" s="625"/>
      <c r="S117" s="630"/>
      <c r="T117" s="864">
        <v>52</v>
      </c>
      <c r="U117" s="867"/>
      <c r="V117" s="403"/>
      <c r="W117" s="403"/>
      <c r="X117" s="403"/>
      <c r="Y117" s="403"/>
      <c r="Z117" s="403"/>
      <c r="AA117" s="403"/>
      <c r="AB117" s="403"/>
      <c r="AC117" s="403"/>
      <c r="AD117" s="403"/>
      <c r="AE117" s="403"/>
      <c r="AF117" s="403"/>
      <c r="AG117" s="403"/>
      <c r="AH117" s="403"/>
      <c r="AI117" s="403"/>
      <c r="AJ117" s="403"/>
      <c r="AK117" s="403"/>
      <c r="AL117" s="403"/>
      <c r="AM117" s="403"/>
      <c r="AN117" s="403"/>
      <c r="AO117" s="403"/>
      <c r="AP117" s="403"/>
      <c r="AQ117" s="403"/>
      <c r="AR117" s="403"/>
      <c r="AS117" s="403"/>
      <c r="AT117" s="403"/>
    </row>
    <row r="118" spans="1:46" s="379" customFormat="1" ht="14.25" customHeight="1">
      <c r="A118" s="403"/>
      <c r="B118" s="445" t="s">
        <v>323</v>
      </c>
      <c r="C118" s="430"/>
      <c r="D118" s="632"/>
      <c r="E118" s="626"/>
      <c r="F118" s="626"/>
      <c r="G118" s="626"/>
      <c r="H118" s="468"/>
      <c r="I118" s="403"/>
      <c r="J118" s="403"/>
      <c r="K118" s="403"/>
      <c r="L118" s="403"/>
      <c r="M118" s="403"/>
      <c r="N118" s="403"/>
      <c r="O118" s="403"/>
      <c r="P118" s="623"/>
      <c r="Q118" s="626"/>
      <c r="R118" s="626"/>
      <c r="S118" s="632"/>
      <c r="T118" s="863"/>
      <c r="U118" s="870"/>
      <c r="V118" s="403"/>
      <c r="W118" s="403"/>
      <c r="X118" s="403"/>
      <c r="Y118" s="403"/>
      <c r="Z118" s="403"/>
      <c r="AA118" s="403"/>
      <c r="AB118" s="403"/>
      <c r="AC118" s="403"/>
      <c r="AD118" s="403"/>
      <c r="AE118" s="403"/>
      <c r="AF118" s="403"/>
      <c r="AG118" s="403"/>
      <c r="AH118" s="403"/>
      <c r="AI118" s="403"/>
      <c r="AJ118" s="403"/>
      <c r="AK118" s="403"/>
      <c r="AL118" s="403"/>
      <c r="AM118" s="403"/>
      <c r="AN118" s="403"/>
      <c r="AO118" s="403"/>
      <c r="AP118" s="403"/>
      <c r="AQ118" s="403"/>
      <c r="AR118" s="403"/>
      <c r="AS118" s="403"/>
      <c r="AT118" s="403"/>
    </row>
    <row r="119" spans="1:46" s="379" customFormat="1" ht="3.95" customHeight="1">
      <c r="A119" s="403"/>
      <c r="B119" s="446"/>
      <c r="C119" s="434"/>
      <c r="D119" s="624"/>
      <c r="E119" s="627"/>
      <c r="F119" s="627"/>
      <c r="G119" s="627"/>
      <c r="H119" s="439"/>
      <c r="I119" s="403"/>
      <c r="J119" s="403"/>
      <c r="K119" s="403"/>
      <c r="L119" s="403"/>
      <c r="M119" s="403"/>
      <c r="N119" s="403"/>
      <c r="O119" s="403"/>
      <c r="P119" s="624"/>
      <c r="Q119" s="624"/>
      <c r="R119" s="627"/>
      <c r="S119" s="624"/>
      <c r="T119" s="428"/>
      <c r="U119" s="860"/>
      <c r="V119" s="403"/>
      <c r="W119" s="403"/>
      <c r="X119" s="403"/>
      <c r="Y119" s="403"/>
      <c r="Z119" s="403"/>
      <c r="AA119" s="403"/>
      <c r="AB119" s="403"/>
      <c r="AC119" s="403"/>
      <c r="AD119" s="403"/>
      <c r="AE119" s="403"/>
      <c r="AF119" s="403"/>
      <c r="AG119" s="403"/>
      <c r="AH119" s="403"/>
      <c r="AI119" s="403"/>
      <c r="AJ119" s="403"/>
      <c r="AK119" s="403"/>
      <c r="AL119" s="403"/>
      <c r="AM119" s="403"/>
      <c r="AN119" s="403"/>
      <c r="AO119" s="403"/>
      <c r="AP119" s="403"/>
      <c r="AQ119" s="403"/>
      <c r="AR119" s="403"/>
      <c r="AS119" s="403"/>
      <c r="AT119" s="403"/>
    </row>
    <row r="120" spans="1:46" s="379" customFormat="1" ht="14.25" customHeight="1">
      <c r="A120" s="403"/>
      <c r="B120" s="457" t="s">
        <v>324</v>
      </c>
      <c r="C120" s="403"/>
      <c r="D120" s="852">
        <v>-476</v>
      </c>
      <c r="E120" s="625"/>
      <c r="F120" s="625"/>
      <c r="G120" s="625"/>
      <c r="H120" s="455"/>
      <c r="I120" s="403"/>
      <c r="J120" s="403"/>
      <c r="K120" s="403"/>
      <c r="L120" s="403"/>
      <c r="M120" s="403"/>
      <c r="N120" s="403"/>
      <c r="O120" s="403"/>
      <c r="P120" s="453">
        <f>+_xlfn.XLOOKUP($B120,Inputs!$B:$B,Inputs!Q:Q)</f>
        <v>71.2</v>
      </c>
      <c r="Q120" s="625">
        <v>8286</v>
      </c>
      <c r="R120" s="853">
        <v>2360</v>
      </c>
      <c r="S120" s="855">
        <v>615</v>
      </c>
      <c r="T120" s="853">
        <v>1476</v>
      </c>
      <c r="U120" s="855">
        <v>320</v>
      </c>
      <c r="V120" s="403"/>
      <c r="W120" s="403"/>
      <c r="X120" s="403"/>
      <c r="Y120" s="403"/>
      <c r="Z120" s="403"/>
      <c r="AA120" s="403"/>
      <c r="AB120" s="403"/>
      <c r="AC120" s="403"/>
      <c r="AD120" s="403"/>
      <c r="AE120" s="403"/>
      <c r="AF120" s="403"/>
      <c r="AG120" s="403"/>
      <c r="AH120" s="403"/>
      <c r="AI120" s="403"/>
      <c r="AJ120" s="403"/>
      <c r="AK120" s="403"/>
      <c r="AL120" s="403"/>
      <c r="AM120" s="403"/>
      <c r="AN120" s="403"/>
      <c r="AO120" s="403"/>
      <c r="AP120" s="403"/>
      <c r="AQ120" s="403"/>
      <c r="AR120" s="403"/>
      <c r="AS120" s="403"/>
      <c r="AT120" s="403"/>
    </row>
    <row r="121" spans="1:46" s="379" customFormat="1" ht="14.25" customHeight="1">
      <c r="A121" s="403"/>
      <c r="B121" s="457" t="s">
        <v>30</v>
      </c>
      <c r="C121" s="403"/>
      <c r="D121" s="852">
        <v>-97</v>
      </c>
      <c r="E121" s="625"/>
      <c r="F121" s="625"/>
      <c r="G121" s="625"/>
      <c r="H121" s="455"/>
      <c r="I121" s="403"/>
      <c r="J121" s="403"/>
      <c r="K121" s="403"/>
      <c r="L121" s="403"/>
      <c r="M121" s="403"/>
      <c r="N121" s="403"/>
      <c r="O121" s="403"/>
      <c r="P121" s="453">
        <f>+_xlfn.XLOOKUP($B121,Inputs!$B:$B,Inputs!Q:Q)</f>
        <v>-8.6999999999999993</v>
      </c>
      <c r="Q121" s="625">
        <v>-1641</v>
      </c>
      <c r="R121" s="852">
        <v>-919</v>
      </c>
      <c r="S121" s="855">
        <v>-226</v>
      </c>
      <c r="T121" s="852">
        <v>-435</v>
      </c>
      <c r="U121" s="855">
        <v>-325</v>
      </c>
      <c r="V121" s="403"/>
      <c r="W121" s="403"/>
      <c r="X121" s="403"/>
      <c r="Y121" s="403"/>
      <c r="Z121" s="403"/>
      <c r="AA121" s="403"/>
      <c r="AB121" s="403"/>
      <c r="AC121" s="403"/>
      <c r="AD121" s="403"/>
      <c r="AE121" s="403"/>
      <c r="AF121" s="403"/>
      <c r="AG121" s="403"/>
      <c r="AH121" s="403"/>
      <c r="AI121" s="403"/>
      <c r="AJ121" s="403"/>
      <c r="AK121" s="403"/>
      <c r="AL121" s="403"/>
      <c r="AM121" s="403"/>
      <c r="AN121" s="403"/>
      <c r="AO121" s="403"/>
      <c r="AP121" s="403"/>
      <c r="AQ121" s="403"/>
      <c r="AR121" s="403"/>
      <c r="AS121" s="403"/>
      <c r="AT121" s="403"/>
    </row>
    <row r="122" spans="1:46" s="379" customFormat="1" ht="14.25" customHeight="1">
      <c r="A122" s="403"/>
      <c r="B122" s="457" t="s">
        <v>325</v>
      </c>
      <c r="C122" s="403"/>
      <c r="D122" s="852">
        <v>424</v>
      </c>
      <c r="E122" s="625"/>
      <c r="F122" s="625"/>
      <c r="G122" s="625"/>
      <c r="H122" s="455"/>
      <c r="I122" s="403"/>
      <c r="J122" s="403"/>
      <c r="K122" s="403"/>
      <c r="L122" s="403"/>
      <c r="M122" s="403"/>
      <c r="N122" s="403"/>
      <c r="O122" s="403"/>
      <c r="P122" s="453">
        <f>+_xlfn.XLOOKUP($B122,Inputs!$B:$B,Inputs!Q:Q)</f>
        <v>-284.7</v>
      </c>
      <c r="Q122" s="625">
        <v>-3703</v>
      </c>
      <c r="R122" s="852">
        <v>-960</v>
      </c>
      <c r="S122" s="855">
        <v>-226</v>
      </c>
      <c r="T122" s="852">
        <v>-441</v>
      </c>
      <c r="U122" s="855">
        <v>-553</v>
      </c>
      <c r="V122" s="403"/>
      <c r="W122" s="403"/>
      <c r="X122" s="403"/>
      <c r="Y122" s="403"/>
      <c r="Z122" s="403"/>
      <c r="AA122" s="403"/>
      <c r="AB122" s="403"/>
      <c r="AC122" s="403"/>
      <c r="AD122" s="403"/>
      <c r="AE122" s="403"/>
      <c r="AF122" s="403"/>
      <c r="AG122" s="403"/>
      <c r="AH122" s="403"/>
      <c r="AI122" s="403"/>
      <c r="AJ122" s="403"/>
      <c r="AK122" s="403"/>
      <c r="AL122" s="403"/>
      <c r="AM122" s="403"/>
      <c r="AN122" s="403"/>
      <c r="AO122" s="403"/>
      <c r="AP122" s="403"/>
      <c r="AQ122" s="403"/>
      <c r="AR122" s="403"/>
      <c r="AS122" s="403"/>
      <c r="AT122" s="403"/>
    </row>
    <row r="123" spans="1:46" s="379" customFormat="1" ht="14.25" customHeight="1">
      <c r="A123" s="403"/>
      <c r="B123" s="457" t="s">
        <v>326</v>
      </c>
      <c r="C123" s="403"/>
      <c r="D123" s="852"/>
      <c r="E123" s="625"/>
      <c r="F123" s="625"/>
      <c r="G123" s="625"/>
      <c r="H123" s="455"/>
      <c r="I123" s="403"/>
      <c r="J123" s="403"/>
      <c r="K123" s="403"/>
      <c r="L123" s="403"/>
      <c r="M123" s="403"/>
      <c r="N123" s="403"/>
      <c r="O123" s="403"/>
      <c r="P123" s="453">
        <f>+_xlfn.XLOOKUP($B123,Inputs!$B:$B,Inputs!Q:Q)</f>
        <v>204.5</v>
      </c>
      <c r="Q123" s="625">
        <v>-246</v>
      </c>
      <c r="R123" s="852">
        <v>-352</v>
      </c>
      <c r="S123" s="854">
        <v>4283</v>
      </c>
      <c r="T123" s="852">
        <v>195</v>
      </c>
      <c r="U123" s="855">
        <v>714</v>
      </c>
      <c r="V123" s="403"/>
      <c r="W123" s="403"/>
      <c r="X123" s="403"/>
      <c r="Y123" s="403"/>
      <c r="Z123" s="403"/>
      <c r="AA123" s="403"/>
      <c r="AB123" s="403"/>
      <c r="AC123" s="403"/>
      <c r="AD123" s="403"/>
      <c r="AE123" s="403"/>
      <c r="AF123" s="403"/>
      <c r="AG123" s="403"/>
      <c r="AH123" s="403"/>
      <c r="AI123" s="403"/>
      <c r="AJ123" s="403"/>
      <c r="AK123" s="403"/>
      <c r="AL123" s="403"/>
      <c r="AM123" s="403"/>
      <c r="AN123" s="403"/>
      <c r="AO123" s="403"/>
      <c r="AP123" s="403"/>
      <c r="AQ123" s="403"/>
      <c r="AR123" s="403"/>
      <c r="AS123" s="403"/>
      <c r="AT123" s="403"/>
    </row>
    <row r="124" spans="1:46" s="379" customFormat="1" ht="14.25" customHeight="1">
      <c r="A124" s="403"/>
      <c r="B124" s="457" t="s">
        <v>327</v>
      </c>
      <c r="C124" s="403"/>
      <c r="D124" s="852"/>
      <c r="E124" s="625"/>
      <c r="F124" s="625"/>
      <c r="G124" s="625"/>
      <c r="H124" s="455"/>
      <c r="I124" s="403"/>
      <c r="J124" s="403"/>
      <c r="K124" s="403"/>
      <c r="L124" s="403"/>
      <c r="M124" s="403"/>
      <c r="N124" s="403"/>
      <c r="O124" s="403"/>
      <c r="P124" s="453">
        <f>+_xlfn.XLOOKUP($B124,Inputs!$B:$B,Inputs!Q:Q)</f>
        <v>-7.9</v>
      </c>
      <c r="Q124" s="625">
        <v>-2257</v>
      </c>
      <c r="R124" s="852">
        <v>638</v>
      </c>
      <c r="S124" s="855">
        <v>-328</v>
      </c>
      <c r="T124" s="852">
        <v>0</v>
      </c>
      <c r="U124" s="855">
        <v>64</v>
      </c>
      <c r="V124" s="403"/>
      <c r="W124" s="403"/>
      <c r="X124" s="403"/>
      <c r="Y124" s="403"/>
      <c r="Z124" s="403"/>
      <c r="AA124" s="403"/>
      <c r="AB124" s="403"/>
      <c r="AC124" s="403"/>
      <c r="AD124" s="403"/>
      <c r="AE124" s="403"/>
      <c r="AF124" s="403"/>
      <c r="AG124" s="403"/>
      <c r="AH124" s="403"/>
      <c r="AI124" s="403"/>
      <c r="AJ124" s="403"/>
      <c r="AK124" s="403"/>
      <c r="AL124" s="403"/>
      <c r="AM124" s="403"/>
      <c r="AN124" s="403"/>
      <c r="AO124" s="403"/>
      <c r="AP124" s="403"/>
      <c r="AQ124" s="403"/>
      <c r="AR124" s="403"/>
      <c r="AS124" s="403"/>
      <c r="AT124" s="403"/>
    </row>
    <row r="125" spans="1:46" s="379" customFormat="1" ht="14.25" customHeight="1">
      <c r="A125" s="403"/>
      <c r="B125" s="457" t="s">
        <v>328</v>
      </c>
      <c r="C125" s="403"/>
      <c r="D125" s="852">
        <v>-181</v>
      </c>
      <c r="E125" s="625"/>
      <c r="F125" s="625"/>
      <c r="G125" s="625"/>
      <c r="H125" s="455"/>
      <c r="I125" s="403"/>
      <c r="J125" s="403"/>
      <c r="K125" s="403"/>
      <c r="L125" s="403"/>
      <c r="M125" s="403"/>
      <c r="N125" s="403"/>
      <c r="O125" s="403"/>
      <c r="P125" s="453">
        <f>+_xlfn.XLOOKUP($B125,Inputs!$B:$B,Inputs!Q:Q)</f>
        <v>200.9</v>
      </c>
      <c r="Q125" s="625">
        <v>-4785</v>
      </c>
      <c r="R125" s="853">
        <v>-2035</v>
      </c>
      <c r="S125" s="855">
        <v>-337</v>
      </c>
      <c r="T125" s="853">
        <v>-1006</v>
      </c>
      <c r="U125" s="855">
        <v>154</v>
      </c>
      <c r="V125" s="403"/>
      <c r="W125" s="403"/>
      <c r="X125" s="403"/>
      <c r="Y125" s="403"/>
      <c r="Z125" s="403"/>
      <c r="AA125" s="403"/>
      <c r="AB125" s="403"/>
      <c r="AC125" s="403"/>
      <c r="AD125" s="403"/>
      <c r="AE125" s="403"/>
      <c r="AF125" s="403"/>
      <c r="AG125" s="403"/>
      <c r="AH125" s="403"/>
      <c r="AI125" s="403"/>
      <c r="AJ125" s="403"/>
      <c r="AK125" s="403"/>
      <c r="AL125" s="403"/>
      <c r="AM125" s="403"/>
      <c r="AN125" s="403"/>
      <c r="AO125" s="403"/>
      <c r="AP125" s="403"/>
      <c r="AQ125" s="403"/>
      <c r="AR125" s="403"/>
      <c r="AS125" s="403"/>
      <c r="AT125" s="403"/>
    </row>
    <row r="126" spans="1:46" s="379" customFormat="1" ht="14.25" customHeight="1">
      <c r="A126" s="403"/>
      <c r="B126" s="457" t="s">
        <v>329</v>
      </c>
      <c r="C126" s="403"/>
      <c r="D126" s="852">
        <v>-207</v>
      </c>
      <c r="E126" s="625"/>
      <c r="F126" s="625"/>
      <c r="G126" s="625"/>
      <c r="H126" s="455"/>
      <c r="I126" s="403"/>
      <c r="J126" s="403"/>
      <c r="K126" s="403"/>
      <c r="L126" s="403"/>
      <c r="M126" s="403"/>
      <c r="N126" s="403"/>
      <c r="O126" s="403"/>
      <c r="P126" s="453">
        <f>+_xlfn.XLOOKUP($B126,Inputs!$B:$B,Inputs!Q:Q)</f>
        <v>-12.6</v>
      </c>
      <c r="Q126" s="625">
        <v>235</v>
      </c>
      <c r="R126" s="852">
        <v>-634</v>
      </c>
      <c r="S126" s="855">
        <v>37</v>
      </c>
      <c r="T126" s="852">
        <v>29</v>
      </c>
      <c r="U126" s="855">
        <v>-41</v>
      </c>
      <c r="V126" s="403"/>
      <c r="W126" s="403"/>
      <c r="X126" s="403"/>
      <c r="Y126" s="403"/>
      <c r="Z126" s="403"/>
      <c r="AA126" s="403"/>
      <c r="AB126" s="403"/>
      <c r="AC126" s="403"/>
      <c r="AD126" s="403"/>
      <c r="AE126" s="403"/>
      <c r="AF126" s="403"/>
      <c r="AG126" s="403"/>
      <c r="AH126" s="403"/>
      <c r="AI126" s="403"/>
      <c r="AJ126" s="403"/>
      <c r="AK126" s="403"/>
      <c r="AL126" s="403"/>
      <c r="AM126" s="403"/>
      <c r="AN126" s="403"/>
      <c r="AO126" s="403"/>
      <c r="AP126" s="403"/>
      <c r="AQ126" s="403"/>
      <c r="AR126" s="403"/>
      <c r="AS126" s="403"/>
      <c r="AT126" s="403"/>
    </row>
    <row r="127" spans="1:46" s="379" customFormat="1" ht="3.95" customHeight="1">
      <c r="A127" s="403"/>
      <c r="B127" s="458"/>
      <c r="C127" s="403"/>
      <c r="D127" s="620"/>
      <c r="E127" s="620"/>
      <c r="F127" s="620"/>
      <c r="G127" s="620"/>
      <c r="H127" s="621"/>
      <c r="I127" s="403"/>
      <c r="J127" s="403"/>
      <c r="K127" s="403"/>
      <c r="L127" s="403"/>
      <c r="M127" s="403"/>
      <c r="N127" s="403"/>
      <c r="O127" s="403"/>
      <c r="P127" s="619"/>
      <c r="Q127" s="620"/>
      <c r="R127" s="620"/>
      <c r="S127" s="620"/>
      <c r="T127" s="620"/>
      <c r="U127" s="620"/>
      <c r="V127" s="403"/>
      <c r="W127" s="403"/>
      <c r="X127" s="403"/>
      <c r="Y127" s="403"/>
      <c r="Z127" s="403"/>
      <c r="AA127" s="403"/>
      <c r="AB127" s="403"/>
      <c r="AC127" s="403"/>
      <c r="AD127" s="403"/>
      <c r="AE127" s="403"/>
      <c r="AF127" s="403"/>
      <c r="AG127" s="403"/>
      <c r="AH127" s="403"/>
      <c r="AI127" s="403"/>
      <c r="AJ127" s="403"/>
      <c r="AK127" s="403"/>
      <c r="AL127" s="403"/>
      <c r="AM127" s="403"/>
      <c r="AN127" s="403"/>
      <c r="AO127" s="403"/>
      <c r="AP127" s="403"/>
      <c r="AQ127" s="403"/>
      <c r="AR127" s="403"/>
      <c r="AS127" s="403"/>
      <c r="AT127" s="403"/>
    </row>
    <row r="128" spans="1:46" ht="14.25" customHeight="1">
      <c r="B128" s="67" t="s">
        <v>109</v>
      </c>
      <c r="C128" s="68"/>
      <c r="D128" s="94"/>
      <c r="E128" s="95"/>
      <c r="F128" s="95"/>
      <c r="G128" s="95"/>
      <c r="H128" s="95"/>
      <c r="I128" s="95"/>
      <c r="P128" s="67"/>
      <c r="Q128" s="68"/>
      <c r="R128" s="68"/>
      <c r="S128" s="68"/>
      <c r="T128" s="68"/>
      <c r="U128" s="68"/>
    </row>
    <row r="129" spans="2:21" ht="3.75" customHeight="1">
      <c r="B129" s="69"/>
      <c r="C129" s="69"/>
      <c r="D129" s="96"/>
      <c r="E129" s="96"/>
      <c r="F129" s="96"/>
      <c r="G129" s="96"/>
      <c r="H129" s="96"/>
      <c r="I129" s="96"/>
      <c r="P129" s="69"/>
      <c r="Q129" s="69"/>
      <c r="R129" s="69"/>
      <c r="S129" s="69"/>
      <c r="T129" s="69"/>
      <c r="U129" s="69"/>
    </row>
    <row r="136" spans="2:21" ht="14.25" customHeight="1">
      <c r="B136" s="67" t="s">
        <v>134</v>
      </c>
      <c r="C136" s="68"/>
      <c r="D136" s="94"/>
      <c r="E136" s="95"/>
      <c r="F136" s="95"/>
      <c r="G136" s="95"/>
      <c r="H136" s="95"/>
      <c r="I136" s="95"/>
      <c r="P136" s="67"/>
      <c r="Q136" s="68"/>
      <c r="R136" s="68"/>
      <c r="S136" s="68"/>
      <c r="T136" s="68"/>
      <c r="U136" s="68"/>
    </row>
    <row r="137" spans="2:21" ht="4.3499999999999996" customHeight="1">
      <c r="B137" s="675"/>
      <c r="C137" s="675"/>
      <c r="D137" s="675"/>
      <c r="E137" s="675"/>
      <c r="F137" s="675"/>
      <c r="G137" s="675"/>
      <c r="H137" s="675"/>
      <c r="I137" s="675"/>
      <c r="P137" s="675"/>
      <c r="Q137" s="675"/>
      <c r="R137" s="675"/>
      <c r="S137" s="675"/>
      <c r="T137" s="675"/>
      <c r="U137" s="675"/>
    </row>
  </sheetData>
  <mergeCells count="10">
    <mergeCell ref="T3:U3"/>
    <mergeCell ref="D3:E3"/>
    <mergeCell ref="F3:G3"/>
    <mergeCell ref="H3:I3"/>
    <mergeCell ref="P15:R15"/>
    <mergeCell ref="D15:F15"/>
    <mergeCell ref="G15:I15"/>
    <mergeCell ref="P2:Q2"/>
    <mergeCell ref="P3:Q3"/>
    <mergeCell ref="R3:S3"/>
  </mergeCells>
  <conditionalFormatting sqref="D5:E11">
    <cfRule type="colorScale" priority="3">
      <colorScale>
        <cfvo type="min"/>
        <cfvo type="percentile" val="50"/>
        <cfvo type="max"/>
        <color rgb="FFFFFF00"/>
        <color rgb="FF92D050"/>
        <color rgb="FF63BE7B"/>
      </colorScale>
    </cfRule>
  </conditionalFormatting>
  <conditionalFormatting sqref="F5:G11">
    <cfRule type="colorScale" priority="2">
      <colorScale>
        <cfvo type="min"/>
        <cfvo type="percentile" val="50"/>
        <cfvo type="max"/>
        <color rgb="FFFFFF00"/>
        <color rgb="FF92D050"/>
        <color rgb="FF63BE7B"/>
      </colorScale>
    </cfRule>
  </conditionalFormatting>
  <conditionalFormatting sqref="G18:I21">
    <cfRule type="colorScale" priority="7">
      <colorScale>
        <cfvo type="min"/>
        <cfvo type="num" val="0"/>
        <cfvo type="max"/>
        <color rgb="FFF8696B"/>
        <color rgb="FFFCFCFF"/>
        <color rgb="FF63BE7B"/>
      </colorScale>
    </cfRule>
  </conditionalFormatting>
  <conditionalFormatting sqref="H5:I11">
    <cfRule type="colorScale" priority="1">
      <colorScale>
        <cfvo type="min"/>
        <cfvo type="percentile" val="50"/>
        <cfvo type="max"/>
        <color rgb="FFFFFF00"/>
        <color rgb="FF92D050"/>
        <color rgb="FF63BE7B"/>
      </colorScale>
    </cfRule>
  </conditionalFormatting>
  <conditionalFormatting sqref="J11">
    <cfRule type="colorScale" priority="8">
      <colorScale>
        <cfvo type="min"/>
        <cfvo type="percentile" val="50"/>
        <cfvo type="max"/>
        <color rgb="FF63BE7B"/>
        <color rgb="FFFFEB84"/>
        <color rgb="FFF8696B"/>
      </colorScale>
    </cfRule>
  </conditionalFormatting>
  <conditionalFormatting sqref="K11">
    <cfRule type="colorScale" priority="9">
      <colorScale>
        <cfvo type="min"/>
        <cfvo type="percentile" val="50"/>
        <cfvo type="max"/>
        <color rgb="FF63BE7B"/>
        <color rgb="FFFFEB84"/>
        <color rgb="FFF8696B"/>
      </colorScale>
    </cfRule>
  </conditionalFormatting>
  <conditionalFormatting sqref="L11">
    <cfRule type="colorScale" priority="10">
      <colorScale>
        <cfvo type="min"/>
        <cfvo type="percentile" val="50"/>
        <cfvo type="max"/>
        <color rgb="FFF8696B"/>
        <color rgb="FFFFEB84"/>
        <color rgb="FF63BE7B"/>
      </colorScale>
    </cfRule>
  </conditionalFormatting>
  <conditionalFormatting sqref="N11">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conditionalFormatting sqref="O11">
    <cfRule type="colorScale" priority="13">
      <colorScale>
        <cfvo type="min"/>
        <cfvo type="percentile" val="50"/>
        <cfvo type="max"/>
        <color rgb="FFF8696B"/>
        <color rgb="FFFFEB84"/>
        <color rgb="FF63BE7B"/>
      </colorScale>
    </cfRule>
    <cfRule type="colorScale" priority="14">
      <colorScale>
        <cfvo type="min"/>
        <cfvo type="percentile" val="50"/>
        <cfvo type="max"/>
        <color rgb="FFF8696B"/>
        <color rgb="FFFFEB84"/>
        <color rgb="FF63BE7B"/>
      </colorScale>
    </cfRule>
  </conditionalFormatting>
  <conditionalFormatting sqref="P5:Q11">
    <cfRule type="colorScale" priority="6">
      <colorScale>
        <cfvo type="min"/>
        <cfvo type="percentile" val="50"/>
        <cfvo type="max"/>
        <color rgb="FFF8696B"/>
        <color rgb="FFFFEB84"/>
        <color rgb="FF63BE7B"/>
      </colorScale>
    </cfRule>
  </conditionalFormatting>
  <conditionalFormatting sqref="R5:S11">
    <cfRule type="colorScale" priority="5">
      <colorScale>
        <cfvo type="min"/>
        <cfvo type="percentile" val="50"/>
        <cfvo type="max"/>
        <color rgb="FFFFFF00"/>
        <color rgb="FF92D050"/>
        <color rgb="FF63BE7B"/>
      </colorScale>
    </cfRule>
  </conditionalFormatting>
  <conditionalFormatting sqref="T5:U11">
    <cfRule type="colorScale" priority="4">
      <colorScale>
        <cfvo type="min"/>
        <cfvo type="percentile" val="50"/>
        <cfvo type="max"/>
        <color rgb="FFFFFF00"/>
        <color rgb="FF92D050"/>
        <color rgb="FF63BE7B"/>
      </colorScale>
    </cfRule>
  </conditionalFormatting>
  <conditionalFormatting sqref="V11">
    <cfRule type="colorScale" priority="24">
      <colorScale>
        <cfvo type="min"/>
        <cfvo type="percentile" val="50"/>
        <cfvo type="max"/>
        <color rgb="FF63BE7B"/>
        <color rgb="FFFFEB84"/>
        <color rgb="FFF8696B"/>
      </colorScale>
    </cfRule>
  </conditionalFormatting>
  <conditionalFormatting sqref="X5:X11">
    <cfRule type="colorScale" priority="25">
      <colorScale>
        <cfvo type="min"/>
        <cfvo type="percentile" val="50"/>
        <cfvo type="max"/>
        <color rgb="FF63BE7B"/>
        <color rgb="FFFFEB84"/>
        <color rgb="FFF8696B"/>
      </colorScale>
    </cfRule>
    <cfRule type="colorScale" priority="26">
      <colorScale>
        <cfvo type="min"/>
        <cfvo type="percentile" val="50"/>
        <cfvo type="max"/>
        <color rgb="FF63BE7B"/>
        <color rgb="FFFFEB84"/>
        <color rgb="FFF8696B"/>
      </colorScale>
    </cfRule>
  </conditionalFormatting>
  <conditionalFormatting sqref="Y5:Y11">
    <cfRule type="colorScale" priority="27">
      <colorScale>
        <cfvo type="min"/>
        <cfvo type="percentile" val="50"/>
        <cfvo type="max"/>
        <color rgb="FF63BE7B"/>
        <color rgb="FFFFEB84"/>
        <color rgb="FFF8696B"/>
      </colorScale>
    </cfRule>
    <cfRule type="colorScale" priority="28">
      <colorScale>
        <cfvo type="min"/>
        <cfvo type="percentile" val="50"/>
        <cfvo type="max"/>
        <color rgb="FF63BE7B"/>
        <color rgb="FFFFEB84"/>
        <color rgb="FFF8696B"/>
      </colorScale>
    </cfRule>
  </conditionalFormatting>
  <conditionalFormatting sqref="Z5:Z11">
    <cfRule type="colorScale" priority="29">
      <colorScale>
        <cfvo type="min"/>
        <cfvo type="percentile" val="50"/>
        <cfvo type="max"/>
        <color rgb="FF63BE7B"/>
        <color rgb="FFFFEB84"/>
        <color rgb="FFF8696B"/>
      </colorScale>
    </cfRule>
    <cfRule type="colorScale" priority="30">
      <colorScale>
        <cfvo type="min"/>
        <cfvo type="percentile" val="50"/>
        <cfvo type="max"/>
        <color rgb="FF63BE7B"/>
        <color rgb="FFFFEB84"/>
        <color rgb="FFF8696B"/>
      </colorScale>
    </cfRule>
  </conditionalFormatting>
  <conditionalFormatting sqref="AA5:AA11">
    <cfRule type="colorScale" priority="31">
      <colorScale>
        <cfvo type="min"/>
        <cfvo type="percentile" val="50"/>
        <cfvo type="max"/>
        <color rgb="FF63BE7B"/>
        <color rgb="FFFFEB84"/>
        <color rgb="FFF8696B"/>
      </colorScale>
    </cfRule>
    <cfRule type="colorScale" priority="32">
      <colorScale>
        <cfvo type="min"/>
        <cfvo type="percentile" val="50"/>
        <cfvo type="max"/>
        <color rgb="FF63BE7B"/>
        <color rgb="FFFFEB84"/>
        <color rgb="FFF8696B"/>
      </colorScale>
    </cfRule>
  </conditionalFormatting>
  <conditionalFormatting sqref="AB5:AB11">
    <cfRule type="colorScale" priority="33">
      <colorScale>
        <cfvo type="min"/>
        <cfvo type="percentile" val="50"/>
        <cfvo type="max"/>
        <color rgb="FF63BE7B"/>
        <color rgb="FFFFEB84"/>
        <color rgb="FFF8696B"/>
      </colorScale>
    </cfRule>
    <cfRule type="colorScale" priority="34">
      <colorScale>
        <cfvo type="min"/>
        <cfvo type="percentile" val="50"/>
        <cfvo type="max"/>
        <color rgb="FF63BE7B"/>
        <color rgb="FFFFEB84"/>
        <color rgb="FFF8696B"/>
      </colorScale>
    </cfRule>
  </conditionalFormatting>
  <conditionalFormatting sqref="AH5:AH11">
    <cfRule type="colorScale" priority="35">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B1:AD95"/>
  <sheetViews>
    <sheetView showGridLines="0" topLeftCell="D70" zoomScale="64" zoomScaleNormal="55" workbookViewId="0">
      <selection activeCell="H76" sqref="H76:J77"/>
    </sheetView>
  </sheetViews>
  <sheetFormatPr defaultColWidth="7.625" defaultRowHeight="12.75" customHeight="1"/>
  <cols>
    <col min="1" max="1" width="2" style="44" customWidth="1"/>
    <col min="2" max="2" width="26.375" style="44" customWidth="1"/>
    <col min="3" max="3" width="21.125" style="43" customWidth="1"/>
    <col min="4" max="4" width="4.125" style="44" customWidth="1"/>
    <col min="5" max="5" width="44.5" style="44" customWidth="1"/>
    <col min="6" max="6" width="3.375" style="44" customWidth="1"/>
    <col min="7" max="12" width="11.125" style="44" customWidth="1"/>
    <col min="13" max="13" width="4.125" style="44" customWidth="1"/>
    <col min="14" max="21" width="11.125" style="44" customWidth="1"/>
    <col min="22" max="22" width="12.5" style="44" customWidth="1"/>
    <col min="23" max="23" width="9.875" style="44" customWidth="1"/>
    <col min="24" max="24" width="14" style="44" customWidth="1"/>
    <col min="25" max="25" width="11.375" style="44" customWidth="1"/>
    <col min="26" max="26" width="14.125" style="44" customWidth="1"/>
    <col min="27" max="27" width="8" style="44" customWidth="1"/>
    <col min="28" max="28" width="8.625" style="44" bestFit="1" customWidth="1"/>
    <col min="29" max="29" width="6.375" style="44" customWidth="1"/>
    <col min="30" max="30" width="7.125" style="44" customWidth="1"/>
    <col min="31" max="31" width="8.625" style="44" customWidth="1"/>
    <col min="32" max="32" width="8.5" style="44" customWidth="1"/>
    <col min="33" max="33" width="9.625" style="44" customWidth="1"/>
    <col min="34" max="34" width="8.875" style="44" customWidth="1"/>
    <col min="35" max="35" width="7.625" style="44" customWidth="1"/>
    <col min="36" max="37" width="7.125" style="44" customWidth="1"/>
    <col min="38" max="38" width="8.125" style="44" customWidth="1"/>
    <col min="39" max="39" width="7.625" style="44" customWidth="1"/>
    <col min="40" max="16384" width="7.625" style="44"/>
  </cols>
  <sheetData>
    <row r="1" spans="2:30" customFormat="1" ht="14.1">
      <c r="Q1" s="6"/>
    </row>
    <row r="2" spans="2:30" s="41" customFormat="1" ht="20.100000000000001" customHeight="1">
      <c r="B2" s="40" t="s">
        <v>330</v>
      </c>
      <c r="Q2" s="42"/>
    </row>
    <row r="3" spans="2:30" customFormat="1" ht="14.1">
      <c r="Q3" s="6"/>
      <c r="Z3" s="44"/>
      <c r="AA3" s="44"/>
      <c r="AB3" s="44"/>
      <c r="AC3" s="44"/>
      <c r="AD3" s="44"/>
    </row>
    <row r="4" spans="2:30" ht="14.1">
      <c r="B4" s="1" t="s">
        <v>331</v>
      </c>
      <c r="E4" s="1" t="s">
        <v>332</v>
      </c>
      <c r="F4" s="1"/>
      <c r="G4" s="1"/>
      <c r="H4" s="1"/>
      <c r="I4" s="1"/>
      <c r="J4" s="1"/>
      <c r="N4" s="1" t="s">
        <v>333</v>
      </c>
      <c r="O4" s="1"/>
      <c r="P4" s="1"/>
      <c r="Q4" s="1"/>
      <c r="R4" s="1"/>
      <c r="S4" s="1"/>
    </row>
    <row r="5" spans="2:30" ht="14.1">
      <c r="B5" s="45"/>
      <c r="C5" s="46"/>
      <c r="E5" s="1064" t="s">
        <v>334</v>
      </c>
      <c r="F5" s="1064"/>
      <c r="G5" s="1064"/>
      <c r="H5" s="1064"/>
      <c r="I5" s="1064"/>
      <c r="J5" s="1064"/>
      <c r="K5" s="1064"/>
      <c r="L5" s="1064"/>
      <c r="N5" s="1061" t="s">
        <v>335</v>
      </c>
      <c r="O5" s="1061"/>
      <c r="P5" s="1061"/>
      <c r="Q5" s="1061"/>
      <c r="R5" s="1061" t="s">
        <v>336</v>
      </c>
      <c r="S5" s="1061"/>
      <c r="T5" s="1061"/>
      <c r="U5" s="1061"/>
    </row>
    <row r="6" spans="2:30" ht="18.75" customHeight="1">
      <c r="B6" s="1" t="s">
        <v>337</v>
      </c>
      <c r="C6" s="44"/>
      <c r="D6" s="44" t="s">
        <v>338</v>
      </c>
      <c r="E6" s="1065" t="s">
        <v>339</v>
      </c>
      <c r="F6" s="1065"/>
      <c r="G6" s="1065"/>
      <c r="H6" s="1065"/>
      <c r="I6" s="1065"/>
      <c r="J6" s="1065"/>
      <c r="K6" s="1065"/>
      <c r="L6" s="1065"/>
      <c r="N6" s="1062"/>
      <c r="O6" s="1062"/>
      <c r="P6" s="1062"/>
      <c r="Q6" s="1062"/>
      <c r="R6" s="1062"/>
      <c r="S6" s="1062"/>
      <c r="T6" s="1062"/>
      <c r="U6" s="1062"/>
    </row>
    <row r="7" spans="2:30" ht="14.1">
      <c r="B7" s="45" t="s">
        <v>340</v>
      </c>
      <c r="C7" s="48"/>
      <c r="D7" s="44" t="s">
        <v>338</v>
      </c>
      <c r="E7" s="1063" t="s">
        <v>341</v>
      </c>
      <c r="F7" s="1063"/>
      <c r="G7" s="1063"/>
      <c r="H7" s="1063"/>
      <c r="I7" s="1063"/>
      <c r="J7" s="1063"/>
      <c r="K7" s="1063"/>
      <c r="L7" s="1063"/>
      <c r="N7" s="1062"/>
      <c r="O7" s="1062"/>
      <c r="P7" s="1062"/>
      <c r="Q7" s="1062"/>
      <c r="R7" s="1062"/>
      <c r="S7" s="1062"/>
      <c r="T7" s="1062"/>
      <c r="U7" s="1062"/>
    </row>
    <row r="8" spans="2:30" ht="18" customHeight="1">
      <c r="B8" s="25" t="s">
        <v>342</v>
      </c>
      <c r="C8" s="39">
        <v>2024</v>
      </c>
      <c r="E8" s="1066" t="s">
        <v>343</v>
      </c>
      <c r="F8" s="1066"/>
      <c r="G8" s="1066"/>
      <c r="H8" s="1066"/>
      <c r="I8" s="1066"/>
      <c r="J8" s="1066"/>
      <c r="K8" s="1066"/>
      <c r="L8" s="1066"/>
      <c r="N8" s="1062"/>
      <c r="O8" s="1062"/>
      <c r="P8" s="1062"/>
      <c r="Q8" s="1062"/>
      <c r="R8" s="1062"/>
      <c r="S8" s="1062"/>
      <c r="T8" s="1062"/>
      <c r="U8" s="1062"/>
    </row>
    <row r="9" spans="2:30" ht="17.25" customHeight="1">
      <c r="B9" s="25" t="s">
        <v>344</v>
      </c>
      <c r="C9" s="26" t="s">
        <v>345</v>
      </c>
      <c r="E9" s="1063" t="s">
        <v>346</v>
      </c>
      <c r="F9" s="1063"/>
      <c r="G9" s="1063"/>
      <c r="H9" s="1063"/>
      <c r="I9" s="1063"/>
      <c r="J9" s="1063"/>
      <c r="K9" s="1063"/>
      <c r="L9" s="812"/>
      <c r="N9" s="1062"/>
      <c r="O9" s="1062"/>
      <c r="P9" s="1062"/>
      <c r="Q9" s="1062"/>
      <c r="R9" s="1062"/>
      <c r="S9" s="1062"/>
      <c r="T9" s="1062"/>
      <c r="U9" s="1062"/>
    </row>
    <row r="10" spans="2:30" ht="15.75" customHeight="1">
      <c r="B10" s="25" t="s">
        <v>347</v>
      </c>
      <c r="C10" s="26" t="s">
        <v>348</v>
      </c>
      <c r="E10" s="1063" t="s">
        <v>349</v>
      </c>
      <c r="F10" s="1063"/>
      <c r="G10" s="1063"/>
      <c r="H10" s="1063"/>
      <c r="I10" s="1063"/>
      <c r="J10" s="1063"/>
      <c r="K10" s="1063"/>
      <c r="L10" s="812"/>
      <c r="N10" s="1062"/>
      <c r="O10" s="1062"/>
      <c r="P10" s="1062"/>
      <c r="Q10" s="1062"/>
      <c r="R10" s="1062"/>
      <c r="S10" s="1062"/>
      <c r="T10" s="1062"/>
      <c r="U10" s="1062"/>
    </row>
    <row r="11" spans="2:30" ht="15" customHeight="1">
      <c r="B11" s="23" t="s">
        <v>350</v>
      </c>
      <c r="C11" s="648" t="s">
        <v>351</v>
      </c>
      <c r="E11" s="23"/>
      <c r="G11" s="1013"/>
      <c r="H11" s="1013"/>
      <c r="I11" s="1013"/>
      <c r="J11" s="1013"/>
      <c r="K11" s="1013"/>
      <c r="L11" s="1013"/>
      <c r="N11" s="1062"/>
      <c r="O11" s="1062"/>
      <c r="P11" s="1062"/>
      <c r="Q11" s="1062"/>
      <c r="R11" s="1062"/>
      <c r="S11" s="1062"/>
      <c r="T11" s="1062"/>
      <c r="U11" s="1062"/>
    </row>
    <row r="12" spans="2:30" ht="14.1" customHeight="1">
      <c r="B12" s="25"/>
      <c r="G12" s="1013"/>
      <c r="H12" s="1013"/>
      <c r="I12" s="1013"/>
      <c r="J12" s="1013"/>
      <c r="K12" s="1013"/>
      <c r="L12" s="1013"/>
      <c r="N12" s="1062"/>
      <c r="O12" s="1062"/>
      <c r="P12" s="1062"/>
      <c r="Q12" s="1062"/>
      <c r="R12" s="1062"/>
      <c r="S12" s="1062"/>
      <c r="T12" s="1062"/>
      <c r="U12" s="1062"/>
    </row>
    <row r="13" spans="2:30" ht="14.1">
      <c r="B13" s="1" t="s">
        <v>352</v>
      </c>
      <c r="C13" s="44"/>
      <c r="E13" s="23"/>
      <c r="G13" s="1013"/>
      <c r="H13" s="1013"/>
      <c r="I13" s="1013"/>
      <c r="J13" s="1013"/>
      <c r="K13" s="1013"/>
      <c r="L13" s="1013"/>
      <c r="N13" s="1062"/>
      <c r="O13" s="1062"/>
      <c r="P13" s="1062"/>
      <c r="Q13" s="1062"/>
      <c r="R13" s="1062"/>
      <c r="S13" s="1062"/>
      <c r="T13" s="1062"/>
      <c r="U13" s="1062"/>
    </row>
    <row r="14" spans="2:30" ht="14.1">
      <c r="B14" s="47" t="s">
        <v>95</v>
      </c>
      <c r="C14" s="677">
        <v>45</v>
      </c>
      <c r="G14" s="1013"/>
      <c r="H14" s="1013"/>
      <c r="I14" s="1013"/>
      <c r="J14" s="1013"/>
      <c r="K14" s="1013"/>
      <c r="L14" s="1013"/>
      <c r="N14" s="1062"/>
      <c r="O14" s="1062"/>
      <c r="P14" s="1062"/>
      <c r="Q14" s="1062"/>
      <c r="R14" s="1062"/>
      <c r="S14" s="1062"/>
      <c r="T14" s="1062"/>
      <c r="U14" s="1062"/>
    </row>
    <row r="15" spans="2:30" ht="14.1">
      <c r="B15" s="25" t="s">
        <v>96</v>
      </c>
      <c r="C15" s="676">
        <v>49</v>
      </c>
      <c r="G15" s="810"/>
    </row>
    <row r="16" spans="2:30" ht="14.1">
      <c r="B16" s="25" t="s">
        <v>97</v>
      </c>
      <c r="C16" s="676">
        <v>50</v>
      </c>
      <c r="E16" s="1" t="s">
        <v>353</v>
      </c>
      <c r="F16" s="1"/>
      <c r="G16" s="1"/>
      <c r="H16" s="1"/>
      <c r="I16" s="1"/>
      <c r="J16" s="1"/>
      <c r="N16" s="1" t="s">
        <v>354</v>
      </c>
      <c r="O16" s="1"/>
      <c r="P16" s="1"/>
      <c r="Q16" s="1"/>
      <c r="R16" s="1"/>
      <c r="S16" s="1"/>
    </row>
    <row r="17" spans="2:22" ht="14.1">
      <c r="B17" s="25" t="s">
        <v>98</v>
      </c>
      <c r="C17" s="676">
        <v>39</v>
      </c>
      <c r="E17" s="47"/>
      <c r="F17" s="47"/>
      <c r="G17" s="1060"/>
      <c r="H17" s="1060"/>
      <c r="I17" s="1060"/>
      <c r="J17" s="1060"/>
      <c r="K17" s="1060"/>
      <c r="L17" s="1060"/>
      <c r="N17" s="47"/>
      <c r="O17" s="47"/>
      <c r="P17" s="47"/>
      <c r="Q17" s="47"/>
      <c r="R17" s="47"/>
      <c r="S17" s="47"/>
      <c r="T17" s="47"/>
      <c r="U17" s="47"/>
      <c r="V17" s="47"/>
    </row>
    <row r="18" spans="2:22" ht="14.1">
      <c r="B18" s="23" t="s">
        <v>99</v>
      </c>
      <c r="C18" s="678">
        <v>26</v>
      </c>
      <c r="G18" s="1013"/>
      <c r="H18" s="1013"/>
      <c r="I18" s="1013"/>
      <c r="J18" s="1013"/>
      <c r="K18" s="1013"/>
      <c r="L18" s="1013"/>
      <c r="O18" s="610"/>
      <c r="P18" s="610"/>
      <c r="Q18" s="610"/>
      <c r="R18" s="610"/>
      <c r="S18" s="610"/>
      <c r="T18" s="610"/>
      <c r="U18" s="610"/>
      <c r="V18" s="610"/>
    </row>
    <row r="19" spans="2:22" ht="14.1">
      <c r="B19" s="25" t="s">
        <v>100</v>
      </c>
      <c r="C19" s="44">
        <v>16</v>
      </c>
      <c r="E19" s="23"/>
      <c r="G19" s="1013"/>
      <c r="H19" s="1013"/>
      <c r="I19" s="1013"/>
      <c r="J19" s="1013"/>
      <c r="K19" s="1013"/>
      <c r="L19" s="1013"/>
      <c r="N19" s="23"/>
      <c r="P19" s="610"/>
      <c r="Q19" s="610"/>
      <c r="R19" s="610"/>
      <c r="S19" s="610"/>
      <c r="T19" s="610"/>
      <c r="U19" s="610"/>
      <c r="V19" s="610"/>
    </row>
    <row r="20" spans="2:22" ht="14.1">
      <c r="B20" s="25" t="s">
        <v>101</v>
      </c>
      <c r="C20" s="44">
        <v>28</v>
      </c>
      <c r="G20" s="1013"/>
      <c r="H20" s="1013"/>
      <c r="I20" s="1013"/>
      <c r="J20" s="1013"/>
      <c r="K20" s="1013"/>
      <c r="L20" s="1013"/>
      <c r="P20" s="610"/>
      <c r="Q20" s="610"/>
      <c r="R20" s="610"/>
      <c r="S20" s="610"/>
      <c r="T20" s="610"/>
      <c r="U20" s="610"/>
    </row>
    <row r="21" spans="2:22" ht="14.1">
      <c r="B21" s="25" t="s">
        <v>102</v>
      </c>
      <c r="C21" s="44">
        <v>33</v>
      </c>
      <c r="E21" s="23"/>
      <c r="G21" s="1013"/>
      <c r="H21" s="1013"/>
      <c r="I21" s="1013"/>
      <c r="J21" s="1013"/>
      <c r="K21" s="1013"/>
      <c r="L21" s="1013"/>
      <c r="N21" s="23"/>
      <c r="P21" s="1013"/>
      <c r="Q21" s="1013"/>
      <c r="R21" s="1013"/>
      <c r="S21" s="1013"/>
      <c r="T21" s="1013"/>
      <c r="U21" s="1013"/>
    </row>
    <row r="22" spans="2:22" ht="14.1">
      <c r="B22" s="23" t="s">
        <v>103</v>
      </c>
      <c r="C22" s="49">
        <v>21.5</v>
      </c>
      <c r="G22" s="1013"/>
      <c r="H22" s="1013"/>
      <c r="I22" s="1013"/>
      <c r="J22" s="1013"/>
      <c r="K22" s="1013"/>
      <c r="L22" s="1013"/>
      <c r="P22" s="1013"/>
      <c r="Q22" s="1013"/>
      <c r="R22" s="1013"/>
      <c r="S22" s="1013"/>
      <c r="T22" s="1013"/>
      <c r="U22" s="1013"/>
    </row>
    <row r="23" spans="2:22" ht="14.1">
      <c r="B23" s="23" t="s">
        <v>104</v>
      </c>
      <c r="C23" s="50" t="s">
        <v>355</v>
      </c>
      <c r="E23" s="23"/>
      <c r="G23" s="1013"/>
      <c r="H23" s="1013"/>
      <c r="I23" s="1013"/>
      <c r="J23" s="1013"/>
      <c r="K23" s="1013"/>
      <c r="L23" s="1013"/>
      <c r="N23" s="23"/>
      <c r="P23" s="1013"/>
      <c r="Q23" s="1013"/>
      <c r="R23" s="1013"/>
      <c r="S23" s="1013"/>
      <c r="T23" s="1013"/>
      <c r="U23" s="1013"/>
    </row>
    <row r="24" spans="2:22" ht="14.1">
      <c r="B24" s="25" t="s">
        <v>105</v>
      </c>
      <c r="C24" s="44">
        <v>0.2</v>
      </c>
    </row>
    <row r="25" spans="2:22" ht="14.1">
      <c r="B25" s="25" t="s">
        <v>106</v>
      </c>
      <c r="C25" s="43">
        <v>7</v>
      </c>
    </row>
    <row r="26" spans="2:22" ht="14.1">
      <c r="B26" s="23" t="s">
        <v>107</v>
      </c>
      <c r="C26" s="697" t="s">
        <v>356</v>
      </c>
    </row>
    <row r="29" spans="2:22" ht="14.45" thickBot="1">
      <c r="B29" s="1" t="s">
        <v>357</v>
      </c>
    </row>
    <row r="30" spans="2:22" ht="14.45" customHeight="1">
      <c r="B30" s="1070" t="s">
        <v>358</v>
      </c>
      <c r="C30" s="1070"/>
    </row>
    <row r="31" spans="2:22" ht="12.6">
      <c r="B31" s="1071"/>
      <c r="C31" s="1071"/>
    </row>
    <row r="32" spans="2:22" ht="12.6">
      <c r="B32" s="1071"/>
      <c r="C32" s="1071"/>
    </row>
    <row r="33" spans="2:22" ht="15.6">
      <c r="B33" s="1071"/>
      <c r="C33" s="1071"/>
      <c r="E33" s="51" t="s">
        <v>359</v>
      </c>
      <c r="F33" s="51"/>
      <c r="G33" s="51"/>
      <c r="H33" s="51"/>
      <c r="I33" s="51"/>
      <c r="J33" s="51"/>
      <c r="K33" s="51"/>
      <c r="L33" s="51"/>
      <c r="M33" s="51"/>
      <c r="N33" s="51"/>
      <c r="O33" s="51"/>
      <c r="P33" s="51"/>
      <c r="Q33" s="51"/>
      <c r="R33" s="51"/>
      <c r="S33" s="51"/>
      <c r="T33" s="51"/>
      <c r="U33" s="51"/>
      <c r="V33" s="51"/>
    </row>
    <row r="34" spans="2:22" customFormat="1" ht="3.95" customHeight="1">
      <c r="B34" s="1071"/>
      <c r="C34" s="1071"/>
      <c r="D34" s="44"/>
      <c r="E34" s="52"/>
      <c r="F34" s="52"/>
      <c r="G34" s="52"/>
      <c r="H34" s="52"/>
      <c r="I34" s="52"/>
      <c r="J34" s="52"/>
      <c r="K34" s="52"/>
      <c r="L34" s="52"/>
      <c r="M34" s="52"/>
      <c r="N34" s="52"/>
      <c r="O34" s="52"/>
      <c r="P34" s="52"/>
      <c r="Q34" s="52"/>
      <c r="R34" s="52"/>
      <c r="S34" s="52"/>
      <c r="T34" s="52"/>
      <c r="U34" s="52"/>
      <c r="V34" s="52"/>
    </row>
    <row r="35" spans="2:22" ht="12.95">
      <c r="B35" s="1071"/>
      <c r="C35" s="1071"/>
      <c r="E35" s="53"/>
      <c r="F35" s="53"/>
      <c r="G35" s="54" t="s">
        <v>337</v>
      </c>
      <c r="H35" s="54" t="s">
        <v>360</v>
      </c>
      <c r="I35" s="54"/>
      <c r="J35" s="54"/>
      <c r="K35" s="54" t="s">
        <v>361</v>
      </c>
      <c r="L35" s="54"/>
      <c r="M35" s="54"/>
      <c r="N35" s="54"/>
      <c r="O35" s="54" t="s">
        <v>362</v>
      </c>
      <c r="P35" s="53"/>
      <c r="Q35" s="53"/>
      <c r="R35" s="53"/>
      <c r="S35" s="53"/>
      <c r="T35" s="53"/>
      <c r="U35" s="53"/>
      <c r="V35" s="53"/>
    </row>
    <row r="36" spans="2:22" ht="20.25" customHeight="1">
      <c r="B36" s="1071"/>
      <c r="C36" s="1071"/>
      <c r="E36" s="23" t="s">
        <v>363</v>
      </c>
      <c r="G36" s="1079" t="s">
        <v>364</v>
      </c>
      <c r="H36" s="1059" t="s">
        <v>365</v>
      </c>
      <c r="I36" s="1059"/>
      <c r="J36" s="1059"/>
      <c r="K36" s="1059" t="s">
        <v>366</v>
      </c>
      <c r="L36" s="1059"/>
      <c r="M36" s="1059"/>
      <c r="N36" s="1059"/>
      <c r="O36" s="1072" t="s">
        <v>367</v>
      </c>
      <c r="P36" s="1072"/>
      <c r="Q36" s="1072"/>
      <c r="R36" s="1072"/>
      <c r="S36" s="1072"/>
      <c r="T36" s="1072"/>
      <c r="U36" s="1072"/>
      <c r="V36" s="1072"/>
    </row>
    <row r="37" spans="2:22" ht="20.25" customHeight="1">
      <c r="B37" s="1071"/>
      <c r="C37" s="1071"/>
      <c r="G37" s="1080"/>
      <c r="H37" s="1059"/>
      <c r="I37" s="1059"/>
      <c r="J37" s="1059"/>
      <c r="K37" s="1059"/>
      <c r="L37" s="1059"/>
      <c r="M37" s="1059"/>
      <c r="N37" s="1059"/>
      <c r="O37" s="1072"/>
      <c r="P37" s="1072"/>
      <c r="Q37" s="1072"/>
      <c r="R37" s="1072"/>
      <c r="S37" s="1072"/>
      <c r="T37" s="1072"/>
      <c r="U37" s="1072"/>
      <c r="V37" s="1072"/>
    </row>
    <row r="38" spans="2:22" ht="24.95" customHeight="1">
      <c r="B38" s="1071"/>
      <c r="C38" s="1071"/>
      <c r="E38" s="23" t="s">
        <v>368</v>
      </c>
      <c r="G38" s="1081" t="s">
        <v>364</v>
      </c>
      <c r="H38" s="1059" t="s">
        <v>369</v>
      </c>
      <c r="I38" s="1059"/>
      <c r="J38" s="1059"/>
      <c r="K38" s="1059" t="s">
        <v>370</v>
      </c>
      <c r="L38" s="1059"/>
      <c r="M38" s="1059"/>
      <c r="N38" s="1059"/>
      <c r="O38" s="1059" t="s">
        <v>371</v>
      </c>
      <c r="P38" s="1059"/>
      <c r="Q38" s="1059"/>
      <c r="R38" s="1059"/>
      <c r="S38" s="1059"/>
      <c r="T38" s="1059"/>
      <c r="U38" s="1059"/>
      <c r="V38" s="1059"/>
    </row>
    <row r="39" spans="2:22" ht="27.95" customHeight="1">
      <c r="B39" s="1071"/>
      <c r="C39" s="1071"/>
      <c r="G39" s="1081"/>
      <c r="H39" s="1059"/>
      <c r="I39" s="1059"/>
      <c r="J39" s="1059"/>
      <c r="K39" s="1059"/>
      <c r="L39" s="1059"/>
      <c r="M39" s="1059"/>
      <c r="N39" s="1059"/>
      <c r="O39" s="1059"/>
      <c r="P39" s="1059"/>
      <c r="Q39" s="1059"/>
      <c r="R39" s="1059"/>
      <c r="S39" s="1059"/>
      <c r="T39" s="1059"/>
      <c r="U39" s="1059"/>
      <c r="V39" s="1059"/>
    </row>
    <row r="40" spans="2:22" ht="21" customHeight="1">
      <c r="B40" s="1071"/>
      <c r="C40" s="1071"/>
      <c r="E40" s="23" t="s">
        <v>372</v>
      </c>
      <c r="G40" s="1082" t="s">
        <v>364</v>
      </c>
      <c r="H40" s="1059" t="s">
        <v>373</v>
      </c>
      <c r="I40" s="1059"/>
      <c r="J40" s="1059"/>
      <c r="K40" s="1059" t="s">
        <v>374</v>
      </c>
      <c r="L40" s="1059"/>
      <c r="M40" s="1059"/>
      <c r="N40" s="1059"/>
      <c r="O40" s="1072"/>
      <c r="P40" s="1072"/>
      <c r="Q40" s="1072"/>
      <c r="R40" s="1072"/>
      <c r="S40" s="1072"/>
      <c r="T40" s="1072"/>
      <c r="U40" s="1072"/>
      <c r="V40" s="1072"/>
    </row>
    <row r="41" spans="2:22" ht="51" customHeight="1">
      <c r="B41" s="1071"/>
      <c r="C41" s="1071"/>
      <c r="G41" s="1082"/>
      <c r="H41" s="1059"/>
      <c r="I41" s="1059"/>
      <c r="J41" s="1059"/>
      <c r="K41" s="1059"/>
      <c r="L41" s="1059"/>
      <c r="M41" s="1059"/>
      <c r="N41" s="1059"/>
      <c r="O41" s="1072"/>
      <c r="P41" s="1072"/>
      <c r="Q41" s="1072"/>
      <c r="R41" s="1072"/>
      <c r="S41" s="1072"/>
      <c r="T41" s="1072"/>
      <c r="U41" s="1072"/>
      <c r="V41" s="1072"/>
    </row>
    <row r="42" spans="2:22" ht="30.95" customHeight="1">
      <c r="B42" s="1071"/>
      <c r="C42" s="1071"/>
      <c r="E42" s="23" t="s">
        <v>375</v>
      </c>
      <c r="G42" s="1081" t="s">
        <v>364</v>
      </c>
      <c r="H42" s="1059" t="s">
        <v>376</v>
      </c>
      <c r="I42" s="1059"/>
      <c r="J42" s="1059"/>
      <c r="K42" s="1059" t="s">
        <v>377</v>
      </c>
      <c r="L42" s="1059"/>
      <c r="M42" s="1059"/>
      <c r="N42" s="1059"/>
      <c r="O42" s="1059" t="s">
        <v>378</v>
      </c>
      <c r="P42" s="1059"/>
      <c r="Q42" s="1059"/>
      <c r="R42" s="1059"/>
      <c r="S42" s="1059"/>
      <c r="T42" s="1059"/>
      <c r="U42" s="1059"/>
      <c r="V42" s="1059"/>
    </row>
    <row r="43" spans="2:22" ht="54" customHeight="1">
      <c r="B43" s="1071"/>
      <c r="C43" s="1071"/>
      <c r="G43" s="1081"/>
      <c r="H43" s="1059"/>
      <c r="I43" s="1059"/>
      <c r="J43" s="1059"/>
      <c r="K43" s="1059"/>
      <c r="L43" s="1059"/>
      <c r="M43" s="1059"/>
      <c r="N43" s="1059"/>
      <c r="O43" s="1059"/>
      <c r="P43" s="1059"/>
      <c r="Q43" s="1059"/>
      <c r="R43" s="1059"/>
      <c r="S43" s="1059"/>
      <c r="T43" s="1059"/>
      <c r="U43" s="1059"/>
      <c r="V43" s="1059"/>
    </row>
    <row r="44" spans="2:22" ht="14.1">
      <c r="B44" s="1071"/>
      <c r="C44" s="1071"/>
      <c r="E44" s="23" t="s">
        <v>379</v>
      </c>
      <c r="G44" s="1072"/>
      <c r="H44" s="1059"/>
      <c r="I44" s="1059"/>
      <c r="J44" s="1059"/>
      <c r="K44" s="1059"/>
      <c r="L44" s="1059"/>
      <c r="M44" s="1059"/>
      <c r="N44" s="1059"/>
      <c r="O44" s="1059"/>
      <c r="P44" s="1059"/>
      <c r="Q44" s="1059"/>
      <c r="R44" s="1059"/>
      <c r="S44" s="1059"/>
      <c r="T44" s="1059"/>
      <c r="U44" s="1059"/>
      <c r="V44" s="1059"/>
    </row>
    <row r="45" spans="2:22" ht="12.6">
      <c r="B45" s="1071"/>
      <c r="C45" s="1071"/>
      <c r="G45" s="1072"/>
      <c r="H45" s="1059"/>
      <c r="I45" s="1059"/>
      <c r="J45" s="1059"/>
      <c r="K45" s="1059"/>
      <c r="L45" s="1059"/>
      <c r="M45" s="1059"/>
      <c r="N45" s="1059"/>
      <c r="O45" s="1059"/>
      <c r="P45" s="1059"/>
      <c r="Q45" s="1059"/>
      <c r="R45" s="1059"/>
      <c r="S45" s="1059"/>
      <c r="T45" s="1059"/>
      <c r="U45" s="1059"/>
      <c r="V45" s="1059"/>
    </row>
    <row r="46" spans="2:22" ht="15.6">
      <c r="E46" s="51" t="s">
        <v>380</v>
      </c>
      <c r="F46" s="51"/>
      <c r="G46" s="51"/>
      <c r="H46" s="51"/>
      <c r="I46" s="51"/>
      <c r="J46" s="51"/>
      <c r="K46" s="51"/>
      <c r="L46" s="51"/>
      <c r="M46" s="51"/>
      <c r="N46" s="51"/>
      <c r="O46" s="51"/>
      <c r="P46" s="51"/>
      <c r="Q46" s="51"/>
      <c r="R46" s="51"/>
      <c r="S46" s="51"/>
      <c r="T46" s="51"/>
      <c r="U46" s="51"/>
      <c r="V46" s="51"/>
    </row>
    <row r="47" spans="2:22" customFormat="1" ht="3.95" customHeight="1">
      <c r="B47" s="44"/>
      <c r="C47" s="43"/>
      <c r="D47" s="44"/>
      <c r="E47" s="52"/>
      <c r="F47" s="52"/>
      <c r="G47" s="52"/>
      <c r="H47" s="52"/>
      <c r="I47" s="52"/>
      <c r="J47" s="52"/>
      <c r="K47" s="52"/>
      <c r="L47" s="52"/>
      <c r="M47" s="52"/>
      <c r="N47" s="52"/>
      <c r="O47" s="52"/>
      <c r="P47" s="52"/>
      <c r="Q47" s="52"/>
      <c r="R47" s="52"/>
      <c r="S47" s="52"/>
      <c r="T47" s="52"/>
      <c r="U47" s="52"/>
      <c r="V47" s="52"/>
    </row>
    <row r="48" spans="2:22" ht="14.45" thickBot="1">
      <c r="B48" s="1" t="s">
        <v>381</v>
      </c>
      <c r="C48" s="44"/>
      <c r="E48" s="53"/>
      <c r="F48" s="53"/>
      <c r="G48" s="54" t="s">
        <v>337</v>
      </c>
      <c r="H48" s="54" t="s">
        <v>360</v>
      </c>
      <c r="I48" s="54"/>
      <c r="J48" s="54"/>
      <c r="K48" s="54" t="s">
        <v>361</v>
      </c>
      <c r="L48" s="54"/>
      <c r="M48" s="54"/>
      <c r="N48" s="54"/>
      <c r="O48" s="54" t="s">
        <v>362</v>
      </c>
      <c r="P48" s="53"/>
      <c r="Q48" s="53"/>
      <c r="R48" s="53"/>
      <c r="S48" s="53"/>
      <c r="T48" s="53"/>
      <c r="U48" s="53"/>
      <c r="V48" s="53"/>
    </row>
    <row r="49" spans="2:26" ht="18" customHeight="1" thickTop="1">
      <c r="B49" s="45" t="s">
        <v>382</v>
      </c>
      <c r="C49" s="46"/>
      <c r="E49" s="23" t="s">
        <v>383</v>
      </c>
      <c r="G49" s="1067"/>
      <c r="H49" s="1069" t="s">
        <v>384</v>
      </c>
      <c r="I49" s="1069"/>
      <c r="J49" s="1069"/>
      <c r="K49" s="1069" t="s">
        <v>385</v>
      </c>
      <c r="L49" s="1069"/>
      <c r="M49" s="1069"/>
      <c r="N49" s="1069"/>
      <c r="O49" s="1069" t="s">
        <v>386</v>
      </c>
      <c r="P49" s="1069"/>
      <c r="Q49" s="1069"/>
      <c r="R49" s="1069"/>
      <c r="S49" s="1069"/>
      <c r="T49" s="1069"/>
      <c r="U49" s="1069"/>
      <c r="V49" s="1069"/>
      <c r="Z49" s="44" t="s">
        <v>387</v>
      </c>
    </row>
    <row r="50" spans="2:26" ht="51" customHeight="1">
      <c r="B50" s="25" t="s">
        <v>388</v>
      </c>
      <c r="C50" s="60"/>
      <c r="D50" s="44" t="s">
        <v>338</v>
      </c>
      <c r="G50" s="1068"/>
      <c r="H50" s="1059"/>
      <c r="I50" s="1059"/>
      <c r="J50" s="1059"/>
      <c r="K50" s="1059"/>
      <c r="L50" s="1059"/>
      <c r="M50" s="1059"/>
      <c r="N50" s="1059"/>
      <c r="O50" s="1059"/>
      <c r="P50" s="1059"/>
      <c r="Q50" s="1059"/>
      <c r="R50" s="1059"/>
      <c r="S50" s="1059"/>
      <c r="T50" s="1059"/>
      <c r="U50" s="1059"/>
      <c r="V50" s="1059"/>
    </row>
    <row r="51" spans="2:26" ht="14.1">
      <c r="B51" s="25" t="s">
        <v>389</v>
      </c>
      <c r="C51" s="60"/>
      <c r="D51" s="44" t="s">
        <v>338</v>
      </c>
      <c r="E51" s="23" t="s">
        <v>390</v>
      </c>
      <c r="G51" s="1073"/>
      <c r="H51" s="1059" t="s">
        <v>391</v>
      </c>
      <c r="I51" s="1059"/>
      <c r="J51" s="1059"/>
      <c r="K51" s="1059" t="s">
        <v>392</v>
      </c>
      <c r="L51" s="1059"/>
      <c r="M51" s="1059"/>
      <c r="N51" s="1059"/>
      <c r="O51" s="1059" t="s">
        <v>393</v>
      </c>
      <c r="P51" s="1059"/>
      <c r="Q51" s="1059"/>
      <c r="R51" s="1059"/>
      <c r="S51" s="1059"/>
      <c r="T51" s="1059"/>
      <c r="U51" s="1059"/>
      <c r="V51" s="1059"/>
    </row>
    <row r="52" spans="2:26" ht="20.25" customHeight="1">
      <c r="G52" s="1073"/>
      <c r="H52" s="1059"/>
      <c r="I52" s="1059"/>
      <c r="J52" s="1059"/>
      <c r="K52" s="1059"/>
      <c r="L52" s="1059"/>
      <c r="M52" s="1059"/>
      <c r="N52" s="1059"/>
      <c r="O52" s="1059"/>
      <c r="P52" s="1059"/>
      <c r="Q52" s="1059"/>
      <c r="R52" s="1059"/>
      <c r="S52" s="1059"/>
      <c r="T52" s="1059"/>
      <c r="U52" s="1059"/>
      <c r="V52" s="1059"/>
    </row>
    <row r="53" spans="2:26" ht="45" customHeight="1">
      <c r="E53" s="23" t="s">
        <v>394</v>
      </c>
      <c r="G53" s="1073"/>
      <c r="H53" s="1059" t="s">
        <v>395</v>
      </c>
      <c r="I53" s="1059"/>
      <c r="J53" s="1059"/>
      <c r="K53" s="1059" t="s">
        <v>396</v>
      </c>
      <c r="L53" s="1059"/>
      <c r="M53" s="1059"/>
      <c r="N53" s="1059"/>
      <c r="O53" s="1059"/>
      <c r="P53" s="1059"/>
      <c r="Q53" s="1059"/>
      <c r="R53" s="1059"/>
      <c r="S53" s="1059"/>
      <c r="T53" s="1059"/>
      <c r="U53" s="1059"/>
      <c r="V53" s="1059"/>
    </row>
    <row r="54" spans="2:26" ht="48.95" customHeight="1">
      <c r="G54" s="1073"/>
      <c r="H54" s="1059"/>
      <c r="I54" s="1059"/>
      <c r="J54" s="1059"/>
      <c r="K54" s="1059"/>
      <c r="L54" s="1059"/>
      <c r="M54" s="1059"/>
      <c r="N54" s="1059"/>
      <c r="O54" s="1059"/>
      <c r="P54" s="1059"/>
      <c r="Q54" s="1059"/>
      <c r="R54" s="1059"/>
      <c r="S54" s="1059"/>
      <c r="T54" s="1059"/>
      <c r="U54" s="1059"/>
      <c r="V54" s="1059"/>
    </row>
    <row r="55" spans="2:26" ht="28.5" customHeight="1">
      <c r="E55" s="23" t="s">
        <v>397</v>
      </c>
      <c r="G55" s="1068"/>
      <c r="H55" s="1059" t="s">
        <v>398</v>
      </c>
      <c r="I55" s="1059"/>
      <c r="J55" s="1059"/>
      <c r="K55" s="1059" t="s">
        <v>399</v>
      </c>
      <c r="L55" s="1059"/>
      <c r="M55" s="1059"/>
      <c r="N55" s="1059"/>
      <c r="O55" s="1059" t="s">
        <v>400</v>
      </c>
      <c r="P55" s="1059"/>
      <c r="Q55" s="1059"/>
      <c r="R55" s="1059"/>
      <c r="S55" s="1059"/>
      <c r="T55" s="1059"/>
      <c r="U55" s="1059"/>
      <c r="V55" s="1059"/>
    </row>
    <row r="56" spans="2:26" ht="30" customHeight="1">
      <c r="G56" s="1068"/>
      <c r="H56" s="1059"/>
      <c r="I56" s="1059"/>
      <c r="J56" s="1059"/>
      <c r="K56" s="1059"/>
      <c r="L56" s="1059"/>
      <c r="M56" s="1059"/>
      <c r="N56" s="1059"/>
      <c r="O56" s="1059"/>
      <c r="P56" s="1059"/>
      <c r="Q56" s="1059"/>
      <c r="R56" s="1059"/>
      <c r="S56" s="1059"/>
      <c r="T56" s="1059"/>
      <c r="U56" s="1059"/>
      <c r="V56" s="1059"/>
    </row>
    <row r="57" spans="2:26" ht="15" customHeight="1">
      <c r="E57" s="23" t="s">
        <v>401</v>
      </c>
      <c r="G57" s="1083" t="s">
        <v>364</v>
      </c>
      <c r="H57" s="1059" t="s">
        <v>402</v>
      </c>
      <c r="I57" s="1059"/>
      <c r="J57" s="1059"/>
      <c r="K57" s="1059" t="s">
        <v>403</v>
      </c>
      <c r="L57" s="1059"/>
      <c r="M57" s="1059"/>
      <c r="N57" s="1059"/>
      <c r="O57" s="1059" t="s">
        <v>404</v>
      </c>
      <c r="P57" s="1059"/>
      <c r="Q57" s="1059"/>
      <c r="R57" s="1059"/>
      <c r="S57" s="1059"/>
      <c r="T57" s="1059"/>
      <c r="U57" s="1059"/>
      <c r="V57" s="1059"/>
    </row>
    <row r="58" spans="2:26" ht="12.95">
      <c r="G58" s="1083"/>
      <c r="H58" s="1059"/>
      <c r="I58" s="1059"/>
      <c r="J58" s="1059"/>
      <c r="K58" s="1059"/>
      <c r="L58" s="1059"/>
      <c r="M58" s="1059"/>
      <c r="N58" s="1059"/>
      <c r="O58" s="1059"/>
      <c r="P58" s="1059"/>
      <c r="Q58" s="1059"/>
      <c r="R58" s="1059"/>
      <c r="S58" s="1059"/>
      <c r="T58" s="1059"/>
      <c r="U58" s="1059"/>
      <c r="V58" s="1059"/>
    </row>
    <row r="59" spans="2:26" ht="20.25" customHeight="1">
      <c r="E59" s="23" t="s">
        <v>405</v>
      </c>
      <c r="G59" s="1080" t="s">
        <v>364</v>
      </c>
      <c r="H59" s="1059" t="s">
        <v>406</v>
      </c>
      <c r="I59" s="1059"/>
      <c r="J59" s="1059"/>
      <c r="K59" s="1059" t="s">
        <v>407</v>
      </c>
      <c r="L59" s="1059"/>
      <c r="M59" s="1059"/>
      <c r="N59" s="1059"/>
      <c r="O59" s="1059" t="s">
        <v>408</v>
      </c>
      <c r="P59" s="1059"/>
      <c r="Q59" s="1059"/>
      <c r="R59" s="1059"/>
      <c r="S59" s="1059"/>
      <c r="T59" s="1059"/>
      <c r="U59" s="1059"/>
      <c r="V59" s="1059"/>
    </row>
    <row r="60" spans="2:26" ht="48.95" customHeight="1">
      <c r="G60" s="1080"/>
      <c r="H60" s="1059"/>
      <c r="I60" s="1059"/>
      <c r="J60" s="1059"/>
      <c r="K60" s="1059"/>
      <c r="L60" s="1059"/>
      <c r="M60" s="1059"/>
      <c r="N60" s="1059"/>
      <c r="O60" s="1059"/>
      <c r="P60" s="1059"/>
      <c r="Q60" s="1059"/>
      <c r="R60" s="1059"/>
      <c r="S60" s="1059"/>
      <c r="T60" s="1059"/>
      <c r="U60" s="1059"/>
      <c r="V60" s="1059"/>
    </row>
    <row r="61" spans="2:26" ht="15" customHeight="1">
      <c r="E61" s="23" t="s">
        <v>409</v>
      </c>
      <c r="G61" s="1073"/>
      <c r="H61" s="1059" t="s">
        <v>410</v>
      </c>
      <c r="I61" s="1059"/>
      <c r="J61" s="1059"/>
      <c r="K61" s="1059" t="s">
        <v>411</v>
      </c>
      <c r="L61" s="1059"/>
      <c r="M61" s="1059"/>
      <c r="N61" s="1059"/>
      <c r="O61" s="1072"/>
      <c r="P61" s="1072"/>
      <c r="Q61" s="1072"/>
      <c r="R61" s="1072"/>
      <c r="S61" s="1072"/>
      <c r="T61" s="1072"/>
      <c r="U61" s="1072"/>
      <c r="V61" s="1072"/>
    </row>
    <row r="62" spans="2:26" ht="12.95">
      <c r="G62" s="1073"/>
      <c r="H62" s="1059"/>
      <c r="I62" s="1059"/>
      <c r="J62" s="1059"/>
      <c r="K62" s="1059"/>
      <c r="L62" s="1059"/>
      <c r="M62" s="1059"/>
      <c r="N62" s="1059"/>
      <c r="O62" s="1072"/>
      <c r="P62" s="1072"/>
      <c r="Q62" s="1072"/>
      <c r="R62" s="1072"/>
      <c r="S62" s="1072"/>
      <c r="T62" s="1072"/>
      <c r="U62" s="1072"/>
      <c r="V62" s="1072"/>
    </row>
    <row r="63" spans="2:26" ht="42" customHeight="1">
      <c r="E63" s="23" t="s">
        <v>412</v>
      </c>
      <c r="G63" s="1080" t="s">
        <v>364</v>
      </c>
      <c r="H63" s="1059" t="s">
        <v>413</v>
      </c>
      <c r="I63" s="1059"/>
      <c r="J63" s="1059"/>
      <c r="K63" s="1059" t="s">
        <v>414</v>
      </c>
      <c r="L63" s="1059"/>
      <c r="M63" s="1059"/>
      <c r="N63" s="1059"/>
      <c r="O63" s="1059" t="s">
        <v>415</v>
      </c>
      <c r="P63" s="1059"/>
      <c r="Q63" s="1059"/>
      <c r="R63" s="1059"/>
      <c r="S63" s="1059"/>
      <c r="T63" s="1059"/>
      <c r="U63" s="1059"/>
      <c r="V63" s="1059"/>
    </row>
    <row r="64" spans="2:26" ht="92.1" customHeight="1">
      <c r="G64" s="1080"/>
      <c r="H64" s="1059"/>
      <c r="I64" s="1059"/>
      <c r="J64" s="1059"/>
      <c r="K64" s="1059"/>
      <c r="L64" s="1059"/>
      <c r="M64" s="1059"/>
      <c r="N64" s="1059"/>
      <c r="O64" s="1059"/>
      <c r="P64" s="1059"/>
      <c r="Q64" s="1059"/>
      <c r="R64" s="1059"/>
      <c r="S64" s="1059"/>
      <c r="T64" s="1059"/>
      <c r="U64" s="1059"/>
      <c r="V64" s="1059"/>
    </row>
    <row r="65" spans="2:23" ht="24" customHeight="1">
      <c r="E65" s="23" t="s">
        <v>416</v>
      </c>
      <c r="G65" s="1073"/>
      <c r="H65" s="1059" t="s">
        <v>417</v>
      </c>
      <c r="I65" s="1059"/>
      <c r="J65" s="1059"/>
      <c r="K65" s="1059" t="s">
        <v>418</v>
      </c>
      <c r="L65" s="1059"/>
      <c r="M65" s="1059"/>
      <c r="N65" s="1059"/>
      <c r="O65" s="1059" t="s">
        <v>419</v>
      </c>
      <c r="P65" s="1059"/>
      <c r="Q65" s="1059"/>
      <c r="R65" s="1059"/>
      <c r="S65" s="1059"/>
      <c r="T65" s="1059"/>
      <c r="U65" s="1059"/>
      <c r="V65" s="1059"/>
    </row>
    <row r="66" spans="2:23" ht="34.5" customHeight="1">
      <c r="G66" s="1073"/>
      <c r="H66" s="1059"/>
      <c r="I66" s="1059"/>
      <c r="J66" s="1059"/>
      <c r="K66" s="1059"/>
      <c r="L66" s="1059"/>
      <c r="M66" s="1059"/>
      <c r="N66" s="1059"/>
      <c r="O66" s="1059"/>
      <c r="P66" s="1059"/>
      <c r="Q66" s="1059"/>
      <c r="R66" s="1059"/>
      <c r="S66" s="1059"/>
      <c r="T66" s="1059"/>
      <c r="U66" s="1059"/>
      <c r="V66" s="1059"/>
    </row>
    <row r="67" spans="2:23" ht="14.1">
      <c r="E67" s="23" t="s">
        <v>420</v>
      </c>
      <c r="G67" s="1080" t="s">
        <v>364</v>
      </c>
      <c r="H67" s="1059" t="s">
        <v>421</v>
      </c>
      <c r="I67" s="1059"/>
      <c r="J67" s="1059"/>
      <c r="K67" s="1059" t="s">
        <v>422</v>
      </c>
      <c r="L67" s="1059"/>
      <c r="M67" s="1059"/>
      <c r="N67" s="1059"/>
      <c r="O67" s="1059" t="s">
        <v>423</v>
      </c>
      <c r="P67" s="1059"/>
      <c r="Q67" s="1059"/>
      <c r="R67" s="1059"/>
      <c r="S67" s="1059"/>
      <c r="T67" s="1059"/>
      <c r="U67" s="1059"/>
      <c r="V67" s="1059"/>
    </row>
    <row r="68" spans="2:23" ht="21" customHeight="1">
      <c r="E68" s="23"/>
      <c r="G68" s="1080"/>
      <c r="H68" s="1059"/>
      <c r="I68" s="1059"/>
      <c r="J68" s="1059"/>
      <c r="K68" s="1059"/>
      <c r="L68" s="1059"/>
      <c r="M68" s="1059"/>
      <c r="N68" s="1059"/>
      <c r="O68" s="1059"/>
      <c r="P68" s="1059"/>
      <c r="Q68" s="1059"/>
      <c r="R68" s="1059"/>
      <c r="S68" s="1059"/>
      <c r="T68" s="1059"/>
      <c r="U68" s="1059"/>
      <c r="V68" s="1059"/>
    </row>
    <row r="69" spans="2:23" ht="33" customHeight="1">
      <c r="E69" s="23" t="s">
        <v>424</v>
      </c>
      <c r="G69" s="1084" t="s">
        <v>364</v>
      </c>
      <c r="H69" s="1059" t="s">
        <v>425</v>
      </c>
      <c r="I69" s="1059"/>
      <c r="J69" s="1059"/>
      <c r="K69" s="1059" t="s">
        <v>426</v>
      </c>
      <c r="L69" s="1059"/>
      <c r="M69" s="1059"/>
      <c r="N69" s="1059"/>
      <c r="O69" s="1059" t="s">
        <v>427</v>
      </c>
      <c r="P69" s="1059"/>
      <c r="Q69" s="1059"/>
      <c r="R69" s="1059"/>
      <c r="S69" s="1059"/>
      <c r="T69" s="1059"/>
      <c r="U69" s="1059"/>
      <c r="V69" s="1059"/>
    </row>
    <row r="70" spans="2:23" ht="29.25" customHeight="1">
      <c r="G70" s="1084"/>
      <c r="H70" s="1059"/>
      <c r="I70" s="1059"/>
      <c r="J70" s="1059"/>
      <c r="K70" s="1059"/>
      <c r="L70" s="1059"/>
      <c r="M70" s="1059"/>
      <c r="N70" s="1059"/>
      <c r="O70" s="1059"/>
      <c r="P70" s="1059"/>
      <c r="Q70" s="1059"/>
      <c r="R70" s="1059"/>
      <c r="S70" s="1059"/>
      <c r="T70" s="1059"/>
      <c r="U70" s="1059"/>
      <c r="V70" s="1059"/>
    </row>
    <row r="71" spans="2:23" ht="15.6">
      <c r="E71" s="51" t="s">
        <v>428</v>
      </c>
      <c r="F71" s="51"/>
      <c r="G71" s="51"/>
      <c r="H71" s="51"/>
      <c r="I71" s="51"/>
      <c r="J71" s="51"/>
      <c r="K71" s="51"/>
      <c r="L71" s="51"/>
      <c r="M71" s="51"/>
      <c r="N71" s="51"/>
      <c r="O71" s="51"/>
      <c r="P71" s="51"/>
      <c r="Q71" s="51"/>
      <c r="R71" s="51"/>
      <c r="S71" s="51"/>
      <c r="T71" s="51"/>
      <c r="U71" s="51"/>
      <c r="V71" s="51"/>
    </row>
    <row r="72" spans="2:23" customFormat="1" ht="3.95" customHeight="1">
      <c r="B72" s="44"/>
      <c r="C72" s="43"/>
      <c r="D72" s="44"/>
      <c r="E72" s="52"/>
      <c r="F72" s="52"/>
      <c r="G72" s="52"/>
      <c r="H72" s="52"/>
      <c r="I72" s="52"/>
      <c r="J72" s="52"/>
      <c r="K72" s="52"/>
      <c r="L72" s="52"/>
      <c r="M72" s="52"/>
      <c r="N72" s="52"/>
      <c r="O72" s="52"/>
      <c r="P72" s="52"/>
      <c r="Q72" s="52"/>
      <c r="R72" s="52"/>
      <c r="S72" s="52"/>
      <c r="T72" s="52"/>
      <c r="U72" s="52"/>
      <c r="V72" s="52"/>
    </row>
    <row r="73" spans="2:23" ht="13.5" thickBot="1">
      <c r="E73" s="53"/>
      <c r="F73" s="53"/>
      <c r="G73" s="54" t="s">
        <v>337</v>
      </c>
      <c r="H73" s="54" t="s">
        <v>360</v>
      </c>
      <c r="I73" s="54"/>
      <c r="J73" s="54"/>
      <c r="K73" s="54" t="s">
        <v>361</v>
      </c>
      <c r="L73" s="54"/>
      <c r="M73" s="54"/>
      <c r="N73" s="54"/>
      <c r="O73" s="54" t="s">
        <v>362</v>
      </c>
      <c r="P73" s="53"/>
      <c r="Q73" s="53"/>
      <c r="R73" s="53"/>
      <c r="S73" s="53"/>
      <c r="T73" s="53"/>
      <c r="U73" s="53"/>
      <c r="V73" s="53"/>
    </row>
    <row r="74" spans="2:23" ht="33.950000000000003" customHeight="1">
      <c r="E74" s="23" t="s">
        <v>429</v>
      </c>
      <c r="G74" s="1067"/>
      <c r="H74" s="1069" t="s">
        <v>430</v>
      </c>
      <c r="I74" s="1069"/>
      <c r="J74" s="1069"/>
      <c r="K74" s="1069" t="s">
        <v>431</v>
      </c>
      <c r="L74" s="1069"/>
      <c r="M74" s="1069"/>
      <c r="N74" s="1069"/>
      <c r="O74" s="1069" t="s">
        <v>432</v>
      </c>
      <c r="P74" s="1069"/>
      <c r="Q74" s="1069"/>
      <c r="R74" s="1069"/>
      <c r="S74" s="1069"/>
      <c r="T74" s="1069"/>
      <c r="U74" s="1069"/>
      <c r="V74" s="1069"/>
      <c r="W74" s="44" t="s">
        <v>433</v>
      </c>
    </row>
    <row r="75" spans="2:23" ht="18" customHeight="1">
      <c r="G75" s="1068"/>
      <c r="H75" s="1059"/>
      <c r="I75" s="1059"/>
      <c r="J75" s="1059"/>
      <c r="K75" s="1059"/>
      <c r="L75" s="1059"/>
      <c r="M75" s="1059"/>
      <c r="N75" s="1059"/>
      <c r="O75" s="1059"/>
      <c r="P75" s="1059"/>
      <c r="Q75" s="1059"/>
      <c r="R75" s="1059"/>
      <c r="S75" s="1059"/>
      <c r="T75" s="1059"/>
      <c r="U75" s="1059"/>
      <c r="V75" s="1059"/>
    </row>
    <row r="76" spans="2:23" ht="14.1" customHeight="1">
      <c r="E76" s="23" t="s">
        <v>434</v>
      </c>
      <c r="G76" s="1080" t="s">
        <v>364</v>
      </c>
      <c r="H76" s="1059" t="s">
        <v>435</v>
      </c>
      <c r="I76" s="1059"/>
      <c r="J76" s="1059"/>
      <c r="K76" s="1059" t="s">
        <v>436</v>
      </c>
      <c r="L76" s="1059"/>
      <c r="M76" s="1059"/>
      <c r="N76" s="1059"/>
      <c r="O76" s="1072" t="s">
        <v>437</v>
      </c>
      <c r="P76" s="1072"/>
      <c r="Q76" s="1072"/>
      <c r="R76" s="1072"/>
      <c r="S76" s="1072"/>
      <c r="T76" s="1072"/>
      <c r="U76" s="1072"/>
      <c r="V76" s="1072"/>
    </row>
    <row r="77" spans="2:23" ht="24" customHeight="1">
      <c r="G77" s="1080"/>
      <c r="H77" s="1059"/>
      <c r="I77" s="1059"/>
      <c r="J77" s="1059"/>
      <c r="K77" s="1059"/>
      <c r="L77" s="1059"/>
      <c r="M77" s="1059"/>
      <c r="N77" s="1059"/>
      <c r="O77" s="1072"/>
      <c r="P77" s="1072"/>
      <c r="Q77" s="1072"/>
      <c r="R77" s="1072"/>
      <c r="S77" s="1072"/>
      <c r="T77" s="1072"/>
      <c r="U77" s="1072"/>
      <c r="V77" s="1072"/>
    </row>
    <row r="78" spans="2:23" ht="14.1" customHeight="1">
      <c r="E78" s="23" t="s">
        <v>438</v>
      </c>
      <c r="G78" s="1074"/>
      <c r="H78" s="1059" t="s">
        <v>439</v>
      </c>
      <c r="I78" s="1059"/>
      <c r="J78" s="1059"/>
      <c r="K78" s="1059" t="s">
        <v>440</v>
      </c>
      <c r="L78" s="1059"/>
      <c r="M78" s="1059"/>
      <c r="N78" s="1059"/>
      <c r="O78" s="1075" t="s">
        <v>441</v>
      </c>
      <c r="P78" s="1075"/>
      <c r="Q78" s="1075"/>
      <c r="R78" s="1075"/>
      <c r="S78" s="1075"/>
      <c r="T78" s="1075"/>
      <c r="U78" s="1075"/>
      <c r="V78" s="1075"/>
    </row>
    <row r="79" spans="2:23" ht="22.5" customHeight="1">
      <c r="G79" s="1074"/>
      <c r="H79" s="1059"/>
      <c r="I79" s="1059"/>
      <c r="J79" s="1059"/>
      <c r="K79" s="1059"/>
      <c r="L79" s="1059"/>
      <c r="M79" s="1059"/>
      <c r="N79" s="1059"/>
      <c r="O79" s="1075"/>
      <c r="P79" s="1075"/>
      <c r="Q79" s="1075"/>
      <c r="R79" s="1075"/>
      <c r="S79" s="1075"/>
      <c r="T79" s="1075"/>
      <c r="U79" s="1075"/>
      <c r="V79" s="1075"/>
    </row>
    <row r="80" spans="2:23" ht="14.1" customHeight="1">
      <c r="E80" s="23" t="s">
        <v>442</v>
      </c>
      <c r="G80" s="1080" t="s">
        <v>364</v>
      </c>
      <c r="H80" s="1059" t="s">
        <v>443</v>
      </c>
      <c r="I80" s="1059"/>
      <c r="J80" s="1059"/>
      <c r="K80" s="1059" t="s">
        <v>444</v>
      </c>
      <c r="L80" s="1059"/>
      <c r="M80" s="1059"/>
      <c r="N80" s="1059"/>
      <c r="O80" s="1059" t="s">
        <v>445</v>
      </c>
      <c r="P80" s="1059"/>
      <c r="Q80" s="1059"/>
      <c r="R80" s="1059"/>
      <c r="S80" s="1059"/>
      <c r="T80" s="1059"/>
      <c r="U80" s="1059"/>
      <c r="V80" s="1059"/>
    </row>
    <row r="81" spans="5:22" ht="12.6" customHeight="1">
      <c r="G81" s="1080"/>
      <c r="H81" s="1059"/>
      <c r="I81" s="1059"/>
      <c r="J81" s="1059"/>
      <c r="K81" s="1059"/>
      <c r="L81" s="1059"/>
      <c r="M81" s="1059"/>
      <c r="N81" s="1059"/>
      <c r="O81" s="1059"/>
      <c r="P81" s="1059"/>
      <c r="Q81" s="1059"/>
      <c r="R81" s="1059"/>
      <c r="S81" s="1059"/>
      <c r="T81" s="1059"/>
      <c r="U81" s="1059"/>
      <c r="V81" s="1059"/>
    </row>
    <row r="82" spans="5:22" ht="14.1">
      <c r="E82" s="23" t="s">
        <v>446</v>
      </c>
      <c r="G82" s="1085" t="s">
        <v>364</v>
      </c>
      <c r="H82" s="1059" t="s">
        <v>447</v>
      </c>
      <c r="I82" s="1059"/>
      <c r="J82" s="1059"/>
      <c r="K82" s="1059" t="s">
        <v>448</v>
      </c>
      <c r="L82" s="1059"/>
      <c r="M82" s="1059"/>
      <c r="N82" s="1059"/>
      <c r="O82" s="1059" t="s">
        <v>449</v>
      </c>
      <c r="P82" s="1059"/>
      <c r="Q82" s="1059"/>
      <c r="R82" s="1059"/>
      <c r="S82" s="1059"/>
      <c r="T82" s="1059"/>
      <c r="U82" s="1059"/>
      <c r="V82" s="1059"/>
    </row>
    <row r="83" spans="5:22" ht="24.95" customHeight="1">
      <c r="G83" s="1085"/>
      <c r="H83" s="1059"/>
      <c r="I83" s="1059"/>
      <c r="J83" s="1059"/>
      <c r="K83" s="1059"/>
      <c r="L83" s="1059"/>
      <c r="M83" s="1059"/>
      <c r="N83" s="1059"/>
      <c r="O83" s="1059"/>
      <c r="P83" s="1059"/>
      <c r="Q83" s="1059"/>
      <c r="R83" s="1059"/>
      <c r="S83" s="1059"/>
      <c r="T83" s="1059"/>
      <c r="U83" s="1059"/>
      <c r="V83" s="1059"/>
    </row>
    <row r="84" spans="5:22" ht="14.1" customHeight="1">
      <c r="E84" s="23" t="s">
        <v>450</v>
      </c>
      <c r="G84" s="1083" t="s">
        <v>364</v>
      </c>
      <c r="H84" s="1059" t="s">
        <v>451</v>
      </c>
      <c r="I84" s="1059"/>
      <c r="J84" s="1059"/>
      <c r="K84" s="1059" t="s">
        <v>452</v>
      </c>
      <c r="L84" s="1059"/>
      <c r="M84" s="1059"/>
      <c r="N84" s="1059"/>
      <c r="O84" s="1059" t="s">
        <v>453</v>
      </c>
      <c r="P84" s="1059"/>
      <c r="Q84" s="1059"/>
      <c r="R84" s="1059"/>
      <c r="S84" s="1059"/>
      <c r="T84" s="1059"/>
      <c r="U84" s="1059"/>
      <c r="V84" s="1059"/>
    </row>
    <row r="85" spans="5:22" ht="12.6" customHeight="1">
      <c r="G85" s="1083"/>
      <c r="H85" s="1059"/>
      <c r="I85" s="1059"/>
      <c r="J85" s="1059"/>
      <c r="K85" s="1059"/>
      <c r="L85" s="1059"/>
      <c r="M85" s="1059"/>
      <c r="N85" s="1059"/>
      <c r="O85" s="1059"/>
      <c r="P85" s="1059"/>
      <c r="Q85" s="1059"/>
      <c r="R85" s="1059"/>
      <c r="S85" s="1059"/>
      <c r="T85" s="1059"/>
      <c r="U85" s="1059"/>
      <c r="V85" s="1059"/>
    </row>
    <row r="86" spans="5:22" ht="14.1" customHeight="1">
      <c r="E86" s="23" t="s">
        <v>454</v>
      </c>
      <c r="G86" s="1083" t="s">
        <v>364</v>
      </c>
      <c r="H86" s="1059" t="s">
        <v>455</v>
      </c>
      <c r="I86" s="1059"/>
      <c r="J86" s="1059"/>
      <c r="K86" s="1059" t="s">
        <v>456</v>
      </c>
      <c r="L86" s="1059"/>
      <c r="M86" s="1059"/>
      <c r="N86" s="1059"/>
      <c r="O86" s="1059" t="s">
        <v>457</v>
      </c>
      <c r="P86" s="1059"/>
      <c r="Q86" s="1059"/>
      <c r="R86" s="1059"/>
      <c r="S86" s="1059"/>
      <c r="T86" s="1059"/>
      <c r="U86" s="1059"/>
      <c r="V86" s="1059"/>
    </row>
    <row r="87" spans="5:22" ht="21.75" customHeight="1">
      <c r="G87" s="1083"/>
      <c r="H87" s="1059"/>
      <c r="I87" s="1059"/>
      <c r="J87" s="1059"/>
      <c r="K87" s="1059"/>
      <c r="L87" s="1059"/>
      <c r="M87" s="1059"/>
      <c r="N87" s="1059"/>
      <c r="O87" s="1059"/>
      <c r="P87" s="1059"/>
      <c r="Q87" s="1059"/>
      <c r="R87" s="1059"/>
      <c r="S87" s="1059"/>
      <c r="T87" s="1059"/>
      <c r="U87" s="1059"/>
      <c r="V87" s="1059"/>
    </row>
    <row r="88" spans="5:22" ht="39" customHeight="1">
      <c r="E88" s="23" t="s">
        <v>458</v>
      </c>
      <c r="G88" s="1080" t="s">
        <v>364</v>
      </c>
      <c r="H88" s="1059" t="s">
        <v>459</v>
      </c>
      <c r="I88" s="1059"/>
      <c r="J88" s="1059"/>
      <c r="K88" s="1059" t="s">
        <v>460</v>
      </c>
      <c r="L88" s="1059"/>
      <c r="M88" s="1059"/>
      <c r="N88" s="1059"/>
      <c r="O88" s="1059" t="s">
        <v>461</v>
      </c>
      <c r="P88" s="1059"/>
      <c r="Q88" s="1059"/>
      <c r="R88" s="1059"/>
      <c r="S88" s="1059"/>
      <c r="T88" s="1059"/>
      <c r="U88" s="1059"/>
      <c r="V88" s="1059"/>
    </row>
    <row r="89" spans="5:22" ht="21.75" customHeight="1">
      <c r="E89" s="23"/>
      <c r="G89" s="1080"/>
      <c r="H89" s="1059"/>
      <c r="I89" s="1059"/>
      <c r="J89" s="1059"/>
      <c r="K89" s="1059"/>
      <c r="L89" s="1059"/>
      <c r="M89" s="1059"/>
      <c r="N89" s="1059"/>
      <c r="O89" s="1059"/>
      <c r="P89" s="1059"/>
      <c r="Q89" s="1059"/>
      <c r="R89" s="1059"/>
      <c r="S89" s="1059"/>
      <c r="T89" s="1059"/>
      <c r="U89" s="1059"/>
      <c r="V89" s="1059"/>
    </row>
    <row r="90" spans="5:22" ht="14.1" customHeight="1">
      <c r="E90" s="23" t="s">
        <v>462</v>
      </c>
      <c r="G90" s="1080" t="s">
        <v>364</v>
      </c>
      <c r="H90" s="1059" t="s">
        <v>463</v>
      </c>
      <c r="I90" s="1059"/>
      <c r="J90" s="1059"/>
      <c r="K90" s="1059" t="s">
        <v>464</v>
      </c>
      <c r="L90" s="1059"/>
      <c r="M90" s="1059"/>
      <c r="N90" s="1059"/>
      <c r="O90" s="1059" t="s">
        <v>465</v>
      </c>
      <c r="P90" s="1059"/>
      <c r="Q90" s="1059"/>
      <c r="R90" s="1059"/>
      <c r="S90" s="1059"/>
      <c r="T90" s="1059"/>
      <c r="U90" s="1059"/>
      <c r="V90" s="1059"/>
    </row>
    <row r="91" spans="5:22" ht="24.75" customHeight="1">
      <c r="E91" s="23"/>
      <c r="G91" s="1080"/>
      <c r="H91" s="1059"/>
      <c r="I91" s="1059"/>
      <c r="J91" s="1059"/>
      <c r="K91" s="1059"/>
      <c r="L91" s="1059"/>
      <c r="M91" s="1059"/>
      <c r="N91" s="1059"/>
      <c r="O91" s="1059"/>
      <c r="P91" s="1059"/>
      <c r="Q91" s="1059"/>
      <c r="R91" s="1059"/>
      <c r="S91" s="1059"/>
      <c r="T91" s="1059"/>
      <c r="U91" s="1059"/>
      <c r="V91" s="1059"/>
    </row>
    <row r="92" spans="5:22" ht="14.1" customHeight="1">
      <c r="E92" s="23" t="s">
        <v>466</v>
      </c>
      <c r="G92" s="1072"/>
      <c r="H92" s="1059"/>
      <c r="I92" s="1059"/>
      <c r="J92" s="1059"/>
      <c r="K92" s="1059"/>
      <c r="L92" s="1059"/>
      <c r="M92" s="1059"/>
      <c r="N92" s="1059"/>
      <c r="O92" s="1072"/>
      <c r="P92" s="1072"/>
      <c r="Q92" s="1072"/>
      <c r="R92" s="1072"/>
      <c r="S92" s="1072"/>
      <c r="T92" s="1072"/>
      <c r="U92" s="1072"/>
      <c r="V92" s="1072"/>
    </row>
    <row r="93" spans="5:22" ht="12.6" customHeight="1">
      <c r="G93" s="1072"/>
      <c r="H93" s="1059"/>
      <c r="I93" s="1059"/>
      <c r="J93" s="1059"/>
      <c r="K93" s="1059"/>
      <c r="L93" s="1059"/>
      <c r="M93" s="1059"/>
      <c r="N93" s="1059"/>
      <c r="O93" s="1072"/>
      <c r="P93" s="1072"/>
      <c r="Q93" s="1072"/>
      <c r="R93" s="1072"/>
      <c r="S93" s="1072"/>
      <c r="T93" s="1072"/>
      <c r="U93" s="1072"/>
      <c r="V93" s="1072"/>
    </row>
    <row r="94" spans="5:22" ht="14.1" customHeight="1">
      <c r="E94" s="23" t="s">
        <v>467</v>
      </c>
      <c r="G94" s="1083" t="s">
        <v>364</v>
      </c>
      <c r="H94" s="1059" t="s">
        <v>468</v>
      </c>
      <c r="I94" s="1059"/>
      <c r="J94" s="1059"/>
      <c r="K94" s="1059" t="s">
        <v>469</v>
      </c>
      <c r="L94" s="1059"/>
      <c r="M94" s="1059"/>
      <c r="N94" s="1059"/>
      <c r="O94" s="1059" t="s">
        <v>470</v>
      </c>
      <c r="P94" s="1059"/>
      <c r="Q94" s="1059"/>
      <c r="R94" s="1059"/>
      <c r="S94" s="1059"/>
      <c r="T94" s="1059"/>
      <c r="U94" s="1059"/>
      <c r="V94" s="1059"/>
    </row>
    <row r="95" spans="5:22" ht="24.75" customHeight="1">
      <c r="G95" s="1083"/>
      <c r="H95" s="1059"/>
      <c r="I95" s="1059"/>
      <c r="J95" s="1059"/>
      <c r="K95" s="1059"/>
      <c r="L95" s="1059"/>
      <c r="M95" s="1059"/>
      <c r="N95" s="1059"/>
      <c r="O95" s="1059"/>
      <c r="P95" s="1059"/>
      <c r="Q95" s="1059"/>
      <c r="R95" s="1059"/>
      <c r="S95" s="1059"/>
      <c r="T95" s="1059"/>
      <c r="U95" s="1059"/>
      <c r="V95" s="1059"/>
    </row>
  </sheetData>
  <mergeCells count="125">
    <mergeCell ref="G86:G87"/>
    <mergeCell ref="H86:J87"/>
    <mergeCell ref="K86:N87"/>
    <mergeCell ref="O86:V87"/>
    <mergeCell ref="G88:G89"/>
    <mergeCell ref="H88:J89"/>
    <mergeCell ref="K88:N89"/>
    <mergeCell ref="O88:V89"/>
    <mergeCell ref="G94:G95"/>
    <mergeCell ref="H94:J95"/>
    <mergeCell ref="K94:N95"/>
    <mergeCell ref="O94:V95"/>
    <mergeCell ref="G90:G91"/>
    <mergeCell ref="H90:J91"/>
    <mergeCell ref="K90:N91"/>
    <mergeCell ref="O90:V91"/>
    <mergeCell ref="G92:G93"/>
    <mergeCell ref="H92:J93"/>
    <mergeCell ref="K92:N93"/>
    <mergeCell ref="O92:V93"/>
    <mergeCell ref="G82:G83"/>
    <mergeCell ref="H82:J83"/>
    <mergeCell ref="K82:N83"/>
    <mergeCell ref="O82:V83"/>
    <mergeCell ref="G84:G85"/>
    <mergeCell ref="H84:J85"/>
    <mergeCell ref="K84:N85"/>
    <mergeCell ref="O84:V85"/>
    <mergeCell ref="G78:G79"/>
    <mergeCell ref="H78:J79"/>
    <mergeCell ref="K78:N79"/>
    <mergeCell ref="O78:V79"/>
    <mergeCell ref="G80:G81"/>
    <mergeCell ref="H80:J81"/>
    <mergeCell ref="K80:N81"/>
    <mergeCell ref="O80:V81"/>
    <mergeCell ref="G74:G75"/>
    <mergeCell ref="H74:J75"/>
    <mergeCell ref="K74:N75"/>
    <mergeCell ref="O74:V75"/>
    <mergeCell ref="G76:G77"/>
    <mergeCell ref="H76:J77"/>
    <mergeCell ref="K76:N77"/>
    <mergeCell ref="O76:V77"/>
    <mergeCell ref="G67:G68"/>
    <mergeCell ref="H67:J68"/>
    <mergeCell ref="K67:N68"/>
    <mergeCell ref="O67:V68"/>
    <mergeCell ref="G69:G70"/>
    <mergeCell ref="H69:J70"/>
    <mergeCell ref="K69:N70"/>
    <mergeCell ref="O69:V70"/>
    <mergeCell ref="G63:G64"/>
    <mergeCell ref="H63:J64"/>
    <mergeCell ref="K63:N64"/>
    <mergeCell ref="O63:V64"/>
    <mergeCell ref="G65:G66"/>
    <mergeCell ref="H65:J66"/>
    <mergeCell ref="K65:N66"/>
    <mergeCell ref="O65:V66"/>
    <mergeCell ref="G59:G60"/>
    <mergeCell ref="H59:J60"/>
    <mergeCell ref="K59:N60"/>
    <mergeCell ref="O59:V60"/>
    <mergeCell ref="G61:G62"/>
    <mergeCell ref="H61:J62"/>
    <mergeCell ref="K61:N62"/>
    <mergeCell ref="O61:V62"/>
    <mergeCell ref="G55:G56"/>
    <mergeCell ref="H55:J56"/>
    <mergeCell ref="K55:N56"/>
    <mergeCell ref="O55:V56"/>
    <mergeCell ref="G57:G58"/>
    <mergeCell ref="H57:J58"/>
    <mergeCell ref="K57:N58"/>
    <mergeCell ref="O57:V58"/>
    <mergeCell ref="G51:G52"/>
    <mergeCell ref="H51:J52"/>
    <mergeCell ref="K51:N52"/>
    <mergeCell ref="O51:V52"/>
    <mergeCell ref="G53:G54"/>
    <mergeCell ref="H53:J54"/>
    <mergeCell ref="K53:N54"/>
    <mergeCell ref="O53:V54"/>
    <mergeCell ref="G49:G50"/>
    <mergeCell ref="H49:J50"/>
    <mergeCell ref="K49:N50"/>
    <mergeCell ref="O49:V50"/>
    <mergeCell ref="G23:L23"/>
    <mergeCell ref="P23:U23"/>
    <mergeCell ref="B30:C45"/>
    <mergeCell ref="G36:G37"/>
    <mergeCell ref="H36:J37"/>
    <mergeCell ref="K36:N37"/>
    <mergeCell ref="O36:V37"/>
    <mergeCell ref="G38:G39"/>
    <mergeCell ref="H38:J39"/>
    <mergeCell ref="K38:N39"/>
    <mergeCell ref="G44:G45"/>
    <mergeCell ref="H44:J45"/>
    <mergeCell ref="K44:N45"/>
    <mergeCell ref="O44:V45"/>
    <mergeCell ref="O38:V39"/>
    <mergeCell ref="G40:G41"/>
    <mergeCell ref="H40:J41"/>
    <mergeCell ref="K40:N41"/>
    <mergeCell ref="O40:V41"/>
    <mergeCell ref="G42:G43"/>
    <mergeCell ref="H42:J43"/>
    <mergeCell ref="K42:N43"/>
    <mergeCell ref="O42:V43"/>
    <mergeCell ref="G17:L18"/>
    <mergeCell ref="G19:L20"/>
    <mergeCell ref="G21:L22"/>
    <mergeCell ref="P21:U22"/>
    <mergeCell ref="N5:Q14"/>
    <mergeCell ref="R5:U14"/>
    <mergeCell ref="G11:L12"/>
    <mergeCell ref="G13:L14"/>
    <mergeCell ref="E9:K9"/>
    <mergeCell ref="E10:K10"/>
    <mergeCell ref="E5:L5"/>
    <mergeCell ref="E6:L6"/>
    <mergeCell ref="E8:L8"/>
    <mergeCell ref="E7:L7"/>
  </mergeCell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T86"/>
  <sheetViews>
    <sheetView showGridLines="0" topLeftCell="A59" zoomScaleNormal="85" workbookViewId="0">
      <selection activeCell="N5" sqref="N5:O11"/>
    </sheetView>
  </sheetViews>
  <sheetFormatPr defaultColWidth="8.875" defaultRowHeight="14.1"/>
  <cols>
    <col min="1" max="1" width="2.625" customWidth="1"/>
    <col min="5" max="5" width="30.625" customWidth="1"/>
    <col min="6" max="6" width="13.125" customWidth="1"/>
    <col min="7" max="17" width="11.125" customWidth="1"/>
    <col min="18" max="18" width="20.625" style="6" customWidth="1"/>
  </cols>
  <sheetData>
    <row r="2" spans="1:20" s="38" customFormat="1" ht="20.25" customHeight="1">
      <c r="B2" s="611" t="s">
        <v>471</v>
      </c>
      <c r="R2" s="644"/>
    </row>
    <row r="4" spans="1:20" ht="15.6">
      <c r="A4" t="s">
        <v>472</v>
      </c>
      <c r="B4" s="217" t="s">
        <v>473</v>
      </c>
      <c r="C4" s="55"/>
      <c r="D4" s="55"/>
      <c r="E4" s="55"/>
      <c r="F4" s="55"/>
      <c r="G4" s="218">
        <v>2014</v>
      </c>
      <c r="H4" s="218">
        <f>+G4+1</f>
        <v>2015</v>
      </c>
      <c r="I4" s="218">
        <f t="shared" ref="I4:M4" si="0">+H4+1</f>
        <v>2016</v>
      </c>
      <c r="J4" s="218">
        <f t="shared" si="0"/>
        <v>2017</v>
      </c>
      <c r="K4" s="218">
        <f t="shared" si="0"/>
        <v>2018</v>
      </c>
      <c r="L4" s="218">
        <f t="shared" si="0"/>
        <v>2019</v>
      </c>
      <c r="M4" s="218">
        <f t="shared" si="0"/>
        <v>2020</v>
      </c>
      <c r="N4" s="218">
        <f>+M4+1</f>
        <v>2021</v>
      </c>
      <c r="O4" s="218">
        <f>+N4+1</f>
        <v>2022</v>
      </c>
      <c r="P4" s="218">
        <f t="shared" ref="P4" si="1">+O4+1</f>
        <v>2023</v>
      </c>
      <c r="Q4" s="218">
        <f>+P4+1</f>
        <v>2024</v>
      </c>
      <c r="R4" s="57" t="str">
        <f>"CAGR "&amp;$G$4&amp;" - "&amp;$Q$4</f>
        <v>CAGR 2014 - 2024</v>
      </c>
    </row>
    <row r="5" spans="1:20" ht="3.75" customHeight="1">
      <c r="B5" s="52"/>
      <c r="C5" s="52"/>
      <c r="D5" s="52"/>
      <c r="E5" s="52"/>
      <c r="F5" s="52"/>
      <c r="G5" s="219"/>
      <c r="H5" s="219"/>
      <c r="I5" s="219"/>
      <c r="J5" s="219"/>
      <c r="K5" s="219"/>
      <c r="L5" s="219"/>
      <c r="M5" s="219"/>
      <c r="N5" s="219"/>
      <c r="O5" s="219"/>
      <c r="P5" s="219"/>
      <c r="Q5" s="219"/>
      <c r="R5" s="59"/>
    </row>
    <row r="6" spans="1:20">
      <c r="B6" t="str">
        <f ca="1">+Peers!B5</f>
        <v>E.L.F. BEAUTY, INC.</v>
      </c>
      <c r="G6" s="197"/>
      <c r="H6" s="197"/>
      <c r="I6" s="197"/>
      <c r="J6" s="197"/>
      <c r="K6" s="197"/>
      <c r="L6" s="197"/>
      <c r="M6" s="197"/>
      <c r="N6" s="197"/>
      <c r="O6" s="197">
        <v>12</v>
      </c>
      <c r="P6" s="197">
        <v>13</v>
      </c>
      <c r="Q6" s="197">
        <v>67</v>
      </c>
      <c r="R6" s="645" t="str">
        <f t="shared" ref="R6:R16" si="2">IFERROR((Q6/G6)^(1/COUNT($G$4:$Q$4))-1,"")</f>
        <v/>
      </c>
      <c r="T6" s="60" t="s">
        <v>474</v>
      </c>
    </row>
    <row r="7" spans="1:20">
      <c r="B7" s="616" t="str">
        <f>+Peers!B6</f>
        <v>L'Oreal S.A.</v>
      </c>
      <c r="C7" s="616"/>
      <c r="D7" s="616"/>
      <c r="E7" s="616"/>
      <c r="F7" s="616"/>
      <c r="G7" s="617"/>
      <c r="H7" s="617"/>
      <c r="I7" s="617"/>
      <c r="J7" s="617"/>
      <c r="K7" s="617"/>
      <c r="L7" s="617"/>
      <c r="M7" s="617"/>
      <c r="N7" s="617"/>
      <c r="O7" s="617"/>
      <c r="P7" s="617"/>
      <c r="Q7" s="617"/>
      <c r="R7" s="646" t="str">
        <f t="shared" si="2"/>
        <v/>
      </c>
    </row>
    <row r="8" spans="1:20">
      <c r="B8" t="str">
        <f>+Peers!B7</f>
        <v>Estée Lauder Companies Inc.</v>
      </c>
      <c r="G8" s="197"/>
      <c r="H8" s="197"/>
      <c r="I8" s="197"/>
      <c r="J8" s="197"/>
      <c r="K8" s="197"/>
      <c r="L8" s="197"/>
      <c r="M8" s="197"/>
      <c r="N8" s="197"/>
      <c r="O8" s="197"/>
      <c r="P8" s="197"/>
      <c r="Q8" s="197"/>
      <c r="R8" s="645" t="str">
        <f t="shared" si="2"/>
        <v/>
      </c>
    </row>
    <row r="9" spans="1:20">
      <c r="B9" s="616" t="str">
        <f>+Peers!B8</f>
        <v>Coty Inc.</v>
      </c>
      <c r="C9" s="616"/>
      <c r="D9" s="616"/>
      <c r="E9" s="616"/>
      <c r="F9" s="616"/>
      <c r="G9" s="617"/>
      <c r="H9" s="617"/>
      <c r="I9" s="617"/>
      <c r="J9" s="617"/>
      <c r="K9" s="617"/>
      <c r="L9" s="617"/>
      <c r="M9" s="617"/>
      <c r="N9" s="617"/>
      <c r="O9" s="617"/>
      <c r="P9" s="617"/>
      <c r="Q9" s="616"/>
      <c r="R9" s="646" t="str">
        <f t="shared" si="2"/>
        <v/>
      </c>
    </row>
    <row r="10" spans="1:20">
      <c r="B10" t="str">
        <f>+Peers!B9</f>
        <v>Ulta Beauty</v>
      </c>
      <c r="G10" s="197"/>
      <c r="H10" s="197"/>
      <c r="I10" s="197"/>
      <c r="J10" s="197"/>
      <c r="K10" s="197">
        <v>7</v>
      </c>
      <c r="L10" s="197">
        <v>7</v>
      </c>
      <c r="M10" s="197">
        <v>8</v>
      </c>
      <c r="N10" s="197">
        <v>8</v>
      </c>
      <c r="O10" s="197">
        <v>8</v>
      </c>
      <c r="P10" s="197">
        <v>9</v>
      </c>
      <c r="Q10" s="197"/>
      <c r="R10" s="645" t="str">
        <f t="shared" si="2"/>
        <v/>
      </c>
    </row>
    <row r="11" spans="1:20">
      <c r="B11" s="616" t="str">
        <f>+Peers!B10</f>
        <v>Shiseido Company</v>
      </c>
      <c r="C11" s="616"/>
      <c r="D11" s="616"/>
      <c r="E11" s="616"/>
      <c r="F11" s="616"/>
      <c r="G11" s="617"/>
      <c r="H11" s="617"/>
      <c r="I11" s="617"/>
      <c r="J11" s="617"/>
      <c r="K11" s="617"/>
      <c r="L11" s="617">
        <v>27</v>
      </c>
      <c r="M11" s="617">
        <v>28</v>
      </c>
      <c r="N11" s="617">
        <v>29</v>
      </c>
      <c r="O11" s="617">
        <v>24</v>
      </c>
      <c r="P11" s="617">
        <v>21</v>
      </c>
      <c r="Q11" s="617"/>
      <c r="R11" s="646" t="str">
        <f t="shared" si="2"/>
        <v/>
      </c>
    </row>
    <row r="12" spans="1:20">
      <c r="B12" t="str">
        <f ca="1">+Peers!B11</f>
        <v>Natura &amp;Co Holding SA</v>
      </c>
      <c r="G12" s="876">
        <v>2</v>
      </c>
      <c r="H12" s="876">
        <v>2</v>
      </c>
      <c r="I12" s="876">
        <v>2</v>
      </c>
      <c r="J12" s="876">
        <v>2</v>
      </c>
      <c r="K12" s="876">
        <v>5</v>
      </c>
      <c r="L12" s="876">
        <v>7</v>
      </c>
      <c r="M12" s="876">
        <v>29</v>
      </c>
      <c r="N12" s="876">
        <v>25</v>
      </c>
      <c r="O12" s="876">
        <v>27</v>
      </c>
      <c r="P12" s="197"/>
      <c r="Q12" s="197"/>
      <c r="R12" s="645">
        <f t="shared" si="2"/>
        <v>-1</v>
      </c>
    </row>
    <row r="13" spans="1:20">
      <c r="B13" s="616" t="e">
        <f>+Peers!#REF!</f>
        <v>#REF!</v>
      </c>
      <c r="C13" s="616"/>
      <c r="D13" s="616"/>
      <c r="E13" s="616"/>
      <c r="F13" s="616"/>
      <c r="G13" s="617"/>
      <c r="H13" s="617"/>
      <c r="I13" s="617"/>
      <c r="J13" s="617"/>
      <c r="K13" s="617"/>
      <c r="L13" s="617"/>
      <c r="M13" s="617"/>
      <c r="N13" s="617"/>
      <c r="O13" s="617"/>
      <c r="P13" s="617"/>
      <c r="Q13" s="617"/>
      <c r="R13" s="646" t="str">
        <f t="shared" si="2"/>
        <v/>
      </c>
    </row>
    <row r="14" spans="1:20">
      <c r="B14" t="e">
        <f>+Peers!#REF!</f>
        <v>#REF!</v>
      </c>
      <c r="G14" s="197"/>
      <c r="H14" s="197"/>
      <c r="I14" s="197"/>
      <c r="J14" s="197"/>
      <c r="K14" s="197"/>
      <c r="L14" s="197"/>
      <c r="M14" s="197"/>
      <c r="N14" s="197"/>
      <c r="O14" s="197"/>
      <c r="P14" s="197"/>
      <c r="Q14" s="197"/>
      <c r="R14" s="645" t="str">
        <f t="shared" si="2"/>
        <v/>
      </c>
    </row>
    <row r="15" spans="1:20">
      <c r="B15" s="616" t="e">
        <f>+Peers!#REF!</f>
        <v>#REF!</v>
      </c>
      <c r="C15" s="616"/>
      <c r="D15" s="616"/>
      <c r="E15" s="616"/>
      <c r="F15" s="616"/>
      <c r="G15" s="617"/>
      <c r="H15" s="617"/>
      <c r="I15" s="617"/>
      <c r="J15" s="617"/>
      <c r="K15" s="617"/>
      <c r="L15" s="617"/>
      <c r="M15" s="617"/>
      <c r="N15" s="617"/>
      <c r="O15" s="617"/>
      <c r="P15" s="617"/>
      <c r="Q15" s="617"/>
      <c r="R15" s="646" t="str">
        <f t="shared" si="2"/>
        <v/>
      </c>
    </row>
    <row r="16" spans="1:20">
      <c r="B16" t="e">
        <f>+Peers!#REF!</f>
        <v>#REF!</v>
      </c>
      <c r="G16" s="197"/>
      <c r="H16" s="197"/>
      <c r="I16" s="197"/>
      <c r="J16" s="197"/>
      <c r="K16" s="197"/>
      <c r="L16" s="197"/>
      <c r="M16" s="197"/>
      <c r="N16" s="197"/>
      <c r="O16" s="197"/>
      <c r="P16" s="197"/>
      <c r="Q16" s="197"/>
      <c r="R16" s="645" t="str">
        <f t="shared" si="2"/>
        <v/>
      </c>
    </row>
    <row r="17" spans="1:20">
      <c r="G17" s="197"/>
      <c r="H17" s="197"/>
      <c r="I17" s="197"/>
      <c r="J17" s="197"/>
      <c r="K17" s="197"/>
      <c r="L17" s="197"/>
      <c r="M17" s="197"/>
      <c r="N17" s="197"/>
      <c r="O17" s="197"/>
      <c r="P17" s="197"/>
      <c r="Q17" s="197"/>
    </row>
    <row r="18" spans="1:20" ht="15.6">
      <c r="A18" t="s">
        <v>472</v>
      </c>
      <c r="B18" s="217" t="s">
        <v>475</v>
      </c>
      <c r="C18" s="55"/>
      <c r="D18" s="55"/>
      <c r="E18" s="55"/>
      <c r="F18" s="55"/>
      <c r="G18" s="218">
        <v>2014</v>
      </c>
      <c r="H18" s="218">
        <f t="shared" ref="H18:Q18" si="3">+G18+1</f>
        <v>2015</v>
      </c>
      <c r="I18" s="218">
        <f t="shared" si="3"/>
        <v>2016</v>
      </c>
      <c r="J18" s="218">
        <f t="shared" si="3"/>
        <v>2017</v>
      </c>
      <c r="K18" s="218">
        <f t="shared" si="3"/>
        <v>2018</v>
      </c>
      <c r="L18" s="218">
        <f t="shared" si="3"/>
        <v>2019</v>
      </c>
      <c r="M18" s="218">
        <f t="shared" si="3"/>
        <v>2020</v>
      </c>
      <c r="N18" s="218">
        <f t="shared" si="3"/>
        <v>2021</v>
      </c>
      <c r="O18" s="218">
        <f t="shared" si="3"/>
        <v>2022</v>
      </c>
      <c r="P18" s="218">
        <f t="shared" si="3"/>
        <v>2023</v>
      </c>
      <c r="Q18" s="218">
        <f t="shared" si="3"/>
        <v>2024</v>
      </c>
      <c r="R18" s="57" t="str">
        <f>"CAGR "&amp;$G$4&amp;" - "&amp;$Q$4</f>
        <v>CAGR 2014 - 2024</v>
      </c>
    </row>
    <row r="19" spans="1:20" s="92" customFormat="1" ht="3.75" customHeight="1">
      <c r="B19" s="612"/>
      <c r="C19" s="612"/>
      <c r="D19" s="612"/>
      <c r="E19" s="612"/>
      <c r="F19" s="612"/>
      <c r="G19" s="613"/>
      <c r="H19" s="613"/>
      <c r="I19" s="613"/>
      <c r="J19" s="613"/>
      <c r="K19" s="613"/>
      <c r="L19" s="613"/>
      <c r="M19" s="613"/>
      <c r="N19" s="613"/>
      <c r="O19" s="613"/>
      <c r="P19" s="613"/>
      <c r="Q19" s="613"/>
      <c r="R19" s="614"/>
    </row>
    <row r="20" spans="1:20">
      <c r="B20" t="str">
        <f ca="1">+$B$6</f>
        <v>E.L.F. BEAUTY, INC.</v>
      </c>
      <c r="G20" s="197"/>
      <c r="H20" s="197"/>
      <c r="I20" s="197"/>
      <c r="J20" s="197"/>
      <c r="K20" s="197"/>
      <c r="L20" s="197"/>
      <c r="M20" s="197"/>
      <c r="N20" s="197"/>
      <c r="O20" s="197">
        <v>242</v>
      </c>
      <c r="P20" s="197">
        <v>219</v>
      </c>
      <c r="Q20" s="197">
        <v>355</v>
      </c>
      <c r="R20" s="645" t="str">
        <f t="shared" ref="R20:R30" si="4">IFERROR((Q20/G20)^(1/COUNT($G$4:$Q$4))-1,"")</f>
        <v/>
      </c>
      <c r="T20" t="s">
        <v>474</v>
      </c>
    </row>
    <row r="21" spans="1:20">
      <c r="B21" s="616" t="str">
        <f>+$B$7</f>
        <v>L'Oreal S.A.</v>
      </c>
      <c r="C21" s="616"/>
      <c r="D21" s="616"/>
      <c r="E21" s="616"/>
      <c r="F21" s="616"/>
      <c r="G21" s="617"/>
      <c r="H21" s="617"/>
      <c r="I21" s="617"/>
      <c r="J21" s="617"/>
      <c r="K21" s="617"/>
      <c r="L21" s="617"/>
      <c r="M21" s="617"/>
      <c r="N21" s="617"/>
      <c r="O21" s="617"/>
      <c r="P21" s="617"/>
      <c r="Q21" s="617"/>
      <c r="R21" s="646" t="str">
        <f t="shared" si="4"/>
        <v/>
      </c>
    </row>
    <row r="22" spans="1:20">
      <c r="B22" t="str">
        <f>+$B$8</f>
        <v>Estée Lauder Companies Inc.</v>
      </c>
      <c r="G22" s="197"/>
      <c r="H22" s="197"/>
      <c r="I22" s="197"/>
      <c r="J22" s="197"/>
      <c r="K22" s="197"/>
      <c r="L22" s="197"/>
      <c r="M22" s="197"/>
      <c r="N22" s="197"/>
      <c r="O22" s="197"/>
      <c r="P22" s="197"/>
      <c r="Q22" s="197"/>
      <c r="R22" s="645" t="str">
        <f t="shared" si="4"/>
        <v/>
      </c>
    </row>
    <row r="23" spans="1:20">
      <c r="B23" s="616" t="str">
        <f>+$B$9</f>
        <v>Coty Inc.</v>
      </c>
      <c r="C23" s="616"/>
      <c r="D23" s="616"/>
      <c r="E23" s="616"/>
      <c r="F23" s="616"/>
      <c r="G23" s="618"/>
      <c r="H23" s="618"/>
      <c r="I23" s="618"/>
      <c r="J23" s="617"/>
      <c r="K23" s="617"/>
      <c r="L23" s="617"/>
      <c r="M23" s="617"/>
      <c r="N23" s="617"/>
      <c r="O23" s="617"/>
      <c r="P23" s="617"/>
      <c r="Q23" s="616"/>
      <c r="R23" s="646" t="str">
        <f t="shared" si="4"/>
        <v/>
      </c>
    </row>
    <row r="24" spans="1:20">
      <c r="B24" t="str">
        <f>+$B$10</f>
        <v>Ulta Beauty</v>
      </c>
      <c r="G24" s="197"/>
      <c r="H24" s="197"/>
      <c r="I24" s="197"/>
      <c r="J24" s="197"/>
      <c r="K24" s="197"/>
      <c r="L24" s="197">
        <v>140</v>
      </c>
      <c r="M24" s="197">
        <v>134</v>
      </c>
      <c r="N24" s="877" t="s">
        <v>476</v>
      </c>
      <c r="O24" s="197">
        <v>100</v>
      </c>
      <c r="P24" s="197">
        <v>80</v>
      </c>
      <c r="Q24" s="197"/>
      <c r="R24" s="645" t="str">
        <f t="shared" si="4"/>
        <v/>
      </c>
    </row>
    <row r="25" spans="1:20">
      <c r="B25" s="616" t="str">
        <f>+$B$11</f>
        <v>Shiseido Company</v>
      </c>
      <c r="C25" s="616"/>
      <c r="D25" s="616"/>
      <c r="E25" s="616"/>
      <c r="F25" s="616"/>
      <c r="G25" s="617"/>
      <c r="H25" s="617"/>
      <c r="I25" s="617"/>
      <c r="J25" s="617"/>
      <c r="K25" s="617"/>
      <c r="L25" s="617">
        <v>52</v>
      </c>
      <c r="M25" s="617">
        <v>46</v>
      </c>
      <c r="N25" s="617">
        <v>37</v>
      </c>
      <c r="O25" s="617">
        <v>23</v>
      </c>
      <c r="P25" s="617">
        <v>14</v>
      </c>
      <c r="Q25" s="617"/>
      <c r="R25" s="646" t="str">
        <f t="shared" si="4"/>
        <v/>
      </c>
    </row>
    <row r="26" spans="1:20">
      <c r="B26" t="str">
        <f ca="1">+$B$12</f>
        <v>Natura &amp;Co Holding SA</v>
      </c>
      <c r="G26" s="197"/>
      <c r="H26" s="197"/>
      <c r="I26" s="197"/>
      <c r="J26" s="197"/>
      <c r="K26" s="197"/>
      <c r="L26" s="197"/>
      <c r="M26" s="197">
        <v>21</v>
      </c>
      <c r="N26" s="197">
        <v>45</v>
      </c>
      <c r="O26" s="197">
        <v>33</v>
      </c>
      <c r="P26" s="197"/>
      <c r="Q26" s="197"/>
      <c r="R26" s="645" t="str">
        <f t="shared" si="4"/>
        <v/>
      </c>
    </row>
    <row r="27" spans="1:20">
      <c r="B27" s="616" t="e">
        <f>+$B$13</f>
        <v>#REF!</v>
      </c>
      <c r="C27" s="616"/>
      <c r="D27" s="616"/>
      <c r="E27" s="616"/>
      <c r="F27" s="616"/>
      <c r="G27" s="617"/>
      <c r="H27" s="617"/>
      <c r="I27" s="617"/>
      <c r="J27" s="617"/>
      <c r="K27" s="617"/>
      <c r="L27" s="617"/>
      <c r="M27" s="617"/>
      <c r="N27" s="617"/>
      <c r="O27" s="617"/>
      <c r="P27" s="617"/>
      <c r="Q27" s="617"/>
      <c r="R27" s="646" t="str">
        <f t="shared" si="4"/>
        <v/>
      </c>
    </row>
    <row r="28" spans="1:20">
      <c r="B28" t="e">
        <f>+$B$14</f>
        <v>#REF!</v>
      </c>
      <c r="G28" s="197"/>
      <c r="H28" s="197"/>
      <c r="I28" s="197"/>
      <c r="J28" s="197"/>
      <c r="K28" s="197"/>
      <c r="L28" s="197"/>
      <c r="M28" s="197"/>
      <c r="N28" s="197"/>
      <c r="O28" s="197"/>
      <c r="P28" s="197"/>
      <c r="Q28" s="197"/>
      <c r="R28" s="645" t="str">
        <f t="shared" si="4"/>
        <v/>
      </c>
    </row>
    <row r="29" spans="1:20">
      <c r="B29" s="616" t="e">
        <f>+$B$15</f>
        <v>#REF!</v>
      </c>
      <c r="C29" s="616"/>
      <c r="D29" s="616"/>
      <c r="E29" s="616"/>
      <c r="F29" s="616"/>
      <c r="G29" s="617"/>
      <c r="H29" s="617"/>
      <c r="I29" s="617"/>
      <c r="J29" s="617"/>
      <c r="K29" s="617"/>
      <c r="L29" s="617"/>
      <c r="M29" s="617"/>
      <c r="N29" s="617"/>
      <c r="O29" s="617"/>
      <c r="P29" s="617"/>
      <c r="Q29" s="617"/>
      <c r="R29" s="646" t="str">
        <f t="shared" si="4"/>
        <v/>
      </c>
    </row>
    <row r="30" spans="1:20">
      <c r="B30" t="e">
        <f>+$B$16</f>
        <v>#REF!</v>
      </c>
      <c r="G30" s="197"/>
      <c r="H30" s="197"/>
      <c r="I30" s="197"/>
      <c r="J30" s="197"/>
      <c r="K30" s="197"/>
      <c r="L30" s="197"/>
      <c r="M30" s="197"/>
      <c r="N30" s="197"/>
      <c r="O30" s="197"/>
      <c r="P30" s="197"/>
      <c r="Q30" s="197"/>
      <c r="R30" s="645" t="str">
        <f t="shared" si="4"/>
        <v/>
      </c>
    </row>
    <row r="31" spans="1:20">
      <c r="G31" s="197"/>
      <c r="H31" s="197"/>
      <c r="I31" s="197"/>
      <c r="J31" s="197"/>
      <c r="K31" s="197"/>
      <c r="L31" s="197"/>
      <c r="M31" s="197"/>
      <c r="N31" s="197"/>
      <c r="O31" s="197"/>
      <c r="P31" s="197"/>
      <c r="Q31" s="197"/>
    </row>
    <row r="32" spans="1:20" ht="15.6">
      <c r="A32" t="s">
        <v>472</v>
      </c>
      <c r="B32" s="217" t="s">
        <v>477</v>
      </c>
      <c r="C32" s="55"/>
      <c r="D32" s="55"/>
      <c r="E32" s="55"/>
      <c r="F32" s="55"/>
      <c r="G32" s="218">
        <v>2014</v>
      </c>
      <c r="H32" s="218">
        <f t="shared" ref="H32:Q32" si="5">+G32+1</f>
        <v>2015</v>
      </c>
      <c r="I32" s="218">
        <f t="shared" si="5"/>
        <v>2016</v>
      </c>
      <c r="J32" s="218">
        <f t="shared" si="5"/>
        <v>2017</v>
      </c>
      <c r="K32" s="218">
        <f t="shared" si="5"/>
        <v>2018</v>
      </c>
      <c r="L32" s="218">
        <f t="shared" si="5"/>
        <v>2019</v>
      </c>
      <c r="M32" s="218">
        <f t="shared" si="5"/>
        <v>2020</v>
      </c>
      <c r="N32" s="218">
        <f t="shared" si="5"/>
        <v>2021</v>
      </c>
      <c r="O32" s="218">
        <f t="shared" si="5"/>
        <v>2022</v>
      </c>
      <c r="P32" s="218">
        <f t="shared" si="5"/>
        <v>2023</v>
      </c>
      <c r="Q32" s="218">
        <f t="shared" si="5"/>
        <v>2024</v>
      </c>
      <c r="R32" s="57" t="str">
        <f>"CAGR "&amp;$G$4&amp;" - "&amp;$Q$4</f>
        <v>CAGR 2014 - 2024</v>
      </c>
    </row>
    <row r="33" spans="1:18" ht="3.75" customHeight="1">
      <c r="B33" s="52"/>
      <c r="C33" s="52"/>
      <c r="D33" s="52"/>
      <c r="E33" s="52"/>
      <c r="F33" s="52"/>
      <c r="G33" s="219"/>
      <c r="H33" s="219"/>
      <c r="I33" s="219"/>
      <c r="J33" s="219"/>
      <c r="K33" s="219"/>
      <c r="L33" s="219"/>
      <c r="M33" s="219"/>
      <c r="N33" s="219"/>
      <c r="O33" s="219"/>
      <c r="P33" s="219"/>
      <c r="Q33" s="219"/>
      <c r="R33" s="59"/>
    </row>
    <row r="34" spans="1:18" ht="14.45">
      <c r="B34" t="str">
        <f ca="1">+$B$6</f>
        <v>E.L.F. BEAUTY, INC.</v>
      </c>
      <c r="G34" s="197"/>
      <c r="H34" s="197"/>
      <c r="I34" s="197"/>
      <c r="J34" s="197"/>
      <c r="K34" s="197"/>
      <c r="L34" s="197"/>
      <c r="M34" s="197"/>
      <c r="N34" s="197"/>
      <c r="O34" s="197"/>
      <c r="P34" s="878">
        <v>15</v>
      </c>
      <c r="Q34" s="878">
        <v>27</v>
      </c>
      <c r="R34" s="879"/>
    </row>
    <row r="35" spans="1:18">
      <c r="B35" s="616" t="str">
        <f>+$B$7</f>
        <v>L'Oreal S.A.</v>
      </c>
      <c r="C35" s="616"/>
      <c r="D35" s="616"/>
      <c r="E35" s="616"/>
      <c r="F35" s="616"/>
      <c r="G35" s="617"/>
      <c r="H35" s="617"/>
      <c r="I35" s="617"/>
      <c r="J35" s="617"/>
      <c r="K35" s="617"/>
      <c r="L35" s="617"/>
      <c r="M35" s="617"/>
      <c r="N35" s="617"/>
      <c r="O35" s="617"/>
      <c r="P35" s="617"/>
      <c r="Q35" s="617"/>
      <c r="R35" s="646" t="str">
        <f t="shared" ref="R35:R44" si="6">IFERROR((Q35/G35)^(1/COUNT($G$4:$Q$4))-1,"")</f>
        <v/>
      </c>
    </row>
    <row r="36" spans="1:18">
      <c r="B36" t="str">
        <f>+$B$8</f>
        <v>Estée Lauder Companies Inc.</v>
      </c>
      <c r="G36" s="197"/>
      <c r="H36" s="197"/>
      <c r="I36" s="197"/>
      <c r="J36" s="197"/>
      <c r="K36" s="197"/>
      <c r="L36" s="197"/>
      <c r="M36" s="197"/>
      <c r="N36" s="197"/>
      <c r="O36" s="197"/>
      <c r="P36" s="197"/>
      <c r="Q36" s="197"/>
      <c r="R36" s="645" t="str">
        <f t="shared" si="6"/>
        <v/>
      </c>
    </row>
    <row r="37" spans="1:18">
      <c r="B37" s="616" t="str">
        <f>+$B$9</f>
        <v>Coty Inc.</v>
      </c>
      <c r="C37" s="616"/>
      <c r="D37" s="616"/>
      <c r="E37" s="616"/>
      <c r="F37" s="616"/>
      <c r="G37" s="618"/>
      <c r="H37" s="618"/>
      <c r="I37" s="618"/>
      <c r="J37" s="618"/>
      <c r="K37" s="617"/>
      <c r="L37" s="811"/>
      <c r="M37" s="617"/>
      <c r="N37" s="811"/>
      <c r="O37" s="617"/>
      <c r="P37" s="811"/>
      <c r="Q37" s="616"/>
      <c r="R37" s="646" t="str">
        <f t="shared" si="6"/>
        <v/>
      </c>
    </row>
    <row r="38" spans="1:18">
      <c r="B38" t="str">
        <f>+$B$10</f>
        <v>Ulta Beauty</v>
      </c>
      <c r="G38" s="197"/>
      <c r="H38" s="197"/>
      <c r="I38" s="197"/>
      <c r="J38" s="197"/>
      <c r="K38" s="197"/>
      <c r="L38" s="197"/>
      <c r="M38" s="197"/>
      <c r="N38" s="197"/>
      <c r="O38" s="197"/>
      <c r="P38" s="197"/>
      <c r="Q38" s="197"/>
      <c r="R38" s="645" t="str">
        <f t="shared" si="6"/>
        <v/>
      </c>
    </row>
    <row r="39" spans="1:18">
      <c r="B39" s="616" t="str">
        <f>+$B$11</f>
        <v>Shiseido Company</v>
      </c>
      <c r="C39" s="616"/>
      <c r="D39" s="616"/>
      <c r="E39" s="616"/>
      <c r="F39" s="616"/>
      <c r="G39" s="617"/>
      <c r="H39" s="617"/>
      <c r="I39" s="617"/>
      <c r="J39" s="617"/>
      <c r="K39" s="617"/>
      <c r="L39" s="617"/>
      <c r="M39" s="617"/>
      <c r="N39" s="617"/>
      <c r="O39" s="617"/>
      <c r="P39" s="617"/>
      <c r="Q39" s="617"/>
      <c r="R39" s="646" t="str">
        <f t="shared" si="6"/>
        <v/>
      </c>
    </row>
    <row r="40" spans="1:18">
      <c r="B40" t="str">
        <f ca="1">+$B$12</f>
        <v>Natura &amp;Co Holding SA</v>
      </c>
      <c r="G40" s="197"/>
      <c r="H40" s="197">
        <v>294</v>
      </c>
      <c r="I40" s="197">
        <v>279</v>
      </c>
      <c r="J40" s="197">
        <v>290</v>
      </c>
      <c r="K40" s="197">
        <v>336</v>
      </c>
      <c r="L40" s="197" t="s">
        <v>476</v>
      </c>
      <c r="M40" s="197" t="s">
        <v>476</v>
      </c>
      <c r="N40" s="197" t="s">
        <v>476</v>
      </c>
      <c r="O40" s="197">
        <v>317</v>
      </c>
      <c r="P40" s="197"/>
      <c r="Q40" s="197"/>
      <c r="R40" s="645" t="str">
        <f t="shared" si="6"/>
        <v/>
      </c>
    </row>
    <row r="41" spans="1:18">
      <c r="B41" s="616" t="e">
        <f>+$B$13</f>
        <v>#REF!</v>
      </c>
      <c r="C41" s="616"/>
      <c r="D41" s="616"/>
      <c r="E41" s="616"/>
      <c r="F41" s="616"/>
      <c r="G41" s="617"/>
      <c r="H41" s="617"/>
      <c r="I41" s="617"/>
      <c r="J41" s="617"/>
      <c r="K41" s="617"/>
      <c r="L41" s="617"/>
      <c r="M41" s="617"/>
      <c r="N41" s="617"/>
      <c r="O41" s="617"/>
      <c r="P41" s="617"/>
      <c r="Q41" s="617"/>
      <c r="R41" s="646" t="str">
        <f t="shared" si="6"/>
        <v/>
      </c>
    </row>
    <row r="42" spans="1:18">
      <c r="B42" t="e">
        <f>+$B$14</f>
        <v>#REF!</v>
      </c>
      <c r="G42" s="197"/>
      <c r="H42" s="197"/>
      <c r="I42" s="197"/>
      <c r="J42" s="197"/>
      <c r="K42" s="197"/>
      <c r="L42" s="197"/>
      <c r="M42" s="197"/>
      <c r="N42" s="197"/>
      <c r="O42" s="197"/>
      <c r="P42" s="197"/>
      <c r="Q42" s="197"/>
      <c r="R42" s="645" t="str">
        <f t="shared" si="6"/>
        <v/>
      </c>
    </row>
    <row r="43" spans="1:18">
      <c r="B43" s="616" t="e">
        <f>+$B$15</f>
        <v>#REF!</v>
      </c>
      <c r="C43" s="616"/>
      <c r="D43" s="616"/>
      <c r="E43" s="616"/>
      <c r="F43" s="616"/>
      <c r="G43" s="617"/>
      <c r="H43" s="617"/>
      <c r="I43" s="617"/>
      <c r="J43" s="617"/>
      <c r="K43" s="617"/>
      <c r="L43" s="617"/>
      <c r="M43" s="617"/>
      <c r="N43" s="617"/>
      <c r="O43" s="617"/>
      <c r="P43" s="617"/>
      <c r="Q43" s="617"/>
      <c r="R43" s="646" t="str">
        <f t="shared" si="6"/>
        <v/>
      </c>
    </row>
    <row r="44" spans="1:18">
      <c r="B44" t="e">
        <f>+$B$16</f>
        <v>#REF!</v>
      </c>
      <c r="G44" s="197"/>
      <c r="H44" s="197"/>
      <c r="I44" s="197"/>
      <c r="J44" s="197"/>
      <c r="K44" s="197"/>
      <c r="L44" s="197"/>
      <c r="M44" s="197"/>
      <c r="N44" s="197"/>
      <c r="O44" s="197"/>
      <c r="P44" s="197"/>
      <c r="Q44" s="197"/>
      <c r="R44" s="645" t="str">
        <f t="shared" si="6"/>
        <v/>
      </c>
    </row>
    <row r="45" spans="1:18">
      <c r="G45" s="197"/>
      <c r="H45" s="197"/>
      <c r="I45" s="197"/>
      <c r="J45" s="197"/>
      <c r="K45" s="197"/>
      <c r="L45" s="197"/>
      <c r="M45" s="197"/>
      <c r="N45" s="197"/>
      <c r="O45" s="197"/>
      <c r="P45" s="197"/>
      <c r="Q45" s="197"/>
    </row>
    <row r="46" spans="1:18" ht="15.6">
      <c r="A46" t="s">
        <v>472</v>
      </c>
      <c r="B46" s="217" t="s">
        <v>478</v>
      </c>
      <c r="C46" s="55"/>
      <c r="D46" s="55"/>
      <c r="E46" s="55"/>
      <c r="F46" s="55"/>
      <c r="G46" s="218">
        <v>2014</v>
      </c>
      <c r="H46" s="218">
        <f t="shared" ref="H46:Q46" si="7">+G46+1</f>
        <v>2015</v>
      </c>
      <c r="I46" s="218">
        <f t="shared" si="7"/>
        <v>2016</v>
      </c>
      <c r="J46" s="218">
        <f t="shared" si="7"/>
        <v>2017</v>
      </c>
      <c r="K46" s="218">
        <f t="shared" si="7"/>
        <v>2018</v>
      </c>
      <c r="L46" s="218">
        <f t="shared" si="7"/>
        <v>2019</v>
      </c>
      <c r="M46" s="218">
        <f t="shared" si="7"/>
        <v>2020</v>
      </c>
      <c r="N46" s="218">
        <f t="shared" si="7"/>
        <v>2021</v>
      </c>
      <c r="O46" s="218">
        <f t="shared" si="7"/>
        <v>2022</v>
      </c>
      <c r="P46" s="218">
        <f t="shared" si="7"/>
        <v>2023</v>
      </c>
      <c r="Q46" s="218">
        <f t="shared" si="7"/>
        <v>2024</v>
      </c>
      <c r="R46" s="57" t="str">
        <f>"CAGR "&amp;$G$4&amp;" - "&amp;$Q$4</f>
        <v>CAGR 2014 - 2024</v>
      </c>
    </row>
    <row r="47" spans="1:18" ht="3.75" customHeight="1">
      <c r="B47" s="52"/>
      <c r="C47" s="52"/>
      <c r="D47" s="52"/>
      <c r="E47" s="52"/>
      <c r="F47" s="52"/>
      <c r="G47" s="219"/>
      <c r="H47" s="219"/>
      <c r="I47" s="219"/>
      <c r="J47" s="219"/>
      <c r="K47" s="219"/>
      <c r="L47" s="219"/>
      <c r="M47" s="219"/>
      <c r="N47" s="219"/>
      <c r="O47" s="219"/>
      <c r="P47" s="219"/>
      <c r="Q47" s="219"/>
      <c r="R47" s="59"/>
    </row>
    <row r="48" spans="1:18">
      <c r="B48" t="str">
        <f ca="1">+$B$6</f>
        <v>E.L.F. BEAUTY, INC.</v>
      </c>
      <c r="G48" s="197"/>
      <c r="H48" s="197"/>
      <c r="I48" s="197"/>
      <c r="J48" s="197"/>
      <c r="K48" s="197"/>
      <c r="L48" s="197"/>
      <c r="M48" s="197"/>
      <c r="N48" s="197"/>
      <c r="O48" s="197">
        <v>11560</v>
      </c>
      <c r="P48" s="197">
        <v>14997</v>
      </c>
      <c r="Q48" s="197">
        <v>27002</v>
      </c>
      <c r="R48" s="645" t="str">
        <f t="shared" ref="R48:R58" si="8">IFERROR((Q48/G48)^(1/COUNT($G$4:$Q$4))-1,"")</f>
        <v/>
      </c>
    </row>
    <row r="49" spans="1:18">
      <c r="B49" s="616" t="str">
        <f>+$B$7</f>
        <v>L'Oreal S.A.</v>
      </c>
      <c r="C49" s="616"/>
      <c r="D49" s="616"/>
      <c r="E49" s="616"/>
      <c r="F49" s="616"/>
      <c r="G49" s="617"/>
      <c r="H49" s="617"/>
      <c r="I49" s="617"/>
      <c r="J49" s="617"/>
      <c r="K49" s="617"/>
      <c r="L49" s="617"/>
      <c r="M49" s="617"/>
      <c r="N49" s="617"/>
      <c r="O49" s="617"/>
      <c r="P49" s="617"/>
      <c r="Q49" s="617"/>
      <c r="R49" s="646" t="str">
        <f t="shared" si="8"/>
        <v/>
      </c>
    </row>
    <row r="50" spans="1:18">
      <c r="B50" t="str">
        <f>+$B$8</f>
        <v>Estée Lauder Companies Inc.</v>
      </c>
      <c r="G50" s="197"/>
      <c r="H50" s="197"/>
      <c r="I50" s="197"/>
      <c r="J50" s="197"/>
      <c r="K50" s="197"/>
      <c r="L50" s="197"/>
      <c r="M50" s="197"/>
      <c r="N50" s="197"/>
      <c r="O50" s="197"/>
      <c r="P50" s="197"/>
      <c r="Q50" s="197"/>
      <c r="R50" s="645" t="str">
        <f t="shared" si="8"/>
        <v/>
      </c>
    </row>
    <row r="51" spans="1:18">
      <c r="B51" s="616" t="str">
        <f>+$B$9</f>
        <v>Coty Inc.</v>
      </c>
      <c r="C51" s="616"/>
      <c r="D51" s="616"/>
      <c r="E51" s="616"/>
      <c r="F51" s="616"/>
      <c r="G51" s="617"/>
      <c r="H51" s="617"/>
      <c r="I51" s="617"/>
      <c r="J51" s="617"/>
      <c r="K51" s="617"/>
      <c r="L51" s="617"/>
      <c r="M51" s="617"/>
      <c r="N51" s="617"/>
      <c r="O51" s="617"/>
      <c r="P51" s="617"/>
      <c r="Q51" s="617"/>
      <c r="R51" s="646" t="str">
        <f t="shared" si="8"/>
        <v/>
      </c>
    </row>
    <row r="52" spans="1:18">
      <c r="B52" t="str">
        <f>+$B$10</f>
        <v>Ulta Beauty</v>
      </c>
      <c r="G52" s="197"/>
      <c r="H52" s="197"/>
      <c r="I52" s="197"/>
      <c r="J52" s="197"/>
      <c r="K52" s="197"/>
      <c r="L52" s="197"/>
      <c r="M52" s="197"/>
      <c r="N52" s="197"/>
      <c r="O52" s="197"/>
      <c r="P52" s="197"/>
      <c r="Q52" s="197"/>
      <c r="R52" s="645" t="str">
        <f t="shared" si="8"/>
        <v/>
      </c>
    </row>
    <row r="53" spans="1:18">
      <c r="B53" s="616" t="str">
        <f>+$B$11</f>
        <v>Shiseido Company</v>
      </c>
      <c r="C53" s="616"/>
      <c r="D53" s="616"/>
      <c r="E53" s="616"/>
      <c r="F53" s="616"/>
      <c r="G53" s="617"/>
      <c r="H53" s="617"/>
      <c r="I53" s="617"/>
      <c r="J53" s="617"/>
      <c r="K53" s="617"/>
      <c r="L53" s="618"/>
      <c r="M53" s="618"/>
      <c r="N53" s="618"/>
      <c r="O53" s="618"/>
      <c r="P53" s="617"/>
      <c r="Q53" s="617"/>
      <c r="R53" s="646" t="str">
        <f t="shared" si="8"/>
        <v/>
      </c>
    </row>
    <row r="54" spans="1:18">
      <c r="B54" t="str">
        <f ca="1">+$B$12</f>
        <v>Natura &amp;Co Holding SA</v>
      </c>
      <c r="G54" s="197"/>
      <c r="H54" s="197"/>
      <c r="I54" s="197"/>
      <c r="J54" s="197"/>
      <c r="K54" s="197"/>
      <c r="L54" s="197"/>
      <c r="M54" s="197"/>
      <c r="N54" s="197"/>
      <c r="O54" s="197"/>
      <c r="P54" s="197"/>
      <c r="Q54" s="197"/>
      <c r="R54" s="645" t="str">
        <f t="shared" si="8"/>
        <v/>
      </c>
    </row>
    <row r="55" spans="1:18">
      <c r="B55" s="616" t="e">
        <f>+$B$13</f>
        <v>#REF!</v>
      </c>
      <c r="C55" s="616"/>
      <c r="D55" s="616"/>
      <c r="E55" s="616"/>
      <c r="F55" s="616"/>
      <c r="G55" s="617"/>
      <c r="H55" s="617"/>
      <c r="I55" s="617"/>
      <c r="J55" s="617"/>
      <c r="K55" s="617"/>
      <c r="L55" s="617"/>
      <c r="M55" s="617"/>
      <c r="N55" s="617"/>
      <c r="O55" s="617"/>
      <c r="P55" s="617"/>
      <c r="Q55" s="617"/>
      <c r="R55" s="646" t="str">
        <f t="shared" si="8"/>
        <v/>
      </c>
    </row>
    <row r="56" spans="1:18">
      <c r="B56" t="e">
        <f>+$B$14</f>
        <v>#REF!</v>
      </c>
      <c r="G56" s="197"/>
      <c r="H56" s="197"/>
      <c r="I56" s="197"/>
      <c r="J56" s="197"/>
      <c r="K56" s="197"/>
      <c r="L56" s="197"/>
      <c r="M56" s="197"/>
      <c r="N56" s="197"/>
      <c r="O56" s="197"/>
      <c r="P56" s="197"/>
      <c r="Q56" s="197"/>
      <c r="R56" s="645" t="str">
        <f t="shared" si="8"/>
        <v/>
      </c>
    </row>
    <row r="57" spans="1:18">
      <c r="B57" s="616" t="e">
        <f>+$B$15</f>
        <v>#REF!</v>
      </c>
      <c r="C57" s="616"/>
      <c r="D57" s="616"/>
      <c r="E57" s="616"/>
      <c r="F57" s="616"/>
      <c r="G57" s="617"/>
      <c r="H57" s="617"/>
      <c r="I57" s="617"/>
      <c r="J57" s="617"/>
      <c r="K57" s="617"/>
      <c r="L57" s="617"/>
      <c r="M57" s="617"/>
      <c r="N57" s="617"/>
      <c r="O57" s="617"/>
      <c r="P57" s="617"/>
      <c r="Q57" s="617"/>
      <c r="R57" s="646" t="str">
        <f t="shared" si="8"/>
        <v/>
      </c>
    </row>
    <row r="58" spans="1:18">
      <c r="B58" t="e">
        <f>+$B$16</f>
        <v>#REF!</v>
      </c>
      <c r="G58" s="197"/>
      <c r="H58" s="197"/>
      <c r="I58" s="197"/>
      <c r="J58" s="197"/>
      <c r="K58" s="197"/>
      <c r="L58" s="197"/>
      <c r="M58" s="197"/>
      <c r="N58" s="197"/>
      <c r="O58" s="197"/>
      <c r="P58" s="197"/>
      <c r="Q58" s="197"/>
      <c r="R58" s="645" t="str">
        <f t="shared" si="8"/>
        <v/>
      </c>
    </row>
    <row r="60" spans="1:18" ht="15.6">
      <c r="A60" t="s">
        <v>472</v>
      </c>
      <c r="B60" s="217" t="s">
        <v>479</v>
      </c>
      <c r="C60" s="55"/>
      <c r="D60" s="55"/>
      <c r="E60" s="55"/>
      <c r="F60" s="55"/>
      <c r="G60" s="218">
        <v>2014</v>
      </c>
      <c r="H60" s="218">
        <f t="shared" ref="H60:Q60" si="9">+G60+1</f>
        <v>2015</v>
      </c>
      <c r="I60" s="218">
        <f t="shared" si="9"/>
        <v>2016</v>
      </c>
      <c r="J60" s="218">
        <f t="shared" si="9"/>
        <v>2017</v>
      </c>
      <c r="K60" s="218">
        <f t="shared" si="9"/>
        <v>2018</v>
      </c>
      <c r="L60" s="218">
        <f t="shared" si="9"/>
        <v>2019</v>
      </c>
      <c r="M60" s="218">
        <f t="shared" si="9"/>
        <v>2020</v>
      </c>
      <c r="N60" s="218">
        <f t="shared" si="9"/>
        <v>2021</v>
      </c>
      <c r="O60" s="218">
        <f t="shared" si="9"/>
        <v>2022</v>
      </c>
      <c r="P60" s="218">
        <f t="shared" si="9"/>
        <v>2023</v>
      </c>
      <c r="Q60" s="218">
        <f t="shared" si="9"/>
        <v>2024</v>
      </c>
      <c r="R60" s="57" t="str">
        <f>"CAGR "&amp;$G$4&amp;" - "&amp;$Q$4</f>
        <v>CAGR 2014 - 2024</v>
      </c>
    </row>
    <row r="61" spans="1:18" ht="3.75" customHeight="1">
      <c r="B61" s="52"/>
      <c r="C61" s="52"/>
      <c r="D61" s="52"/>
      <c r="E61" s="52"/>
      <c r="F61" s="52"/>
      <c r="G61" s="219"/>
      <c r="H61" s="219"/>
      <c r="I61" s="219"/>
      <c r="J61" s="219"/>
      <c r="K61" s="219"/>
      <c r="L61" s="219"/>
      <c r="M61" s="219"/>
      <c r="N61" s="219"/>
      <c r="O61" s="219"/>
      <c r="P61" s="219"/>
      <c r="Q61" s="219"/>
      <c r="R61" s="59"/>
    </row>
    <row r="62" spans="1:18">
      <c r="B62" t="str">
        <f ca="1">+$B$6</f>
        <v>E.L.F. BEAUTY, INC.</v>
      </c>
      <c r="G62" s="197"/>
      <c r="H62" s="197"/>
      <c r="I62" s="197"/>
      <c r="J62" s="197"/>
      <c r="K62" s="197"/>
      <c r="L62" s="197"/>
      <c r="M62" s="197"/>
      <c r="N62" s="197"/>
      <c r="O62" s="197"/>
      <c r="P62" s="197"/>
      <c r="Q62" s="197"/>
      <c r="R62" s="645" t="str">
        <f t="shared" ref="R62:R72" si="10">IFERROR((Q62/G62)^(1/COUNT($G$4:$Q$4))-1,"")</f>
        <v/>
      </c>
    </row>
    <row r="63" spans="1:18">
      <c r="B63" s="616" t="str">
        <f>+$B$7</f>
        <v>L'Oreal S.A.</v>
      </c>
      <c r="C63" s="616"/>
      <c r="D63" s="616"/>
      <c r="E63" s="616"/>
      <c r="F63" s="616"/>
      <c r="G63" s="617"/>
      <c r="H63" s="617"/>
      <c r="I63" s="617"/>
      <c r="J63" s="617"/>
      <c r="K63" s="617"/>
      <c r="L63" s="617"/>
      <c r="M63" s="617"/>
      <c r="N63" s="617">
        <v>38</v>
      </c>
      <c r="O63" s="617">
        <v>42.3</v>
      </c>
      <c r="P63" s="617">
        <v>30</v>
      </c>
      <c r="Q63" s="617"/>
      <c r="R63" s="646" t="str">
        <f t="shared" si="10"/>
        <v/>
      </c>
    </row>
    <row r="64" spans="1:18">
      <c r="B64" t="str">
        <f>+$B$8</f>
        <v>Estée Lauder Companies Inc.</v>
      </c>
      <c r="G64" s="615"/>
      <c r="H64" s="197"/>
      <c r="I64" s="197"/>
      <c r="J64" s="197"/>
      <c r="K64" s="197"/>
      <c r="L64" s="197"/>
      <c r="M64" s="197"/>
      <c r="N64" s="197"/>
      <c r="O64" s="197"/>
      <c r="P64" s="197"/>
      <c r="Q64" s="197"/>
      <c r="R64" s="645" t="str">
        <f t="shared" si="10"/>
        <v/>
      </c>
    </row>
    <row r="65" spans="1:18">
      <c r="B65" s="616" t="str">
        <f>+$B$9</f>
        <v>Coty Inc.</v>
      </c>
      <c r="C65" s="616"/>
      <c r="D65" s="616"/>
      <c r="E65" s="616"/>
      <c r="F65" s="616"/>
      <c r="G65" s="617"/>
      <c r="H65" s="617"/>
      <c r="I65" s="617"/>
      <c r="J65" s="617"/>
      <c r="K65" s="617"/>
      <c r="L65" s="617"/>
      <c r="M65" s="616"/>
      <c r="N65" s="616"/>
      <c r="O65" s="616"/>
      <c r="P65" s="616"/>
      <c r="Q65" s="616"/>
      <c r="R65" s="646" t="str">
        <f t="shared" si="10"/>
        <v/>
      </c>
    </row>
    <row r="66" spans="1:18">
      <c r="B66" t="str">
        <f>+$B$10</f>
        <v>Ulta Beauty</v>
      </c>
      <c r="G66" s="197"/>
      <c r="H66" s="197"/>
      <c r="I66" s="197"/>
      <c r="J66" s="197"/>
      <c r="K66" s="197"/>
      <c r="L66" s="197"/>
      <c r="M66" s="197"/>
      <c r="N66" s="197"/>
      <c r="O66" s="197"/>
      <c r="P66" s="197"/>
      <c r="Q66" s="197"/>
      <c r="R66" s="645" t="str">
        <f t="shared" si="10"/>
        <v/>
      </c>
    </row>
    <row r="67" spans="1:18">
      <c r="B67" s="616" t="str">
        <f>+$B$11</f>
        <v>Shiseido Company</v>
      </c>
      <c r="C67" s="616"/>
      <c r="D67" s="616"/>
      <c r="E67" s="616"/>
      <c r="F67" s="616"/>
      <c r="G67" s="617"/>
      <c r="H67" s="617"/>
      <c r="I67" s="617"/>
      <c r="J67" s="617"/>
      <c r="K67" s="617"/>
      <c r="L67" s="617"/>
      <c r="M67" s="617"/>
      <c r="N67" s="617"/>
      <c r="O67" s="617"/>
      <c r="P67" s="617"/>
      <c r="Q67" s="617"/>
      <c r="R67" s="646" t="str">
        <f t="shared" si="10"/>
        <v/>
      </c>
    </row>
    <row r="68" spans="1:18">
      <c r="B68" t="str">
        <f ca="1">+$B$12</f>
        <v>Natura &amp;Co Holding SA</v>
      </c>
      <c r="G68" s="197"/>
      <c r="H68" s="197"/>
      <c r="I68" s="197"/>
      <c r="J68" s="197"/>
      <c r="K68" s="197"/>
      <c r="L68" s="197"/>
      <c r="M68" s="197"/>
      <c r="N68" s="197"/>
      <c r="O68" s="197"/>
      <c r="P68" s="197"/>
      <c r="Q68" s="197"/>
      <c r="R68" s="645" t="str">
        <f t="shared" si="10"/>
        <v/>
      </c>
    </row>
    <row r="69" spans="1:18">
      <c r="B69" s="616" t="e">
        <f>+$B$13</f>
        <v>#REF!</v>
      </c>
      <c r="C69" s="616"/>
      <c r="D69" s="616"/>
      <c r="E69" s="616"/>
      <c r="F69" s="616"/>
      <c r="G69" s="617"/>
      <c r="H69" s="617"/>
      <c r="I69" s="617"/>
      <c r="J69" s="617"/>
      <c r="K69" s="617"/>
      <c r="L69" s="617"/>
      <c r="M69" s="617"/>
      <c r="N69" s="617"/>
      <c r="O69" s="617"/>
      <c r="P69" s="617"/>
      <c r="Q69" s="617"/>
      <c r="R69" s="646" t="str">
        <f t="shared" si="10"/>
        <v/>
      </c>
    </row>
    <row r="70" spans="1:18">
      <c r="B70" t="e">
        <f>+$B$14</f>
        <v>#REF!</v>
      </c>
      <c r="G70" s="197"/>
      <c r="H70" s="197"/>
      <c r="I70" s="197"/>
      <c r="J70" s="197"/>
      <c r="K70" s="197"/>
      <c r="L70" s="197"/>
      <c r="M70" s="197"/>
      <c r="N70" s="197"/>
      <c r="O70" s="197"/>
      <c r="P70" s="197"/>
      <c r="Q70" s="197"/>
      <c r="R70" s="645" t="str">
        <f t="shared" si="10"/>
        <v/>
      </c>
    </row>
    <row r="71" spans="1:18">
      <c r="B71" s="616" t="e">
        <f>+$B$15</f>
        <v>#REF!</v>
      </c>
      <c r="C71" s="616"/>
      <c r="D71" s="616"/>
      <c r="E71" s="616"/>
      <c r="F71" s="616"/>
      <c r="G71" s="617"/>
      <c r="H71" s="617"/>
      <c r="I71" s="617"/>
      <c r="J71" s="617"/>
      <c r="K71" s="617"/>
      <c r="L71" s="617"/>
      <c r="M71" s="617"/>
      <c r="N71" s="617"/>
      <c r="O71" s="617"/>
      <c r="P71" s="617"/>
      <c r="Q71" s="617"/>
      <c r="R71" s="646" t="str">
        <f t="shared" si="10"/>
        <v/>
      </c>
    </row>
    <row r="72" spans="1:18">
      <c r="B72" t="e">
        <f>+$B$16</f>
        <v>#REF!</v>
      </c>
      <c r="G72" s="197"/>
      <c r="H72" s="197"/>
      <c r="I72" s="197"/>
      <c r="J72" s="197"/>
      <c r="K72" s="197"/>
      <c r="L72" s="197"/>
      <c r="M72" s="197"/>
      <c r="N72" s="197"/>
      <c r="O72" s="197"/>
      <c r="P72" s="197"/>
      <c r="Q72" s="197"/>
      <c r="R72" s="645" t="str">
        <f t="shared" si="10"/>
        <v/>
      </c>
    </row>
    <row r="73" spans="1:18">
      <c r="G73" s="197"/>
      <c r="H73" s="197"/>
      <c r="I73" s="197"/>
      <c r="J73" s="197"/>
      <c r="K73" s="197"/>
      <c r="L73" s="197"/>
      <c r="M73" s="197"/>
      <c r="N73" s="197"/>
      <c r="O73" s="197"/>
      <c r="P73" s="197"/>
      <c r="Q73" s="197"/>
    </row>
    <row r="74" spans="1:18" ht="15.6">
      <c r="A74" t="s">
        <v>472</v>
      </c>
      <c r="B74" s="217" t="s">
        <v>480</v>
      </c>
      <c r="C74" s="55"/>
      <c r="D74" s="55"/>
      <c r="E74" s="55"/>
      <c r="F74" s="55"/>
      <c r="G74" s="218">
        <v>2014</v>
      </c>
      <c r="H74" s="218">
        <f t="shared" ref="H74" si="11">+G74+1</f>
        <v>2015</v>
      </c>
      <c r="I74" s="218">
        <f t="shared" ref="I74" si="12">+H74+1</f>
        <v>2016</v>
      </c>
      <c r="J74" s="218">
        <f t="shared" ref="J74" si="13">+I74+1</f>
        <v>2017</v>
      </c>
      <c r="K74" s="218">
        <f t="shared" ref="K74" si="14">+J74+1</f>
        <v>2018</v>
      </c>
      <c r="L74" s="218">
        <f t="shared" ref="L74" si="15">+K74+1</f>
        <v>2019</v>
      </c>
      <c r="M74" s="218">
        <f t="shared" ref="M74" si="16">+L74+1</f>
        <v>2020</v>
      </c>
      <c r="N74" s="218">
        <f t="shared" ref="N74" si="17">+M74+1</f>
        <v>2021</v>
      </c>
      <c r="O74" s="218">
        <f t="shared" ref="O74" si="18">+N74+1</f>
        <v>2022</v>
      </c>
      <c r="P74" s="218">
        <f t="shared" ref="P74" si="19">+O74+1</f>
        <v>2023</v>
      </c>
      <c r="Q74" s="218">
        <f t="shared" ref="Q74" si="20">+P74+1</f>
        <v>2024</v>
      </c>
      <c r="R74" s="57" t="str">
        <f>"CAGR "&amp;$G$4&amp;" - "&amp;$Q$4</f>
        <v>CAGR 2014 - 2024</v>
      </c>
    </row>
    <row r="75" spans="1:18" ht="3.95" customHeight="1">
      <c r="B75" s="52"/>
      <c r="C75" s="52"/>
      <c r="D75" s="52"/>
      <c r="E75" s="52"/>
      <c r="F75" s="52"/>
      <c r="G75" s="219"/>
      <c r="H75" s="219"/>
      <c r="I75" s="219"/>
      <c r="J75" s="219"/>
      <c r="K75" s="219"/>
      <c r="L75" s="219"/>
      <c r="M75" s="219"/>
      <c r="N75" s="219"/>
      <c r="O75" s="219"/>
      <c r="P75" s="219"/>
      <c r="Q75" s="219"/>
      <c r="R75" s="59"/>
    </row>
    <row r="76" spans="1:18">
      <c r="B76" t="str">
        <f ca="1">+$B$6</f>
        <v>E.L.F. BEAUTY, INC.</v>
      </c>
      <c r="G76" s="10"/>
      <c r="H76" s="10"/>
      <c r="I76" s="10"/>
      <c r="J76" s="10"/>
      <c r="K76" s="10"/>
      <c r="L76" s="10"/>
      <c r="M76" s="10"/>
      <c r="N76" s="10"/>
      <c r="O76" s="10">
        <f>+O6+O20</f>
        <v>254</v>
      </c>
      <c r="P76" s="10">
        <f t="shared" ref="P76:Q76" si="21">+P6+P20</f>
        <v>232</v>
      </c>
      <c r="Q76" s="10">
        <f t="shared" si="21"/>
        <v>422</v>
      </c>
      <c r="R76" s="645" t="str">
        <f t="shared" ref="R76:R86" si="22">IFERROR((Q76/G76)^(1/COUNT($G$4:$Q$4))-1,"")</f>
        <v/>
      </c>
    </row>
    <row r="77" spans="1:18">
      <c r="B77" s="616" t="str">
        <f>+$B$7</f>
        <v>L'Oreal S.A.</v>
      </c>
      <c r="C77" s="616"/>
      <c r="D77" s="616"/>
      <c r="E77" s="616"/>
      <c r="F77" s="616"/>
      <c r="G77" s="643"/>
      <c r="H77" s="643"/>
      <c r="I77" s="643"/>
      <c r="J77" s="643"/>
      <c r="K77" s="643"/>
      <c r="L77" s="643"/>
      <c r="M77" s="643"/>
      <c r="N77" s="643">
        <f t="shared" ref="N77:P77" si="23">+N7+N21</f>
        <v>0</v>
      </c>
      <c r="O77" s="643">
        <f t="shared" si="23"/>
        <v>0</v>
      </c>
      <c r="P77" s="643">
        <f t="shared" si="23"/>
        <v>0</v>
      </c>
      <c r="Q77" s="643"/>
      <c r="R77" s="646" t="str">
        <f t="shared" si="22"/>
        <v/>
      </c>
    </row>
    <row r="78" spans="1:18">
      <c r="B78" t="str">
        <f>+$B$8</f>
        <v>Estée Lauder Companies Inc.</v>
      </c>
      <c r="G78" s="707">
        <f t="shared" ref="G78:Q78" si="24">+G8+G22</f>
        <v>0</v>
      </c>
      <c r="H78" s="10">
        <f t="shared" si="24"/>
        <v>0</v>
      </c>
      <c r="I78" s="10">
        <f t="shared" si="24"/>
        <v>0</v>
      </c>
      <c r="J78" s="10">
        <f t="shared" si="24"/>
        <v>0</v>
      </c>
      <c r="K78" s="10">
        <f t="shared" si="24"/>
        <v>0</v>
      </c>
      <c r="L78" s="10">
        <f t="shared" si="24"/>
        <v>0</v>
      </c>
      <c r="M78" s="10">
        <f t="shared" si="24"/>
        <v>0</v>
      </c>
      <c r="N78" s="10">
        <f t="shared" si="24"/>
        <v>0</v>
      </c>
      <c r="O78" s="10">
        <f t="shared" si="24"/>
        <v>0</v>
      </c>
      <c r="P78" s="10">
        <f t="shared" si="24"/>
        <v>0</v>
      </c>
      <c r="Q78" s="10">
        <f t="shared" si="24"/>
        <v>0</v>
      </c>
      <c r="R78" s="645" t="str">
        <f t="shared" si="22"/>
        <v/>
      </c>
    </row>
    <row r="79" spans="1:18">
      <c r="B79" s="616" t="str">
        <f>+$B$9</f>
        <v>Coty Inc.</v>
      </c>
      <c r="C79" s="616"/>
      <c r="D79" s="616"/>
      <c r="E79" s="616"/>
      <c r="F79" s="616"/>
      <c r="G79" s="643"/>
      <c r="H79" s="643"/>
      <c r="I79" s="643"/>
      <c r="J79" s="643"/>
      <c r="K79" s="643"/>
      <c r="L79" s="643">
        <f t="shared" ref="L79:P79" si="25">+L9+L23</f>
        <v>0</v>
      </c>
      <c r="M79" s="643">
        <f t="shared" si="25"/>
        <v>0</v>
      </c>
      <c r="N79" s="643">
        <f t="shared" si="25"/>
        <v>0</v>
      </c>
      <c r="O79" s="643">
        <f t="shared" si="25"/>
        <v>0</v>
      </c>
      <c r="P79" s="643">
        <f t="shared" si="25"/>
        <v>0</v>
      </c>
      <c r="Q79" s="643"/>
      <c r="R79" s="646" t="str">
        <f t="shared" si="22"/>
        <v/>
      </c>
    </row>
    <row r="80" spans="1:18">
      <c r="B80" t="str">
        <f>+$B$10</f>
        <v>Ulta Beauty</v>
      </c>
      <c r="G80" s="10">
        <f t="shared" ref="G80:Q80" si="26">+G10+G24</f>
        <v>0</v>
      </c>
      <c r="H80" s="10">
        <f t="shared" si="26"/>
        <v>0</v>
      </c>
      <c r="I80" s="10">
        <f t="shared" si="26"/>
        <v>0</v>
      </c>
      <c r="J80" s="10">
        <f t="shared" si="26"/>
        <v>0</v>
      </c>
      <c r="K80" s="10">
        <f t="shared" si="26"/>
        <v>7</v>
      </c>
      <c r="L80" s="10">
        <f t="shared" si="26"/>
        <v>147</v>
      </c>
      <c r="M80" s="10">
        <f t="shared" si="26"/>
        <v>142</v>
      </c>
      <c r="N80" s="10" t="e">
        <f t="shared" si="26"/>
        <v>#VALUE!</v>
      </c>
      <c r="O80" s="10">
        <f t="shared" si="26"/>
        <v>108</v>
      </c>
      <c r="P80" s="10">
        <f t="shared" si="26"/>
        <v>89</v>
      </c>
      <c r="Q80" s="10">
        <f t="shared" si="26"/>
        <v>0</v>
      </c>
      <c r="R80" s="645" t="str">
        <f t="shared" si="22"/>
        <v/>
      </c>
    </row>
    <row r="81" spans="2:18">
      <c r="B81" s="616" t="str">
        <f>+$B$11</f>
        <v>Shiseido Company</v>
      </c>
      <c r="C81" s="616"/>
      <c r="D81" s="616"/>
      <c r="E81" s="616"/>
      <c r="F81" s="616"/>
      <c r="G81" s="643">
        <f t="shared" ref="G81:Q81" si="27">+G11+G25</f>
        <v>0</v>
      </c>
      <c r="H81" s="643">
        <f t="shared" si="27"/>
        <v>0</v>
      </c>
      <c r="I81" s="643">
        <f t="shared" si="27"/>
        <v>0</v>
      </c>
      <c r="J81" s="643">
        <f t="shared" si="27"/>
        <v>0</v>
      </c>
      <c r="K81" s="643">
        <f t="shared" si="27"/>
        <v>0</v>
      </c>
      <c r="L81" s="643">
        <f t="shared" si="27"/>
        <v>79</v>
      </c>
      <c r="M81" s="643">
        <f t="shared" si="27"/>
        <v>74</v>
      </c>
      <c r="N81" s="643">
        <f t="shared" si="27"/>
        <v>66</v>
      </c>
      <c r="O81" s="643">
        <f t="shared" si="27"/>
        <v>47</v>
      </c>
      <c r="P81" s="643">
        <f t="shared" si="27"/>
        <v>35</v>
      </c>
      <c r="Q81" s="643">
        <f t="shared" si="27"/>
        <v>0</v>
      </c>
      <c r="R81" s="646" t="str">
        <f t="shared" si="22"/>
        <v/>
      </c>
    </row>
    <row r="82" spans="2:18">
      <c r="B82" t="str">
        <f ca="1">+$B$12</f>
        <v>Natura &amp;Co Holding SA</v>
      </c>
      <c r="G82" s="10">
        <f t="shared" ref="G82:Q82" si="28">+G12+G26</f>
        <v>2</v>
      </c>
      <c r="H82" s="10">
        <f t="shared" si="28"/>
        <v>2</v>
      </c>
      <c r="I82" s="10">
        <f t="shared" si="28"/>
        <v>2</v>
      </c>
      <c r="J82" s="10">
        <f t="shared" si="28"/>
        <v>2</v>
      </c>
      <c r="K82" s="10">
        <f t="shared" si="28"/>
        <v>5</v>
      </c>
      <c r="L82" s="10">
        <f t="shared" si="28"/>
        <v>7</v>
      </c>
      <c r="M82" s="10">
        <f t="shared" si="28"/>
        <v>50</v>
      </c>
      <c r="N82" s="10">
        <f t="shared" si="28"/>
        <v>70</v>
      </c>
      <c r="O82" s="10">
        <f t="shared" si="28"/>
        <v>60</v>
      </c>
      <c r="P82" s="10">
        <f t="shared" si="28"/>
        <v>0</v>
      </c>
      <c r="Q82" s="10">
        <f t="shared" si="28"/>
        <v>0</v>
      </c>
      <c r="R82" s="645">
        <f t="shared" si="22"/>
        <v>-1</v>
      </c>
    </row>
    <row r="83" spans="2:18">
      <c r="B83" s="616" t="e">
        <f>+$B$13</f>
        <v>#REF!</v>
      </c>
      <c r="C83" s="616"/>
      <c r="D83" s="616"/>
      <c r="E83" s="616"/>
      <c r="F83" s="616"/>
      <c r="G83" s="643">
        <f t="shared" ref="G83:Q83" si="29">+G13+G27</f>
        <v>0</v>
      </c>
      <c r="H83" s="643">
        <f t="shared" si="29"/>
        <v>0</v>
      </c>
      <c r="I83" s="643">
        <f t="shared" si="29"/>
        <v>0</v>
      </c>
      <c r="J83" s="643">
        <f t="shared" si="29"/>
        <v>0</v>
      </c>
      <c r="K83" s="643">
        <f t="shared" si="29"/>
        <v>0</v>
      </c>
      <c r="L83" s="643">
        <f t="shared" si="29"/>
        <v>0</v>
      </c>
      <c r="M83" s="643">
        <f t="shared" si="29"/>
        <v>0</v>
      </c>
      <c r="N83" s="643">
        <f t="shared" si="29"/>
        <v>0</v>
      </c>
      <c r="O83" s="643">
        <f t="shared" si="29"/>
        <v>0</v>
      </c>
      <c r="P83" s="643">
        <f t="shared" si="29"/>
        <v>0</v>
      </c>
      <c r="Q83" s="643">
        <f t="shared" si="29"/>
        <v>0</v>
      </c>
      <c r="R83" s="646" t="str">
        <f t="shared" si="22"/>
        <v/>
      </c>
    </row>
    <row r="84" spans="2:18">
      <c r="B84" t="e">
        <f>+$B$14</f>
        <v>#REF!</v>
      </c>
      <c r="G84" s="10">
        <f t="shared" ref="G84:Q84" si="30">+G14+G28</f>
        <v>0</v>
      </c>
      <c r="H84" s="10">
        <f t="shared" si="30"/>
        <v>0</v>
      </c>
      <c r="I84" s="10">
        <f t="shared" si="30"/>
        <v>0</v>
      </c>
      <c r="J84" s="10">
        <f t="shared" si="30"/>
        <v>0</v>
      </c>
      <c r="K84" s="10">
        <f t="shared" si="30"/>
        <v>0</v>
      </c>
      <c r="L84" s="10">
        <f t="shared" si="30"/>
        <v>0</v>
      </c>
      <c r="M84" s="10">
        <f t="shared" si="30"/>
        <v>0</v>
      </c>
      <c r="N84" s="10">
        <f t="shared" si="30"/>
        <v>0</v>
      </c>
      <c r="O84" s="10">
        <f t="shared" si="30"/>
        <v>0</v>
      </c>
      <c r="P84" s="10">
        <f t="shared" si="30"/>
        <v>0</v>
      </c>
      <c r="Q84" s="10">
        <f t="shared" si="30"/>
        <v>0</v>
      </c>
      <c r="R84" s="645" t="str">
        <f t="shared" si="22"/>
        <v/>
      </c>
    </row>
    <row r="85" spans="2:18">
      <c r="B85" s="616" t="e">
        <f>+$B$15</f>
        <v>#REF!</v>
      </c>
      <c r="C85" s="616"/>
      <c r="D85" s="616"/>
      <c r="E85" s="616"/>
      <c r="F85" s="616"/>
      <c r="G85" s="643">
        <f t="shared" ref="G85:Q85" si="31">+G15+G29</f>
        <v>0</v>
      </c>
      <c r="H85" s="643">
        <f t="shared" si="31"/>
        <v>0</v>
      </c>
      <c r="I85" s="643">
        <f t="shared" si="31"/>
        <v>0</v>
      </c>
      <c r="J85" s="643">
        <f t="shared" si="31"/>
        <v>0</v>
      </c>
      <c r="K85" s="643">
        <f t="shared" si="31"/>
        <v>0</v>
      </c>
      <c r="L85" s="643">
        <f t="shared" si="31"/>
        <v>0</v>
      </c>
      <c r="M85" s="643">
        <f t="shared" si="31"/>
        <v>0</v>
      </c>
      <c r="N85" s="643">
        <f t="shared" si="31"/>
        <v>0</v>
      </c>
      <c r="O85" s="643">
        <f t="shared" si="31"/>
        <v>0</v>
      </c>
      <c r="P85" s="643">
        <f t="shared" si="31"/>
        <v>0</v>
      </c>
      <c r="Q85" s="643">
        <f t="shared" si="31"/>
        <v>0</v>
      </c>
      <c r="R85" s="646" t="str">
        <f t="shared" si="22"/>
        <v/>
      </c>
    </row>
    <row r="86" spans="2:18">
      <c r="B86" t="e">
        <f>+$B$16</f>
        <v>#REF!</v>
      </c>
      <c r="G86" s="10">
        <f t="shared" ref="G86:Q86" si="32">+G16+G30</f>
        <v>0</v>
      </c>
      <c r="H86" s="10">
        <f t="shared" si="32"/>
        <v>0</v>
      </c>
      <c r="I86" s="10">
        <f t="shared" si="32"/>
        <v>0</v>
      </c>
      <c r="J86" s="10">
        <f t="shared" si="32"/>
        <v>0</v>
      </c>
      <c r="K86" s="10">
        <f t="shared" si="32"/>
        <v>0</v>
      </c>
      <c r="L86" s="10">
        <f t="shared" si="32"/>
        <v>0</v>
      </c>
      <c r="M86" s="10">
        <f t="shared" si="32"/>
        <v>0</v>
      </c>
      <c r="N86" s="10">
        <f t="shared" si="32"/>
        <v>0</v>
      </c>
      <c r="O86" s="10">
        <f t="shared" si="32"/>
        <v>0</v>
      </c>
      <c r="P86" s="10">
        <f t="shared" si="32"/>
        <v>0</v>
      </c>
      <c r="Q86" s="10">
        <f t="shared" si="32"/>
        <v>0</v>
      </c>
      <c r="R86" s="645" t="str">
        <f t="shared" si="22"/>
        <v/>
      </c>
    </row>
  </sheetData>
  <hyperlinks>
    <hyperlink ref="T6" r:id="rId1" xr:uid="{791841DC-2A69-904C-894F-AFBD9A442896}"/>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A5E2-DE06-4725-A4B4-DF20D6F31834}">
  <dimension ref="A1:P47"/>
  <sheetViews>
    <sheetView showGridLines="0" topLeftCell="A21" workbookViewId="0">
      <selection activeCell="D46" sqref="D45:M46"/>
    </sheetView>
  </sheetViews>
  <sheetFormatPr defaultRowHeight="14.1"/>
  <cols>
    <col min="1" max="1" width="2.625" customWidth="1"/>
    <col min="2" max="2" width="25.5" bestFit="1" customWidth="1"/>
    <col min="3" max="3" width="24.875" bestFit="1" customWidth="1"/>
    <col min="16" max="16" width="13.5" bestFit="1" customWidth="1"/>
  </cols>
  <sheetData>
    <row r="1" spans="1:16" ht="14.45">
      <c r="A1" s="748"/>
      <c r="B1" s="748"/>
      <c r="C1" s="748"/>
      <c r="D1" s="748"/>
      <c r="E1" s="748"/>
      <c r="F1" s="748"/>
      <c r="G1" s="748"/>
      <c r="H1" s="748"/>
      <c r="I1" s="748"/>
      <c r="J1" s="748"/>
      <c r="K1" s="748"/>
      <c r="L1" s="748"/>
      <c r="M1" s="748"/>
      <c r="N1" s="748"/>
      <c r="O1" s="748"/>
      <c r="P1" s="748"/>
    </row>
    <row r="2" spans="1:16" s="38" customFormat="1" ht="23.45">
      <c r="A2" s="833" t="s">
        <v>364</v>
      </c>
      <c r="B2" s="834" t="s">
        <v>481</v>
      </c>
      <c r="C2" s="820"/>
      <c r="D2" s="833" t="s">
        <v>364</v>
      </c>
      <c r="E2" s="833" t="s">
        <v>364</v>
      </c>
      <c r="F2" s="833" t="s">
        <v>364</v>
      </c>
      <c r="G2" s="833" t="s">
        <v>364</v>
      </c>
      <c r="H2" s="833" t="s">
        <v>364</v>
      </c>
      <c r="I2" s="833" t="s">
        <v>364</v>
      </c>
      <c r="J2" s="833" t="s">
        <v>364</v>
      </c>
      <c r="K2" s="833" t="s">
        <v>364</v>
      </c>
      <c r="L2" s="833" t="s">
        <v>364</v>
      </c>
      <c r="M2" s="833" t="s">
        <v>364</v>
      </c>
      <c r="N2" s="833" t="s">
        <v>364</v>
      </c>
      <c r="O2" s="833" t="s">
        <v>364</v>
      </c>
      <c r="P2" s="833"/>
    </row>
    <row r="3" spans="1:16" ht="14.45">
      <c r="A3" s="748"/>
      <c r="B3" s="748"/>
      <c r="C3" s="748"/>
      <c r="D3" s="748"/>
      <c r="E3" s="748"/>
      <c r="F3" s="748"/>
      <c r="G3" s="748"/>
      <c r="H3" s="748"/>
      <c r="I3" s="748"/>
      <c r="J3" s="748"/>
      <c r="K3" s="748"/>
      <c r="L3" s="748"/>
      <c r="M3" s="748"/>
      <c r="N3" s="748"/>
      <c r="O3" s="748"/>
      <c r="P3" s="748"/>
    </row>
    <row r="4" spans="1:16" ht="14.45">
      <c r="A4" s="818"/>
      <c r="B4" s="818" t="s">
        <v>482</v>
      </c>
      <c r="C4" s="818"/>
      <c r="D4" s="818" t="s">
        <v>483</v>
      </c>
      <c r="E4" s="818" t="s">
        <v>484</v>
      </c>
      <c r="F4" s="818" t="s">
        <v>485</v>
      </c>
      <c r="G4" s="818" t="s">
        <v>486</v>
      </c>
      <c r="H4" s="818" t="s">
        <v>487</v>
      </c>
      <c r="I4" s="818" t="s">
        <v>488</v>
      </c>
      <c r="J4" s="818" t="s">
        <v>489</v>
      </c>
      <c r="K4" s="818" t="s">
        <v>490</v>
      </c>
      <c r="L4" s="818" t="s">
        <v>491</v>
      </c>
      <c r="M4" s="818" t="s">
        <v>492</v>
      </c>
      <c r="N4" s="818" t="s">
        <v>493</v>
      </c>
      <c r="O4" s="818"/>
      <c r="P4" s="818"/>
    </row>
    <row r="5" spans="1:16" ht="14.45">
      <c r="A5" s="748"/>
      <c r="B5" s="748"/>
      <c r="C5" s="748" t="s">
        <v>494</v>
      </c>
      <c r="D5" s="819" t="s">
        <v>476</v>
      </c>
      <c r="E5" s="819" t="s">
        <v>476</v>
      </c>
      <c r="F5" s="819" t="s">
        <v>476</v>
      </c>
      <c r="G5" s="819" t="s">
        <v>476</v>
      </c>
      <c r="H5" s="819" t="s">
        <v>476</v>
      </c>
      <c r="I5" s="819" t="s">
        <v>476</v>
      </c>
      <c r="J5" s="819" t="s">
        <v>476</v>
      </c>
      <c r="K5" s="819" t="s">
        <v>476</v>
      </c>
      <c r="L5" s="819">
        <v>0</v>
      </c>
      <c r="M5" s="819" t="s">
        <v>476</v>
      </c>
      <c r="N5" s="819" t="s">
        <v>476</v>
      </c>
      <c r="O5" s="819"/>
      <c r="P5" s="748"/>
    </row>
    <row r="6" spans="1:16" ht="14.45">
      <c r="A6" s="748"/>
      <c r="B6" s="748"/>
      <c r="C6" s="748" t="s">
        <v>495</v>
      </c>
      <c r="D6" s="819" t="s">
        <v>476</v>
      </c>
      <c r="E6" s="819" t="s">
        <v>476</v>
      </c>
      <c r="F6" s="819" t="s">
        <v>476</v>
      </c>
      <c r="G6" s="819" t="s">
        <v>476</v>
      </c>
      <c r="H6" s="819" t="s">
        <v>476</v>
      </c>
      <c r="I6" s="819" t="s">
        <v>476</v>
      </c>
      <c r="J6" s="819">
        <v>0</v>
      </c>
      <c r="K6" s="819">
        <v>0</v>
      </c>
      <c r="L6" s="819">
        <v>0</v>
      </c>
      <c r="M6" s="819">
        <v>0</v>
      </c>
      <c r="N6" s="819" t="s">
        <v>476</v>
      </c>
      <c r="O6" s="748"/>
      <c r="P6" s="748"/>
    </row>
    <row r="7" spans="1:16" ht="14.45">
      <c r="A7" s="748"/>
      <c r="B7" s="748"/>
      <c r="C7" s="748" t="s">
        <v>496</v>
      </c>
      <c r="D7" s="819" t="s">
        <v>476</v>
      </c>
      <c r="E7" s="819" t="s">
        <v>476</v>
      </c>
      <c r="F7" s="819" t="s">
        <v>476</v>
      </c>
      <c r="G7" s="819" t="s">
        <v>476</v>
      </c>
      <c r="H7" s="819" t="s">
        <v>476</v>
      </c>
      <c r="I7" s="819" t="s">
        <v>476</v>
      </c>
      <c r="J7" s="819" t="s">
        <v>476</v>
      </c>
      <c r="K7" s="819" t="s">
        <v>476</v>
      </c>
      <c r="L7" s="819" t="s">
        <v>476</v>
      </c>
      <c r="M7" s="819" t="s">
        <v>476</v>
      </c>
      <c r="N7" s="819" t="s">
        <v>476</v>
      </c>
      <c r="O7" s="748"/>
      <c r="P7" s="748"/>
    </row>
    <row r="8" spans="1:16" ht="14.45">
      <c r="A8" s="748"/>
      <c r="B8" s="748"/>
      <c r="C8" s="748" t="s">
        <v>497</v>
      </c>
      <c r="D8" s="819" t="s">
        <v>476</v>
      </c>
      <c r="E8" s="819">
        <v>7</v>
      </c>
      <c r="F8" s="819">
        <v>5</v>
      </c>
      <c r="G8" s="819">
        <v>7</v>
      </c>
      <c r="H8" s="819">
        <v>6</v>
      </c>
      <c r="I8" s="819">
        <v>10</v>
      </c>
      <c r="J8" s="819">
        <v>9</v>
      </c>
      <c r="K8" s="819">
        <v>8</v>
      </c>
      <c r="L8" s="819">
        <v>8</v>
      </c>
      <c r="M8" s="819">
        <v>8</v>
      </c>
      <c r="N8" s="819" t="s">
        <v>476</v>
      </c>
      <c r="O8" s="748"/>
      <c r="P8" s="748"/>
    </row>
    <row r="9" spans="1:16" ht="14.45">
      <c r="A9" s="748"/>
      <c r="B9" s="748"/>
      <c r="C9" s="748" t="s">
        <v>498</v>
      </c>
      <c r="D9" s="819" t="s">
        <v>476</v>
      </c>
      <c r="E9" s="819" t="s">
        <v>476</v>
      </c>
      <c r="F9" s="819" t="s">
        <v>476</v>
      </c>
      <c r="G9" s="819" t="s">
        <v>476</v>
      </c>
      <c r="H9" s="819">
        <v>7</v>
      </c>
      <c r="I9" s="819">
        <v>7</v>
      </c>
      <c r="J9" s="819">
        <v>8</v>
      </c>
      <c r="K9" s="819">
        <v>8</v>
      </c>
      <c r="L9" s="819">
        <v>8</v>
      </c>
      <c r="M9" s="819">
        <v>9</v>
      </c>
      <c r="N9" s="819" t="s">
        <v>476</v>
      </c>
      <c r="O9" s="748"/>
      <c r="P9" s="748"/>
    </row>
    <row r="10" spans="1:16" ht="14.45">
      <c r="A10" s="748"/>
      <c r="B10" s="748"/>
      <c r="C10" s="748" t="s">
        <v>499</v>
      </c>
      <c r="D10" s="819" t="s">
        <v>476</v>
      </c>
      <c r="E10" s="819" t="s">
        <v>476</v>
      </c>
      <c r="F10" s="819" t="s">
        <v>476</v>
      </c>
      <c r="G10" s="819" t="s">
        <v>476</v>
      </c>
      <c r="H10" s="819" t="s">
        <v>476</v>
      </c>
      <c r="I10" s="819">
        <v>27</v>
      </c>
      <c r="J10" s="819">
        <v>28</v>
      </c>
      <c r="K10" s="819">
        <v>29</v>
      </c>
      <c r="L10" s="819">
        <v>24</v>
      </c>
      <c r="M10" s="819">
        <v>21</v>
      </c>
      <c r="N10" s="819" t="s">
        <v>476</v>
      </c>
      <c r="O10" s="748"/>
      <c r="P10" s="748"/>
    </row>
    <row r="11" spans="1:16" ht="14.45">
      <c r="A11" s="748"/>
      <c r="B11" s="748"/>
      <c r="C11" s="748" t="s">
        <v>500</v>
      </c>
      <c r="D11" s="819">
        <v>2</v>
      </c>
      <c r="E11" s="819">
        <v>2</v>
      </c>
      <c r="F11" s="819">
        <v>2</v>
      </c>
      <c r="G11" s="819">
        <v>2</v>
      </c>
      <c r="H11" s="819">
        <v>5</v>
      </c>
      <c r="I11" s="819">
        <v>7</v>
      </c>
      <c r="J11" s="819">
        <v>29</v>
      </c>
      <c r="K11" s="819">
        <v>25</v>
      </c>
      <c r="L11" s="819">
        <v>27</v>
      </c>
      <c r="M11" s="819" t="s">
        <v>476</v>
      </c>
      <c r="N11" s="819" t="s">
        <v>476</v>
      </c>
      <c r="O11" s="748"/>
      <c r="P11" s="748"/>
    </row>
    <row r="12" spans="1:16" ht="14.45">
      <c r="A12" s="748"/>
      <c r="B12" s="748"/>
      <c r="C12" s="748"/>
      <c r="D12" s="741" t="s">
        <v>364</v>
      </c>
      <c r="E12" s="741" t="s">
        <v>364</v>
      </c>
      <c r="F12" s="741" t="s">
        <v>364</v>
      </c>
      <c r="G12" s="741" t="s">
        <v>364</v>
      </c>
      <c r="H12" s="741" t="s">
        <v>364</v>
      </c>
      <c r="I12" s="741" t="s">
        <v>364</v>
      </c>
      <c r="J12" s="741" t="s">
        <v>364</v>
      </c>
      <c r="K12" s="741" t="s">
        <v>364</v>
      </c>
      <c r="L12" s="741" t="s">
        <v>364</v>
      </c>
      <c r="M12" s="741" t="s">
        <v>364</v>
      </c>
      <c r="N12" s="741" t="s">
        <v>364</v>
      </c>
      <c r="O12" s="748"/>
      <c r="P12" s="748"/>
    </row>
    <row r="13" spans="1:16" ht="14.45">
      <c r="A13" s="818"/>
      <c r="B13" s="818" t="s">
        <v>501</v>
      </c>
      <c r="C13" s="818"/>
      <c r="D13" s="818"/>
      <c r="E13" s="818"/>
      <c r="F13" s="818"/>
      <c r="G13" s="818"/>
      <c r="H13" s="818"/>
      <c r="I13" s="818"/>
      <c r="J13" s="818"/>
      <c r="K13" s="818"/>
      <c r="L13" s="818"/>
      <c r="M13" s="818"/>
      <c r="N13" s="818"/>
      <c r="O13" s="818"/>
      <c r="P13" s="818"/>
    </row>
    <row r="14" spans="1:16" ht="14.45">
      <c r="A14" s="748"/>
      <c r="B14" s="748"/>
      <c r="C14" s="748" t="s">
        <v>494</v>
      </c>
      <c r="D14" s="741" t="s">
        <v>476</v>
      </c>
      <c r="E14" s="741" t="s">
        <v>476</v>
      </c>
      <c r="F14" s="741" t="s">
        <v>476</v>
      </c>
      <c r="G14" s="741" t="s">
        <v>476</v>
      </c>
      <c r="H14" s="741" t="s">
        <v>476</v>
      </c>
      <c r="I14" s="741" t="s">
        <v>476</v>
      </c>
      <c r="J14" s="741" t="s">
        <v>476</v>
      </c>
      <c r="K14" s="741" t="s">
        <v>476</v>
      </c>
      <c r="L14" s="741" t="s">
        <v>476</v>
      </c>
      <c r="M14" s="741" t="s">
        <v>476</v>
      </c>
      <c r="N14" s="741" t="s">
        <v>476</v>
      </c>
      <c r="O14" s="741" t="s">
        <v>364</v>
      </c>
      <c r="P14" s="748"/>
    </row>
    <row r="15" spans="1:16" ht="14.45">
      <c r="A15" s="748"/>
      <c r="B15" s="748"/>
      <c r="C15" s="748" t="s">
        <v>495</v>
      </c>
      <c r="D15" s="741" t="s">
        <v>476</v>
      </c>
      <c r="E15" s="741" t="s">
        <v>476</v>
      </c>
      <c r="F15" s="741" t="s">
        <v>476</v>
      </c>
      <c r="G15" s="741" t="s">
        <v>476</v>
      </c>
      <c r="H15" s="741" t="s">
        <v>476</v>
      </c>
      <c r="I15" s="741" t="s">
        <v>476</v>
      </c>
      <c r="J15" s="741" t="s">
        <v>476</v>
      </c>
      <c r="K15" s="741" t="s">
        <v>476</v>
      </c>
      <c r="L15" s="741" t="s">
        <v>476</v>
      </c>
      <c r="M15" s="741" t="s">
        <v>476</v>
      </c>
      <c r="N15" s="741" t="s">
        <v>476</v>
      </c>
      <c r="O15" s="748"/>
      <c r="P15" s="748"/>
    </row>
    <row r="16" spans="1:16" ht="14.45">
      <c r="A16" s="748"/>
      <c r="B16" s="748"/>
      <c r="C16" s="748" t="s">
        <v>496</v>
      </c>
      <c r="D16" s="741" t="s">
        <v>476</v>
      </c>
      <c r="E16" s="741" t="s">
        <v>476</v>
      </c>
      <c r="F16" s="741" t="s">
        <v>476</v>
      </c>
      <c r="G16" s="741" t="s">
        <v>476</v>
      </c>
      <c r="H16" s="741" t="s">
        <v>476</v>
      </c>
      <c r="I16" s="741" t="s">
        <v>476</v>
      </c>
      <c r="J16" s="741" t="s">
        <v>476</v>
      </c>
      <c r="K16" s="741" t="s">
        <v>476</v>
      </c>
      <c r="L16" s="741" t="s">
        <v>476</v>
      </c>
      <c r="M16" s="741" t="s">
        <v>476</v>
      </c>
      <c r="N16" s="741" t="s">
        <v>476</v>
      </c>
      <c r="O16" s="748"/>
      <c r="P16" s="748"/>
    </row>
    <row r="17" spans="1:16" ht="14.45">
      <c r="A17" s="748"/>
      <c r="B17" s="748"/>
      <c r="C17" s="748" t="s">
        <v>497</v>
      </c>
      <c r="D17" s="741" t="s">
        <v>476</v>
      </c>
      <c r="E17" s="741" t="s">
        <v>476</v>
      </c>
      <c r="F17" s="741" t="s">
        <v>476</v>
      </c>
      <c r="G17" s="741" t="s">
        <v>476</v>
      </c>
      <c r="H17" s="741" t="s">
        <v>476</v>
      </c>
      <c r="I17" s="741" t="s">
        <v>476</v>
      </c>
      <c r="J17" s="741" t="s">
        <v>476</v>
      </c>
      <c r="K17" s="741" t="s">
        <v>476</v>
      </c>
      <c r="L17" s="741" t="s">
        <v>476</v>
      </c>
      <c r="M17" s="741" t="s">
        <v>476</v>
      </c>
      <c r="N17" s="741" t="s">
        <v>476</v>
      </c>
      <c r="O17" s="748"/>
      <c r="P17" s="748"/>
    </row>
    <row r="18" spans="1:16" ht="14.45">
      <c r="A18" s="748"/>
      <c r="B18" s="748"/>
      <c r="C18" s="748" t="s">
        <v>498</v>
      </c>
      <c r="D18" s="741" t="s">
        <v>476</v>
      </c>
      <c r="E18" s="741" t="s">
        <v>476</v>
      </c>
      <c r="F18" s="741" t="s">
        <v>476</v>
      </c>
      <c r="G18" s="741" t="s">
        <v>476</v>
      </c>
      <c r="H18" s="741" t="s">
        <v>476</v>
      </c>
      <c r="I18" s="741">
        <v>140</v>
      </c>
      <c r="J18" s="741">
        <v>134</v>
      </c>
      <c r="K18" s="741" t="s">
        <v>476</v>
      </c>
      <c r="L18" s="741">
        <v>100</v>
      </c>
      <c r="M18" s="741">
        <v>80</v>
      </c>
      <c r="N18" s="741" t="s">
        <v>476</v>
      </c>
      <c r="O18" s="748"/>
      <c r="P18" s="748"/>
    </row>
    <row r="19" spans="1:16" ht="14.45">
      <c r="A19" s="748"/>
      <c r="B19" s="748"/>
      <c r="C19" s="748" t="s">
        <v>499</v>
      </c>
      <c r="D19" s="741" t="s">
        <v>476</v>
      </c>
      <c r="E19" s="741" t="s">
        <v>476</v>
      </c>
      <c r="F19" s="741" t="s">
        <v>476</v>
      </c>
      <c r="G19" s="741" t="s">
        <v>476</v>
      </c>
      <c r="H19" s="741" t="s">
        <v>476</v>
      </c>
      <c r="I19" s="741">
        <v>52</v>
      </c>
      <c r="J19" s="741">
        <v>46</v>
      </c>
      <c r="K19" s="741">
        <v>37</v>
      </c>
      <c r="L19" s="741">
        <v>23</v>
      </c>
      <c r="M19" s="741">
        <v>14</v>
      </c>
      <c r="N19" s="741" t="s">
        <v>476</v>
      </c>
      <c r="O19" s="748"/>
      <c r="P19" s="748"/>
    </row>
    <row r="20" spans="1:16" ht="14.45">
      <c r="A20" s="748"/>
      <c r="B20" s="748"/>
      <c r="C20" s="748" t="s">
        <v>500</v>
      </c>
      <c r="D20" s="741" t="s">
        <v>476</v>
      </c>
      <c r="E20" s="741" t="s">
        <v>476</v>
      </c>
      <c r="F20" s="741" t="s">
        <v>476</v>
      </c>
      <c r="G20" s="741" t="s">
        <v>476</v>
      </c>
      <c r="H20" s="741" t="s">
        <v>476</v>
      </c>
      <c r="I20" s="741" t="s">
        <v>476</v>
      </c>
      <c r="J20" s="741">
        <v>21</v>
      </c>
      <c r="K20" s="741">
        <v>45</v>
      </c>
      <c r="L20" s="741">
        <v>33</v>
      </c>
      <c r="M20" s="741" t="s">
        <v>476</v>
      </c>
      <c r="N20" s="741" t="s">
        <v>476</v>
      </c>
      <c r="O20" s="748"/>
      <c r="P20" s="748"/>
    </row>
    <row r="21" spans="1:16" ht="14.45">
      <c r="A21" s="748"/>
      <c r="B21" s="748"/>
      <c r="C21" s="748"/>
      <c r="D21" s="741" t="s">
        <v>364</v>
      </c>
      <c r="E21" s="741" t="s">
        <v>364</v>
      </c>
      <c r="F21" s="741" t="s">
        <v>364</v>
      </c>
      <c r="G21" s="741" t="s">
        <v>364</v>
      </c>
      <c r="H21" s="741" t="s">
        <v>364</v>
      </c>
      <c r="I21" s="741" t="s">
        <v>364</v>
      </c>
      <c r="J21" s="741" t="s">
        <v>364</v>
      </c>
      <c r="K21" s="741" t="s">
        <v>364</v>
      </c>
      <c r="L21" s="741" t="s">
        <v>364</v>
      </c>
      <c r="M21" s="741" t="s">
        <v>364</v>
      </c>
      <c r="N21" s="741" t="s">
        <v>364</v>
      </c>
      <c r="O21" s="748"/>
      <c r="P21" s="748"/>
    </row>
    <row r="22" spans="1:16" ht="14.45">
      <c r="A22" s="748"/>
      <c r="B22" s="818" t="s">
        <v>502</v>
      </c>
      <c r="C22" s="818"/>
      <c r="D22" s="818"/>
      <c r="E22" s="818"/>
      <c r="F22" s="818"/>
      <c r="G22" s="818"/>
      <c r="H22" s="818"/>
      <c r="I22" s="818"/>
      <c r="J22" s="818"/>
      <c r="K22" s="818"/>
      <c r="L22" s="818"/>
      <c r="M22" s="818"/>
      <c r="N22" s="818"/>
      <c r="O22" s="818"/>
      <c r="P22" s="818"/>
    </row>
    <row r="23" spans="1:16" ht="14.45">
      <c r="A23" s="748"/>
      <c r="B23" s="748"/>
      <c r="C23" s="748" t="s">
        <v>494</v>
      </c>
      <c r="D23" s="741" t="s">
        <v>476</v>
      </c>
      <c r="E23" s="741" t="s">
        <v>476</v>
      </c>
      <c r="F23" s="741" t="s">
        <v>476</v>
      </c>
      <c r="G23" s="741" t="s">
        <v>476</v>
      </c>
      <c r="H23" s="741" t="s">
        <v>476</v>
      </c>
      <c r="I23" s="741" t="s">
        <v>476</v>
      </c>
      <c r="J23" s="741" t="s">
        <v>476</v>
      </c>
      <c r="K23" s="741" t="s">
        <v>476</v>
      </c>
      <c r="L23" s="741" t="s">
        <v>476</v>
      </c>
      <c r="M23" s="741">
        <v>15</v>
      </c>
      <c r="N23" s="741">
        <v>27</v>
      </c>
      <c r="O23" s="748"/>
      <c r="P23" s="748"/>
    </row>
    <row r="24" spans="1:16" ht="14.45">
      <c r="A24" s="748"/>
      <c r="B24" s="748"/>
      <c r="C24" s="748" t="s">
        <v>495</v>
      </c>
      <c r="D24" s="741" t="s">
        <v>476</v>
      </c>
      <c r="E24" s="741" t="s">
        <v>476</v>
      </c>
      <c r="F24" s="741" t="s">
        <v>476</v>
      </c>
      <c r="G24" s="741" t="s">
        <v>476</v>
      </c>
      <c r="H24" s="741" t="s">
        <v>476</v>
      </c>
      <c r="I24" s="741" t="s">
        <v>476</v>
      </c>
      <c r="J24" s="741" t="s">
        <v>476</v>
      </c>
      <c r="K24" s="741" t="s">
        <v>476</v>
      </c>
      <c r="L24" s="741" t="s">
        <v>476</v>
      </c>
      <c r="M24" s="741" t="s">
        <v>476</v>
      </c>
      <c r="N24" s="741" t="s">
        <v>476</v>
      </c>
      <c r="O24" s="748"/>
      <c r="P24" s="748"/>
    </row>
    <row r="25" spans="1:16" ht="14.45">
      <c r="A25" s="748"/>
      <c r="B25" s="748"/>
      <c r="C25" s="748" t="s">
        <v>496</v>
      </c>
      <c r="D25" s="741" t="s">
        <v>476</v>
      </c>
      <c r="E25" s="741" t="s">
        <v>476</v>
      </c>
      <c r="F25" s="741" t="s">
        <v>476</v>
      </c>
      <c r="G25" s="741" t="s">
        <v>476</v>
      </c>
      <c r="H25" s="741" t="s">
        <v>476</v>
      </c>
      <c r="I25" s="741" t="s">
        <v>476</v>
      </c>
      <c r="J25" s="741" t="s">
        <v>476</v>
      </c>
      <c r="K25" s="741" t="s">
        <v>476</v>
      </c>
      <c r="L25" s="741" t="s">
        <v>476</v>
      </c>
      <c r="M25" s="741" t="s">
        <v>476</v>
      </c>
      <c r="N25" s="741" t="s">
        <v>476</v>
      </c>
      <c r="O25" s="748"/>
      <c r="P25" s="748"/>
    </row>
    <row r="26" spans="1:16" ht="14.45">
      <c r="A26" s="748"/>
      <c r="B26" s="748"/>
      <c r="C26" s="748" t="s">
        <v>497</v>
      </c>
      <c r="D26" s="741" t="s">
        <v>476</v>
      </c>
      <c r="E26" s="741" t="s">
        <v>476</v>
      </c>
      <c r="F26" s="741" t="s">
        <v>476</v>
      </c>
      <c r="G26" s="741" t="s">
        <v>476</v>
      </c>
      <c r="H26" s="741" t="s">
        <v>476</v>
      </c>
      <c r="I26" s="741">
        <v>309</v>
      </c>
      <c r="J26" s="741">
        <v>299</v>
      </c>
      <c r="K26" s="741">
        <v>294</v>
      </c>
      <c r="L26" s="741">
        <v>311</v>
      </c>
      <c r="M26" s="741">
        <v>292</v>
      </c>
      <c r="N26" s="741" t="s">
        <v>476</v>
      </c>
      <c r="O26" s="748"/>
      <c r="P26" s="748"/>
    </row>
    <row r="27" spans="1:16" ht="14.45">
      <c r="A27" s="748"/>
      <c r="B27" s="748"/>
      <c r="C27" s="748" t="s">
        <v>498</v>
      </c>
      <c r="D27" s="741" t="s">
        <v>476</v>
      </c>
      <c r="E27" s="741" t="s">
        <v>476</v>
      </c>
      <c r="F27" s="741" t="s">
        <v>476</v>
      </c>
      <c r="G27" s="741" t="s">
        <v>476</v>
      </c>
      <c r="H27" s="741" t="s">
        <v>476</v>
      </c>
      <c r="I27" s="741" t="s">
        <v>476</v>
      </c>
      <c r="J27" s="741" t="s">
        <v>476</v>
      </c>
      <c r="K27" s="741" t="s">
        <v>476</v>
      </c>
      <c r="L27" s="741" t="s">
        <v>476</v>
      </c>
      <c r="M27" s="741" t="s">
        <v>476</v>
      </c>
      <c r="N27" s="741" t="s">
        <v>476</v>
      </c>
      <c r="O27" s="748"/>
      <c r="P27" s="748"/>
    </row>
    <row r="28" spans="1:16" ht="14.45">
      <c r="A28" s="748"/>
      <c r="B28" s="748"/>
      <c r="C28" s="748" t="s">
        <v>499</v>
      </c>
      <c r="D28" s="741" t="s">
        <v>476</v>
      </c>
      <c r="E28" s="741" t="s">
        <v>476</v>
      </c>
      <c r="F28" s="741" t="s">
        <v>476</v>
      </c>
      <c r="G28" s="741" t="s">
        <v>476</v>
      </c>
      <c r="H28" s="741" t="s">
        <v>476</v>
      </c>
      <c r="I28" s="741" t="s">
        <v>476</v>
      </c>
      <c r="J28" s="741" t="s">
        <v>476</v>
      </c>
      <c r="K28" s="741" t="s">
        <v>476</v>
      </c>
      <c r="L28" s="741" t="s">
        <v>476</v>
      </c>
      <c r="M28" s="741" t="s">
        <v>476</v>
      </c>
      <c r="N28" s="741" t="s">
        <v>476</v>
      </c>
      <c r="O28" s="748"/>
      <c r="P28" s="748"/>
    </row>
    <row r="29" spans="1:16" ht="14.45">
      <c r="A29" s="748"/>
      <c r="B29" s="748"/>
      <c r="C29" s="748" t="s">
        <v>500</v>
      </c>
      <c r="D29" s="741" t="s">
        <v>476</v>
      </c>
      <c r="E29" s="741">
        <v>294</v>
      </c>
      <c r="F29" s="741">
        <v>279</v>
      </c>
      <c r="G29" s="741">
        <v>290</v>
      </c>
      <c r="H29" s="741">
        <v>336</v>
      </c>
      <c r="I29" s="741" t="s">
        <v>476</v>
      </c>
      <c r="J29" s="741" t="s">
        <v>476</v>
      </c>
      <c r="K29" s="741" t="s">
        <v>476</v>
      </c>
      <c r="L29" s="741">
        <v>317</v>
      </c>
      <c r="M29" s="741" t="s">
        <v>476</v>
      </c>
      <c r="N29" s="741" t="s">
        <v>476</v>
      </c>
      <c r="O29" s="748"/>
      <c r="P29" s="748"/>
    </row>
    <row r="30" spans="1:16" ht="14.45">
      <c r="A30" s="748"/>
      <c r="B30" s="748"/>
      <c r="C30" s="748"/>
      <c r="D30" s="741" t="s">
        <v>364</v>
      </c>
      <c r="E30" s="741" t="s">
        <v>364</v>
      </c>
      <c r="F30" s="741" t="s">
        <v>364</v>
      </c>
      <c r="G30" s="741" t="s">
        <v>364</v>
      </c>
      <c r="H30" s="741" t="s">
        <v>364</v>
      </c>
      <c r="I30" s="741" t="s">
        <v>364</v>
      </c>
      <c r="J30" s="741" t="s">
        <v>364</v>
      </c>
      <c r="K30" s="741" t="s">
        <v>364</v>
      </c>
      <c r="L30" s="741" t="s">
        <v>364</v>
      </c>
      <c r="M30" s="741" t="s">
        <v>364</v>
      </c>
      <c r="N30" s="741" t="s">
        <v>364</v>
      </c>
      <c r="O30" s="748"/>
      <c r="P30" s="748"/>
    </row>
    <row r="31" spans="1:16" ht="14.45">
      <c r="A31" s="818"/>
      <c r="B31" s="818" t="s">
        <v>503</v>
      </c>
      <c r="C31" s="818"/>
      <c r="D31" s="818"/>
      <c r="E31" s="818"/>
      <c r="F31" s="818"/>
      <c r="G31" s="818"/>
      <c r="H31" s="818"/>
      <c r="I31" s="818"/>
      <c r="J31" s="818"/>
      <c r="K31" s="818"/>
      <c r="L31" s="818"/>
      <c r="M31" s="818"/>
      <c r="N31" s="818"/>
      <c r="O31" s="818"/>
      <c r="P31" s="818"/>
    </row>
    <row r="32" spans="1:16" ht="14.45">
      <c r="A32" s="748"/>
      <c r="B32" s="748"/>
      <c r="C32" s="748" t="s">
        <v>494</v>
      </c>
      <c r="D32" s="741" t="s">
        <v>476</v>
      </c>
      <c r="E32" s="741" t="s">
        <v>476</v>
      </c>
      <c r="F32" s="741" t="s">
        <v>476</v>
      </c>
      <c r="G32" s="741" t="s">
        <v>476</v>
      </c>
      <c r="H32" s="741" t="s">
        <v>476</v>
      </c>
      <c r="I32" s="741" t="s">
        <v>476</v>
      </c>
      <c r="J32" s="741" t="s">
        <v>476</v>
      </c>
      <c r="K32" s="741" t="s">
        <v>476</v>
      </c>
      <c r="L32" s="741" t="s">
        <v>476</v>
      </c>
      <c r="M32" s="741">
        <v>15</v>
      </c>
      <c r="N32" s="741">
        <v>27</v>
      </c>
      <c r="O32" s="748"/>
      <c r="P32" s="748"/>
    </row>
    <row r="33" spans="1:16" ht="14.45">
      <c r="A33" s="748"/>
      <c r="B33" s="748"/>
      <c r="C33" s="748" t="s">
        <v>495</v>
      </c>
      <c r="D33" s="741" t="s">
        <v>476</v>
      </c>
      <c r="E33" s="741" t="s">
        <v>476</v>
      </c>
      <c r="F33" s="741" t="s">
        <v>476</v>
      </c>
      <c r="G33" s="741" t="s">
        <v>476</v>
      </c>
      <c r="H33" s="741" t="s">
        <v>476</v>
      </c>
      <c r="I33" s="741" t="s">
        <v>476</v>
      </c>
      <c r="J33" s="741" t="s">
        <v>476</v>
      </c>
      <c r="K33" s="741" t="s">
        <v>476</v>
      </c>
      <c r="L33" s="741" t="s">
        <v>476</v>
      </c>
      <c r="M33" s="741" t="s">
        <v>476</v>
      </c>
      <c r="N33" s="741" t="s">
        <v>476</v>
      </c>
      <c r="O33" s="748"/>
      <c r="P33" s="748"/>
    </row>
    <row r="34" spans="1:16" ht="14.45">
      <c r="A34" s="748"/>
      <c r="B34" s="748"/>
      <c r="C34" s="748" t="s">
        <v>496</v>
      </c>
      <c r="D34" s="741" t="s">
        <v>476</v>
      </c>
      <c r="E34" s="741" t="s">
        <v>476</v>
      </c>
      <c r="F34" s="741" t="s">
        <v>476</v>
      </c>
      <c r="G34" s="741" t="s">
        <v>476</v>
      </c>
      <c r="H34" s="741" t="s">
        <v>476</v>
      </c>
      <c r="I34" s="741" t="s">
        <v>476</v>
      </c>
      <c r="J34" s="741" t="s">
        <v>476</v>
      </c>
      <c r="K34" s="741" t="s">
        <v>476</v>
      </c>
      <c r="L34" s="741" t="s">
        <v>476</v>
      </c>
      <c r="M34" s="741" t="s">
        <v>476</v>
      </c>
      <c r="N34" s="741" t="s">
        <v>476</v>
      </c>
      <c r="O34" s="748"/>
      <c r="P34" s="748"/>
    </row>
    <row r="35" spans="1:16" ht="14.45">
      <c r="A35" s="748"/>
      <c r="B35" s="748"/>
      <c r="C35" s="748" t="s">
        <v>497</v>
      </c>
      <c r="D35" s="741" t="s">
        <v>476</v>
      </c>
      <c r="E35" s="741" t="s">
        <v>476</v>
      </c>
      <c r="F35" s="741" t="s">
        <v>476</v>
      </c>
      <c r="G35" s="741" t="s">
        <v>476</v>
      </c>
      <c r="H35" s="741" t="s">
        <v>476</v>
      </c>
      <c r="I35" s="741">
        <v>309</v>
      </c>
      <c r="J35" s="741">
        <v>299</v>
      </c>
      <c r="K35" s="741">
        <v>294</v>
      </c>
      <c r="L35" s="741">
        <v>311</v>
      </c>
      <c r="M35" s="741">
        <v>292</v>
      </c>
      <c r="N35" s="741" t="s">
        <v>476</v>
      </c>
      <c r="O35" s="748"/>
      <c r="P35" s="748"/>
    </row>
    <row r="36" spans="1:16" ht="14.45">
      <c r="A36" s="748"/>
      <c r="B36" s="748"/>
      <c r="C36" s="748" t="s">
        <v>498</v>
      </c>
      <c r="D36" s="741" t="s">
        <v>476</v>
      </c>
      <c r="E36" s="741" t="s">
        <v>476</v>
      </c>
      <c r="F36" s="741" t="s">
        <v>476</v>
      </c>
      <c r="G36" s="741" t="s">
        <v>476</v>
      </c>
      <c r="H36" s="741" t="s">
        <v>476</v>
      </c>
      <c r="I36" s="741" t="s">
        <v>476</v>
      </c>
      <c r="J36" s="741" t="s">
        <v>476</v>
      </c>
      <c r="K36" s="741" t="s">
        <v>476</v>
      </c>
      <c r="L36" s="741" t="s">
        <v>476</v>
      </c>
      <c r="M36" s="741" t="s">
        <v>476</v>
      </c>
      <c r="N36" s="741" t="s">
        <v>476</v>
      </c>
      <c r="O36" s="748"/>
      <c r="P36" s="748"/>
    </row>
    <row r="37" spans="1:16" ht="14.45">
      <c r="A37" s="748"/>
      <c r="B37" s="748"/>
      <c r="C37" s="748" t="s">
        <v>499</v>
      </c>
      <c r="D37" s="741" t="s">
        <v>476</v>
      </c>
      <c r="E37" s="741" t="s">
        <v>476</v>
      </c>
      <c r="F37" s="741" t="s">
        <v>476</v>
      </c>
      <c r="G37" s="741" t="s">
        <v>476</v>
      </c>
      <c r="H37" s="741" t="s">
        <v>476</v>
      </c>
      <c r="I37" s="741" t="s">
        <v>476</v>
      </c>
      <c r="J37" s="741" t="s">
        <v>476</v>
      </c>
      <c r="K37" s="741" t="s">
        <v>476</v>
      </c>
      <c r="L37" s="741" t="s">
        <v>476</v>
      </c>
      <c r="M37" s="741" t="s">
        <v>476</v>
      </c>
      <c r="N37" s="741" t="s">
        <v>476</v>
      </c>
      <c r="O37" s="748"/>
      <c r="P37" s="748"/>
    </row>
    <row r="38" spans="1:16" ht="14.45">
      <c r="A38" s="748"/>
      <c r="B38" s="748"/>
      <c r="C38" s="748" t="s">
        <v>500</v>
      </c>
      <c r="D38" s="741" t="s">
        <v>476</v>
      </c>
      <c r="E38" s="741">
        <v>294</v>
      </c>
      <c r="F38" s="741">
        <v>279</v>
      </c>
      <c r="G38" s="741">
        <v>290</v>
      </c>
      <c r="H38" s="741">
        <v>336</v>
      </c>
      <c r="I38" s="741" t="s">
        <v>476</v>
      </c>
      <c r="J38" s="741" t="s">
        <v>476</v>
      </c>
      <c r="K38" s="741" t="s">
        <v>476</v>
      </c>
      <c r="L38" s="741">
        <v>317</v>
      </c>
      <c r="M38" s="741" t="s">
        <v>476</v>
      </c>
      <c r="N38" s="741" t="s">
        <v>476</v>
      </c>
      <c r="O38" s="748"/>
      <c r="P38" s="748"/>
    </row>
    <row r="39" spans="1:16" ht="14.45">
      <c r="A39" s="748"/>
      <c r="B39" s="748"/>
      <c r="C39" s="748"/>
      <c r="D39" s="741" t="s">
        <v>364</v>
      </c>
      <c r="E39" s="741" t="s">
        <v>364</v>
      </c>
      <c r="F39" s="741" t="s">
        <v>364</v>
      </c>
      <c r="G39" s="741" t="s">
        <v>364</v>
      </c>
      <c r="H39" s="741" t="s">
        <v>364</v>
      </c>
      <c r="I39" s="741" t="s">
        <v>364</v>
      </c>
      <c r="J39" s="741" t="s">
        <v>364</v>
      </c>
      <c r="K39" s="741" t="s">
        <v>364</v>
      </c>
      <c r="L39" s="741" t="s">
        <v>364</v>
      </c>
      <c r="M39" s="741" t="s">
        <v>364</v>
      </c>
      <c r="N39" s="741" t="s">
        <v>364</v>
      </c>
      <c r="O39" s="748"/>
      <c r="P39" s="748"/>
    </row>
    <row r="40" spans="1:16" ht="14.45">
      <c r="A40" s="818"/>
      <c r="B40" s="818" t="s">
        <v>504</v>
      </c>
      <c r="C40" s="818"/>
      <c r="D40" s="818"/>
      <c r="E40" s="818"/>
      <c r="F40" s="818"/>
      <c r="G40" s="818"/>
      <c r="H40" s="818"/>
      <c r="I40" s="818"/>
      <c r="J40" s="818"/>
      <c r="K40" s="818"/>
      <c r="L40" s="818"/>
      <c r="M40" s="818"/>
      <c r="N40" s="818"/>
      <c r="O40" s="818"/>
      <c r="P40" s="818"/>
    </row>
    <row r="41" spans="1:16" ht="14.45">
      <c r="A41" s="748"/>
      <c r="B41" s="748"/>
      <c r="C41" s="748" t="s">
        <v>494</v>
      </c>
      <c r="D41" s="741" t="s">
        <v>476</v>
      </c>
      <c r="E41" s="741" t="s">
        <v>476</v>
      </c>
      <c r="F41" s="741" t="s">
        <v>476</v>
      </c>
      <c r="G41" s="741" t="s">
        <v>476</v>
      </c>
      <c r="H41" s="741" t="s">
        <v>476</v>
      </c>
      <c r="I41" s="741" t="s">
        <v>476</v>
      </c>
      <c r="J41" s="741" t="s">
        <v>476</v>
      </c>
      <c r="K41" s="741" t="s">
        <v>476</v>
      </c>
      <c r="L41" s="741" t="s">
        <v>476</v>
      </c>
      <c r="M41" s="741" t="s">
        <v>476</v>
      </c>
      <c r="N41" s="741" t="s">
        <v>476</v>
      </c>
      <c r="O41" s="748"/>
      <c r="P41" s="748" t="s">
        <v>505</v>
      </c>
    </row>
    <row r="42" spans="1:16" ht="14.45">
      <c r="A42" s="748"/>
      <c r="B42" s="748"/>
      <c r="C42" s="748" t="s">
        <v>495</v>
      </c>
      <c r="D42" s="741" t="s">
        <v>476</v>
      </c>
      <c r="E42" s="741" t="s">
        <v>476</v>
      </c>
      <c r="F42" s="741" t="s">
        <v>476</v>
      </c>
      <c r="G42" s="741" t="s">
        <v>476</v>
      </c>
      <c r="H42" s="741" t="s">
        <v>476</v>
      </c>
      <c r="I42" s="741" t="s">
        <v>476</v>
      </c>
      <c r="J42" s="741" t="s">
        <v>476</v>
      </c>
      <c r="K42" s="741" t="s">
        <v>476</v>
      </c>
      <c r="L42" s="741" t="s">
        <v>476</v>
      </c>
      <c r="M42" s="741" t="s">
        <v>476</v>
      </c>
      <c r="N42" s="741" t="s">
        <v>476</v>
      </c>
      <c r="O42" s="748"/>
      <c r="P42" s="748" t="s">
        <v>506</v>
      </c>
    </row>
    <row r="43" spans="1:16" ht="14.45">
      <c r="A43" s="748"/>
      <c r="B43" s="748"/>
      <c r="C43" s="748" t="s">
        <v>496</v>
      </c>
      <c r="D43" s="741" t="s">
        <v>476</v>
      </c>
      <c r="E43" s="741" t="s">
        <v>476</v>
      </c>
      <c r="F43" s="741" t="s">
        <v>476</v>
      </c>
      <c r="G43" s="741" t="s">
        <v>476</v>
      </c>
      <c r="H43" s="741" t="s">
        <v>476</v>
      </c>
      <c r="I43" s="741" t="s">
        <v>476</v>
      </c>
      <c r="J43" s="741" t="s">
        <v>476</v>
      </c>
      <c r="K43" s="741" t="s">
        <v>476</v>
      </c>
      <c r="L43" s="741" t="s">
        <v>476</v>
      </c>
      <c r="M43" s="741" t="s">
        <v>476</v>
      </c>
      <c r="N43" s="741" t="s">
        <v>476</v>
      </c>
      <c r="O43" s="748"/>
      <c r="P43" s="748" t="s">
        <v>507</v>
      </c>
    </row>
    <row r="44" spans="1:16" ht="14.45">
      <c r="A44" s="748"/>
      <c r="B44" s="748"/>
      <c r="C44" s="748" t="s">
        <v>497</v>
      </c>
      <c r="D44" s="741" t="s">
        <v>476</v>
      </c>
      <c r="E44" s="741">
        <v>26</v>
      </c>
      <c r="F44" s="741">
        <v>22</v>
      </c>
      <c r="G44" s="741">
        <v>23</v>
      </c>
      <c r="H44" s="741">
        <v>22</v>
      </c>
      <c r="I44" s="741">
        <v>26</v>
      </c>
      <c r="J44" s="741">
        <v>28</v>
      </c>
      <c r="K44" s="741">
        <v>24</v>
      </c>
      <c r="L44" s="741">
        <v>20</v>
      </c>
      <c r="M44" s="741">
        <v>18</v>
      </c>
      <c r="N44" s="741" t="s">
        <v>476</v>
      </c>
      <c r="O44" s="748"/>
      <c r="P44" s="748" t="s">
        <v>508</v>
      </c>
    </row>
    <row r="45" spans="1:16" ht="14.45">
      <c r="A45" s="748"/>
      <c r="B45" s="748"/>
      <c r="C45" s="748" t="s">
        <v>498</v>
      </c>
      <c r="D45" s="741" t="s">
        <v>476</v>
      </c>
      <c r="E45" s="741" t="s">
        <v>476</v>
      </c>
      <c r="F45" s="741" t="s">
        <v>476</v>
      </c>
      <c r="G45" s="741" t="s">
        <v>476</v>
      </c>
      <c r="H45" s="741" t="s">
        <v>476</v>
      </c>
      <c r="I45" s="741" t="s">
        <v>476</v>
      </c>
      <c r="J45" s="741">
        <v>45</v>
      </c>
      <c r="K45" s="741">
        <v>68</v>
      </c>
      <c r="L45" s="741">
        <v>74</v>
      </c>
      <c r="M45" s="741">
        <v>87</v>
      </c>
      <c r="N45" s="741" t="s">
        <v>476</v>
      </c>
      <c r="O45" s="748"/>
      <c r="P45" s="748" t="s">
        <v>509</v>
      </c>
    </row>
    <row r="46" spans="1:16" ht="14.45">
      <c r="A46" s="748"/>
      <c r="B46" s="748"/>
      <c r="C46" s="748" t="s">
        <v>499</v>
      </c>
      <c r="D46" s="741">
        <v>9</v>
      </c>
      <c r="E46" s="741">
        <v>9</v>
      </c>
      <c r="F46" s="741">
        <v>10</v>
      </c>
      <c r="G46" s="741">
        <v>10</v>
      </c>
      <c r="H46" s="741">
        <v>8</v>
      </c>
      <c r="I46" s="741">
        <v>7</v>
      </c>
      <c r="J46" s="741">
        <v>7</v>
      </c>
      <c r="K46" s="741">
        <v>13</v>
      </c>
      <c r="L46" s="741">
        <v>13</v>
      </c>
      <c r="M46" s="741">
        <v>11</v>
      </c>
      <c r="N46" s="741" t="s">
        <v>476</v>
      </c>
      <c r="O46" s="748"/>
      <c r="P46" s="748" t="s">
        <v>510</v>
      </c>
    </row>
    <row r="47" spans="1:16" ht="14.45">
      <c r="A47" s="748"/>
      <c r="B47" s="748"/>
      <c r="C47" s="748" t="s">
        <v>500</v>
      </c>
      <c r="D47" s="741">
        <v>14</v>
      </c>
      <c r="E47" s="741">
        <v>15</v>
      </c>
      <c r="F47" s="741">
        <v>14</v>
      </c>
      <c r="G47" s="741">
        <v>12</v>
      </c>
      <c r="H47" s="741">
        <v>15</v>
      </c>
      <c r="I47" s="741" t="s">
        <v>476</v>
      </c>
      <c r="J47" s="741" t="s">
        <v>476</v>
      </c>
      <c r="K47" s="741">
        <v>19</v>
      </c>
      <c r="L47" s="741">
        <v>31</v>
      </c>
      <c r="M47" s="741" t="s">
        <v>476</v>
      </c>
      <c r="N47" s="741" t="s">
        <v>476</v>
      </c>
      <c r="O47" s="748"/>
      <c r="P47" s="748" t="s">
        <v>511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2BE0-981A-49E8-B983-333DACE3BD0B}">
  <sheetPr>
    <tabColor theme="8" tint="-0.499984740745262"/>
  </sheetPr>
  <dimension ref="A2:BG1792"/>
  <sheetViews>
    <sheetView showGridLines="0" zoomScaleNormal="85" workbookViewId="0">
      <selection activeCell="AO321" sqref="AO321"/>
    </sheetView>
  </sheetViews>
  <sheetFormatPr defaultColWidth="9" defaultRowHeight="15" customHeight="1"/>
  <cols>
    <col min="1" max="1" width="2.375" style="125" customWidth="1"/>
    <col min="2" max="2" width="45" style="125" customWidth="1"/>
    <col min="3" max="3" width="14" style="125" customWidth="1"/>
    <col min="4" max="4" width="3.5" style="125" customWidth="1"/>
    <col min="5" max="7" width="13.375" style="125" customWidth="1"/>
    <col min="8" max="17" width="12.875" style="125" customWidth="1"/>
    <col min="18" max="18" width="11.625" style="125" customWidth="1"/>
    <col min="19" max="19" width="29.125" style="125" customWidth="1"/>
    <col min="20" max="20" width="16.625" style="125" customWidth="1"/>
    <col min="21" max="21" width="32.125" style="125" hidden="1" customWidth="1"/>
    <col min="22" max="22" width="11.125" style="125" hidden="1" customWidth="1"/>
    <col min="23" max="35" width="9" style="125" hidden="1" customWidth="1"/>
    <col min="36" max="36" width="14.25" style="125" customWidth="1"/>
    <col min="37" max="37" width="9" style="125" customWidth="1"/>
    <col min="38" max="38" width="8.625" style="125" customWidth="1"/>
    <col min="39" max="39" width="10.875" style="125" customWidth="1"/>
    <col min="40" max="43" width="9" style="125"/>
    <col min="44" max="44" width="10.75" style="125" bestFit="1" customWidth="1"/>
    <col min="45" max="16384" width="9" style="125"/>
  </cols>
  <sheetData>
    <row r="2" spans="1:36" s="41" customFormat="1" ht="20.100000000000001" customHeight="1">
      <c r="B2" s="40" t="s">
        <v>512</v>
      </c>
    </row>
    <row r="4" spans="1:36" ht="15.6">
      <c r="A4" s="125" t="s">
        <v>472</v>
      </c>
      <c r="B4" s="51" t="s">
        <v>513</v>
      </c>
      <c r="C4" s="55"/>
      <c r="D4" s="55"/>
      <c r="E4" s="55"/>
      <c r="F4" s="55"/>
      <c r="G4" s="55"/>
      <c r="H4" s="55"/>
      <c r="I4" s="55"/>
      <c r="J4" s="55"/>
      <c r="K4" s="55"/>
      <c r="L4" s="55"/>
      <c r="M4" s="55"/>
      <c r="N4" s="55"/>
      <c r="O4" s="55"/>
      <c r="P4" s="55"/>
      <c r="Q4" s="55"/>
      <c r="R4" s="125" t="e" vm="2">
        <v>#VALUE!</v>
      </c>
      <c r="S4" s="400"/>
      <c r="T4" s="126"/>
      <c r="U4" s="126"/>
    </row>
    <row r="5" spans="1:36" ht="3.95" customHeight="1">
      <c r="B5" s="127"/>
      <c r="C5" s="128"/>
      <c r="D5" s="128"/>
      <c r="E5" s="128"/>
      <c r="F5" s="128"/>
      <c r="G5" s="128"/>
      <c r="H5" s="128"/>
      <c r="I5" s="128"/>
      <c r="J5" s="128"/>
      <c r="K5" s="128"/>
      <c r="L5" s="128"/>
      <c r="M5" s="128"/>
      <c r="N5" s="128"/>
      <c r="O5" s="128"/>
      <c r="P5" s="128"/>
      <c r="Q5" s="128"/>
      <c r="S5" s="126"/>
      <c r="T5" s="126"/>
      <c r="U5" s="126"/>
    </row>
    <row r="6" spans="1:36" ht="15.6">
      <c r="B6" s="129" t="s">
        <v>514</v>
      </c>
      <c r="C6" s="130"/>
      <c r="D6" s="130"/>
      <c r="E6" s="129" t="s">
        <v>515</v>
      </c>
      <c r="F6" s="130"/>
      <c r="G6" s="130"/>
      <c r="H6" s="129" t="s">
        <v>516</v>
      </c>
      <c r="J6" s="130"/>
      <c r="K6" s="129" t="s">
        <v>517</v>
      </c>
      <c r="L6" s="130"/>
      <c r="P6" s="130"/>
      <c r="Q6" s="130"/>
      <c r="X6" s="125" t="s">
        <v>29</v>
      </c>
      <c r="Y6" s="125" t="s">
        <v>518</v>
      </c>
      <c r="Z6" s="125" t="s">
        <v>519</v>
      </c>
      <c r="AA6" s="125" t="s">
        <v>520</v>
      </c>
      <c r="AB6" s="125" t="s">
        <v>521</v>
      </c>
      <c r="AC6" s="125" t="s">
        <v>326</v>
      </c>
      <c r="AD6" s="125" t="s">
        <v>522</v>
      </c>
      <c r="AE6" s="125" t="s">
        <v>317</v>
      </c>
      <c r="AF6" s="125" t="s">
        <v>523</v>
      </c>
      <c r="AG6" s="125" t="s">
        <v>322</v>
      </c>
      <c r="AH6" s="125" t="s">
        <v>319</v>
      </c>
      <c r="AI6" s="125" t="s">
        <v>315</v>
      </c>
    </row>
    <row r="7" spans="1:36" ht="15.6">
      <c r="B7" s="130" t="s">
        <v>244</v>
      </c>
      <c r="C7" s="566">
        <f ca="1">AM324</f>
        <v>3</v>
      </c>
      <c r="D7" s="130"/>
      <c r="E7" s="125" t="s">
        <v>244</v>
      </c>
      <c r="F7" s="570">
        <v>-0.06</v>
      </c>
      <c r="H7" s="125" t="s">
        <v>244</v>
      </c>
      <c r="K7" s="125" t="s">
        <v>244</v>
      </c>
      <c r="L7" s="570">
        <v>0.04</v>
      </c>
      <c r="P7" s="130"/>
      <c r="S7" s="125" t="s">
        <v>524</v>
      </c>
      <c r="T7" s="351"/>
      <c r="W7" s="125">
        <v>2022</v>
      </c>
      <c r="X7" s="166">
        <f>+E210</f>
        <v>7.4733333333331622</v>
      </c>
      <c r="Y7" s="166">
        <f>+E262</f>
        <v>101.49999999999997</v>
      </c>
      <c r="Z7" s="166">
        <f ca="1">+H234</f>
        <v>0.68221376549638846</v>
      </c>
      <c r="AA7" s="166">
        <f>+E275</f>
        <v>1.7</v>
      </c>
      <c r="AB7" s="166">
        <f>+E200</f>
        <v>7.9733333333331586</v>
      </c>
      <c r="AC7" s="205">
        <f>+E260</f>
        <v>80.099999999999994</v>
      </c>
      <c r="AD7" s="166">
        <f>+E106</f>
        <v>43.4</v>
      </c>
      <c r="AH7" s="166"/>
    </row>
    <row r="8" spans="1:36" ht="15.6">
      <c r="B8" s="130" t="s">
        <v>525</v>
      </c>
      <c r="C8" s="566">
        <f ca="1">AM325</f>
        <v>1</v>
      </c>
      <c r="D8" s="130"/>
      <c r="E8" s="125" t="s">
        <v>525</v>
      </c>
      <c r="F8" s="570">
        <v>-0.04</v>
      </c>
      <c r="H8" s="125" t="s">
        <v>525</v>
      </c>
      <c r="I8" s="207"/>
      <c r="K8" s="125" t="s">
        <v>525</v>
      </c>
      <c r="L8" s="570">
        <v>0.03</v>
      </c>
      <c r="P8" s="130"/>
      <c r="S8" s="125" t="s">
        <v>526</v>
      </c>
      <c r="T8" s="352"/>
      <c r="W8" s="125">
        <f t="shared" ref="W8:W14" si="0">+W7+1</f>
        <v>2023</v>
      </c>
      <c r="X8" s="166">
        <f>+F210</f>
        <v>91.954784688995176</v>
      </c>
      <c r="Y8" s="166">
        <f>+F262</f>
        <v>140.29999999999995</v>
      </c>
      <c r="Z8" s="166">
        <f ca="1">+I234</f>
        <v>0.71676496784670329</v>
      </c>
      <c r="AA8" s="166">
        <f>+F275</f>
        <v>8.1</v>
      </c>
      <c r="AB8" s="166">
        <f>+F200</f>
        <v>43.154784688995178</v>
      </c>
      <c r="AC8" s="205">
        <f>+F260</f>
        <v>30</v>
      </c>
      <c r="AD8" s="166">
        <f>+F106</f>
        <v>120.8</v>
      </c>
    </row>
    <row r="9" spans="1:36" ht="15.6">
      <c r="B9" s="130" t="s">
        <v>527</v>
      </c>
      <c r="C9" s="566">
        <v>2</v>
      </c>
      <c r="D9" s="130"/>
      <c r="E9" s="130" t="s">
        <v>527</v>
      </c>
      <c r="F9" s="568">
        <f ca="1">IFERROR(+I9+0.5%,"")</f>
        <v>7.8151355304155012E-2</v>
      </c>
      <c r="H9" s="130" t="s">
        <v>527</v>
      </c>
      <c r="I9" s="569">
        <f ca="1">AM322</f>
        <v>7.3151355304155008E-2</v>
      </c>
      <c r="J9" s="130"/>
      <c r="K9" s="130" t="s">
        <v>527</v>
      </c>
      <c r="L9" s="571">
        <f ca="1">IFERROR(I9-0.5%,"")</f>
        <v>6.8151355304155004E-2</v>
      </c>
      <c r="M9" s="130"/>
      <c r="P9" s="130"/>
      <c r="Q9" s="130"/>
      <c r="S9" s="125" t="s">
        <v>528</v>
      </c>
      <c r="T9" s="352"/>
      <c r="W9" s="125">
        <f t="shared" si="0"/>
        <v>2024</v>
      </c>
      <c r="X9" s="166">
        <f>+G210</f>
        <v>49.699048525214003</v>
      </c>
      <c r="Y9" s="166">
        <f>+G262</f>
        <v>290.39999999999992</v>
      </c>
      <c r="Z9" s="166">
        <f ca="1">+J234</f>
        <v>0.47778106606077714</v>
      </c>
      <c r="AA9" s="166">
        <f>+G275</f>
        <v>5.6</v>
      </c>
      <c r="AB9" s="166">
        <f>+G200</f>
        <v>99.399048525213999</v>
      </c>
      <c r="AC9" s="205">
        <f>+G260</f>
        <v>212.4</v>
      </c>
      <c r="AD9" s="166">
        <f>+G106</f>
        <v>108.2</v>
      </c>
      <c r="AE9" s="205">
        <f>Inputs!Q48</f>
        <v>1129.3000000000002</v>
      </c>
      <c r="AF9" s="205">
        <f>+Inputs!Q60</f>
        <v>486.70000000000005</v>
      </c>
      <c r="AG9" s="205">
        <f>+AE9-AF9</f>
        <v>642.60000000000014</v>
      </c>
      <c r="AH9" s="205">
        <f>+Inputs!Q54</f>
        <v>299.10000000000002</v>
      </c>
      <c r="AI9" s="205">
        <f>+Inputs!Q38</f>
        <v>477.1</v>
      </c>
    </row>
    <row r="10" spans="1:36" ht="15.6">
      <c r="B10" s="130" t="s">
        <v>529</v>
      </c>
      <c r="C10" s="566">
        <v>2</v>
      </c>
      <c r="D10" s="130"/>
      <c r="E10" s="130" t="s">
        <v>529</v>
      </c>
      <c r="F10" s="568">
        <f>+I10-0.5%</f>
        <v>1.4999999999999999E-2</v>
      </c>
      <c r="H10" s="130" t="s">
        <v>529</v>
      </c>
      <c r="I10" s="570">
        <f>AK323</f>
        <v>0.02</v>
      </c>
      <c r="J10" s="130"/>
      <c r="K10" s="130" t="s">
        <v>529</v>
      </c>
      <c r="L10" s="568">
        <f>+I10+0.5%</f>
        <v>2.5000000000000001E-2</v>
      </c>
      <c r="M10" s="130"/>
      <c r="P10" s="130"/>
      <c r="S10" s="125" t="s">
        <v>530</v>
      </c>
      <c r="T10" s="352">
        <v>45755</v>
      </c>
      <c r="W10" s="125">
        <f t="shared" si="0"/>
        <v>2025</v>
      </c>
      <c r="X10" s="166">
        <f ca="1">+H210</f>
        <v>-38.135901304763877</v>
      </c>
      <c r="Y10" s="166">
        <f>+H262</f>
        <v>-15.514242844435355</v>
      </c>
      <c r="Z10" s="166">
        <f ca="1">+K234</f>
        <v>0.27635362351617637</v>
      </c>
      <c r="AA10" s="166">
        <f>+H275</f>
        <v>-33.514118930638688</v>
      </c>
      <c r="AB10" s="166">
        <f ca="1">+H200</f>
        <v>24.921524744557921</v>
      </c>
      <c r="AC10" s="205">
        <f>+H260</f>
        <v>-14.519999999999996</v>
      </c>
      <c r="AD10" s="166">
        <f>+H106</f>
        <v>79.248239695884365</v>
      </c>
      <c r="AE10" s="205">
        <f>Inputs!Q48+'DCF (2)'!H106+'DCF (2)'!H108+'DCF (2)'!H111+'DCF (2)'!H114+'DCF (2)'!H117+'DCF (2)'!H123-'DCF (2)'!G106-'DCF (2)'!G108-'DCF (2)'!G111-'DCF (2)'!G114-'DCF (2)'!G117-'DCF (2)'!G123</f>
        <v>1202.4438220966013</v>
      </c>
      <c r="AF10" s="205">
        <f>+Inputs!Q60+('DCF (2)'!H128+'DCF (2)'!H131+'DCF (2)'!H134+'DCF (2)'!H136*'DCF (2)'!G128*'DCF (2)'!G131*'DCF (2)'!G134*'DCF (2)'!G136)</f>
        <v>3823933700.5702572</v>
      </c>
      <c r="AG10" s="205">
        <f>+AE10-AF10</f>
        <v>-3823932498.1264353</v>
      </c>
      <c r="AH10" s="166">
        <f>+AH9+H128+H131-G128-G131</f>
        <v>233.03012136817014</v>
      </c>
      <c r="AI10" s="166">
        <f>+H106+H108+H111+H114</f>
        <v>534.73919388022932</v>
      </c>
    </row>
    <row r="11" spans="1:36" ht="9.9499999999999993" customHeight="1">
      <c r="B11" s="130"/>
      <c r="C11" s="130"/>
      <c r="D11" s="130"/>
      <c r="E11" s="130"/>
      <c r="G11" s="130"/>
      <c r="K11" s="130"/>
      <c r="M11" s="130"/>
      <c r="P11" s="130"/>
      <c r="W11" s="125">
        <f t="shared" si="0"/>
        <v>2026</v>
      </c>
      <c r="X11" s="166">
        <f ca="1">+I210</f>
        <v>166.84217271074769</v>
      </c>
      <c r="Y11" s="166">
        <f>+I262</f>
        <v>221.90412312482854</v>
      </c>
      <c r="Z11" s="166">
        <f ca="1">+L234</f>
        <v>0.11241255974204674</v>
      </c>
      <c r="AA11" s="166">
        <f>+I275</f>
        <v>-38.319781883546895</v>
      </c>
      <c r="AB11" s="166">
        <f ca="1">+I200</f>
        <v>69.937383526202765</v>
      </c>
      <c r="AC11" s="205">
        <f>+I260</f>
        <v>15.514242844435355</v>
      </c>
      <c r="AD11" s="166">
        <f>+I106</f>
        <v>251.41274462863629</v>
      </c>
      <c r="AE11" s="205">
        <f>AE10+'DCF (2)'!I106+'DCF (2)'!I108+'DCF (2)'!I111+'DCF (2)'!I114+'DCF (2)'!I117+'DCF (2)'!I123-'DCF (2)'!H106-'DCF (2)'!H108-'DCF (2)'!H111-'DCF (2)'!H114-'DCF (2)'!H117-'DCF (2)'!H123</f>
        <v>1422.4508627268096</v>
      </c>
      <c r="AF11" s="205">
        <f>AF10+('DCF (2)'!I128+'DCF (2)'!I131+'DCF (2)'!I134+'DCF (2)'!I136*'DCF (2)'!H128*'DCF (2)'!H131*'DCF (2)'!H134*'DCF (2)'!H136)</f>
        <v>7842401096.1030407</v>
      </c>
      <c r="AG11" s="205">
        <f>+AE11-AF11</f>
        <v>-7842399673.6521778</v>
      </c>
      <c r="AH11" s="166">
        <f>+AH10+I128+I131-H128-H131</f>
        <v>269.63202930267835</v>
      </c>
      <c r="AI11" s="166">
        <f>+I106+I108+I111+I114</f>
        <v>743.66861223787339</v>
      </c>
      <c r="AJ11" s="166"/>
    </row>
    <row r="12" spans="1:36" ht="13.5" customHeight="1">
      <c r="B12" s="130" t="s">
        <v>527</v>
      </c>
      <c r="C12" s="567">
        <f ca="1">CHOOSE(C9,F9,I9,L9)</f>
        <v>7.3151355304155008E-2</v>
      </c>
      <c r="D12" s="130"/>
      <c r="E12" s="130"/>
      <c r="G12" s="130"/>
      <c r="K12" s="130"/>
      <c r="P12" s="130"/>
      <c r="S12" s="131"/>
      <c r="T12" s="132"/>
      <c r="W12" s="125">
        <f t="shared" si="0"/>
        <v>2027</v>
      </c>
      <c r="X12" s="166">
        <f ca="1">+J210</f>
        <v>185.84376130711166</v>
      </c>
      <c r="Y12" s="166">
        <f>+J262</f>
        <v>179.95538049067773</v>
      </c>
      <c r="Z12" s="166">
        <f ca="1">+M234</f>
        <v>6.7941165508940887E-2</v>
      </c>
      <c r="AA12" s="166">
        <f>+J275</f>
        <v>-74.28950307455851</v>
      </c>
      <c r="AB12" s="166">
        <f ca="1">+J200</f>
        <v>105.64847987808864</v>
      </c>
      <c r="AC12" s="205">
        <f>+J260</f>
        <v>-48.818907087462279</v>
      </c>
      <c r="AD12" s="166">
        <f>+J106</f>
        <v>441.7622962523385</v>
      </c>
    </row>
    <row r="13" spans="1:36" ht="15.6">
      <c r="B13" s="130" t="s">
        <v>529</v>
      </c>
      <c r="C13" s="567">
        <f>CHOOSE(C10,F10,I10,L10)</f>
        <v>0.02</v>
      </c>
      <c r="D13" s="130"/>
      <c r="E13" s="130"/>
      <c r="G13" s="133"/>
      <c r="H13" s="130"/>
      <c r="I13" s="130"/>
      <c r="J13" s="130"/>
      <c r="K13" s="130"/>
      <c r="L13" s="130"/>
      <c r="M13" s="130"/>
      <c r="O13" s="130"/>
      <c r="P13" s="130"/>
      <c r="Q13" s="130"/>
      <c r="R13" s="130"/>
      <c r="W13" s="125">
        <f t="shared" si="0"/>
        <v>2028</v>
      </c>
      <c r="X13" s="166">
        <f ca="1">+K210</f>
        <v>206.25574326851759</v>
      </c>
      <c r="Y13" s="166">
        <f>+K262</f>
        <v>214.41650591444062</v>
      </c>
      <c r="Z13" s="166">
        <f ca="1">+N234</f>
        <v>6.2333339332986813E-2</v>
      </c>
      <c r="AA13" s="166">
        <f>+K275</f>
        <v>-90.078039248305046</v>
      </c>
      <c r="AB13" s="166">
        <f ca="1">+K200</f>
        <v>136.00423975255148</v>
      </c>
      <c r="AC13" s="205">
        <f>+K260</f>
        <v>-35.991076098135544</v>
      </c>
      <c r="AD13" s="166">
        <f>+K106</f>
        <v>627.0934079858763</v>
      </c>
    </row>
    <row r="14" spans="1:36" ht="15.6">
      <c r="B14" s="130"/>
      <c r="C14" s="134"/>
      <c r="D14" s="130"/>
      <c r="E14" s="135"/>
      <c r="F14" s="135"/>
      <c r="G14" s="135"/>
      <c r="H14" s="130"/>
      <c r="I14" s="130"/>
      <c r="J14" s="130"/>
      <c r="K14" s="130"/>
      <c r="L14" s="130"/>
      <c r="M14" s="130"/>
      <c r="O14" s="130"/>
      <c r="P14" s="130"/>
      <c r="Q14" s="130"/>
      <c r="R14" s="130"/>
      <c r="W14" s="125">
        <f t="shared" si="0"/>
        <v>2029</v>
      </c>
      <c r="X14" s="166">
        <f ca="1">+L210</f>
        <v>261.6052462876994</v>
      </c>
      <c r="Y14" s="166">
        <f>+L262</f>
        <v>262.40057759256422</v>
      </c>
      <c r="Z14" s="166">
        <f ca="1">+O234</f>
        <v>5.7570819030957732E-2</v>
      </c>
      <c r="AA14" s="166">
        <f>+L275</f>
        <v>-103.86398753483101</v>
      </c>
      <c r="AB14" s="166">
        <f ca="1">+L200</f>
        <v>164.04934258190903</v>
      </c>
      <c r="AC14" s="205">
        <f>+L260</f>
        <v>-42.883301182888125</v>
      </c>
      <c r="AD14" s="166">
        <f>+L106</f>
        <v>859.59782753071408</v>
      </c>
    </row>
    <row r="15" spans="1:36" ht="15.6">
      <c r="A15" s="125" t="s">
        <v>472</v>
      </c>
      <c r="B15" s="51" t="s">
        <v>531</v>
      </c>
      <c r="C15" s="55"/>
      <c r="D15" s="55"/>
      <c r="E15" s="136">
        <v>2022</v>
      </c>
      <c r="F15" s="136">
        <f>+E15+1</f>
        <v>2023</v>
      </c>
      <c r="G15" s="137">
        <f>+F15+1</f>
        <v>2024</v>
      </c>
      <c r="H15" s="99">
        <f t="shared" ref="H15:J15" si="1">+G15+1</f>
        <v>2025</v>
      </c>
      <c r="I15" s="99">
        <f t="shared" si="1"/>
        <v>2026</v>
      </c>
      <c r="J15" s="99">
        <f t="shared" si="1"/>
        <v>2027</v>
      </c>
      <c r="K15" s="99">
        <f>+J15+1</f>
        <v>2028</v>
      </c>
      <c r="L15" s="99">
        <f t="shared" ref="L15:Q15" si="2">+K15+1</f>
        <v>2029</v>
      </c>
      <c r="M15" s="99">
        <f t="shared" si="2"/>
        <v>2030</v>
      </c>
      <c r="N15" s="99">
        <f t="shared" si="2"/>
        <v>2031</v>
      </c>
      <c r="O15" s="99">
        <f t="shared" si="2"/>
        <v>2032</v>
      </c>
      <c r="P15" s="99">
        <f t="shared" si="2"/>
        <v>2033</v>
      </c>
      <c r="Q15" s="99">
        <f t="shared" si="2"/>
        <v>2034</v>
      </c>
      <c r="R15" s="130"/>
    </row>
    <row r="16" spans="1:36" ht="3.75" customHeight="1">
      <c r="B16" s="68"/>
      <c r="C16" s="68"/>
      <c r="D16" s="68"/>
      <c r="E16" s="68"/>
      <c r="F16" s="68"/>
      <c r="G16" s="138"/>
      <c r="H16" s="68"/>
      <c r="I16" s="68"/>
      <c r="J16" s="68"/>
      <c r="K16" s="68"/>
      <c r="L16" s="68"/>
      <c r="M16" s="68"/>
      <c r="N16" s="68"/>
      <c r="O16" s="68"/>
      <c r="P16" s="68"/>
      <c r="Q16" s="68"/>
      <c r="R16" s="130"/>
    </row>
    <row r="17" spans="2:59" ht="15.6">
      <c r="B17" s="130" t="s">
        <v>532</v>
      </c>
      <c r="C17" s="134"/>
      <c r="D17" s="130"/>
      <c r="E17" s="139"/>
      <c r="F17" s="139"/>
      <c r="G17" s="139"/>
      <c r="H17" s="765"/>
      <c r="P17" s="140"/>
      <c r="Q17" s="140"/>
      <c r="R17" s="130"/>
    </row>
    <row r="18" spans="2:59" ht="15.6">
      <c r="B18" s="60" t="s">
        <v>533</v>
      </c>
      <c r="C18" s="134"/>
      <c r="D18" s="130"/>
      <c r="E18" s="805"/>
      <c r="F18" s="805"/>
      <c r="G18" s="768">
        <v>335950</v>
      </c>
      <c r="H18" s="763">
        <v>354680</v>
      </c>
      <c r="I18" s="140">
        <f t="shared" ref="I18:N18" si="3">J18-J18*I19</f>
        <v>368301.80808956246</v>
      </c>
      <c r="J18" s="140">
        <f t="shared" si="3"/>
        <v>394496.36684828886</v>
      </c>
      <c r="K18" s="140">
        <f t="shared" si="3"/>
        <v>422553.94906629057</v>
      </c>
      <c r="L18" s="140">
        <f t="shared" si="3"/>
        <v>452607.05769739777</v>
      </c>
      <c r="M18" s="140">
        <f t="shared" si="3"/>
        <v>484797.6196416</v>
      </c>
      <c r="N18" s="140">
        <f t="shared" si="3"/>
        <v>519277.65600000002</v>
      </c>
      <c r="O18" s="140">
        <v>556210</v>
      </c>
      <c r="P18" s="140">
        <f>O18+O18*P19</f>
        <v>593142.34400000004</v>
      </c>
      <c r="Q18" s="140">
        <f>P18+P18*Q19</f>
        <v>632526.99564159999</v>
      </c>
      <c r="R18" s="130"/>
      <c r="AE18" s="205"/>
      <c r="AF18" s="205"/>
      <c r="AG18" s="205"/>
      <c r="AH18" s="205"/>
    </row>
    <row r="19" spans="2:59" ht="15.6">
      <c r="B19" s="130" t="s">
        <v>534</v>
      </c>
      <c r="C19" s="134"/>
      <c r="D19" s="130"/>
      <c r="E19" s="785"/>
      <c r="F19" s="785"/>
      <c r="G19" s="141"/>
      <c r="H19" s="770">
        <f>(H18-G18)/G18</f>
        <v>5.5752344098824229E-2</v>
      </c>
      <c r="I19" s="771">
        <v>6.6400000000000001E-2</v>
      </c>
      <c r="J19" s="771">
        <v>6.6400000000000001E-2</v>
      </c>
      <c r="K19" s="771">
        <v>6.6400000000000001E-2</v>
      </c>
      <c r="L19" s="771">
        <v>6.6400000000000001E-2</v>
      </c>
      <c r="M19" s="771">
        <v>6.6400000000000001E-2</v>
      </c>
      <c r="N19" s="771">
        <v>6.6400000000000001E-2</v>
      </c>
      <c r="O19" s="771">
        <f>(O18-N18)/N18</f>
        <v>7.1122536418166196E-2</v>
      </c>
      <c r="P19" s="771">
        <v>6.6400000000000001E-2</v>
      </c>
      <c r="Q19" s="771">
        <v>6.6400000000000001E-2</v>
      </c>
      <c r="R19" s="130"/>
      <c r="AD19" s="166"/>
      <c r="AE19" s="166"/>
      <c r="AF19" s="166"/>
      <c r="AG19" s="166"/>
    </row>
    <row r="20" spans="2:59" ht="15.6">
      <c r="B20" s="772" t="s">
        <v>535</v>
      </c>
      <c r="C20" s="134"/>
      <c r="D20" s="130"/>
      <c r="E20" s="786">
        <v>247000</v>
      </c>
      <c r="F20" s="786">
        <v>252500</v>
      </c>
      <c r="G20" s="769">
        <v>257540</v>
      </c>
      <c r="H20" s="776">
        <f t="shared" ref="H20:Q20" si="4">G20*(1+H21)</f>
        <v>271962.23999999999</v>
      </c>
      <c r="I20" s="594">
        <f t="shared" si="4"/>
        <v>287192.12544000003</v>
      </c>
      <c r="J20" s="594">
        <f t="shared" si="4"/>
        <v>303274.88446464005</v>
      </c>
      <c r="K20" s="594">
        <f t="shared" si="4"/>
        <v>320258.2779946599</v>
      </c>
      <c r="L20" s="594">
        <f t="shared" si="4"/>
        <v>338192.7415623609</v>
      </c>
      <c r="M20" s="594">
        <f t="shared" si="4"/>
        <v>357131.5350898531</v>
      </c>
      <c r="N20" s="198">
        <f t="shared" si="4"/>
        <v>377130.90105488489</v>
      </c>
      <c r="O20" s="777">
        <f t="shared" si="4"/>
        <v>398250.23151395848</v>
      </c>
      <c r="P20" s="777">
        <f t="shared" si="4"/>
        <v>420552.24447874021</v>
      </c>
      <c r="Q20" s="777">
        <f t="shared" si="4"/>
        <v>444103.1701695497</v>
      </c>
      <c r="R20" s="130"/>
      <c r="S20" s="32"/>
      <c r="T20" s="92"/>
      <c r="U20" s="92"/>
      <c r="V20" s="92"/>
      <c r="W20" s="92"/>
      <c r="X20" s="92"/>
    </row>
    <row r="21" spans="2:59" ht="15.6">
      <c r="B21" s="580" t="s">
        <v>536</v>
      </c>
      <c r="C21" s="134"/>
      <c r="D21" s="130"/>
      <c r="E21" s="788"/>
      <c r="F21" s="789">
        <f>F20/E20-1</f>
        <v>2.2267206477732726E-2</v>
      </c>
      <c r="G21" s="789">
        <f>G20/F20-1</f>
        <v>1.9960396039603978E-2</v>
      </c>
      <c r="H21" s="770">
        <v>5.6000000000000001E-2</v>
      </c>
      <c r="I21" s="771">
        <v>5.6000000000000001E-2</v>
      </c>
      <c r="J21" s="771">
        <v>5.6000000000000001E-2</v>
      </c>
      <c r="K21" s="771">
        <v>5.6000000000000001E-2</v>
      </c>
      <c r="L21" s="771">
        <v>5.6000000000000001E-2</v>
      </c>
      <c r="M21" s="771">
        <v>5.6000000000000001E-2</v>
      </c>
      <c r="N21" s="771">
        <v>5.6000000000000001E-2</v>
      </c>
      <c r="O21" s="771">
        <v>5.6000000000000001E-2</v>
      </c>
      <c r="P21" s="771">
        <v>5.6000000000000001E-2</v>
      </c>
      <c r="Q21" s="771">
        <v>5.6000000000000001E-2</v>
      </c>
      <c r="R21" s="130"/>
      <c r="S21" s="92"/>
      <c r="T21"/>
      <c r="U21"/>
      <c r="V21"/>
      <c r="W21"/>
      <c r="X21"/>
    </row>
    <row r="22" spans="2:59" ht="15.6">
      <c r="B22" s="130" t="s">
        <v>235</v>
      </c>
      <c r="C22" s="134"/>
      <c r="D22" s="130"/>
      <c r="E22" s="139">
        <f>AVERAGE(E18,E20)</f>
        <v>247000</v>
      </c>
      <c r="F22" s="139">
        <f>AVERAGE(F18,F20)</f>
        <v>252500</v>
      </c>
      <c r="G22" s="139">
        <f>AVERAGE(G18,G20)</f>
        <v>296745</v>
      </c>
      <c r="H22" s="764">
        <f>AVERAGE(H18,H20)</f>
        <v>313321.12</v>
      </c>
      <c r="I22" s="761">
        <f t="shared" ref="I22:Q23" si="5">AVERAGE(I18,I20)</f>
        <v>327746.96676478127</v>
      </c>
      <c r="J22" s="761">
        <f t="shared" si="5"/>
        <v>348885.62565646449</v>
      </c>
      <c r="K22" s="761">
        <f t="shared" si="5"/>
        <v>371406.11353047524</v>
      </c>
      <c r="L22" s="761">
        <f t="shared" si="5"/>
        <v>395399.89962987934</v>
      </c>
      <c r="M22" s="761">
        <f t="shared" si="5"/>
        <v>420964.57736572658</v>
      </c>
      <c r="N22" s="761">
        <f t="shared" si="5"/>
        <v>448204.27852744248</v>
      </c>
      <c r="O22" s="761">
        <f t="shared" si="5"/>
        <v>477230.11575697921</v>
      </c>
      <c r="P22" s="761">
        <f t="shared" si="5"/>
        <v>506847.29423937015</v>
      </c>
      <c r="Q22" s="761">
        <f t="shared" si="5"/>
        <v>538315.08290557482</v>
      </c>
      <c r="R22" s="130"/>
      <c r="S22" s="92"/>
      <c r="T22"/>
      <c r="U22"/>
      <c r="V22"/>
      <c r="W22"/>
      <c r="X22"/>
    </row>
    <row r="23" spans="2:59" ht="15.6">
      <c r="B23" s="130" t="s">
        <v>537</v>
      </c>
      <c r="C23" s="134"/>
      <c r="D23" s="130"/>
      <c r="E23" s="139"/>
      <c r="F23" s="139"/>
      <c r="G23" s="139"/>
      <c r="H23" s="779">
        <f>AVERAGE(H19,H21)</f>
        <v>5.5876172049412115E-2</v>
      </c>
      <c r="I23" s="780">
        <f t="shared" si="5"/>
        <v>6.1200000000000004E-2</v>
      </c>
      <c r="J23" s="780">
        <f t="shared" si="5"/>
        <v>6.1200000000000004E-2</v>
      </c>
      <c r="K23" s="780">
        <f t="shared" si="5"/>
        <v>6.1200000000000004E-2</v>
      </c>
      <c r="L23" s="780">
        <f t="shared" si="5"/>
        <v>6.1200000000000004E-2</v>
      </c>
      <c r="M23" s="780">
        <f t="shared" si="5"/>
        <v>6.1200000000000004E-2</v>
      </c>
      <c r="N23" s="780">
        <f t="shared" si="5"/>
        <v>6.1200000000000004E-2</v>
      </c>
      <c r="O23" s="780">
        <f t="shared" si="5"/>
        <v>6.3561268209083102E-2</v>
      </c>
      <c r="P23" s="780">
        <f t="shared" si="5"/>
        <v>6.1200000000000004E-2</v>
      </c>
      <c r="Q23" s="780">
        <f t="shared" si="5"/>
        <v>6.1200000000000004E-2</v>
      </c>
      <c r="R23" s="130"/>
      <c r="S23" s="92"/>
      <c r="T23"/>
      <c r="U23"/>
      <c r="V23"/>
      <c r="W23"/>
      <c r="X23"/>
    </row>
    <row r="24" spans="2:59" ht="15.6">
      <c r="B24" s="130" t="s">
        <v>538</v>
      </c>
      <c r="C24" s="134"/>
      <c r="D24" s="130"/>
      <c r="E24" s="773">
        <f t="shared" ref="E24:F24" si="6">E48/E22</f>
        <v>1.5878542510121456E-3</v>
      </c>
      <c r="F24" s="773">
        <f t="shared" si="6"/>
        <v>2.2922772277227722E-3</v>
      </c>
      <c r="G24" s="773">
        <f>G48/G22</f>
        <v>3.4504372440984682E-3</v>
      </c>
      <c r="H24" s="774">
        <f>H48/H22</f>
        <v>4.1775032592759791E-3</v>
      </c>
      <c r="I24" s="775">
        <f>I42/I22</f>
        <v>4.5658614687637995E-3</v>
      </c>
      <c r="J24" s="775">
        <f t="shared" ref="J24:O24" si="7">J42/J22</f>
        <v>4.8252371010102336E-3</v>
      </c>
      <c r="K24" s="775">
        <f t="shared" si="7"/>
        <v>5.0288491332773589E-3</v>
      </c>
      <c r="L24" s="775">
        <f t="shared" si="7"/>
        <v>5.1878861241672443E-3</v>
      </c>
      <c r="M24" s="775">
        <f t="shared" si="7"/>
        <v>5.3112885092899461E-3</v>
      </c>
      <c r="N24" s="775">
        <f t="shared" si="7"/>
        <v>5.4062003377584218E-3</v>
      </c>
      <c r="O24" s="775">
        <f t="shared" si="7"/>
        <v>5.4783302566695433E-3</v>
      </c>
      <c r="P24" s="775">
        <f>P42/P22</f>
        <v>5.5419095635058447E-3</v>
      </c>
      <c r="Q24" s="775">
        <f>Q42/Q22</f>
        <v>5.8197265111706023E-3</v>
      </c>
      <c r="R24" s="130"/>
      <c r="S24" s="92"/>
      <c r="T24"/>
      <c r="U24"/>
      <c r="V24"/>
      <c r="W24"/>
      <c r="X24"/>
      <c r="BG24" s="140"/>
    </row>
    <row r="25" spans="2:59" ht="15.6">
      <c r="B25" s="60"/>
      <c r="C25" s="134"/>
      <c r="D25" s="130"/>
      <c r="E25" s="139"/>
      <c r="F25" s="139"/>
      <c r="G25" s="139"/>
      <c r="H25" s="764"/>
      <c r="I25" s="761" t="s">
        <v>539</v>
      </c>
      <c r="J25" s="761"/>
      <c r="K25" s="761"/>
      <c r="L25" s="761"/>
      <c r="M25" s="242"/>
      <c r="N25" s="761"/>
      <c r="O25" s="761"/>
      <c r="P25" s="761"/>
      <c r="Q25" s="761"/>
      <c r="R25" s="130"/>
      <c r="S25" s="92"/>
      <c r="T25"/>
      <c r="U25"/>
      <c r="V25"/>
      <c r="W25"/>
      <c r="X25"/>
      <c r="BG25" s="140"/>
    </row>
    <row r="26" spans="2:59" ht="15.6">
      <c r="B26" s="60"/>
      <c r="C26" s="134"/>
      <c r="D26" s="130"/>
      <c r="E26" s="139"/>
      <c r="F26" s="139"/>
      <c r="G26" s="139"/>
      <c r="H26" s="764"/>
      <c r="I26" s="761"/>
      <c r="J26" s="761"/>
      <c r="K26" s="761"/>
      <c r="L26" s="761"/>
      <c r="M26" s="242"/>
      <c r="N26" s="761"/>
      <c r="O26" s="761"/>
      <c r="P26" s="761"/>
      <c r="Q26" s="761"/>
      <c r="R26" s="130"/>
      <c r="S26" s="92"/>
      <c r="T26"/>
      <c r="U26"/>
      <c r="V26"/>
      <c r="W26"/>
      <c r="X26"/>
      <c r="BG26" s="140"/>
    </row>
    <row r="27" spans="2:59" ht="15.6">
      <c r="B27" s="130" t="s">
        <v>540</v>
      </c>
      <c r="C27" s="134"/>
      <c r="D27" s="130"/>
      <c r="E27" s="139"/>
      <c r="F27" s="139"/>
      <c r="G27" s="139"/>
      <c r="H27" s="764"/>
      <c r="I27" s="761"/>
      <c r="J27" s="761"/>
      <c r="K27" s="761"/>
      <c r="L27" s="761"/>
      <c r="M27" s="242"/>
      <c r="N27" s="761"/>
      <c r="O27" s="761"/>
      <c r="P27" s="761"/>
      <c r="Q27" s="761"/>
      <c r="R27" s="130"/>
      <c r="S27" s="92"/>
      <c r="T27"/>
      <c r="U27"/>
      <c r="V27"/>
      <c r="W27"/>
      <c r="X27"/>
      <c r="BG27" s="140"/>
    </row>
    <row r="28" spans="2:59" ht="15.6">
      <c r="B28" s="60" t="s">
        <v>533</v>
      </c>
      <c r="C28" s="1076" t="s">
        <v>541</v>
      </c>
      <c r="D28" s="1076"/>
      <c r="E28" s="1076"/>
      <c r="F28" s="1076"/>
      <c r="G28" s="139"/>
      <c r="H28" s="778" t="s">
        <v>309</v>
      </c>
      <c r="I28" s="241" t="s">
        <v>309</v>
      </c>
      <c r="J28" s="241" t="s">
        <v>309</v>
      </c>
      <c r="K28" s="241" t="s">
        <v>309</v>
      </c>
      <c r="L28" s="241" t="s">
        <v>309</v>
      </c>
      <c r="M28" s="241" t="s">
        <v>309</v>
      </c>
      <c r="N28" s="241" t="s">
        <v>309</v>
      </c>
      <c r="O28" s="241" t="s">
        <v>309</v>
      </c>
      <c r="P28" s="241" t="s">
        <v>309</v>
      </c>
      <c r="Q28" s="241" t="s">
        <v>309</v>
      </c>
      <c r="R28" s="130"/>
      <c r="S28" s="92"/>
      <c r="T28"/>
      <c r="U28"/>
      <c r="V28"/>
      <c r="W28"/>
      <c r="X28"/>
      <c r="BG28" s="140"/>
    </row>
    <row r="29" spans="2:59" ht="15.6">
      <c r="B29" s="130" t="s">
        <v>534</v>
      </c>
      <c r="C29" s="787"/>
      <c r="D29" s="787"/>
      <c r="E29" s="787"/>
      <c r="F29" s="139"/>
      <c r="G29" s="139"/>
      <c r="H29" s="770"/>
      <c r="I29" s="771">
        <v>6.0100000000000001E-2</v>
      </c>
      <c r="J29" s="771">
        <v>6.0100000000000001E-2</v>
      </c>
      <c r="K29" s="771">
        <v>6.0100000000000001E-2</v>
      </c>
      <c r="L29" s="771">
        <v>6.0100000000000001E-2</v>
      </c>
      <c r="M29" s="771">
        <v>6.0100000000000001E-2</v>
      </c>
      <c r="N29" s="771">
        <v>6.0100000000000001E-2</v>
      </c>
      <c r="O29" s="771">
        <v>6.0100000000000001E-2</v>
      </c>
      <c r="P29" s="771">
        <v>6.0100000000000001E-2</v>
      </c>
      <c r="Q29" s="771">
        <v>6.0100000000000001E-2</v>
      </c>
      <c r="R29" s="130"/>
      <c r="S29" s="92"/>
      <c r="T29"/>
      <c r="U29"/>
      <c r="V29"/>
      <c r="W29"/>
      <c r="X29"/>
      <c r="BG29" s="140"/>
    </row>
    <row r="30" spans="2:59" ht="15.6">
      <c r="B30" s="60" t="s">
        <v>535</v>
      </c>
      <c r="C30" s="134"/>
      <c r="D30" s="130"/>
      <c r="E30" s="140">
        <v>56000</v>
      </c>
      <c r="F30" s="140">
        <v>61000</v>
      </c>
      <c r="G30" s="140">
        <v>66000</v>
      </c>
      <c r="H30" s="764">
        <v>67730</v>
      </c>
      <c r="I30" s="761">
        <f>H30+H30*I31</f>
        <v>71780.254000000001</v>
      </c>
      <c r="J30" s="761">
        <f t="shared" ref="J30:L30" si="8">I30+I30*J31</f>
        <v>76072.713189200003</v>
      </c>
      <c r="K30" s="761">
        <f t="shared" si="8"/>
        <v>80621.861437914165</v>
      </c>
      <c r="L30" s="761">
        <f t="shared" si="8"/>
        <v>85443.048751901428</v>
      </c>
      <c r="M30" s="198">
        <f>L30+L30*M31</f>
        <v>90552.543067265127</v>
      </c>
      <c r="N30" s="198">
        <f t="shared" ref="N30:Q30" si="9">M30+M30*N31</f>
        <v>95967.585142687574</v>
      </c>
      <c r="O30" s="198">
        <f t="shared" si="9"/>
        <v>101706.44673422028</v>
      </c>
      <c r="P30" s="198">
        <f t="shared" si="9"/>
        <v>107788.49224892666</v>
      </c>
      <c r="Q30" s="198">
        <f t="shared" si="9"/>
        <v>114234.24408541247</v>
      </c>
      <c r="R30" s="130"/>
      <c r="S30" s="92"/>
      <c r="T30"/>
      <c r="U30"/>
      <c r="V30"/>
      <c r="W30"/>
      <c r="X30"/>
      <c r="BG30" s="140"/>
    </row>
    <row r="31" spans="2:59" ht="15.6">
      <c r="B31" s="580" t="s">
        <v>536</v>
      </c>
      <c r="C31" s="134"/>
      <c r="D31" s="130"/>
      <c r="E31" s="139"/>
      <c r="F31" s="771">
        <f>F30/E30-1</f>
        <v>8.9285714285714191E-2</v>
      </c>
      <c r="G31" s="771">
        <f>G30/F30-1</f>
        <v>8.1967213114754189E-2</v>
      </c>
      <c r="H31" s="770">
        <f>H30/G30-1</f>
        <v>2.6212121212121131E-2</v>
      </c>
      <c r="I31" s="771">
        <v>5.9799999999999999E-2</v>
      </c>
      <c r="J31" s="771">
        <v>5.9799999999999999E-2</v>
      </c>
      <c r="K31" s="771">
        <v>5.9799999999999999E-2</v>
      </c>
      <c r="L31" s="771">
        <v>5.9799999999999999E-2</v>
      </c>
      <c r="M31" s="771">
        <v>5.9799999999999999E-2</v>
      </c>
      <c r="N31" s="771">
        <v>5.9799999999999999E-2</v>
      </c>
      <c r="O31" s="771">
        <v>5.9799999999999999E-2</v>
      </c>
      <c r="P31" s="771">
        <v>5.9799999999999999E-2</v>
      </c>
      <c r="Q31" s="771">
        <v>5.9799999999999999E-2</v>
      </c>
      <c r="R31" s="130"/>
      <c r="S31" s="92"/>
      <c r="T31"/>
      <c r="U31"/>
      <c r="V31"/>
      <c r="W31"/>
      <c r="X31"/>
      <c r="BG31" s="140"/>
    </row>
    <row r="32" spans="2:59" ht="15.6">
      <c r="B32" s="130" t="s">
        <v>235</v>
      </c>
      <c r="C32" s="134"/>
      <c r="D32" s="130"/>
      <c r="E32" s="139"/>
      <c r="F32" s="139"/>
      <c r="G32" s="139"/>
      <c r="H32" s="764">
        <f>AVERAGE(H28,H30)</f>
        <v>67730</v>
      </c>
      <c r="I32" s="761">
        <f t="shared" ref="I32:Q33" si="10">AVERAGE(I28,I30)</f>
        <v>71780.254000000001</v>
      </c>
      <c r="J32" s="761">
        <f t="shared" si="10"/>
        <v>76072.713189200003</v>
      </c>
      <c r="K32" s="761">
        <f t="shared" si="10"/>
        <v>80621.861437914165</v>
      </c>
      <c r="L32" s="761">
        <f t="shared" si="10"/>
        <v>85443.048751901428</v>
      </c>
      <c r="M32" s="761">
        <f t="shared" si="10"/>
        <v>90552.543067265127</v>
      </c>
      <c r="N32" s="761">
        <f t="shared" si="10"/>
        <v>95967.585142687574</v>
      </c>
      <c r="O32" s="761">
        <f t="shared" si="10"/>
        <v>101706.44673422028</v>
      </c>
      <c r="P32" s="761">
        <f t="shared" si="10"/>
        <v>107788.49224892666</v>
      </c>
      <c r="Q32" s="761">
        <f t="shared" si="10"/>
        <v>114234.24408541247</v>
      </c>
      <c r="R32" s="130"/>
      <c r="S32" s="92"/>
      <c r="T32"/>
      <c r="U32"/>
      <c r="V32"/>
      <c r="W32"/>
      <c r="X32"/>
      <c r="BG32" s="140"/>
    </row>
    <row r="33" spans="1:59" ht="15.6">
      <c r="B33" s="130" t="s">
        <v>537</v>
      </c>
      <c r="C33" s="134"/>
      <c r="D33" s="130"/>
      <c r="E33" s="139"/>
      <c r="F33" s="139"/>
      <c r="G33" s="139"/>
      <c r="H33" s="766"/>
      <c r="I33" s="767">
        <f t="shared" si="10"/>
        <v>5.9950000000000003E-2</v>
      </c>
      <c r="J33" s="767">
        <f t="shared" si="10"/>
        <v>5.9950000000000003E-2</v>
      </c>
      <c r="K33" s="767">
        <f t="shared" si="10"/>
        <v>5.9950000000000003E-2</v>
      </c>
      <c r="L33" s="767">
        <f t="shared" si="10"/>
        <v>5.9950000000000003E-2</v>
      </c>
      <c r="M33" s="767">
        <f t="shared" si="10"/>
        <v>5.9950000000000003E-2</v>
      </c>
      <c r="N33" s="767">
        <f t="shared" si="10"/>
        <v>5.9950000000000003E-2</v>
      </c>
      <c r="O33" s="767">
        <f t="shared" si="10"/>
        <v>5.9950000000000003E-2</v>
      </c>
      <c r="P33" s="767">
        <f t="shared" si="10"/>
        <v>5.9950000000000003E-2</v>
      </c>
      <c r="Q33" s="767">
        <f t="shared" si="10"/>
        <v>5.9950000000000003E-2</v>
      </c>
      <c r="R33" s="130"/>
      <c r="S33" s="92"/>
      <c r="T33"/>
      <c r="U33"/>
      <c r="V33"/>
      <c r="W33"/>
      <c r="X33"/>
      <c r="BG33" s="140"/>
    </row>
    <row r="34" spans="1:59" ht="15.6">
      <c r="B34" s="130" t="s">
        <v>542</v>
      </c>
      <c r="C34" s="134"/>
      <c r="D34" s="130"/>
      <c r="E34" s="773">
        <f t="shared" ref="E34:F34" si="11">E48*E43/E30</f>
        <v>6.2053571428571427E-3</v>
      </c>
      <c r="F34" s="773">
        <f t="shared" si="11"/>
        <v>8.3067615517275553E-3</v>
      </c>
      <c r="G34" s="773">
        <f>G48*G43/G30</f>
        <v>1.3151745827414772E-2</v>
      </c>
      <c r="H34" s="774">
        <f>H48*$G$43/H32</f>
        <v>1.6383066409133694E-2</v>
      </c>
      <c r="I34" s="775">
        <f>H34+($Q$34-H34)/5</f>
        <v>1.7106453127306954E-2</v>
      </c>
      <c r="J34" s="775">
        <f t="shared" ref="J34:P34" si="12">I34+($Q$34-I34)/5</f>
        <v>1.7685162501845562E-2</v>
      </c>
      <c r="K34" s="775">
        <f t="shared" si="12"/>
        <v>1.8148130001476449E-2</v>
      </c>
      <c r="L34" s="775">
        <f t="shared" si="12"/>
        <v>1.8518504001181161E-2</v>
      </c>
      <c r="M34" s="775">
        <f t="shared" si="12"/>
        <v>1.8814803200944929E-2</v>
      </c>
      <c r="N34" s="775">
        <f t="shared" si="12"/>
        <v>1.9051842560755945E-2</v>
      </c>
      <c r="O34" s="775">
        <f t="shared" si="12"/>
        <v>1.9241474048604757E-2</v>
      </c>
      <c r="P34" s="775">
        <f t="shared" si="12"/>
        <v>1.9393179238883805E-2</v>
      </c>
      <c r="Q34" s="791">
        <v>0.02</v>
      </c>
      <c r="R34" s="130"/>
      <c r="S34" s="92"/>
      <c r="T34"/>
      <c r="U34"/>
      <c r="V34"/>
      <c r="W34"/>
      <c r="X34"/>
      <c r="BG34" s="140"/>
    </row>
    <row r="35" spans="1:59" ht="15.6">
      <c r="B35" s="130"/>
      <c r="C35" s="134"/>
      <c r="D35" s="130"/>
      <c r="E35" s="139"/>
      <c r="F35" s="139"/>
      <c r="G35" s="139"/>
      <c r="H35" s="764"/>
      <c r="I35" s="761" t="s">
        <v>543</v>
      </c>
      <c r="J35" s="761"/>
      <c r="K35" s="761"/>
      <c r="L35" s="761"/>
      <c r="M35" s="242"/>
      <c r="N35" s="761"/>
      <c r="O35" s="761"/>
      <c r="P35" s="761"/>
      <c r="Q35" s="761"/>
      <c r="R35" s="130"/>
      <c r="S35" s="92"/>
      <c r="T35"/>
      <c r="U35"/>
      <c r="V35"/>
      <c r="W35"/>
      <c r="X35"/>
      <c r="BG35" s="140"/>
    </row>
    <row r="36" spans="1:59" ht="15.6">
      <c r="B36" s="125" t="s">
        <v>544</v>
      </c>
      <c r="C36" s="134"/>
      <c r="D36" s="130"/>
      <c r="E36" s="139"/>
      <c r="F36" s="139"/>
      <c r="G36" s="139"/>
      <c r="H36" s="764"/>
      <c r="I36" s="761"/>
      <c r="J36" s="761"/>
      <c r="K36" s="761"/>
      <c r="L36" s="761"/>
      <c r="M36" s="242"/>
      <c r="N36" s="761"/>
      <c r="O36" s="761"/>
      <c r="P36" s="761"/>
      <c r="Q36" s="761"/>
      <c r="R36" s="130"/>
      <c r="S36" s="92"/>
      <c r="T36"/>
      <c r="U36"/>
      <c r="V36"/>
      <c r="W36"/>
      <c r="X36"/>
      <c r="BG36" s="758"/>
    </row>
    <row r="37" spans="1:59" ht="15.6">
      <c r="B37" s="130" t="s">
        <v>545</v>
      </c>
      <c r="C37" s="134"/>
      <c r="D37" s="130"/>
      <c r="E37" s="768">
        <f t="shared" ref="E37:F37" si="13">E20-E30</f>
        <v>191000</v>
      </c>
      <c r="F37" s="768">
        <f t="shared" si="13"/>
        <v>191500</v>
      </c>
      <c r="G37" s="768">
        <f>G20-G30</f>
        <v>191540</v>
      </c>
      <c r="H37" s="763">
        <f>H22-H32</f>
        <v>245591.12</v>
      </c>
      <c r="I37" s="140">
        <f>I22-I32</f>
        <v>255966.71276478126</v>
      </c>
      <c r="J37" s="140">
        <f t="shared" ref="J37:Q37" si="14">J22-J32</f>
        <v>272812.91246726445</v>
      </c>
      <c r="K37" s="140">
        <f t="shared" si="14"/>
        <v>290784.2520925611</v>
      </c>
      <c r="L37" s="140">
        <f t="shared" si="14"/>
        <v>309956.85087797791</v>
      </c>
      <c r="M37" s="140">
        <f t="shared" si="14"/>
        <v>330412.03429846145</v>
      </c>
      <c r="N37" s="140">
        <f t="shared" si="14"/>
        <v>352236.69338475494</v>
      </c>
      <c r="O37" s="140">
        <f t="shared" si="14"/>
        <v>375523.66902275896</v>
      </c>
      <c r="P37" s="140">
        <f t="shared" si="14"/>
        <v>399058.80199044349</v>
      </c>
      <c r="Q37" s="140">
        <f t="shared" si="14"/>
        <v>424080.83882016235</v>
      </c>
      <c r="R37" s="130"/>
      <c r="S37" s="92"/>
      <c r="T37"/>
      <c r="U37"/>
      <c r="V37"/>
      <c r="W37"/>
      <c r="X37"/>
      <c r="BG37" s="759"/>
    </row>
    <row r="38" spans="1:59" ht="15.6">
      <c r="B38" s="130" t="s">
        <v>534</v>
      </c>
      <c r="C38" s="134"/>
      <c r="D38" s="130"/>
      <c r="E38" s="290"/>
      <c r="F38" s="767">
        <f t="shared" ref="F38:H38" si="15">(F37-E37)/E37</f>
        <v>2.617801047120419E-3</v>
      </c>
      <c r="G38" s="767">
        <f t="shared" si="15"/>
        <v>2.0887728459530026E-4</v>
      </c>
      <c r="H38" s="766">
        <f t="shared" si="15"/>
        <v>0.28219233580453168</v>
      </c>
      <c r="I38" s="767">
        <f>(I37-H37)/H37</f>
        <v>4.2247426392213468E-2</v>
      </c>
      <c r="J38" s="767">
        <f t="shared" ref="J38:Q38" si="16">(J37-I37)/I37</f>
        <v>6.5814025271183935E-2</v>
      </c>
      <c r="K38" s="767">
        <f t="shared" si="16"/>
        <v>6.5874226636736186E-2</v>
      </c>
      <c r="L38" s="767">
        <f t="shared" si="16"/>
        <v>6.5934102852701501E-2</v>
      </c>
      <c r="M38" s="767">
        <f t="shared" si="16"/>
        <v>6.5993648349899611E-2</v>
      </c>
      <c r="N38" s="767">
        <f t="shared" si="16"/>
        <v>6.6052857707292981E-2</v>
      </c>
      <c r="O38" s="767">
        <f t="shared" si="16"/>
        <v>6.6111725653088635E-2</v>
      </c>
      <c r="P38" s="767">
        <f t="shared" si="16"/>
        <v>6.2672835054394846E-2</v>
      </c>
      <c r="Q38" s="767">
        <f t="shared" si="16"/>
        <v>6.270263105315009E-2</v>
      </c>
      <c r="R38" s="130"/>
      <c r="S38" s="92"/>
      <c r="T38"/>
      <c r="U38"/>
      <c r="V38"/>
      <c r="W38"/>
      <c r="X38"/>
      <c r="BG38" s="760"/>
    </row>
    <row r="39" spans="1:59" ht="15.6">
      <c r="B39" s="130" t="s">
        <v>546</v>
      </c>
      <c r="C39" s="134"/>
      <c r="D39" s="130"/>
      <c r="E39" s="773">
        <f>E48*E44/E37</f>
        <v>2.340314136125655E-4</v>
      </c>
      <c r="F39" s="773">
        <f t="shared" ref="F39:G39" si="17">F48*F44/F37</f>
        <v>3.7643626811811529E-4</v>
      </c>
      <c r="G39" s="773">
        <f t="shared" si="17"/>
        <v>8.1384972011394477E-4</v>
      </c>
      <c r="H39" s="774">
        <f>(H48*G44)/H37</f>
        <v>8.1140927289787587E-4</v>
      </c>
      <c r="I39" s="775">
        <f>H39+($Q$39-H39)/5</f>
        <v>1.0491274183183007E-3</v>
      </c>
      <c r="J39" s="775">
        <f t="shared" ref="J39:P39" si="18">I39+($Q$39-I39)/5</f>
        <v>1.2393019346546405E-3</v>
      </c>
      <c r="K39" s="775">
        <f t="shared" si="18"/>
        <v>1.3914415477237125E-3</v>
      </c>
      <c r="L39" s="775">
        <f t="shared" si="18"/>
        <v>1.51315323817897E-3</v>
      </c>
      <c r="M39" s="775">
        <f t="shared" si="18"/>
        <v>1.6105225905431761E-3</v>
      </c>
      <c r="N39" s="775">
        <f t="shared" si="18"/>
        <v>1.6884180724345409E-3</v>
      </c>
      <c r="O39" s="775">
        <f t="shared" si="18"/>
        <v>1.7507344579476328E-3</v>
      </c>
      <c r="P39" s="775">
        <f t="shared" si="18"/>
        <v>1.8005875663581062E-3</v>
      </c>
      <c r="Q39" s="791">
        <v>2E-3</v>
      </c>
      <c r="R39" s="130"/>
      <c r="S39" s="92"/>
      <c r="T39"/>
      <c r="U39"/>
      <c r="V39"/>
      <c r="W39"/>
      <c r="X39"/>
      <c r="BG39" s="760"/>
    </row>
    <row r="40" spans="1:59" ht="15.6">
      <c r="H40" s="765"/>
      <c r="I40" s="761" t="s">
        <v>543</v>
      </c>
      <c r="R40" s="130"/>
      <c r="S40" s="92"/>
      <c r="T40"/>
      <c r="U40"/>
      <c r="V40"/>
      <c r="W40"/>
      <c r="X40"/>
    </row>
    <row r="41" spans="1:59" ht="15.95" thickBot="1">
      <c r="H41" s="765"/>
      <c r="P41" s="762"/>
      <c r="Q41" s="762"/>
      <c r="R41" s="130"/>
      <c r="S41" s="92"/>
      <c r="T41"/>
      <c r="U41"/>
      <c r="V41"/>
      <c r="W41"/>
      <c r="X41"/>
    </row>
    <row r="42" spans="1:59" ht="15.95" thickBot="1">
      <c r="B42" s="130" t="s">
        <v>547</v>
      </c>
      <c r="C42" s="134"/>
      <c r="D42" s="130"/>
      <c r="E42" s="579"/>
      <c r="F42" s="579"/>
      <c r="G42" s="579"/>
      <c r="H42" s="782">
        <f>H32*H34+H37*H39</f>
        <v>1308.9000000000001</v>
      </c>
      <c r="I42" s="783">
        <f>I32*I34+I37*I39</f>
        <v>1496.4472470555245</v>
      </c>
      <c r="J42" s="783">
        <f t="shared" ref="J42:Q42" si="19">J32*J34+J37*J39</f>
        <v>1683.4558649267403</v>
      </c>
      <c r="K42" s="783">
        <f t="shared" si="19"/>
        <v>1867.7453121216429</v>
      </c>
      <c r="L42" s="783">
        <f t="shared" si="19"/>
        <v>2051.2896527869721</v>
      </c>
      <c r="M42" s="783">
        <f t="shared" si="19"/>
        <v>2235.8643225806823</v>
      </c>
      <c r="N42" s="783">
        <f t="shared" si="19"/>
        <v>2423.0821219598292</v>
      </c>
      <c r="O42" s="783">
        <f t="shared" si="19"/>
        <v>2614.4241825453678</v>
      </c>
      <c r="P42" s="783">
        <f t="shared" si="19"/>
        <v>2808.9018671822264</v>
      </c>
      <c r="Q42" s="783">
        <f t="shared" si="19"/>
        <v>3132.8465593485744</v>
      </c>
      <c r="R42" s="798" t="s">
        <v>548</v>
      </c>
      <c r="S42" s="92"/>
      <c r="T42"/>
      <c r="U42"/>
      <c r="V42"/>
      <c r="W42"/>
      <c r="X42"/>
    </row>
    <row r="43" spans="1:59" ht="15.95" customHeight="1">
      <c r="B43" s="130" t="s">
        <v>549</v>
      </c>
      <c r="C43" s="781" t="s">
        <v>550</v>
      </c>
      <c r="E43" s="132">
        <f>Segments!G6/Segments!G13</f>
        <v>0.88602753697093317</v>
      </c>
      <c r="F43" s="784">
        <f>Segments!H6/Segments!H13</f>
        <v>0.87545344619105203</v>
      </c>
      <c r="G43" s="132">
        <f>Segments!D6</f>
        <v>0.84775390625000002</v>
      </c>
      <c r="H43" s="763">
        <f>H34*H32</f>
        <v>1109.6250878906251</v>
      </c>
      <c r="I43" s="140">
        <f>I34*I32</f>
        <v>1227.9055505171875</v>
      </c>
      <c r="J43" s="140">
        <f t="shared" ref="J43:P43" si="20">J34*J32</f>
        <v>1345.3582947072923</v>
      </c>
      <c r="K43" s="140">
        <f t="shared" si="20"/>
        <v>1463.1360223362874</v>
      </c>
      <c r="L43" s="140">
        <f t="shared" si="20"/>
        <v>1582.2774401852037</v>
      </c>
      <c r="M43" s="140">
        <f t="shared" si="20"/>
        <v>1703.7282771556834</v>
      </c>
      <c r="N43" s="140">
        <f t="shared" si="20"/>
        <v>1828.359323074425</v>
      </c>
      <c r="O43" s="140">
        <f t="shared" si="20"/>
        <v>1956.9819554123017</v>
      </c>
      <c r="P43" s="140">
        <f t="shared" si="20"/>
        <v>2090.3615500724723</v>
      </c>
      <c r="Q43" s="140">
        <f>Q34*Q32</f>
        <v>2284.6848817082496</v>
      </c>
      <c r="R43" s="799">
        <f>Q43/Q42</f>
        <v>0.72926804375102028</v>
      </c>
      <c r="S43" s="92"/>
      <c r="T43"/>
      <c r="U43"/>
      <c r="V43"/>
      <c r="W43"/>
      <c r="X43"/>
    </row>
    <row r="44" spans="1:59" ht="15.95" customHeight="1" thickBot="1">
      <c r="B44" s="130"/>
      <c r="C44" s="781" t="s">
        <v>551</v>
      </c>
      <c r="E44" s="132">
        <f>1-E43</f>
        <v>0.11397246302906683</v>
      </c>
      <c r="F44" s="784">
        <f>1-F43</f>
        <v>0.12454655380894797</v>
      </c>
      <c r="G44" s="784">
        <f>1-G43</f>
        <v>0.15224609374999998</v>
      </c>
      <c r="H44" s="763">
        <f>H39*H37</f>
        <v>199.27491210937498</v>
      </c>
      <c r="I44" s="140">
        <f t="shared" ref="I44:P44" si="21">I39*I37</f>
        <v>268.54169653833702</v>
      </c>
      <c r="J44" s="140">
        <f t="shared" si="21"/>
        <v>338.09757021944796</v>
      </c>
      <c r="K44" s="140">
        <f t="shared" si="21"/>
        <v>404.60928978535543</v>
      </c>
      <c r="L44" s="140">
        <f t="shared" si="21"/>
        <v>469.0122126017684</v>
      </c>
      <c r="M44" s="140">
        <f t="shared" si="21"/>
        <v>532.13604542499888</v>
      </c>
      <c r="N44" s="140">
        <f t="shared" si="21"/>
        <v>594.72279888540436</v>
      </c>
      <c r="O44" s="140">
        <f t="shared" si="21"/>
        <v>657.44222713306613</v>
      </c>
      <c r="P44" s="140">
        <f t="shared" si="21"/>
        <v>718.54031710975403</v>
      </c>
      <c r="Q44" s="140">
        <f>Q39*Q37</f>
        <v>848.16167764032468</v>
      </c>
      <c r="R44" s="800">
        <f>Q44/Q42</f>
        <v>0.27073195624897967</v>
      </c>
      <c r="S44" s="92"/>
      <c r="T44"/>
      <c r="U44"/>
      <c r="V44"/>
      <c r="W44"/>
      <c r="X44"/>
    </row>
    <row r="45" spans="1:59" ht="15.6">
      <c r="B45" s="144" t="s">
        <v>552</v>
      </c>
      <c r="H45" s="790"/>
      <c r="S45" s="92"/>
    </row>
    <row r="46" spans="1:59" ht="15.6">
      <c r="A46" s="125" t="s">
        <v>472</v>
      </c>
      <c r="B46" s="51" t="s">
        <v>293</v>
      </c>
      <c r="C46" s="55"/>
      <c r="D46" s="55"/>
      <c r="E46" s="136">
        <v>2022</v>
      </c>
      <c r="F46" s="136">
        <f>+E46+1</f>
        <v>2023</v>
      </c>
      <c r="G46" s="137">
        <f>+F46+1</f>
        <v>2024</v>
      </c>
      <c r="H46" s="99">
        <f t="shared" ref="H46:Q46" si="22">+G46+1</f>
        <v>2025</v>
      </c>
      <c r="I46" s="99">
        <f t="shared" si="22"/>
        <v>2026</v>
      </c>
      <c r="J46" s="99">
        <f t="shared" si="22"/>
        <v>2027</v>
      </c>
      <c r="K46" s="99">
        <f>+J46+1</f>
        <v>2028</v>
      </c>
      <c r="L46" s="99">
        <f t="shared" si="22"/>
        <v>2029</v>
      </c>
      <c r="M46" s="99">
        <f t="shared" si="22"/>
        <v>2030</v>
      </c>
      <c r="N46" s="99">
        <f t="shared" si="22"/>
        <v>2031</v>
      </c>
      <c r="O46" s="99">
        <f t="shared" si="22"/>
        <v>2032</v>
      </c>
      <c r="P46" s="99">
        <f t="shared" si="22"/>
        <v>2033</v>
      </c>
      <c r="Q46" s="99">
        <f t="shared" si="22"/>
        <v>2034</v>
      </c>
      <c r="R46" s="146"/>
      <c r="S46" s="126"/>
      <c r="T46" s="126"/>
      <c r="U46" s="126"/>
    </row>
    <row r="47" spans="1:59" ht="3.95" customHeight="1">
      <c r="B47" s="68"/>
      <c r="C47" s="68"/>
      <c r="D47" s="68"/>
      <c r="E47" s="68"/>
      <c r="F47" s="68"/>
      <c r="G47" s="138"/>
      <c r="H47" s="68"/>
      <c r="I47" s="68"/>
      <c r="J47" s="68"/>
      <c r="K47" s="68"/>
      <c r="L47" s="68"/>
      <c r="M47" s="68"/>
      <c r="N47" s="68"/>
      <c r="O47" s="68"/>
      <c r="P47" s="68"/>
      <c r="Q47" s="68"/>
    </row>
    <row r="48" spans="1:59" ht="15.6">
      <c r="B48" s="125" t="s">
        <v>553</v>
      </c>
      <c r="D48" s="303">
        <f>+_xlfn.XLOOKUP($B48,Inputs!$B:$B,Inputs!N:N)</f>
        <v>318.10000000000002</v>
      </c>
      <c r="E48" s="148">
        <f>+_xlfn.XLOOKUP($B48,Inputs!$B:$B,Inputs!O:O)</f>
        <v>392.2</v>
      </c>
      <c r="F48" s="148">
        <f>+_xlfn.XLOOKUP($B48,Inputs!$B:$B,Inputs!P:P)</f>
        <v>578.79999999999995</v>
      </c>
      <c r="G48" s="268">
        <f>+_xlfn.XLOOKUP($B48,Inputs!$B:$B,Inputs!Q:Q)</f>
        <v>1023.9</v>
      </c>
      <c r="H48" s="149">
        <v>1308.9000000000001</v>
      </c>
      <c r="I48" s="149">
        <f>I42</f>
        <v>1496.4472470555245</v>
      </c>
      <c r="J48" s="149">
        <f t="shared" ref="J48:P48" si="23">J42</f>
        <v>1683.4558649267403</v>
      </c>
      <c r="K48" s="149">
        <f t="shared" si="23"/>
        <v>1867.7453121216429</v>
      </c>
      <c r="L48" s="149">
        <f t="shared" si="23"/>
        <v>2051.2896527869721</v>
      </c>
      <c r="M48" s="149">
        <f t="shared" si="23"/>
        <v>2235.8643225806823</v>
      </c>
      <c r="N48" s="149">
        <f t="shared" si="23"/>
        <v>2423.0821219598292</v>
      </c>
      <c r="O48" s="149">
        <f t="shared" si="23"/>
        <v>2614.4241825453678</v>
      </c>
      <c r="P48" s="149">
        <f t="shared" si="23"/>
        <v>2808.9018671822264</v>
      </c>
      <c r="Q48" s="149">
        <f>+Q43+Q44</f>
        <v>3132.8465593485744</v>
      </c>
    </row>
    <row r="49" spans="2:17" s="276" customFormat="1" ht="14.45">
      <c r="B49" s="277" t="s">
        <v>554</v>
      </c>
      <c r="E49" s="279">
        <f>IFERROR((E48-D48)/D48,"")</f>
        <v>0.23294561458660787</v>
      </c>
      <c r="F49" s="279">
        <f>IFERROR((F48-E48)/E48,"")</f>
        <v>0.47577766445690967</v>
      </c>
      <c r="G49" s="280">
        <f>IFERROR((G48-F48)/F48,"")</f>
        <v>0.76900483759502425</v>
      </c>
      <c r="H49" s="281">
        <f>IFERROR(H48/G48-1,"")</f>
        <v>0.27834749487254618</v>
      </c>
      <c r="I49" s="281">
        <f t="shared" ref="I49:Q49" si="24">IFERROR(I48/H48-1,"")</f>
        <v>0.14328615406488221</v>
      </c>
      <c r="J49" s="281">
        <f t="shared" si="24"/>
        <v>0.12496839981441532</v>
      </c>
      <c r="K49" s="281">
        <f t="shared" si="24"/>
        <v>0.10947091101964967</v>
      </c>
      <c r="L49" s="281">
        <f t="shared" si="24"/>
        <v>9.8270540139562268E-2</v>
      </c>
      <c r="M49" s="281">
        <f t="shared" si="24"/>
        <v>8.9979818083194107E-2</v>
      </c>
      <c r="N49" s="281">
        <f t="shared" si="24"/>
        <v>8.3733971461674495E-2</v>
      </c>
      <c r="O49" s="281">
        <f t="shared" si="24"/>
        <v>7.8966395258109445E-2</v>
      </c>
      <c r="P49" s="281">
        <f t="shared" si="24"/>
        <v>7.4386431220781368E-2</v>
      </c>
      <c r="Q49" s="281">
        <f t="shared" si="24"/>
        <v>0.11532787811178169</v>
      </c>
    </row>
    <row r="50" spans="2:17" ht="3.75" customHeight="1">
      <c r="B50" s="150"/>
      <c r="E50" s="152"/>
      <c r="F50" s="152"/>
      <c r="G50" s="153"/>
      <c r="H50" s="151"/>
      <c r="I50" s="151"/>
      <c r="J50" s="151"/>
      <c r="K50" s="151"/>
      <c r="L50" s="151"/>
      <c r="O50" s="154"/>
      <c r="P50" s="154"/>
      <c r="Q50" s="154"/>
    </row>
    <row r="51" spans="2:17" ht="15.6">
      <c r="B51" s="275" t="s">
        <v>300</v>
      </c>
      <c r="E51" s="148">
        <f>+_xlfn.XLOOKUP($B51,Inputs!$B:$B,Inputs!O:O)</f>
        <v>140.4</v>
      </c>
      <c r="F51" s="148">
        <f>+_xlfn.XLOOKUP($B51,Inputs!$B:$B,Inputs!P:P)</f>
        <v>188.4</v>
      </c>
      <c r="G51" s="268">
        <f>+_xlfn.XLOOKUP($B51,Inputs!$B:$B,Inputs!Q:Q)</f>
        <v>299.8</v>
      </c>
      <c r="H51" s="155">
        <f t="shared" ref="H51:Q51" si="25">H52*H$48</f>
        <v>458.11500000000001</v>
      </c>
      <c r="I51" s="155">
        <f>I52*I$48</f>
        <v>486.34535529304537</v>
      </c>
      <c r="J51" s="155">
        <f t="shared" si="25"/>
        <v>526.0799577896064</v>
      </c>
      <c r="K51" s="155">
        <f t="shared" si="25"/>
        <v>571.99700183725315</v>
      </c>
      <c r="L51" s="155">
        <f t="shared" si="25"/>
        <v>621.79717600105084</v>
      </c>
      <c r="M51" s="155">
        <f t="shared" si="25"/>
        <v>674.25283477823689</v>
      </c>
      <c r="N51" s="155">
        <f t="shared" si="25"/>
        <v>728.81766949572989</v>
      </c>
      <c r="O51" s="155">
        <f t="shared" si="25"/>
        <v>785.3485142099172</v>
      </c>
      <c r="P51" s="155">
        <f t="shared" si="25"/>
        <v>843.21917380060188</v>
      </c>
      <c r="Q51" s="155">
        <f t="shared" si="25"/>
        <v>939.85396780457222</v>
      </c>
    </row>
    <row r="52" spans="2:17" s="276" customFormat="1" ht="14.45">
      <c r="B52" s="285" t="s">
        <v>555</v>
      </c>
      <c r="E52" s="278">
        <f>IFERROR(E51/E$48,"")</f>
        <v>0.35798062213156556</v>
      </c>
      <c r="F52" s="278">
        <f t="shared" ref="F52:G52" si="26">IFERROR(F51/F$48,"")</f>
        <v>0.32550103662750524</v>
      </c>
      <c r="G52" s="282">
        <f t="shared" si="26"/>
        <v>0.29280203144838363</v>
      </c>
      <c r="H52" s="304">
        <v>0.35</v>
      </c>
      <c r="I52" s="304">
        <f>(H52+($Q$52-H52)/2)</f>
        <v>0.32499999999999996</v>
      </c>
      <c r="J52" s="304">
        <f t="shared" ref="J52:P52" si="27">(I52+($Q$52-I52)/2)</f>
        <v>0.3125</v>
      </c>
      <c r="K52" s="304">
        <f t="shared" si="27"/>
        <v>0.30625000000000002</v>
      </c>
      <c r="L52" s="304">
        <f t="shared" si="27"/>
        <v>0.30312499999999998</v>
      </c>
      <c r="M52" s="304">
        <f t="shared" si="27"/>
        <v>0.30156249999999996</v>
      </c>
      <c r="N52" s="304">
        <f t="shared" si="27"/>
        <v>0.30078125</v>
      </c>
      <c r="O52" s="304">
        <f t="shared" si="27"/>
        <v>0.30039062500000002</v>
      </c>
      <c r="P52" s="304">
        <f t="shared" si="27"/>
        <v>0.30019531249999998</v>
      </c>
      <c r="Q52" s="304">
        <v>0.3</v>
      </c>
    </row>
    <row r="53" spans="2:17" ht="5.25" customHeight="1">
      <c r="B53" s="150"/>
      <c r="E53" s="152"/>
      <c r="F53" s="152"/>
      <c r="G53" s="153"/>
      <c r="H53" s="158"/>
      <c r="I53" s="158"/>
      <c r="J53" s="158"/>
      <c r="K53" s="158"/>
      <c r="L53" s="158"/>
      <c r="M53" s="158"/>
      <c r="N53" s="158"/>
      <c r="O53" s="158"/>
      <c r="P53" s="158"/>
      <c r="Q53" s="158"/>
    </row>
    <row r="54" spans="2:17" ht="15.6">
      <c r="B54" s="125" t="s">
        <v>301</v>
      </c>
      <c r="E54" s="148">
        <f>+_xlfn.XLOOKUP($B54,Inputs!$B:$B,Inputs!O:O)</f>
        <v>251.79999999999998</v>
      </c>
      <c r="F54" s="148">
        <f>+_xlfn.XLOOKUP($B54,Inputs!$B:$B,Inputs!P:P)</f>
        <v>390.4</v>
      </c>
      <c r="G54" s="268">
        <f>+_xlfn.XLOOKUP($B54,Inputs!$B:$B,Inputs!Q:Q)</f>
        <v>724.09999999999991</v>
      </c>
      <c r="H54" s="155">
        <f>+H48-H51</f>
        <v>850.78500000000008</v>
      </c>
      <c r="I54" s="155">
        <f>+I48-I51</f>
        <v>1010.1018917624791</v>
      </c>
      <c r="J54" s="155">
        <f t="shared" ref="J54:Q54" si="28">+J48-J51</f>
        <v>1157.3759071371339</v>
      </c>
      <c r="K54" s="155">
        <f t="shared" si="28"/>
        <v>1295.7483102843898</v>
      </c>
      <c r="L54" s="155">
        <f t="shared" si="28"/>
        <v>1429.4924767859211</v>
      </c>
      <c r="M54" s="155">
        <f t="shared" si="28"/>
        <v>1561.6114878024455</v>
      </c>
      <c r="N54" s="155">
        <f t="shared" si="28"/>
        <v>1694.2644524640993</v>
      </c>
      <c r="O54" s="155">
        <f t="shared" si="28"/>
        <v>1829.0756683354507</v>
      </c>
      <c r="P54" s="155">
        <f t="shared" si="28"/>
        <v>1965.6826933816246</v>
      </c>
      <c r="Q54" s="155">
        <f t="shared" si="28"/>
        <v>2192.9925915440022</v>
      </c>
    </row>
    <row r="55" spans="2:17" s="276" customFormat="1" ht="14.45">
      <c r="B55" s="276" t="s">
        <v>41</v>
      </c>
      <c r="E55" s="278">
        <f>IFERROR(E54/E$48,"")</f>
        <v>0.64201937786843444</v>
      </c>
      <c r="F55" s="278">
        <f t="shared" ref="F55:Q55" si="29">IFERROR(F54/F$48,"")</f>
        <v>0.67449896337249482</v>
      </c>
      <c r="G55" s="282">
        <f t="shared" si="29"/>
        <v>0.70719796855161632</v>
      </c>
      <c r="H55" s="278">
        <f>IFERROR(H54/H$48,"")</f>
        <v>0.65</v>
      </c>
      <c r="I55" s="278">
        <f>IFERROR(I54/I$48,"")</f>
        <v>0.67500000000000004</v>
      </c>
      <c r="J55" s="278">
        <f t="shared" si="29"/>
        <v>0.6875</v>
      </c>
      <c r="K55" s="278">
        <f t="shared" si="29"/>
        <v>0.69375000000000009</v>
      </c>
      <c r="L55" s="278">
        <f t="shared" si="29"/>
        <v>0.69687500000000002</v>
      </c>
      <c r="M55" s="278">
        <f t="shared" si="29"/>
        <v>0.69843750000000004</v>
      </c>
      <c r="N55" s="278">
        <f t="shared" si="29"/>
        <v>0.69921875</v>
      </c>
      <c r="O55" s="278">
        <f t="shared" si="29"/>
        <v>0.69960937499999998</v>
      </c>
      <c r="P55" s="278">
        <f t="shared" si="29"/>
        <v>0.69980468750000002</v>
      </c>
      <c r="Q55" s="278">
        <f t="shared" si="29"/>
        <v>0.70000000000000007</v>
      </c>
    </row>
    <row r="56" spans="2:17" ht="3.75" customHeight="1">
      <c r="G56" s="156"/>
      <c r="H56" s="130"/>
      <c r="I56" s="130"/>
      <c r="J56" s="130"/>
      <c r="K56" s="130"/>
      <c r="L56" s="130"/>
      <c r="O56" s="130"/>
      <c r="P56" s="130"/>
      <c r="Q56" s="130"/>
    </row>
    <row r="57" spans="2:17" ht="14.25" customHeight="1">
      <c r="B57" s="275" t="s">
        <v>556</v>
      </c>
      <c r="E57" s="148">
        <f>+_xlfn.XLOOKUP($B57,Inputs!$B:$B,Inputs!O:O)</f>
        <v>221.9</v>
      </c>
      <c r="F57" s="148">
        <f>+_xlfn.XLOOKUP($B57,Inputs!$B:$B,Inputs!P:P)</f>
        <v>322.3</v>
      </c>
      <c r="G57" s="268">
        <f>+_xlfn.XLOOKUP($B57,Inputs!$B:$B,Inputs!Q:Q)</f>
        <v>574.4</v>
      </c>
      <c r="H57" s="155">
        <f>IFERROR(G57*(1+H49),"")</f>
        <v>734.28280105479053</v>
      </c>
      <c r="I57" s="155">
        <f t="shared" ref="I57:Q57" si="30">IFERROR(H57*(1+I49),"")</f>
        <v>839.49535961392053</v>
      </c>
      <c r="J57" s="155">
        <f t="shared" si="30"/>
        <v>944.40575135649931</v>
      </c>
      <c r="K57" s="155">
        <f t="shared" si="30"/>
        <v>1047.7907093296919</v>
      </c>
      <c r="L57" s="155">
        <f t="shared" si="30"/>
        <v>1150.7576682887359</v>
      </c>
      <c r="M57" s="155">
        <f t="shared" si="30"/>
        <v>1254.302633939197</v>
      </c>
      <c r="N57" s="155">
        <f t="shared" si="30"/>
        <v>1359.3303748937649</v>
      </c>
      <c r="O57" s="155">
        <f t="shared" si="30"/>
        <v>1466.67179456398</v>
      </c>
      <c r="P57" s="155">
        <f t="shared" si="30"/>
        <v>1575.7722751337735</v>
      </c>
      <c r="Q57" s="155">
        <f t="shared" si="30"/>
        <v>1757.5027480123263</v>
      </c>
    </row>
    <row r="58" spans="2:17" s="276" customFormat="1" ht="14.45">
      <c r="B58" s="285" t="s">
        <v>43</v>
      </c>
      <c r="E58" s="278">
        <f>IFERROR(E57/E$48,"")</f>
        <v>0.56578276389597149</v>
      </c>
      <c r="F58" s="278">
        <f t="shared" ref="F58:G58" si="31">IFERROR(F57/F$48,"")</f>
        <v>0.55684174153420873</v>
      </c>
      <c r="G58" s="283">
        <f t="shared" si="31"/>
        <v>0.56099228440277371</v>
      </c>
      <c r="H58" s="304">
        <f>IFERROR(AVERAGE(E58:G58),"")</f>
        <v>0.56120559661098468</v>
      </c>
      <c r="I58" s="304">
        <f t="shared" ref="I58:P58" si="32">IFERROR(AVERAGE(F58:H58),"")</f>
        <v>0.55967987418265575</v>
      </c>
      <c r="J58" s="304">
        <f t="shared" si="32"/>
        <v>0.5606259183988046</v>
      </c>
      <c r="K58" s="304">
        <f t="shared" si="32"/>
        <v>0.5605037963974816</v>
      </c>
      <c r="L58" s="304">
        <f t="shared" si="32"/>
        <v>0.56026986299298065</v>
      </c>
      <c r="M58" s="304">
        <f t="shared" si="32"/>
        <v>0.56046652592975565</v>
      </c>
      <c r="N58" s="304">
        <f t="shared" si="32"/>
        <v>0.56041339510673926</v>
      </c>
      <c r="O58" s="304">
        <f t="shared" si="32"/>
        <v>0.56038326134315852</v>
      </c>
      <c r="P58" s="304">
        <f t="shared" si="32"/>
        <v>0.56042106079321785</v>
      </c>
      <c r="Q58" s="304">
        <f>IFERROR(AVERAGE(N58:P58),"")</f>
        <v>0.56040590574770521</v>
      </c>
    </row>
    <row r="59" spans="2:17" ht="3.75" customHeight="1">
      <c r="B59" s="150"/>
      <c r="E59" s="152"/>
      <c r="F59" s="152"/>
      <c r="G59" s="153"/>
      <c r="H59" s="151"/>
      <c r="I59" s="151"/>
      <c r="J59" s="151"/>
      <c r="K59" s="151"/>
      <c r="L59" s="151"/>
      <c r="O59" s="130"/>
      <c r="P59" s="130"/>
      <c r="Q59" s="130"/>
    </row>
    <row r="60" spans="2:17" ht="15.6">
      <c r="B60" s="275" t="s">
        <v>308</v>
      </c>
      <c r="E60" s="148">
        <f>+_xlfn.XLOOKUP($B60,Inputs!$B:$B,Inputs!O:O)</f>
        <v>0</v>
      </c>
      <c r="F60" s="148">
        <f>+_xlfn.XLOOKUP($B60,Inputs!$B:$B,Inputs!P:P)</f>
        <v>0</v>
      </c>
      <c r="G60" s="268">
        <f>+_xlfn.XLOOKUP($B60,Inputs!$B:$B,Inputs!Q:Q)</f>
        <v>0</v>
      </c>
      <c r="H60" s="155">
        <f>H61*H$48</f>
        <v>0</v>
      </c>
      <c r="I60" s="155">
        <f t="shared" ref="I60:Q60" si="33">I61*I$48</f>
        <v>0</v>
      </c>
      <c r="J60" s="155">
        <f t="shared" si="33"/>
        <v>0</v>
      </c>
      <c r="K60" s="155">
        <f t="shared" si="33"/>
        <v>0</v>
      </c>
      <c r="L60" s="155">
        <f t="shared" si="33"/>
        <v>0</v>
      </c>
      <c r="M60" s="155">
        <f t="shared" si="33"/>
        <v>0</v>
      </c>
      <c r="N60" s="155">
        <f t="shared" si="33"/>
        <v>0</v>
      </c>
      <c r="O60" s="155">
        <f t="shared" si="33"/>
        <v>0</v>
      </c>
      <c r="P60" s="155">
        <f t="shared" si="33"/>
        <v>0</v>
      </c>
      <c r="Q60" s="155">
        <f t="shared" si="33"/>
        <v>0</v>
      </c>
    </row>
    <row r="61" spans="2:17" s="276" customFormat="1" ht="14.45">
      <c r="B61" s="285" t="s">
        <v>555</v>
      </c>
      <c r="E61" s="278">
        <f>IFERROR(E60/E48,"")</f>
        <v>0</v>
      </c>
      <c r="F61" s="278">
        <f>IFERROR(F60/F48,"")</f>
        <v>0</v>
      </c>
      <c r="G61" s="283">
        <f>IFERROR(G60/G48,"")</f>
        <v>0</v>
      </c>
      <c r="H61" s="304">
        <v>0</v>
      </c>
      <c r="I61" s="304">
        <v>0</v>
      </c>
      <c r="J61" s="304">
        <v>0</v>
      </c>
      <c r="K61" s="304">
        <v>0</v>
      </c>
      <c r="L61" s="304">
        <v>0</v>
      </c>
      <c r="M61" s="304">
        <v>0</v>
      </c>
      <c r="N61" s="304">
        <v>0</v>
      </c>
      <c r="O61" s="304">
        <v>0</v>
      </c>
      <c r="P61" s="304">
        <v>0</v>
      </c>
      <c r="Q61" s="304">
        <v>0</v>
      </c>
    </row>
    <row r="62" spans="2:17" s="242" customFormat="1" ht="5.25" customHeight="1">
      <c r="B62" s="269"/>
      <c r="E62" s="270"/>
      <c r="F62" s="270"/>
      <c r="G62" s="271"/>
      <c r="H62" s="272"/>
      <c r="I62" s="272"/>
      <c r="J62" s="272"/>
      <c r="K62" s="272"/>
      <c r="L62" s="272"/>
      <c r="O62" s="273"/>
      <c r="P62" s="273"/>
      <c r="Q62" s="273"/>
    </row>
    <row r="63" spans="2:17" ht="15.6">
      <c r="B63" s="474" t="s">
        <v>557</v>
      </c>
      <c r="E63" s="148">
        <f>+_xlfn.XLOOKUP($B63,Inputs!$B:$B,Inputs!O:O)</f>
        <v>0.5</v>
      </c>
      <c r="F63" s="148">
        <f>+_xlfn.XLOOKUP($B63,Inputs!$B:$B,Inputs!P:P)</f>
        <v>0</v>
      </c>
      <c r="G63" s="268">
        <f>+_xlfn.XLOOKUP($B63,Inputs!$B:$B,Inputs!Q:Q)</f>
        <v>0</v>
      </c>
      <c r="H63" s="155">
        <f>IFERROR(AVERAGE(E63:G63)*(1+H49),"")</f>
        <v>0.21305791581209102</v>
      </c>
      <c r="I63" s="155">
        <f t="shared" ref="I63:Q63" si="34">IFERROR(AVERAGE(F63:H63)*(1+I49),"")</f>
        <v>8.1195388387295009E-2</v>
      </c>
      <c r="J63" s="155">
        <f t="shared" si="34"/>
        <v>0.11034188958842922</v>
      </c>
      <c r="K63" s="155">
        <f>IFERROR(AVERAGE(H63:J63)*(1+K49),"")</f>
        <v>0.1496288660819797</v>
      </c>
      <c r="L63" s="155">
        <f t="shared" si="34"/>
        <v>0.12489757510386207</v>
      </c>
      <c r="M63" s="155">
        <f t="shared" si="34"/>
        <v>0.13983290438777415</v>
      </c>
      <c r="N63" s="155">
        <f t="shared" si="34"/>
        <v>0.14968509973025176</v>
      </c>
      <c r="O63" s="155">
        <f t="shared" si="34"/>
        <v>0.1490468278839473</v>
      </c>
      <c r="P63" s="155">
        <f t="shared" si="34"/>
        <v>0.15706270157118049</v>
      </c>
      <c r="Q63" s="155">
        <f t="shared" si="34"/>
        <v>0.16945348554135861</v>
      </c>
    </row>
    <row r="64" spans="2:17" ht="5.25" customHeight="1">
      <c r="B64" s="196"/>
      <c r="E64" s="148"/>
      <c r="F64" s="148"/>
      <c r="G64" s="268"/>
      <c r="H64" s="158"/>
      <c r="I64" s="158"/>
      <c r="J64" s="158"/>
      <c r="K64" s="158"/>
      <c r="L64" s="158"/>
      <c r="O64" s="157"/>
      <c r="P64" s="157"/>
      <c r="Q64" s="157"/>
    </row>
    <row r="65" spans="1:17" ht="15.6">
      <c r="B65" s="196" t="s">
        <v>245</v>
      </c>
      <c r="E65" s="148">
        <f>+_xlfn.XLOOKUP($B65,Inputs!$B:$B,Inputs!O:O)</f>
        <v>29.399999999999977</v>
      </c>
      <c r="F65" s="148">
        <f>+_xlfn.XLOOKUP($B65,Inputs!$B:$B,Inputs!P:P)</f>
        <v>68.099999999999966</v>
      </c>
      <c r="G65" s="268">
        <f>+_xlfn.XLOOKUP($B65,Inputs!$B:$B,Inputs!Q:Q)</f>
        <v>149.69999999999993</v>
      </c>
      <c r="H65" s="155">
        <f>IFERROR(H54-H57-H60-H63,"")</f>
        <v>116.28914102939747</v>
      </c>
      <c r="I65" s="155">
        <f t="shared" ref="I65:Q65" si="35">IFERROR(I54-I57-I60-I63,"")</f>
        <v>170.52533676017129</v>
      </c>
      <c r="J65" s="155">
        <f t="shared" si="35"/>
        <v>212.8598138910462</v>
      </c>
      <c r="K65" s="155">
        <f t="shared" si="35"/>
        <v>247.80797208861594</v>
      </c>
      <c r="L65" s="155">
        <f t="shared" si="35"/>
        <v>278.60991092208133</v>
      </c>
      <c r="M65" s="155">
        <f t="shared" si="35"/>
        <v>307.1690209588607</v>
      </c>
      <c r="N65" s="155">
        <f t="shared" si="35"/>
        <v>334.78439247060419</v>
      </c>
      <c r="O65" s="155">
        <f t="shared" si="35"/>
        <v>362.25482694358675</v>
      </c>
      <c r="P65" s="155">
        <f t="shared" si="35"/>
        <v>389.75335554627992</v>
      </c>
      <c r="Q65" s="155">
        <f t="shared" si="35"/>
        <v>435.32039004613455</v>
      </c>
    </row>
    <row r="66" spans="1:17" s="276" customFormat="1" ht="14.45">
      <c r="B66" s="276" t="s">
        <v>39</v>
      </c>
      <c r="E66" s="278">
        <f>IFERROR(E65/E$48,"")</f>
        <v>7.4961754207037171E-2</v>
      </c>
      <c r="F66" s="278">
        <f t="shared" ref="F66:Q66" si="36">IFERROR(F65/F$48,"")</f>
        <v>0.11765722183828606</v>
      </c>
      <c r="G66" s="282">
        <f t="shared" si="36"/>
        <v>0.14620568414884261</v>
      </c>
      <c r="H66" s="278">
        <f>IFERROR(H65/H$48,"")</f>
        <v>8.8844939284435376E-2</v>
      </c>
      <c r="I66" s="278">
        <f t="shared" si="36"/>
        <v>0.11395345682629605</v>
      </c>
      <c r="J66" s="278">
        <f t="shared" si="36"/>
        <v>0.12644217073092637</v>
      </c>
      <c r="K66" s="278">
        <f t="shared" si="36"/>
        <v>0.13267760356850875</v>
      </c>
      <c r="L66" s="278">
        <f t="shared" si="36"/>
        <v>0.13582182825499542</v>
      </c>
      <c r="M66" s="278">
        <f t="shared" si="36"/>
        <v>0.13738267472523541</v>
      </c>
      <c r="N66" s="278">
        <f t="shared" si="36"/>
        <v>0.13816469092670494</v>
      </c>
      <c r="O66" s="278">
        <f t="shared" si="36"/>
        <v>0.13856008116896332</v>
      </c>
      <c r="P66" s="278">
        <f t="shared" si="36"/>
        <v>0.13875648704568819</v>
      </c>
      <c r="Q66" s="278">
        <f t="shared" si="36"/>
        <v>0.13895362629462851</v>
      </c>
    </row>
    <row r="67" spans="1:17" ht="3.75" customHeight="1">
      <c r="B67" s="150"/>
      <c r="E67" s="152"/>
      <c r="F67" s="152"/>
      <c r="G67" s="160"/>
      <c r="H67" s="152"/>
      <c r="I67" s="152"/>
      <c r="J67" s="152"/>
      <c r="K67" s="152"/>
      <c r="L67" s="152"/>
      <c r="O67" s="157"/>
      <c r="P67" s="157"/>
      <c r="Q67" s="157"/>
    </row>
    <row r="68" spans="1:17" ht="13.5" customHeight="1">
      <c r="B68" s="275" t="s">
        <v>558</v>
      </c>
      <c r="E68" s="148">
        <f>+_xlfn.XLOOKUP($B68,Inputs!$B:$B,Inputs!O:O)</f>
        <v>27.1</v>
      </c>
      <c r="F68" s="148">
        <f>+_xlfn.XLOOKUP($B68,Inputs!$B:$B,Inputs!P:P)</f>
        <v>22.2</v>
      </c>
      <c r="G68" s="268">
        <f>+_xlfn.XLOOKUP($B68,Inputs!$B:$B,Inputs!Q:Q)</f>
        <v>35.9</v>
      </c>
      <c r="H68" s="172">
        <f>H69*(H117+H123)</f>
        <v>37.284731668128309</v>
      </c>
      <c r="I68" s="172">
        <f>I69*(I117+I123)</f>
        <v>38.129056062583771</v>
      </c>
      <c r="J68" s="172">
        <f t="shared" ref="J68:Q68" si="37">J69*(J117+J123)</f>
        <v>39.336933070693604</v>
      </c>
      <c r="K68" s="172">
        <f t="shared" si="37"/>
        <v>40.749709577367838</v>
      </c>
      <c r="L68" s="172">
        <f t="shared" si="37"/>
        <v>42.10108010696797</v>
      </c>
      <c r="M68" s="172">
        <f>M69*(M117+M123)</f>
        <v>71.817938077715354</v>
      </c>
      <c r="N68" s="172">
        <f t="shared" si="37"/>
        <v>73.494068962843755</v>
      </c>
      <c r="O68" s="172">
        <f t="shared" si="37"/>
        <v>75.224393162067273</v>
      </c>
      <c r="P68" s="172">
        <f t="shared" si="37"/>
        <v>77.050746050651227</v>
      </c>
      <c r="Q68" s="172">
        <f t="shared" si="37"/>
        <v>78.207964430244374</v>
      </c>
    </row>
    <row r="69" spans="1:17" ht="13.5" customHeight="1">
      <c r="B69" s="285" t="s">
        <v>559</v>
      </c>
      <c r="E69" s="296">
        <f>IFERROR(E68/AVERAGE(Inputs!O39+Inputs!O42+Inputs!O44,Inputs!N39+Inputs!N42+Inputs!N44),"")</f>
        <v>0.12966879431945416</v>
      </c>
      <c r="F69" s="296">
        <f>IFERROR(F68/AVERAGE(Inputs!P39+Inputs!P42+Inputs!P44,Inputs!O39+Inputs!O42+Inputs!O44),"")</f>
        <v>0.11057070922144772</v>
      </c>
      <c r="G69" s="282">
        <f>IFERROR(G68/AVERAGE(Inputs!Q39+Inputs!Q42+Inputs!Q44,Inputs!P39+Inputs!P42+Inputs!P44),"")</f>
        <v>0.12301682486379054</v>
      </c>
      <c r="H69" s="152">
        <v>0.13</v>
      </c>
      <c r="I69" s="152">
        <f t="shared" ref="I69:P69" si="38">H69+($Q$69-H69)/5</f>
        <v>0.128</v>
      </c>
      <c r="J69" s="152">
        <f t="shared" si="38"/>
        <v>0.12640000000000001</v>
      </c>
      <c r="K69" s="152">
        <f t="shared" si="38"/>
        <v>0.12512000000000001</v>
      </c>
      <c r="L69" s="152">
        <f t="shared" si="38"/>
        <v>0.12409600000000001</v>
      </c>
      <c r="M69" s="152">
        <f t="shared" si="38"/>
        <v>0.12327680000000001</v>
      </c>
      <c r="N69" s="152">
        <f t="shared" si="38"/>
        <v>0.12262144</v>
      </c>
      <c r="O69" s="152">
        <f t="shared" si="38"/>
        <v>0.122097152</v>
      </c>
      <c r="P69" s="152">
        <f t="shared" si="38"/>
        <v>0.1216777216</v>
      </c>
      <c r="Q69" s="152">
        <v>0.12</v>
      </c>
    </row>
    <row r="70" spans="1:17" ht="5.25" customHeight="1">
      <c r="B70" s="150"/>
      <c r="E70" s="152"/>
      <c r="F70" s="152"/>
      <c r="G70" s="160"/>
      <c r="H70" s="152"/>
      <c r="I70" s="152"/>
      <c r="J70" s="152"/>
      <c r="K70" s="152"/>
      <c r="L70" s="152"/>
      <c r="O70" s="157"/>
      <c r="P70" s="157"/>
      <c r="Q70" s="157"/>
    </row>
    <row r="71" spans="1:17" s="150" customFormat="1" ht="15.6">
      <c r="A71" s="755"/>
      <c r="B71" s="299" t="s">
        <v>560</v>
      </c>
      <c r="E71" s="300">
        <f>+_xlfn.XLOOKUP($B71,Inputs!$B:$B,Inputs!O:O)</f>
        <v>0</v>
      </c>
      <c r="F71" s="300">
        <f>+_xlfn.XLOOKUP($B71,Inputs!$B:$B,Inputs!P:P)</f>
        <v>0</v>
      </c>
      <c r="G71" s="301">
        <f>+_xlfn.XLOOKUP($B71,Inputs!$B:$B,Inputs!Q:Q)</f>
        <v>0</v>
      </c>
      <c r="H71" s="302">
        <f>IFERROR(H72*(G118+G119),"")</f>
        <v>0</v>
      </c>
      <c r="I71" s="302">
        <f>IFERROR(I72*(H118+H119),"")</f>
        <v>0</v>
      </c>
      <c r="J71" s="302">
        <f t="shared" ref="J71:Q71" si="39">IFERROR(J72*(I118+I119),"")</f>
        <v>0</v>
      </c>
      <c r="K71" s="302">
        <f t="shared" si="39"/>
        <v>0</v>
      </c>
      <c r="L71" s="302">
        <f t="shared" si="39"/>
        <v>0</v>
      </c>
      <c r="M71" s="302">
        <f t="shared" si="39"/>
        <v>0</v>
      </c>
      <c r="N71" s="302">
        <f t="shared" si="39"/>
        <v>0</v>
      </c>
      <c r="O71" s="302">
        <f t="shared" si="39"/>
        <v>0</v>
      </c>
      <c r="P71" s="302">
        <f t="shared" si="39"/>
        <v>0</v>
      </c>
      <c r="Q71" s="302">
        <f t="shared" si="39"/>
        <v>0</v>
      </c>
    </row>
    <row r="72" spans="1:17" s="276" customFormat="1" ht="14.45">
      <c r="A72" s="756"/>
      <c r="B72" s="298" t="s">
        <v>561</v>
      </c>
      <c r="E72" s="296">
        <f>IFERROR(E71/AVERAGE(Inputs!O40+Inputs!O42,Inputs!N40+Inputs!N42),"")</f>
        <v>0</v>
      </c>
      <c r="F72" s="296">
        <f>IFERROR(F71/AVERAGE(Inputs!P40+Inputs!P42,Inputs!O40+Inputs!O42),"")</f>
        <v>0</v>
      </c>
      <c r="G72" s="282">
        <f>IFERROR(G71/AVERAGE(Inputs!Q40+Inputs!Q42,Inputs!P40+Inputs!P42),"")</f>
        <v>0</v>
      </c>
      <c r="H72" s="304">
        <f>IFERROR(AVERAGE(E72:G72),"")</f>
        <v>0</v>
      </c>
      <c r="I72" s="304">
        <f>IFERROR(AVERAGE(F72:H72),"")</f>
        <v>0</v>
      </c>
      <c r="J72" s="304">
        <f t="shared" ref="J72:Q72" si="40">IFERROR(AVERAGE(G72:I72),"")</f>
        <v>0</v>
      </c>
      <c r="K72" s="304">
        <f t="shared" si="40"/>
        <v>0</v>
      </c>
      <c r="L72" s="304">
        <f t="shared" si="40"/>
        <v>0</v>
      </c>
      <c r="M72" s="304">
        <f t="shared" si="40"/>
        <v>0</v>
      </c>
      <c r="N72" s="304">
        <f t="shared" si="40"/>
        <v>0</v>
      </c>
      <c r="O72" s="304">
        <f t="shared" si="40"/>
        <v>0</v>
      </c>
      <c r="P72" s="304">
        <f t="shared" si="40"/>
        <v>0</v>
      </c>
      <c r="Q72" s="304">
        <f t="shared" si="40"/>
        <v>0</v>
      </c>
    </row>
    <row r="73" spans="1:17" ht="3.75" customHeight="1">
      <c r="A73" s="757"/>
      <c r="B73" s="150"/>
      <c r="E73" s="152"/>
      <c r="F73" s="152"/>
      <c r="G73" s="160"/>
      <c r="H73" s="158"/>
      <c r="I73" s="158"/>
      <c r="J73" s="158"/>
      <c r="K73" s="158"/>
      <c r="L73" s="158"/>
      <c r="M73" s="158"/>
      <c r="N73" s="158"/>
      <c r="O73" s="158"/>
      <c r="P73" s="158"/>
      <c r="Q73" s="158"/>
    </row>
    <row r="74" spans="1:17" s="150" customFormat="1" ht="15.6">
      <c r="A74" s="755"/>
      <c r="B74" s="299" t="s">
        <v>562</v>
      </c>
      <c r="E74" s="300">
        <f>+_xlfn.XLOOKUP($B74,Inputs!$B:$B,Inputs!O:O)</f>
        <v>0</v>
      </c>
      <c r="F74" s="300">
        <f>+_xlfn.XLOOKUP($B74,Inputs!$B:$B,Inputs!P:P)</f>
        <v>0</v>
      </c>
      <c r="G74" s="301">
        <f>+_xlfn.XLOOKUP($B74,Inputs!$B:$B,Inputs!Q:Q)</f>
        <v>0</v>
      </c>
      <c r="H74" s="172">
        <f t="shared" ref="H74:Q74" si="41">+H75*G123</f>
        <v>0</v>
      </c>
      <c r="I74" s="172">
        <f t="shared" si="41"/>
        <v>0</v>
      </c>
      <c r="J74" s="172">
        <f t="shared" si="41"/>
        <v>0</v>
      </c>
      <c r="K74" s="172">
        <f t="shared" si="41"/>
        <v>0</v>
      </c>
      <c r="L74" s="172">
        <f t="shared" si="41"/>
        <v>0</v>
      </c>
      <c r="M74" s="172">
        <f t="shared" si="41"/>
        <v>0</v>
      </c>
      <c r="N74" s="172">
        <f t="shared" si="41"/>
        <v>0</v>
      </c>
      <c r="O74" s="172">
        <f t="shared" si="41"/>
        <v>0</v>
      </c>
      <c r="P74" s="172">
        <f t="shared" si="41"/>
        <v>0</v>
      </c>
      <c r="Q74" s="172">
        <f t="shared" si="41"/>
        <v>0</v>
      </c>
    </row>
    <row r="75" spans="1:17" s="276" customFormat="1" ht="14.45">
      <c r="A75" s="756"/>
      <c r="B75" s="298" t="s">
        <v>563</v>
      </c>
      <c r="E75" s="278">
        <f>IFERROR(E74/AVERAGE(Inputs!N45:O45),"")</f>
        <v>0</v>
      </c>
      <c r="F75" s="278">
        <f>IFERROR(F74/AVERAGE(Inputs!O45:P45),"")</f>
        <v>0</v>
      </c>
      <c r="G75" s="282">
        <f>IFERROR(G74/AVERAGE(Inputs!P45:Q45),"")</f>
        <v>0</v>
      </c>
      <c r="H75" s="304">
        <v>0</v>
      </c>
      <c r="I75" s="304">
        <v>0</v>
      </c>
      <c r="J75" s="304">
        <v>0</v>
      </c>
      <c r="K75" s="304">
        <v>0</v>
      </c>
      <c r="L75" s="304">
        <v>0</v>
      </c>
      <c r="M75" s="304">
        <v>0</v>
      </c>
      <c r="N75" s="304">
        <v>0</v>
      </c>
      <c r="O75" s="304">
        <v>0</v>
      </c>
      <c r="P75" s="304">
        <v>0</v>
      </c>
      <c r="Q75" s="304">
        <v>0</v>
      </c>
    </row>
    <row r="76" spans="1:17" ht="3.95" customHeight="1">
      <c r="G76" s="156"/>
    </row>
    <row r="77" spans="1:17" ht="15.6">
      <c r="B77" s="125" t="s">
        <v>302</v>
      </c>
      <c r="E77" s="148">
        <f>+_xlfn.XLOOKUP($B77,Inputs!$B:$B,Inputs!O:O)</f>
        <v>2.2999999999999758</v>
      </c>
      <c r="F77" s="148">
        <f>+_xlfn.XLOOKUP($B77,Inputs!$B:$B,Inputs!P:P)</f>
        <v>45.899999999999963</v>
      </c>
      <c r="G77" s="268">
        <f>+_xlfn.XLOOKUP($B77,Inputs!$B:$B,Inputs!Q:Q)</f>
        <v>113.79999999999993</v>
      </c>
      <c r="H77" s="159">
        <f>+IFERROR(H65-H68,"")</f>
        <v>79.004409361269154</v>
      </c>
      <c r="I77" s="159">
        <f>+IFERROR(I65-I68,"")</f>
        <v>132.39628069758751</v>
      </c>
      <c r="J77" s="159">
        <f t="shared" ref="J77:Q77" si="42">+IFERROR(J65-J68,"")</f>
        <v>173.52288082035261</v>
      </c>
      <c r="K77" s="159">
        <f t="shared" si="42"/>
        <v>207.0582625112481</v>
      </c>
      <c r="L77" s="159">
        <f t="shared" si="42"/>
        <v>236.50883081511336</v>
      </c>
      <c r="M77" s="159">
        <f t="shared" si="42"/>
        <v>235.35108288114535</v>
      </c>
      <c r="N77" s="159">
        <f t="shared" si="42"/>
        <v>261.29032350776043</v>
      </c>
      <c r="O77" s="159">
        <f t="shared" si="42"/>
        <v>287.03043378151949</v>
      </c>
      <c r="P77" s="159">
        <f t="shared" si="42"/>
        <v>312.70260949562868</v>
      </c>
      <c r="Q77" s="159">
        <f t="shared" si="42"/>
        <v>357.11242561589017</v>
      </c>
    </row>
    <row r="78" spans="1:17" s="286" customFormat="1" ht="14.45">
      <c r="B78" s="276" t="s">
        <v>256</v>
      </c>
      <c r="E78" s="278">
        <f>IFERROR(E77/E$48,"")</f>
        <v>5.8643549209586327E-3</v>
      </c>
      <c r="F78" s="278">
        <f t="shared" ref="F78:G78" si="43">IFERROR(F77/F$48,"")</f>
        <v>7.9302004146509966E-2</v>
      </c>
      <c r="G78" s="282">
        <f t="shared" si="43"/>
        <v>0.11114366637366924</v>
      </c>
      <c r="H78" s="278">
        <f t="shared" ref="H78:Q78" si="44">IFERROR(H77/H48,"")</f>
        <v>6.0359392895766785E-2</v>
      </c>
      <c r="I78" s="278">
        <f t="shared" si="44"/>
        <v>8.8473737352316478E-2</v>
      </c>
      <c r="J78" s="278">
        <f t="shared" si="44"/>
        <v>0.10307539653135123</v>
      </c>
      <c r="K78" s="278">
        <f t="shared" si="44"/>
        <v>0.11086000921402006</v>
      </c>
      <c r="L78" s="278">
        <f t="shared" si="44"/>
        <v>0.11529762776006894</v>
      </c>
      <c r="M78" s="278">
        <f t="shared" si="44"/>
        <v>0.10526179093438823</v>
      </c>
      <c r="N78" s="278">
        <f t="shared" si="44"/>
        <v>0.10783387039991219</v>
      </c>
      <c r="O78" s="278">
        <f t="shared" si="44"/>
        <v>0.10978724711078466</v>
      </c>
      <c r="P78" s="278">
        <f t="shared" si="44"/>
        <v>0.11132557286855982</v>
      </c>
      <c r="Q78" s="278">
        <f t="shared" si="44"/>
        <v>0.11398975942509805</v>
      </c>
    </row>
    <row r="79" spans="1:17" customFormat="1" ht="3.75" customHeight="1">
      <c r="B79" s="125"/>
      <c r="E79" s="278"/>
      <c r="F79" s="278"/>
      <c r="G79" s="283"/>
      <c r="H79" s="103"/>
      <c r="I79" s="103"/>
      <c r="J79" s="103"/>
      <c r="K79" s="103"/>
      <c r="L79" s="103"/>
      <c r="M79" s="103"/>
      <c r="N79" s="103"/>
      <c r="O79" s="103"/>
      <c r="P79" s="103"/>
      <c r="Q79" s="103"/>
    </row>
    <row r="80" spans="1:17" customFormat="1" ht="13.5" customHeight="1">
      <c r="B80" s="275" t="s">
        <v>303</v>
      </c>
      <c r="E80" s="148">
        <f>+_xlfn.XLOOKUP($B80,Inputs!$B:$B,Inputs!O:O)</f>
        <v>2.4</v>
      </c>
      <c r="F80" s="148">
        <f>+_xlfn.XLOOKUP($B80,Inputs!$B:$B,Inputs!P:P)</f>
        <v>2</v>
      </c>
      <c r="G80" s="268">
        <f>+_xlfn.XLOOKUP($B80,Inputs!$B:$B,Inputs!Q:Q)</f>
        <v>7</v>
      </c>
      <c r="H80" s="159">
        <f t="shared" ref="H80:Q80" si="45">H83-H86</f>
        <v>7.3640000000000017</v>
      </c>
      <c r="I80" s="159">
        <f t="shared" si="45"/>
        <v>7.8141236565328986</v>
      </c>
      <c r="J80" s="159">
        <f t="shared" si="45"/>
        <v>5.2884555791235526</v>
      </c>
      <c r="K80" s="159">
        <f t="shared" si="45"/>
        <v>3.1193703863535029</v>
      </c>
      <c r="L80" s="159">
        <f t="shared" si="45"/>
        <v>1.2987354636101296</v>
      </c>
      <c r="M80" s="159">
        <f t="shared" si="45"/>
        <v>0.80593546395622839</v>
      </c>
      <c r="N80" s="159">
        <f t="shared" si="45"/>
        <v>0.76121303358640302</v>
      </c>
      <c r="O80" s="159">
        <f t="shared" si="45"/>
        <v>0.72543508929054279</v>
      </c>
      <c r="P80" s="159">
        <f t="shared" si="45"/>
        <v>0.69681273385385456</v>
      </c>
      <c r="Q80" s="159">
        <f t="shared" si="45"/>
        <v>0.58232331210710153</v>
      </c>
    </row>
    <row r="81" spans="2:17" customFormat="1" ht="13.5" customHeight="1">
      <c r="B81" s="298" t="s">
        <v>564</v>
      </c>
      <c r="E81" s="296">
        <f>IFERROR(E80/AVERAGE(Inputs!N115:O115),"")</f>
        <v>3.2967032967032961E-2</v>
      </c>
      <c r="F81" s="296">
        <f>IFERROR(F80/AVERAGE(Inputs!O115:P115),"")</f>
        <v>0.16949152542372875</v>
      </c>
      <c r="G81" s="282">
        <f>IFERROR(G80/AVERAGE(Inputs!P115:Q115),"")</f>
        <v>0.37037037037037024</v>
      </c>
      <c r="H81" s="296">
        <f>IFERROR(H80/AVERAGE(G134+G136,H134+H136),"")</f>
        <v>3.8151485132608964E-2</v>
      </c>
      <c r="I81" s="296">
        <f t="shared" ref="I81:Q81" si="46">IFERROR(I80/AVERAGE(H134+H136,I134+I136),"")</f>
        <v>3.8594548010142143E-2</v>
      </c>
      <c r="J81" s="296">
        <f t="shared" si="46"/>
        <v>2.8058136121651589E-2</v>
      </c>
      <c r="K81" s="296">
        <f t="shared" si="46"/>
        <v>2.0255439462605645E-2</v>
      </c>
      <c r="L81" s="296">
        <f t="shared" si="46"/>
        <v>1.0770128433299459E-2</v>
      </c>
      <c r="M81" s="296">
        <f t="shared" si="46"/>
        <v>8.1900038034623743E-3</v>
      </c>
      <c r="N81" s="296">
        <f t="shared" si="46"/>
        <v>7.6803658850249402E-3</v>
      </c>
      <c r="O81" s="296">
        <f t="shared" si="46"/>
        <v>6.8976973405408823E-3</v>
      </c>
      <c r="P81" s="296">
        <f t="shared" si="46"/>
        <v>6.2619713710801951E-3</v>
      </c>
      <c r="Q81" s="296">
        <f t="shared" si="46"/>
        <v>4.8588568623636579E-3</v>
      </c>
    </row>
    <row r="82" spans="2:17" customFormat="1" ht="3.75" customHeight="1">
      <c r="B82" s="125"/>
      <c r="E82" s="278"/>
      <c r="F82" s="278"/>
      <c r="G82" s="282"/>
      <c r="H82" s="103"/>
      <c r="I82" s="103"/>
      <c r="J82" s="103"/>
      <c r="K82" s="103"/>
      <c r="L82" s="103"/>
      <c r="M82" s="103"/>
      <c r="N82" s="103"/>
      <c r="O82" s="103"/>
      <c r="P82" s="103"/>
      <c r="Q82" s="103"/>
    </row>
    <row r="83" spans="2:17" customFormat="1" ht="15.6">
      <c r="B83" s="297" t="s">
        <v>565</v>
      </c>
      <c r="E83" s="148">
        <f>+_xlfn.XLOOKUP($B83,Inputs!$B:$B,Inputs!O:O)</f>
        <v>2.4</v>
      </c>
      <c r="F83" s="148">
        <f>+_xlfn.XLOOKUP($B83,Inputs!$B:$B,Inputs!P:P)</f>
        <v>2</v>
      </c>
      <c r="G83" s="268">
        <f>+_xlfn.XLOOKUP($B83,Inputs!$B:$B,Inputs!Q:Q)</f>
        <v>7</v>
      </c>
      <c r="H83" s="159">
        <f>H134*H84</f>
        <v>7.3640000000000017</v>
      </c>
      <c r="I83" s="159">
        <f t="shared" ref="I83:Q83" si="47">I134*I84</f>
        <v>7.8141236565328986</v>
      </c>
      <c r="J83" s="159">
        <f t="shared" si="47"/>
        <v>5.2884555791235526</v>
      </c>
      <c r="K83" s="159">
        <f>K134*K84</f>
        <v>3.1193703863535029</v>
      </c>
      <c r="L83" s="159">
        <f t="shared" si="47"/>
        <v>1.2987354636101296</v>
      </c>
      <c r="M83" s="159">
        <f t="shared" si="47"/>
        <v>0.80593546395622839</v>
      </c>
      <c r="N83" s="159">
        <f t="shared" si="47"/>
        <v>0.76121303358640302</v>
      </c>
      <c r="O83" s="159">
        <f t="shared" si="47"/>
        <v>0.72543508929054279</v>
      </c>
      <c r="P83" s="159">
        <f t="shared" si="47"/>
        <v>0.69681273385385456</v>
      </c>
      <c r="Q83" s="159">
        <f t="shared" si="47"/>
        <v>0.58232331210710153</v>
      </c>
    </row>
    <row r="84" spans="2:17" s="286" customFormat="1" ht="14.45">
      <c r="B84" s="298" t="s">
        <v>566</v>
      </c>
      <c r="E84" s="296">
        <f>+IFERROR(E83/AVERAGE(Inputs!N112:O112),"")</f>
        <v>1.9448946515397081E-2</v>
      </c>
      <c r="F84" s="296">
        <f>+IFERROR(F83/AVERAGE(Inputs!O112:P112),"")</f>
        <v>2.1299254526091587E-2</v>
      </c>
      <c r="G84" s="282">
        <f>+IFERROR(G83/AVERAGE(Inputs!P112:Q112),"")</f>
        <v>5.2473763118440778E-2</v>
      </c>
      <c r="H84" s="306">
        <v>0.05</v>
      </c>
      <c r="I84" s="306">
        <f>H84+(K84-H84)/5</f>
        <v>4.8000000000000001E-2</v>
      </c>
      <c r="J84" s="306">
        <f>I84+(K84-I84)/5</f>
        <v>4.6400000000000004E-2</v>
      </c>
      <c r="K84" s="306">
        <v>0.04</v>
      </c>
      <c r="L84" s="306">
        <f>K84+($Q$84-K84)/5</f>
        <v>3.6999999999999998E-2</v>
      </c>
      <c r="M84" s="306">
        <f t="shared" ref="M84:P84" si="48">L84+($Q$84-L84)/5</f>
        <v>3.4599999999999999E-2</v>
      </c>
      <c r="N84" s="306">
        <f t="shared" si="48"/>
        <v>3.2680000000000001E-2</v>
      </c>
      <c r="O84" s="306">
        <f t="shared" si="48"/>
        <v>3.1144000000000002E-2</v>
      </c>
      <c r="P84" s="306">
        <f t="shared" si="48"/>
        <v>2.9915200000000003E-2</v>
      </c>
      <c r="Q84" s="306">
        <v>2.5000000000000001E-2</v>
      </c>
    </row>
    <row r="85" spans="2:17" customFormat="1" ht="3.75" customHeight="1">
      <c r="B85" s="257"/>
      <c r="E85" s="278"/>
      <c r="F85" s="278"/>
      <c r="G85" s="283"/>
      <c r="H85" s="103"/>
      <c r="I85" s="103"/>
      <c r="J85" s="103"/>
      <c r="K85" s="103"/>
      <c r="L85" s="103"/>
      <c r="M85" s="103"/>
      <c r="N85" s="103"/>
      <c r="O85" s="103"/>
      <c r="P85" s="103"/>
      <c r="Q85" s="103"/>
    </row>
    <row r="86" spans="2:17" customFormat="1" ht="15.6">
      <c r="B86" s="297" t="s">
        <v>567</v>
      </c>
      <c r="E86" s="148">
        <f>+_xlfn.XLOOKUP($B86,Inputs!$B:$B,Inputs!O:O)</f>
        <v>0</v>
      </c>
      <c r="F86" s="148">
        <f>+_xlfn.XLOOKUP($B86,Inputs!$B:$B,Inputs!P:P)</f>
        <v>0</v>
      </c>
      <c r="G86" s="268">
        <f>+_xlfn.XLOOKUP($B86,Inputs!$B:$B,Inputs!Q:Q)</f>
        <v>0</v>
      </c>
      <c r="H86" s="159">
        <v>0</v>
      </c>
      <c r="I86" s="159">
        <v>0</v>
      </c>
      <c r="J86" s="159">
        <v>0</v>
      </c>
      <c r="K86" s="159">
        <v>0</v>
      </c>
      <c r="L86" s="159">
        <v>0</v>
      </c>
      <c r="M86" s="159">
        <v>0</v>
      </c>
      <c r="N86" s="159">
        <v>0</v>
      </c>
      <c r="O86" s="159">
        <v>0</v>
      </c>
      <c r="P86" s="159">
        <v>0</v>
      </c>
      <c r="Q86" s="159">
        <v>0</v>
      </c>
    </row>
    <row r="87" spans="2:17" s="286" customFormat="1" ht="14.45">
      <c r="B87" s="298" t="s">
        <v>568</v>
      </c>
      <c r="E87" s="278">
        <f>IFERROR(E86/+AVERAGE(Inputs!N32:O32),"")</f>
        <v>0</v>
      </c>
      <c r="F87" s="278">
        <f>IFERROR(F86/+AVERAGE(Inputs!O32:P32),"")</f>
        <v>0</v>
      </c>
      <c r="G87" s="282">
        <f>IFERROR(G86/+AVERAGE(Inputs!P32:Q32),"")</f>
        <v>0</v>
      </c>
      <c r="H87" s="306">
        <v>0</v>
      </c>
      <c r="I87" s="306">
        <v>0</v>
      </c>
      <c r="J87" s="306">
        <v>0</v>
      </c>
      <c r="K87" s="306">
        <v>0</v>
      </c>
      <c r="L87" s="306">
        <v>0</v>
      </c>
      <c r="M87" s="306">
        <v>0</v>
      </c>
      <c r="N87" s="306">
        <v>0</v>
      </c>
      <c r="O87" s="306">
        <v>0</v>
      </c>
      <c r="P87" s="306">
        <v>0</v>
      </c>
      <c r="Q87" s="306">
        <v>0</v>
      </c>
    </row>
    <row r="88" spans="2:17" s="286" customFormat="1" ht="3.75" customHeight="1">
      <c r="B88" s="285"/>
      <c r="E88" s="278"/>
      <c r="F88" s="278"/>
      <c r="G88" s="282"/>
      <c r="H88" s="284"/>
      <c r="I88" s="284"/>
      <c r="J88" s="284"/>
      <c r="K88" s="284"/>
      <c r="L88" s="284"/>
      <c r="M88" s="284"/>
      <c r="N88" s="284"/>
      <c r="O88" s="284"/>
      <c r="P88" s="284"/>
      <c r="Q88" s="284"/>
    </row>
    <row r="89" spans="2:17" s="286" customFormat="1" ht="15.6">
      <c r="B89" s="275" t="s">
        <v>569</v>
      </c>
      <c r="E89" s="293">
        <f>+_xlfn.XLOOKUP($B89,Inputs!$B:$B,Inputs!O:O)</f>
        <v>0</v>
      </c>
      <c r="F89" s="293">
        <f>+_xlfn.XLOOKUP($B89,Inputs!$B:$B,Inputs!P:P)</f>
        <v>0</v>
      </c>
      <c r="G89" s="294">
        <f>+_xlfn.XLOOKUP($B89,Inputs!$B:$B,Inputs!Q:Q)</f>
        <v>0</v>
      </c>
      <c r="H89" s="159">
        <f t="shared" ref="H89:O89" si="49">+H90*H$18</f>
        <v>0</v>
      </c>
      <c r="I89" s="159">
        <f t="shared" si="49"/>
        <v>0</v>
      </c>
      <c r="J89" s="159">
        <f t="shared" si="49"/>
        <v>0</v>
      </c>
      <c r="K89" s="159">
        <f t="shared" si="49"/>
        <v>0</v>
      </c>
      <c r="L89" s="159">
        <f t="shared" si="49"/>
        <v>0</v>
      </c>
      <c r="M89" s="159">
        <f t="shared" si="49"/>
        <v>0</v>
      </c>
      <c r="N89" s="159">
        <f t="shared" si="49"/>
        <v>0</v>
      </c>
      <c r="O89" s="159">
        <f t="shared" si="49"/>
        <v>0</v>
      </c>
      <c r="P89" s="159">
        <f>+P90*P$17</f>
        <v>0</v>
      </c>
      <c r="Q89" s="159">
        <f>+Q90*Q$17</f>
        <v>0</v>
      </c>
    </row>
    <row r="90" spans="2:17" s="286" customFormat="1" ht="14.45">
      <c r="B90" s="298" t="s">
        <v>555</v>
      </c>
      <c r="E90" s="278"/>
      <c r="F90" s="278"/>
      <c r="G90" s="282"/>
      <c r="H90" s="306">
        <v>0</v>
      </c>
      <c r="I90" s="306">
        <v>0</v>
      </c>
      <c r="J90" s="306">
        <v>0</v>
      </c>
      <c r="K90" s="306">
        <v>0</v>
      </c>
      <c r="L90" s="306">
        <v>0</v>
      </c>
      <c r="M90" s="306">
        <v>0</v>
      </c>
      <c r="N90" s="306">
        <v>0</v>
      </c>
      <c r="O90" s="306">
        <v>0</v>
      </c>
      <c r="P90" s="306">
        <v>0</v>
      </c>
      <c r="Q90" s="306">
        <v>0</v>
      </c>
    </row>
    <row r="91" spans="2:17" s="286" customFormat="1" ht="5.25" customHeight="1">
      <c r="B91" s="298"/>
      <c r="E91" s="278"/>
      <c r="F91" s="278"/>
      <c r="G91" s="282"/>
      <c r="H91" s="284"/>
      <c r="I91" s="284"/>
      <c r="J91" s="284"/>
      <c r="K91" s="284"/>
      <c r="L91" s="284"/>
      <c r="M91" s="284"/>
      <c r="N91" s="284"/>
      <c r="O91" s="284"/>
      <c r="P91" s="284"/>
      <c r="Q91" s="284"/>
    </row>
    <row r="92" spans="2:17" s="286" customFormat="1" ht="15.6">
      <c r="B92" s="275" t="s">
        <v>570</v>
      </c>
      <c r="E92" s="293">
        <f>+_xlfn.XLOOKUP($B92,Inputs!$B:$B,Inputs!O:O)</f>
        <v>1.4</v>
      </c>
      <c r="F92" s="293">
        <f>+_xlfn.XLOOKUP($B92,Inputs!$B:$B,Inputs!P:P)</f>
        <v>2.1</v>
      </c>
      <c r="G92" s="294">
        <f>+_xlfn.XLOOKUP($B92,Inputs!$B:$B,Inputs!Q:Q)</f>
        <v>1.7</v>
      </c>
      <c r="H92" s="305">
        <f t="shared" ref="H92:Q92" si="50">IFERROR(AVERAGE(E92:G92)*(1+H49),"")</f>
        <v>2.2158023244457468</v>
      </c>
      <c r="I92" s="305">
        <f t="shared" si="50"/>
        <v>2.2925945010433852</v>
      </c>
      <c r="J92" s="305">
        <f t="shared" si="50"/>
        <v>2.3280834140611351</v>
      </c>
      <c r="K92" s="305">
        <f t="shared" si="50"/>
        <v>2.5282919865138895</v>
      </c>
      <c r="L92" s="305">
        <f t="shared" si="50"/>
        <v>2.6171676784306417</v>
      </c>
      <c r="M92" s="305">
        <f t="shared" si="50"/>
        <v>2.7153370418971701</v>
      </c>
      <c r="N92" s="305">
        <f t="shared" si="50"/>
        <v>2.8396708113194697</v>
      </c>
      <c r="O92" s="305">
        <f t="shared" si="50"/>
        <v>2.9391675915993307</v>
      </c>
      <c r="P92" s="305">
        <f t="shared" si="50"/>
        <v>3.0420089474396748</v>
      </c>
      <c r="Q92" s="305">
        <f t="shared" si="50"/>
        <v>3.2793789861410834</v>
      </c>
    </row>
    <row r="93" spans="2:17" ht="3.75" customHeight="1">
      <c r="B93" s="150"/>
      <c r="G93" s="145"/>
      <c r="H93" s="130"/>
      <c r="I93" s="130"/>
      <c r="J93" s="130"/>
      <c r="K93" s="130"/>
      <c r="L93" s="130"/>
      <c r="O93" s="130"/>
      <c r="P93" s="130"/>
      <c r="Q93" s="130"/>
    </row>
    <row r="94" spans="2:17" ht="13.5" customHeight="1">
      <c r="B94" s="196" t="s">
        <v>304</v>
      </c>
      <c r="E94" s="293">
        <f>+_xlfn.XLOOKUP($B94,Inputs!$B:$B,Inputs!O:O)</f>
        <v>-1.500000000000024</v>
      </c>
      <c r="F94" s="293">
        <f>+_xlfn.XLOOKUP($B94,Inputs!$B:$B,Inputs!P:P)</f>
        <v>41.799999999999962</v>
      </c>
      <c r="G94" s="294">
        <f>+_xlfn.XLOOKUP($B94,Inputs!$B:$B,Inputs!Q:Q)</f>
        <v>105.09999999999992</v>
      </c>
      <c r="H94" s="155">
        <f>IFERROR(+H77-H80-H89-H92,"")</f>
        <v>69.424607036823403</v>
      </c>
      <c r="I94" s="155">
        <f t="shared" ref="I94:Q94" si="51">IFERROR(+I77-I80-I89-I92,"")</f>
        <v>122.28956254001123</v>
      </c>
      <c r="J94" s="155">
        <f t="shared" si="51"/>
        <v>165.90634182716792</v>
      </c>
      <c r="K94" s="155">
        <f t="shared" si="51"/>
        <v>201.41060013838072</v>
      </c>
      <c r="L94" s="155">
        <f t="shared" si="51"/>
        <v>232.59292767307258</v>
      </c>
      <c r="M94" s="155">
        <f t="shared" si="51"/>
        <v>231.82981037529197</v>
      </c>
      <c r="N94" s="155">
        <f t="shared" si="51"/>
        <v>257.68943966285457</v>
      </c>
      <c r="O94" s="155">
        <f t="shared" si="51"/>
        <v>283.36583110062958</v>
      </c>
      <c r="P94" s="155">
        <f t="shared" si="51"/>
        <v>308.96378781433515</v>
      </c>
      <c r="Q94" s="155">
        <f t="shared" si="51"/>
        <v>353.25072331764198</v>
      </c>
    </row>
    <row r="95" spans="2:17" ht="5.25" customHeight="1">
      <c r="G95" s="145"/>
      <c r="H95" s="130"/>
      <c r="I95" s="130"/>
      <c r="J95" s="130"/>
      <c r="K95" s="130"/>
      <c r="L95" s="130"/>
      <c r="O95" s="130"/>
      <c r="P95" s="130"/>
      <c r="Q95" s="130"/>
    </row>
    <row r="96" spans="2:17" ht="15.6">
      <c r="B96" s="125" t="s">
        <v>305</v>
      </c>
      <c r="E96" s="148">
        <f>+_xlfn.XLOOKUP($B96,Inputs!$B:$B,Inputs!O:O)</f>
        <v>3.7</v>
      </c>
      <c r="F96" s="148">
        <f>+_xlfn.XLOOKUP($B96,Inputs!$B:$B,Inputs!P:P)</f>
        <v>2.5</v>
      </c>
      <c r="G96" s="268">
        <f>+_xlfn.XLOOKUP($B96,Inputs!$B:$B,Inputs!Q:Q)</f>
        <v>13.3</v>
      </c>
      <c r="H96" s="155">
        <f>IFERROR(H97*H$77,"")</f>
        <v>7.3614238319369454</v>
      </c>
      <c r="I96" s="155">
        <f t="shared" ref="I96:Q96" si="52">IFERROR(I97*I$77,"")</f>
        <v>12.80447144416296</v>
      </c>
      <c r="J96" s="155">
        <f t="shared" si="52"/>
        <v>17.327335678050911</v>
      </c>
      <c r="K96" s="155">
        <f t="shared" si="52"/>
        <v>21.254521641770619</v>
      </c>
      <c r="L96" s="155">
        <f t="shared" si="52"/>
        <v>24.864952603410572</v>
      </c>
      <c r="M96" s="155">
        <f t="shared" si="52"/>
        <v>25.262751483312726</v>
      </c>
      <c r="N96" s="155">
        <f t="shared" si="52"/>
        <v>28.559777066572302</v>
      </c>
      <c r="O96" s="155">
        <f t="shared" si="52"/>
        <v>31.873862230733881</v>
      </c>
      <c r="P96" s="155">
        <f t="shared" si="52"/>
        <v>35.209473806874094</v>
      </c>
      <c r="Q96" s="155">
        <f t="shared" si="52"/>
        <v>44.639053201986272</v>
      </c>
    </row>
    <row r="97" spans="1:17" s="276" customFormat="1" ht="14.45">
      <c r="B97" s="276" t="s">
        <v>571</v>
      </c>
      <c r="E97" s="278">
        <f>IFERROR(E96/E94,"")</f>
        <v>-2.4666666666666273</v>
      </c>
      <c r="F97" s="278">
        <f t="shared" ref="F97:G97" si="53">IFERROR(F96/F94,"")</f>
        <v>5.9808612440191443E-2</v>
      </c>
      <c r="G97" s="282">
        <f t="shared" si="53"/>
        <v>0.12654614652711713</v>
      </c>
      <c r="H97" s="304">
        <f>IFERROR(AVERAGE(F97:G97),"")</f>
        <v>9.3177379483654288E-2</v>
      </c>
      <c r="I97" s="304">
        <f t="shared" ref="I97:P97" si="54">H97+($Q$97-H97)/9</f>
        <v>9.6713226207692696E-2</v>
      </c>
      <c r="J97" s="304">
        <f t="shared" si="54"/>
        <v>9.9856201073504625E-2</v>
      </c>
      <c r="K97" s="304">
        <f t="shared" si="54"/>
        <v>0.10264995650978188</v>
      </c>
      <c r="L97" s="304">
        <f t="shared" si="54"/>
        <v>0.10513329467536167</v>
      </c>
      <c r="M97" s="304">
        <f t="shared" si="54"/>
        <v>0.10734070637809927</v>
      </c>
      <c r="N97" s="304">
        <f t="shared" si="54"/>
        <v>0.10930285011386602</v>
      </c>
      <c r="O97" s="304">
        <f t="shared" si="54"/>
        <v>0.11104697787899202</v>
      </c>
      <c r="P97" s="304">
        <f t="shared" si="54"/>
        <v>0.11259731367021514</v>
      </c>
      <c r="Q97" s="304">
        <v>0.125</v>
      </c>
    </row>
    <row r="98" spans="1:17" s="276" customFormat="1" ht="3.75" customHeight="1">
      <c r="E98" s="278"/>
      <c r="F98" s="278"/>
      <c r="G98" s="282"/>
      <c r="H98" s="296"/>
      <c r="I98" s="296"/>
      <c r="J98" s="296"/>
      <c r="K98" s="296"/>
      <c r="L98" s="296"/>
      <c r="M98" s="296"/>
      <c r="N98" s="296"/>
      <c r="O98" s="296"/>
      <c r="P98" s="296"/>
      <c r="Q98" s="296"/>
    </row>
    <row r="99" spans="1:17" s="276" customFormat="1" ht="15.6">
      <c r="B99" s="125" t="s">
        <v>306</v>
      </c>
      <c r="E99" s="148">
        <f>+_xlfn.XLOOKUP($B99,Inputs!$B:$B,Inputs!O:O)</f>
        <v>21.899999999999977</v>
      </c>
      <c r="F99" s="148">
        <f>+_xlfn.XLOOKUP($B99,Inputs!$B:$B,Inputs!P:P)</f>
        <v>61.499999999999957</v>
      </c>
      <c r="G99" s="268">
        <f>+_xlfn.XLOOKUP($B99,Inputs!$B:$B,Inputs!Q:Q)</f>
        <v>127.69999999999993</v>
      </c>
      <c r="H99" s="155">
        <f>IFERROR(+H94-H96,"")</f>
        <v>62.063183204886457</v>
      </c>
      <c r="I99" s="155">
        <f t="shared" ref="I99:Q99" si="55">IFERROR(+I94-I96,"")</f>
        <v>109.48509109584828</v>
      </c>
      <c r="J99" s="155">
        <f t="shared" si="55"/>
        <v>148.57900614911702</v>
      </c>
      <c r="K99" s="155">
        <f t="shared" si="55"/>
        <v>180.15607849661009</v>
      </c>
      <c r="L99" s="155">
        <f t="shared" si="55"/>
        <v>207.72797506966202</v>
      </c>
      <c r="M99" s="155">
        <f t="shared" si="55"/>
        <v>206.56705889197923</v>
      </c>
      <c r="N99" s="155">
        <f t="shared" si="55"/>
        <v>229.12966259628226</v>
      </c>
      <c r="O99" s="155">
        <f t="shared" si="55"/>
        <v>251.49196886989569</v>
      </c>
      <c r="P99" s="155">
        <f t="shared" si="55"/>
        <v>273.75431400746106</v>
      </c>
      <c r="Q99" s="155">
        <f t="shared" si="55"/>
        <v>308.61167011565573</v>
      </c>
    </row>
    <row r="100" spans="1:17" s="276" customFormat="1" ht="14.45">
      <c r="B100" s="276" t="s">
        <v>45</v>
      </c>
      <c r="E100" s="278">
        <f>IFERROR(E99/E$48,"")</f>
        <v>5.5838857725650122E-2</v>
      </c>
      <c r="F100" s="278">
        <f t="shared" ref="F100:Q100" si="56">IFERROR(F99/F$48,"")</f>
        <v>0.10625431928127153</v>
      </c>
      <c r="G100" s="282">
        <f t="shared" si="56"/>
        <v>0.12471921086043553</v>
      </c>
      <c r="H100" s="278">
        <f t="shared" si="56"/>
        <v>4.7416290935049621E-2</v>
      </c>
      <c r="I100" s="278">
        <f t="shared" si="56"/>
        <v>7.3163348264548553E-2</v>
      </c>
      <c r="J100" s="278">
        <f t="shared" si="56"/>
        <v>8.825833171194114E-2</v>
      </c>
      <c r="K100" s="278">
        <f t="shared" si="56"/>
        <v>9.6456447957545113E-2</v>
      </c>
      <c r="L100" s="278">
        <f t="shared" si="56"/>
        <v>0.1012670125778842</v>
      </c>
      <c r="M100" s="278">
        <f t="shared" si="56"/>
        <v>9.2388011564831951E-2</v>
      </c>
      <c r="N100" s="278">
        <f t="shared" si="56"/>
        <v>9.456124516776937E-2</v>
      </c>
      <c r="O100" s="278">
        <f t="shared" si="56"/>
        <v>9.6194018762879765E-2</v>
      </c>
      <c r="P100" s="278">
        <f t="shared" si="56"/>
        <v>9.7459550725451302E-2</v>
      </c>
      <c r="Q100" s="278">
        <f t="shared" si="56"/>
        <v>9.8508389820351303E-2</v>
      </c>
    </row>
    <row r="101" spans="1:17" ht="3.75" customHeight="1">
      <c r="B101" s="150"/>
      <c r="G101" s="145"/>
    </row>
    <row r="102" spans="1:17" ht="15.6">
      <c r="A102" s="125" t="s">
        <v>472</v>
      </c>
      <c r="B102" s="51" t="s">
        <v>310</v>
      </c>
      <c r="C102" s="55"/>
      <c r="D102" s="55"/>
      <c r="E102" s="136">
        <f t="shared" ref="E102:Q102" si="57">E46</f>
        <v>2022</v>
      </c>
      <c r="F102" s="136">
        <f t="shared" si="57"/>
        <v>2023</v>
      </c>
      <c r="G102" s="137">
        <f t="shared" si="57"/>
        <v>2024</v>
      </c>
      <c r="H102" s="99">
        <f t="shared" si="57"/>
        <v>2025</v>
      </c>
      <c r="I102" s="99">
        <f t="shared" si="57"/>
        <v>2026</v>
      </c>
      <c r="J102" s="99">
        <f t="shared" si="57"/>
        <v>2027</v>
      </c>
      <c r="K102" s="99">
        <f t="shared" si="57"/>
        <v>2028</v>
      </c>
      <c r="L102" s="99">
        <f t="shared" si="57"/>
        <v>2029</v>
      </c>
      <c r="M102" s="99">
        <f t="shared" si="57"/>
        <v>2030</v>
      </c>
      <c r="N102" s="99">
        <f t="shared" si="57"/>
        <v>2031</v>
      </c>
      <c r="O102" s="99">
        <f t="shared" si="57"/>
        <v>2032</v>
      </c>
      <c r="P102" s="99">
        <f t="shared" si="57"/>
        <v>2033</v>
      </c>
      <c r="Q102" s="99">
        <f t="shared" si="57"/>
        <v>2034</v>
      </c>
    </row>
    <row r="103" spans="1:17" ht="3.95" customHeight="1">
      <c r="B103" s="162"/>
      <c r="C103" s="52"/>
      <c r="D103" s="52"/>
      <c r="E103" s="52"/>
      <c r="F103" s="52"/>
      <c r="G103" s="163"/>
      <c r="H103" s="52"/>
      <c r="I103" s="52"/>
      <c r="J103" s="52"/>
      <c r="K103" s="52"/>
      <c r="L103" s="52"/>
      <c r="M103" s="52"/>
      <c r="N103" s="52"/>
      <c r="O103" s="52"/>
      <c r="P103" s="52"/>
      <c r="Q103" s="52"/>
    </row>
    <row r="104" spans="1:17" ht="13.5" customHeight="1">
      <c r="B104" s="147" t="s">
        <v>572</v>
      </c>
      <c r="G104" s="156"/>
    </row>
    <row r="105" spans="1:17" ht="5.25" customHeight="1">
      <c r="B105" s="150"/>
      <c r="G105" s="156"/>
    </row>
    <row r="106" spans="1:17" ht="13.5" customHeight="1">
      <c r="B106" s="125" t="s">
        <v>573</v>
      </c>
      <c r="E106" s="148">
        <f>+_xlfn.XLOOKUP($B106,Inputs!$B:$B,Inputs!O:O)</f>
        <v>43.4</v>
      </c>
      <c r="F106" s="148">
        <f>+_xlfn.XLOOKUP($B106,Inputs!$B:$B,Inputs!P:P)</f>
        <v>120.8</v>
      </c>
      <c r="G106" s="268">
        <f>+_xlfn.XLOOKUP($B106,Inputs!$B:$B,Inputs!Q:Q)</f>
        <v>108.2</v>
      </c>
      <c r="H106" s="166">
        <f>IFERROR(G106+H183,"")</f>
        <v>79.248239695884365</v>
      </c>
      <c r="I106" s="166">
        <f t="shared" ref="I106:Q106" si="58">IFERROR(H106+I183,"")</f>
        <v>251.41274462863629</v>
      </c>
      <c r="J106" s="166">
        <f t="shared" si="58"/>
        <v>441.7622962523385</v>
      </c>
      <c r="K106" s="166">
        <f t="shared" si="58"/>
        <v>627.0934079858763</v>
      </c>
      <c r="L106" s="166">
        <f t="shared" si="58"/>
        <v>859.59782753071408</v>
      </c>
      <c r="M106" s="166">
        <f t="shared" si="58"/>
        <v>788.80745450295467</v>
      </c>
      <c r="N106" s="166">
        <f>IFERROR(M106+N183,"")</f>
        <v>1025.8685661288937</v>
      </c>
      <c r="O106" s="166">
        <f t="shared" si="58"/>
        <v>1286.5221811623317</v>
      </c>
      <c r="P106" s="166">
        <f t="shared" si="58"/>
        <v>1565.843955830383</v>
      </c>
      <c r="Q106" s="166">
        <f t="shared" si="58"/>
        <v>1855.4444566994284</v>
      </c>
    </row>
    <row r="107" spans="1:17" ht="3.75" customHeight="1">
      <c r="E107" s="148"/>
      <c r="F107" s="148"/>
      <c r="G107" s="268"/>
    </row>
    <row r="108" spans="1:17" ht="15.6">
      <c r="B108" s="125" t="s">
        <v>312</v>
      </c>
      <c r="E108" s="148">
        <f>+_xlfn.XLOOKUP($B108,Inputs!$B:$B,Inputs!O:O)</f>
        <v>45.6</v>
      </c>
      <c r="F108" s="148">
        <f>+_xlfn.XLOOKUP($B108,Inputs!$B:$B,Inputs!P:P)</f>
        <v>67.900000000000006</v>
      </c>
      <c r="G108" s="268">
        <f>+_xlfn.XLOOKUP($B108,Inputs!$B:$B,Inputs!Q:Q)</f>
        <v>123.8</v>
      </c>
      <c r="H108" s="166">
        <f t="shared" ref="H108:Q108" si="59">IFERROR(H109*H48/365,"")</f>
        <v>154.80813878793737</v>
      </c>
      <c r="I108" s="166">
        <f t="shared" si="59"/>
        <v>177.9907530719311</v>
      </c>
      <c r="J108" s="166">
        <f t="shared" si="59"/>
        <v>201.14895201894592</v>
      </c>
      <c r="K108" s="166">
        <f t="shared" si="59"/>
        <v>222.07579652013118</v>
      </c>
      <c r="L108" s="166">
        <f t="shared" si="59"/>
        <v>244.32802810874603</v>
      </c>
      <c r="M108" s="166">
        <f t="shared" si="59"/>
        <v>266.43727308578372</v>
      </c>
      <c r="N108" s="166">
        <f t="shared" si="59"/>
        <v>288.48825385507138</v>
      </c>
      <c r="O108" s="166">
        <f t="shared" si="59"/>
        <v>311.40675325516042</v>
      </c>
      <c r="P108" s="166">
        <f t="shared" si="59"/>
        <v>334.57264732221995</v>
      </c>
      <c r="Q108" s="166">
        <f t="shared" si="59"/>
        <v>373.10214696441511</v>
      </c>
    </row>
    <row r="109" spans="1:17" ht="15.6">
      <c r="B109" s="150" t="s">
        <v>574</v>
      </c>
      <c r="E109" s="311">
        <f>IFERROR(E108/E48*365,"")</f>
        <v>42.437531871494137</v>
      </c>
      <c r="F109" s="311">
        <f>IFERROR(F108/F48*365,"")</f>
        <v>42.818762957843823</v>
      </c>
      <c r="G109" s="312">
        <f>IFERROR(G108/G48*366,"")</f>
        <v>44.253149721652505</v>
      </c>
      <c r="H109" s="313">
        <f>IFERROR(AVERAGE(E109:G109),"")</f>
        <v>43.169814850330148</v>
      </c>
      <c r="I109" s="313">
        <f t="shared" ref="I109:Q109" si="60">IFERROR(AVERAGE(F109:H109),"")</f>
        <v>43.413909176608826</v>
      </c>
      <c r="J109" s="313">
        <f t="shared" si="60"/>
        <v>43.612291249530493</v>
      </c>
      <c r="K109" s="313">
        <f t="shared" si="60"/>
        <v>43.398671758823156</v>
      </c>
      <c r="L109" s="313">
        <f t="shared" si="60"/>
        <v>43.474957394987491</v>
      </c>
      <c r="M109" s="313">
        <f t="shared" si="60"/>
        <v>43.495306801113713</v>
      </c>
      <c r="N109" s="313">
        <f t="shared" si="60"/>
        <v>43.456311984974782</v>
      </c>
      <c r="O109" s="313">
        <f t="shared" si="60"/>
        <v>43.475525393691989</v>
      </c>
      <c r="P109" s="313">
        <f t="shared" si="60"/>
        <v>43.475714726593488</v>
      </c>
      <c r="Q109" s="313">
        <f t="shared" si="60"/>
        <v>43.469184035086755</v>
      </c>
    </row>
    <row r="110" spans="1:17" ht="3.75" customHeight="1">
      <c r="E110" s="167"/>
      <c r="F110" s="167"/>
      <c r="G110" s="168"/>
      <c r="H110" s="166"/>
      <c r="I110" s="166"/>
      <c r="J110" s="166"/>
      <c r="K110" s="166"/>
      <c r="L110" s="166"/>
      <c r="O110" s="166"/>
      <c r="P110" s="166"/>
      <c r="Q110" s="166"/>
    </row>
    <row r="111" spans="1:17" ht="15.6">
      <c r="B111" s="125" t="s">
        <v>575</v>
      </c>
      <c r="E111" s="148">
        <f>+_xlfn.XLOOKUP($B111,Inputs!$B:$B,Inputs!O:O)</f>
        <v>84.5</v>
      </c>
      <c r="F111" s="148">
        <f>+_xlfn.XLOOKUP($B111,Inputs!$B:$B,Inputs!P:P)</f>
        <v>81.3</v>
      </c>
      <c r="G111" s="268">
        <f>+_xlfn.XLOOKUP($B111,Inputs!$B:$B,Inputs!Q:Q)</f>
        <v>191.5</v>
      </c>
      <c r="H111" s="166">
        <f t="shared" ref="H111:Q111" si="61">+IFERROR(H112*H51/365,"")</f>
        <v>255.34409091159458</v>
      </c>
      <c r="I111" s="166">
        <f t="shared" si="61"/>
        <v>263.86954695907679</v>
      </c>
      <c r="J111" s="166">
        <f t="shared" si="61"/>
        <v>304.89752701207203</v>
      </c>
      <c r="K111" s="166">
        <f t="shared" si="61"/>
        <v>320.22314051822821</v>
      </c>
      <c r="L111" s="166">
        <f t="shared" si="61"/>
        <v>348.61152001147428</v>
      </c>
      <c r="M111" s="166">
        <f t="shared" si="61"/>
        <v>382.08786493679276</v>
      </c>
      <c r="N111" s="166">
        <f t="shared" si="61"/>
        <v>409.8793962566931</v>
      </c>
      <c r="O111" s="166">
        <f t="shared" si="61"/>
        <v>442.3408368971788</v>
      </c>
      <c r="P111" s="166">
        <f t="shared" si="61"/>
        <v>475.66395644768579</v>
      </c>
      <c r="Q111" s="166">
        <f t="shared" si="61"/>
        <v>529.36826980061142</v>
      </c>
    </row>
    <row r="112" spans="1:17" ht="15.6">
      <c r="B112" s="150" t="s">
        <v>576</v>
      </c>
      <c r="E112" s="311">
        <f>IFERROR(E111/E51*365,"")</f>
        <v>219.67592592592592</v>
      </c>
      <c r="F112" s="311">
        <f>IFERROR(F111/F51*365,"")</f>
        <v>157.50796178343947</v>
      </c>
      <c r="G112" s="312">
        <f>IFERROR(G111/G51*365,"")</f>
        <v>233.14709806537692</v>
      </c>
      <c r="H112" s="313">
        <f>IFERROR(AVERAGE(E112:G112),"")</f>
        <v>203.4436619249141</v>
      </c>
      <c r="I112" s="313">
        <f t="shared" ref="I112:Q112" si="62">IFERROR(AVERAGE(F112:H112),"")</f>
        <v>198.03290725791018</v>
      </c>
      <c r="J112" s="313">
        <f t="shared" si="62"/>
        <v>211.54122241606706</v>
      </c>
      <c r="K112" s="313">
        <f t="shared" si="62"/>
        <v>204.3392638662971</v>
      </c>
      <c r="L112" s="313">
        <f t="shared" si="62"/>
        <v>204.6377978467581</v>
      </c>
      <c r="M112" s="313">
        <f t="shared" si="62"/>
        <v>206.83942804304073</v>
      </c>
      <c r="N112" s="313">
        <f t="shared" si="62"/>
        <v>205.27216325203199</v>
      </c>
      <c r="O112" s="313">
        <f t="shared" si="62"/>
        <v>205.58312971394358</v>
      </c>
      <c r="P112" s="313">
        <f t="shared" si="62"/>
        <v>205.89824033633874</v>
      </c>
      <c r="Q112" s="313">
        <f t="shared" si="62"/>
        <v>205.58451110077144</v>
      </c>
    </row>
    <row r="113" spans="2:17" ht="3.95" customHeight="1">
      <c r="G113" s="156"/>
    </row>
    <row r="114" spans="2:17" ht="15.6">
      <c r="B114" s="125" t="s">
        <v>577</v>
      </c>
      <c r="E114" s="148">
        <f>+_xlfn.XLOOKUP($B114,Inputs!$B:$B,Inputs!O:O)</f>
        <v>19.5</v>
      </c>
      <c r="F114" s="148">
        <f>+_xlfn.XLOOKUP($B114,Inputs!$B:$B,Inputs!P:P)</f>
        <v>33.299999999999997</v>
      </c>
      <c r="G114" s="268">
        <f>+_xlfn.XLOOKUP($B114,Inputs!$B:$B,Inputs!Q:Q)</f>
        <v>53.600000000000023</v>
      </c>
      <c r="H114" s="166">
        <f t="shared" ref="H114:Q114" si="63">IFERROR(AVERAGE(E114:G114)*(1+H49),"")</f>
        <v>45.338724484812985</v>
      </c>
      <c r="I114" s="166">
        <f t="shared" si="63"/>
        <v>50.395567578229148</v>
      </c>
      <c r="J114" s="166">
        <f t="shared" si="63"/>
        <v>55.998786526526352</v>
      </c>
      <c r="K114" s="166">
        <f t="shared" si="63"/>
        <v>56.114478978194889</v>
      </c>
      <c r="L114" s="166">
        <f t="shared" si="63"/>
        <v>59.492887962487295</v>
      </c>
      <c r="M114" s="166">
        <f t="shared" si="63"/>
        <v>62.34908131271488</v>
      </c>
      <c r="N114" s="166">
        <f t="shared" si="63"/>
        <v>64.28581613762266</v>
      </c>
      <c r="O114" s="166">
        <f t="shared" si="63"/>
        <v>66.941875228083518</v>
      </c>
      <c r="P114" s="166">
        <f t="shared" si="63"/>
        <v>69.325419321735083</v>
      </c>
      <c r="Q114" s="166">
        <f t="shared" si="63"/>
        <v>74.560825130580383</v>
      </c>
    </row>
    <row r="115" spans="2:17" s="276" customFormat="1" ht="14.45">
      <c r="B115" s="276" t="s">
        <v>555</v>
      </c>
      <c r="E115" s="308">
        <f>IFERROR(E114/E$48,"")</f>
        <v>4.9719530851606325E-2</v>
      </c>
      <c r="F115" s="308">
        <f t="shared" ref="F115:G115" si="64">IFERROR(F114/F$48,"")</f>
        <v>5.7532826537664131E-2</v>
      </c>
      <c r="G115" s="309">
        <f t="shared" si="64"/>
        <v>5.2348862193573611E-2</v>
      </c>
      <c r="H115" s="308">
        <f>IFERROR(AVERAGE(E115:G115),"")</f>
        <v>5.3200406527614687E-2</v>
      </c>
      <c r="I115" s="308">
        <f t="shared" ref="I115:Q115" si="65">IFERROR(AVERAGE(F115:H115),"")</f>
        <v>5.4360698419617472E-2</v>
      </c>
      <c r="J115" s="308">
        <f t="shared" si="65"/>
        <v>5.3303322380268588E-2</v>
      </c>
      <c r="K115" s="308">
        <f t="shared" si="65"/>
        <v>5.3621475775833587E-2</v>
      </c>
      <c r="L115" s="308">
        <f t="shared" si="65"/>
        <v>5.3761832191906549E-2</v>
      </c>
      <c r="M115" s="308">
        <f t="shared" si="65"/>
        <v>5.3562210116002908E-2</v>
      </c>
      <c r="N115" s="308">
        <f t="shared" si="65"/>
        <v>5.364850602791435E-2</v>
      </c>
      <c r="O115" s="308">
        <f t="shared" si="65"/>
        <v>5.3657516111941271E-2</v>
      </c>
      <c r="P115" s="308">
        <f t="shared" si="65"/>
        <v>5.3622744085286174E-2</v>
      </c>
      <c r="Q115" s="308">
        <f t="shared" si="65"/>
        <v>5.3642922075047263E-2</v>
      </c>
    </row>
    <row r="116" spans="2:17" ht="3.75" customHeight="1">
      <c r="E116" s="167"/>
      <c r="F116" s="167"/>
      <c r="G116" s="168"/>
      <c r="H116" s="166"/>
      <c r="I116" s="166"/>
      <c r="J116" s="166"/>
      <c r="K116" s="166"/>
      <c r="L116" s="166"/>
      <c r="O116" s="166"/>
      <c r="P116" s="166"/>
      <c r="Q116" s="166"/>
    </row>
    <row r="117" spans="2:17" ht="15.6">
      <c r="B117" s="125" t="s">
        <v>578</v>
      </c>
      <c r="E117" s="148">
        <f>+E118+E119-E121</f>
        <v>33.093999999999994</v>
      </c>
      <c r="F117" s="148">
        <f t="shared" ref="F117:G117" si="66">+F118+F119-F121</f>
        <v>25.259</v>
      </c>
      <c r="G117" s="268">
        <f t="shared" si="66"/>
        <v>46.201000000000001</v>
      </c>
      <c r="H117" s="166">
        <f>IFERROR(H118+H119-H121,"")</f>
        <v>59.454628216371567</v>
      </c>
      <c r="I117" s="166">
        <f t="shared" ref="I117:Q117" si="67">IFERROR(I118+I119-I121,"")</f>
        <v>68.258740488935672</v>
      </c>
      <c r="J117" s="166">
        <f t="shared" si="67"/>
        <v>79.289158433968339</v>
      </c>
      <c r="K117" s="166">
        <f t="shared" si="67"/>
        <v>91.445056349702014</v>
      </c>
      <c r="L117" s="166">
        <f t="shared" si="67"/>
        <v>102.67982269999101</v>
      </c>
      <c r="M117" s="166">
        <f>IFERROR(M118+M119-M121,"")</f>
        <v>145.99228337938047</v>
      </c>
      <c r="N117" s="166">
        <f t="shared" si="67"/>
        <v>158.40922633401718</v>
      </c>
      <c r="O117" s="166">
        <f t="shared" si="67"/>
        <v>170.74509901177706</v>
      </c>
      <c r="P117" s="166">
        <f t="shared" si="67"/>
        <v>183.4250213106464</v>
      </c>
      <c r="Q117" s="166">
        <f t="shared" si="67"/>
        <v>197.42368003745361</v>
      </c>
    </row>
    <row r="118" spans="2:17" ht="15.6">
      <c r="B118" s="275" t="s">
        <v>579</v>
      </c>
      <c r="E118" s="316">
        <f>+_xlfn.XLOOKUP("Gross PP&amp;E (Property, Plant and Equipment)",Inputs!$B:$B,Inputs!O:O)</f>
        <v>53.3</v>
      </c>
      <c r="F118" s="316">
        <f>+_xlfn.XLOOKUP("Gross PP&amp;E (Property, Plant and Equipment)",Inputs!$B:$B,Inputs!P:P)</f>
        <v>45.9</v>
      </c>
      <c r="G118" s="323">
        <f>+_xlfn.XLOOKUP("Gross PP&amp;E (Property, Plant and Equipment)",Inputs!$B:$B,Inputs!Q:Q)</f>
        <v>66.3</v>
      </c>
      <c r="H118" s="321">
        <f>+IFERROR(G118-H152,"")</f>
        <v>75</v>
      </c>
      <c r="I118" s="321">
        <f>+IFERROR(H118-I152,"")</f>
        <v>84.36</v>
      </c>
      <c r="J118" s="321">
        <f>+IFERROR(I118-J152,"")</f>
        <v>94.248000000000005</v>
      </c>
      <c r="K118" s="321">
        <f>+IFERROR(J118-K152,"")</f>
        <v>104.55840000000001</v>
      </c>
      <c r="L118" s="321">
        <f>+IFERROR(K118-L152,"")</f>
        <v>115.20672</v>
      </c>
      <c r="M118" s="321">
        <f>+IFERROR(L118-M152-M163*1/10,"")</f>
        <v>157.29248387416851</v>
      </c>
      <c r="N118" s="321">
        <f t="shared" ref="N118:Q118" si="68">+IFERROR(M118-N152,"")</f>
        <v>168.4274086741685</v>
      </c>
      <c r="O118" s="321">
        <f t="shared" si="68"/>
        <v>179.73534851416849</v>
      </c>
      <c r="P118" s="321">
        <f t="shared" si="68"/>
        <v>191.1817003861685</v>
      </c>
      <c r="Q118" s="321">
        <f t="shared" si="68"/>
        <v>203.1817003861685</v>
      </c>
    </row>
    <row r="119" spans="2:17" ht="15.6">
      <c r="B119" s="314" t="s">
        <v>580</v>
      </c>
      <c r="C119" s="150"/>
      <c r="D119" s="150"/>
      <c r="E119" s="316">
        <f>+_xlfn.XLOOKUP("Right-of-Use Assets",Inputs!$B:$B,Inputs!O:O)</f>
        <v>4.2939999999999996</v>
      </c>
      <c r="F119" s="316">
        <f>+_xlfn.XLOOKUP("Right-of-Use Assets",Inputs!$B:$B,Inputs!P:P)</f>
        <v>3.359</v>
      </c>
      <c r="G119" s="323">
        <f>+_xlfn.XLOOKUP("Right-of-Use Assets",Inputs!$B:$B,Inputs!Q:Q)</f>
        <v>4.8010000000000002</v>
      </c>
      <c r="H119" s="321">
        <f>IFERROR(H120*H$48,"")</f>
        <v>9.3546282163715624</v>
      </c>
      <c r="I119" s="321">
        <f t="shared" ref="I119:Q119" si="69">IFERROR(I120*I$48,"")</f>
        <v>8.7987404889356657</v>
      </c>
      <c r="J119" s="321">
        <f t="shared" si="69"/>
        <v>9.9411584339683419</v>
      </c>
      <c r="K119" s="321">
        <f t="shared" si="69"/>
        <v>11.786656349702</v>
      </c>
      <c r="L119" s="321">
        <f t="shared" si="69"/>
        <v>12.373102699991003</v>
      </c>
      <c r="M119" s="321">
        <f t="shared" si="69"/>
        <v>13.599799505211967</v>
      </c>
      <c r="N119" s="321">
        <f t="shared" si="69"/>
        <v>14.881817659848675</v>
      </c>
      <c r="O119" s="321">
        <f t="shared" si="69"/>
        <v>15.909750497608581</v>
      </c>
      <c r="P119" s="321">
        <f t="shared" si="69"/>
        <v>17.143320924477909</v>
      </c>
      <c r="Q119" s="321">
        <f t="shared" si="69"/>
        <v>19.141979651285105</v>
      </c>
    </row>
    <row r="120" spans="2:17" ht="15.6">
      <c r="B120" s="324" t="s">
        <v>555</v>
      </c>
      <c r="E120" s="308">
        <f>IFERROR(E119/E$48,"")</f>
        <v>1.0948495665476796E-2</v>
      </c>
      <c r="F120" s="308">
        <f t="shared" ref="F120:G120" si="70">IFERROR(F119/F$48,"")</f>
        <v>5.8033863165169322E-3</v>
      </c>
      <c r="G120" s="309">
        <f t="shared" si="70"/>
        <v>4.6889344662564706E-3</v>
      </c>
      <c r="H120" s="307">
        <f>IFERROR(AVERAGE(E120:G120),"")</f>
        <v>7.1469388160833999E-3</v>
      </c>
      <c r="I120" s="307">
        <f t="shared" ref="I120:Q120" si="71">IFERROR(AVERAGE(F120:H120),"")</f>
        <v>5.8797531996189339E-3</v>
      </c>
      <c r="J120" s="307">
        <f t="shared" si="71"/>
        <v>5.9052088273196012E-3</v>
      </c>
      <c r="K120" s="307">
        <f t="shared" si="71"/>
        <v>6.3106336143406447E-3</v>
      </c>
      <c r="L120" s="307">
        <f t="shared" si="71"/>
        <v>6.031865213759726E-3</v>
      </c>
      <c r="M120" s="307">
        <f t="shared" si="71"/>
        <v>6.0825692184733231E-3</v>
      </c>
      <c r="N120" s="307">
        <f t="shared" si="71"/>
        <v>6.1416893488578971E-3</v>
      </c>
      <c r="O120" s="307">
        <f t="shared" si="71"/>
        <v>6.0853745936969815E-3</v>
      </c>
      <c r="P120" s="307">
        <f t="shared" si="71"/>
        <v>6.1032110536760678E-3</v>
      </c>
      <c r="Q120" s="307">
        <f t="shared" si="71"/>
        <v>6.1100916654103152E-3</v>
      </c>
    </row>
    <row r="121" spans="2:17" ht="15.6">
      <c r="B121" s="275" t="s">
        <v>581</v>
      </c>
      <c r="E121" s="316">
        <f>+_xlfn.XLOOKUP($B121,Inputs!$B:$B,Inputs!O:O)</f>
        <v>24.5</v>
      </c>
      <c r="F121" s="316">
        <f>+_xlfn.XLOOKUP($B121,Inputs!$B:$B,Inputs!P:P)</f>
        <v>24</v>
      </c>
      <c r="G121" s="317">
        <f>+_xlfn.XLOOKUP($B121,Inputs!$B:$B,Inputs!Q:Q)</f>
        <v>24.9</v>
      </c>
      <c r="H121" s="318">
        <f>+IFERROR(G121+H71,"")</f>
        <v>24.9</v>
      </c>
      <c r="I121" s="318">
        <f t="shared" ref="I121:Q121" si="72">+IFERROR(H121+I71,"")</f>
        <v>24.9</v>
      </c>
      <c r="J121" s="318">
        <f t="shared" si="72"/>
        <v>24.9</v>
      </c>
      <c r="K121" s="318">
        <f t="shared" si="72"/>
        <v>24.9</v>
      </c>
      <c r="L121" s="318">
        <f t="shared" si="72"/>
        <v>24.9</v>
      </c>
      <c r="M121" s="318">
        <f t="shared" si="72"/>
        <v>24.9</v>
      </c>
      <c r="N121" s="318">
        <f t="shared" si="72"/>
        <v>24.9</v>
      </c>
      <c r="O121" s="318">
        <f t="shared" si="72"/>
        <v>24.9</v>
      </c>
      <c r="P121" s="318">
        <f t="shared" si="72"/>
        <v>24.9</v>
      </c>
      <c r="Q121" s="318">
        <f t="shared" si="72"/>
        <v>24.9</v>
      </c>
    </row>
    <row r="122" spans="2:17" ht="5.25" customHeight="1">
      <c r="E122" s="164"/>
      <c r="F122" s="164"/>
      <c r="G122" s="165"/>
      <c r="H122" s="166"/>
      <c r="I122" s="166"/>
      <c r="J122" s="166"/>
      <c r="K122" s="166"/>
      <c r="L122" s="166"/>
      <c r="M122" s="166"/>
      <c r="N122" s="166"/>
      <c r="O122" s="166"/>
      <c r="P122" s="166"/>
      <c r="Q122" s="166"/>
    </row>
    <row r="123" spans="2:17" ht="15.6">
      <c r="B123" s="125" t="s">
        <v>582</v>
      </c>
      <c r="E123" s="148">
        <f>+_xlfn.XLOOKUP($B123,Inputs!$B:$B,Inputs!O:O)</f>
        <v>86.200000000000017</v>
      </c>
      <c r="F123" s="148">
        <f>+_xlfn.XLOOKUP($B123,Inputs!$B:$B,Inputs!P:P)</f>
        <v>78.099999999999994</v>
      </c>
      <c r="G123" s="268">
        <f>+_xlfn.XLOOKUP($B123,Inputs!$B:$B,Inputs!Q:Q)</f>
        <v>225.10000000000002</v>
      </c>
      <c r="H123" s="166">
        <f t="shared" ref="H123:Q123" si="73">IF(H159=0, +G123+H124*G123, G123-H159*2/3)</f>
        <v>227.35100000000003</v>
      </c>
      <c r="I123" s="166">
        <f t="shared" si="73"/>
        <v>229.62451000000001</v>
      </c>
      <c r="J123" s="166">
        <f t="shared" si="73"/>
        <v>231.92075510000001</v>
      </c>
      <c r="K123" s="166">
        <f t="shared" si="73"/>
        <v>234.23996265100001</v>
      </c>
      <c r="L123" s="166">
        <f t="shared" si="73"/>
        <v>236.58236227751001</v>
      </c>
      <c r="M123" s="166">
        <f t="shared" si="73"/>
        <v>436.58236227751001</v>
      </c>
      <c r="N123" s="166">
        <f t="shared" si="73"/>
        <v>440.94818590028513</v>
      </c>
      <c r="O123" s="166">
        <f t="shared" si="73"/>
        <v>445.35766775928795</v>
      </c>
      <c r="P123" s="166">
        <f t="shared" si="73"/>
        <v>449.81124443688083</v>
      </c>
      <c r="Q123" s="166">
        <f t="shared" si="73"/>
        <v>454.30935688124964</v>
      </c>
    </row>
    <row r="124" spans="2:17" s="83" customFormat="1" ht="14.45">
      <c r="B124" s="83" t="s">
        <v>583</v>
      </c>
      <c r="E124" s="368" t="str">
        <f>IFERROR((E123-Inputs!N45)/E60,"")</f>
        <v/>
      </c>
      <c r="F124" s="368" t="str">
        <f>IFERROR((F123-E123)/F60,"")</f>
        <v/>
      </c>
      <c r="G124" s="369" t="str">
        <f>IFERROR((G123-F123)/G60,"")</f>
        <v/>
      </c>
      <c r="H124" s="307">
        <v>0.01</v>
      </c>
      <c r="I124" s="307">
        <v>0.01</v>
      </c>
      <c r="J124" s="307">
        <v>0.01</v>
      </c>
      <c r="K124" s="307">
        <v>0.01</v>
      </c>
      <c r="L124" s="307">
        <v>0.01</v>
      </c>
      <c r="M124" s="307">
        <f>(M123-L123)/L123</f>
        <v>0.84537155718058532</v>
      </c>
      <c r="N124" s="307">
        <v>0.01</v>
      </c>
      <c r="O124" s="307">
        <v>0.01</v>
      </c>
      <c r="P124" s="307">
        <v>0.01</v>
      </c>
      <c r="Q124" s="307">
        <v>0.01</v>
      </c>
    </row>
    <row r="125" spans="2:17" s="83" customFormat="1" ht="3.75" customHeight="1">
      <c r="E125" s="370"/>
      <c r="F125" s="370"/>
      <c r="G125" s="371"/>
      <c r="H125" s="333"/>
      <c r="I125" s="333"/>
      <c r="J125" s="333"/>
      <c r="K125" s="333"/>
      <c r="L125" s="333"/>
      <c r="M125" s="333"/>
      <c r="N125" s="333"/>
      <c r="O125" s="333"/>
      <c r="P125" s="333"/>
      <c r="Q125" s="333"/>
    </row>
    <row r="126" spans="2:17" ht="13.5" customHeight="1">
      <c r="B126" s="147" t="s">
        <v>584</v>
      </c>
      <c r="E126" s="289"/>
      <c r="F126" s="289"/>
      <c r="G126" s="288"/>
      <c r="H126" s="166"/>
      <c r="I126" s="166"/>
      <c r="J126" s="166"/>
      <c r="K126" s="166"/>
      <c r="L126" s="166"/>
      <c r="M126" s="166"/>
      <c r="N126" s="166"/>
      <c r="O126" s="166"/>
      <c r="P126" s="166"/>
      <c r="Q126" s="166"/>
    </row>
    <row r="127" spans="2:17" ht="5.25" customHeight="1">
      <c r="E127" s="289"/>
      <c r="F127" s="289"/>
      <c r="G127" s="288"/>
      <c r="H127" s="166"/>
      <c r="I127" s="166"/>
      <c r="J127" s="166"/>
      <c r="K127" s="166"/>
      <c r="L127" s="166"/>
      <c r="M127" s="166"/>
      <c r="N127" s="166"/>
      <c r="O127" s="166"/>
      <c r="P127" s="166"/>
      <c r="Q127" s="166"/>
    </row>
    <row r="128" spans="2:17" ht="15.6">
      <c r="B128" s="125" t="s">
        <v>318</v>
      </c>
      <c r="E128" s="148">
        <f>+_xlfn.XLOOKUP($B128,Inputs!$B:$B,Inputs!O:O)</f>
        <v>19.2</v>
      </c>
      <c r="F128" s="148">
        <f>+_xlfn.XLOOKUP($B128,Inputs!$B:$B,Inputs!P:P)</f>
        <v>31.4</v>
      </c>
      <c r="G128" s="268">
        <f>+_xlfn.XLOOKUP($B128,Inputs!$B:$B,Inputs!Q:Q)</f>
        <v>81.099999999999994</v>
      </c>
      <c r="H128" s="166">
        <f t="shared" ref="H128:Q128" si="74">+IFERROR(H129*H51/365,"")</f>
        <v>87.755534006123099</v>
      </c>
      <c r="I128" s="166">
        <f t="shared" si="74"/>
        <v>102.04811883406784</v>
      </c>
      <c r="J128" s="166">
        <f t="shared" si="74"/>
        <v>117.95398817685856</v>
      </c>
      <c r="K128" s="166">
        <f t="shared" si="74"/>
        <v>119.27993860766207</v>
      </c>
      <c r="L128" s="166">
        <f t="shared" si="74"/>
        <v>133.18314048390573</v>
      </c>
      <c r="M128" s="166">
        <f t="shared" si="74"/>
        <v>145.39951009548395</v>
      </c>
      <c r="N128" s="166">
        <f t="shared" si="74"/>
        <v>155.08474381270449</v>
      </c>
      <c r="O128" s="166">
        <f t="shared" si="74"/>
        <v>168.22833391332338</v>
      </c>
      <c r="P128" s="166">
        <f t="shared" si="74"/>
        <v>180.62974151406934</v>
      </c>
      <c r="Q128" s="166">
        <f t="shared" si="74"/>
        <v>200.88202658100752</v>
      </c>
    </row>
    <row r="129" spans="1:17" ht="15.6">
      <c r="B129" s="150" t="s">
        <v>585</v>
      </c>
      <c r="E129" s="311">
        <f>IFERROR(E128/E$51*365,"")</f>
        <v>49.914529914529908</v>
      </c>
      <c r="F129" s="311">
        <f t="shared" ref="F129" si="75">IFERROR(F128/F$51*365,"")</f>
        <v>60.833333333333329</v>
      </c>
      <c r="G129" s="312">
        <f>IFERROR(G128/G$51*366,"")</f>
        <v>99.008005336891244</v>
      </c>
      <c r="H129" s="310">
        <f>IFERROR(AVERAGE(E129:G129),"")</f>
        <v>69.918622861584822</v>
      </c>
      <c r="I129" s="310">
        <f t="shared" ref="I129:Q129" si="76">IFERROR(AVERAGE(F129:H129),"")</f>
        <v>76.58665384393646</v>
      </c>
      <c r="J129" s="310">
        <f t="shared" si="76"/>
        <v>81.83776068080418</v>
      </c>
      <c r="K129" s="310">
        <f t="shared" si="76"/>
        <v>76.114345795441821</v>
      </c>
      <c r="L129" s="310">
        <f t="shared" si="76"/>
        <v>78.179586773394149</v>
      </c>
      <c r="M129" s="310">
        <f t="shared" si="76"/>
        <v>78.710564416546717</v>
      </c>
      <c r="N129" s="310">
        <f t="shared" si="76"/>
        <v>77.66816566179422</v>
      </c>
      <c r="O129" s="310">
        <f t="shared" si="76"/>
        <v>78.186105617245019</v>
      </c>
      <c r="P129" s="310">
        <f t="shared" si="76"/>
        <v>78.188278565195318</v>
      </c>
      <c r="Q129" s="310">
        <f t="shared" si="76"/>
        <v>78.014183281411519</v>
      </c>
    </row>
    <row r="130" spans="1:17" ht="3.75" customHeight="1">
      <c r="E130" s="167"/>
      <c r="F130" s="167"/>
      <c r="G130" s="168"/>
      <c r="H130" s="166"/>
      <c r="I130" s="166"/>
      <c r="J130" s="166"/>
      <c r="K130" s="166"/>
      <c r="L130" s="166"/>
      <c r="O130" s="166"/>
      <c r="P130" s="166"/>
      <c r="Q130" s="166"/>
    </row>
    <row r="131" spans="1:17" ht="15.6">
      <c r="B131" s="125" t="s">
        <v>586</v>
      </c>
      <c r="E131" s="148">
        <f>+_xlfn.XLOOKUP($B131,Inputs!$B:$B,Inputs!O:O)</f>
        <v>41.4</v>
      </c>
      <c r="F131" s="148">
        <f>+_xlfn.XLOOKUP($B131,Inputs!$B:$B,Inputs!P:P)</f>
        <v>72.099999999999994</v>
      </c>
      <c r="G131" s="268">
        <f>+_xlfn.XLOOKUP($B131,Inputs!$B:$B,Inputs!Q:Q)</f>
        <v>211.00000000000003</v>
      </c>
      <c r="H131" s="166">
        <f t="shared" ref="H131:Q131" si="77">IFERROR(AVERAGE(E131:G131)*(1+H49),"")</f>
        <v>138.27458736204707</v>
      </c>
      <c r="I131" s="166">
        <f t="shared" si="77"/>
        <v>160.58391046861053</v>
      </c>
      <c r="J131" s="166">
        <f t="shared" si="77"/>
        <v>191.19156614544548</v>
      </c>
      <c r="K131" s="166">
        <f t="shared" si="77"/>
        <v>181.2320969749349</v>
      </c>
      <c r="L131" s="166">
        <f t="shared" si="77"/>
        <v>195.12883858135285</v>
      </c>
      <c r="M131" s="166">
        <f t="shared" si="77"/>
        <v>206.206924185839</v>
      </c>
      <c r="N131" s="166">
        <f t="shared" si="77"/>
        <v>210.44952676142091</v>
      </c>
      <c r="O131" s="166">
        <f t="shared" si="77"/>
        <v>220.03192283820874</v>
      </c>
      <c r="P131" s="166">
        <f t="shared" si="77"/>
        <v>228.01644990371085</v>
      </c>
      <c r="Q131" s="166">
        <f t="shared" si="77"/>
        <v>244.81368833137532</v>
      </c>
    </row>
    <row r="132" spans="1:17" s="329" customFormat="1" ht="15.6">
      <c r="B132" s="276" t="s">
        <v>587</v>
      </c>
      <c r="E132" s="308">
        <f>IFERROR(E131/E$48,"")</f>
        <v>0.1055583885772565</v>
      </c>
      <c r="F132" s="308">
        <f t="shared" ref="F132:Q132" si="78">IFERROR(F131/F$48,"")</f>
        <v>0.12456807187284036</v>
      </c>
      <c r="G132" s="309">
        <f t="shared" si="78"/>
        <v>0.20607481199335875</v>
      </c>
      <c r="H132" s="308">
        <f>IFERROR(H131/H$48,"")</f>
        <v>0.10564182700133476</v>
      </c>
      <c r="I132" s="308">
        <f t="shared" si="78"/>
        <v>0.10731010450557646</v>
      </c>
      <c r="J132" s="308">
        <f t="shared" si="78"/>
        <v>0.11357088126201968</v>
      </c>
      <c r="K132" s="308">
        <f t="shared" si="78"/>
        <v>9.7032553527903909E-2</v>
      </c>
      <c r="L132" s="308">
        <f t="shared" si="78"/>
        <v>9.5124956300658106E-2</v>
      </c>
      <c r="M132" s="308">
        <f t="shared" si="78"/>
        <v>9.2226939758057666E-2</v>
      </c>
      <c r="N132" s="308">
        <f t="shared" si="78"/>
        <v>8.6851999300463584E-2</v>
      </c>
      <c r="O132" s="308">
        <f t="shared" si="78"/>
        <v>8.4160758727372484E-2</v>
      </c>
      <c r="P132" s="308">
        <f t="shared" si="78"/>
        <v>8.1176367379629202E-2</v>
      </c>
      <c r="Q132" s="308">
        <f t="shared" si="78"/>
        <v>7.8144168153029631E-2</v>
      </c>
    </row>
    <row r="133" spans="1:17" s="242" customFormat="1" ht="5.25" customHeight="1">
      <c r="B133" s="269"/>
      <c r="E133" s="325"/>
      <c r="F133" s="325"/>
      <c r="G133" s="326"/>
      <c r="H133" s="327"/>
      <c r="I133" s="327"/>
      <c r="J133" s="327"/>
      <c r="K133" s="327"/>
      <c r="L133" s="327"/>
      <c r="M133" s="327"/>
      <c r="N133" s="327"/>
      <c r="O133" s="327"/>
      <c r="P133" s="327"/>
      <c r="Q133" s="327"/>
    </row>
    <row r="134" spans="1:17" ht="15.6">
      <c r="B134" s="125" t="s">
        <v>588</v>
      </c>
      <c r="E134" s="293">
        <f>+_xlfn.XLOOKUP($B134,Inputs!$B:$B,Inputs!O:O)</f>
        <v>89.7</v>
      </c>
      <c r="F134" s="293">
        <f>+_xlfn.XLOOKUP($B134,Inputs!$B:$B,Inputs!P:P)</f>
        <v>60.2</v>
      </c>
      <c r="G134" s="294">
        <f>+_xlfn.XLOOKUP($B134,Inputs!$B:$B,Inputs!Q:Q)</f>
        <v>161.80000000000001</v>
      </c>
      <c r="H134" s="166">
        <f>IFERROR(G134+H174-H176,"")</f>
        <v>147.28000000000003</v>
      </c>
      <c r="I134" s="166">
        <f>IFERROR(H134+I174-I176,"")</f>
        <v>162.79424284443539</v>
      </c>
      <c r="J134" s="166">
        <f t="shared" ref="J134:Q134" si="79">IFERROR(I134+J174-J176,"")</f>
        <v>113.97533575697311</v>
      </c>
      <c r="K134" s="166">
        <f t="shared" si="79"/>
        <v>77.984259658837573</v>
      </c>
      <c r="L134" s="166">
        <f t="shared" si="79"/>
        <v>35.100958475949447</v>
      </c>
      <c r="M134" s="166">
        <f t="shared" si="79"/>
        <v>23.292932484284059</v>
      </c>
      <c r="N134" s="166">
        <f t="shared" si="79"/>
        <v>23.292932484284059</v>
      </c>
      <c r="O134" s="166">
        <f t="shared" si="79"/>
        <v>23.292932484284059</v>
      </c>
      <c r="P134" s="166">
        <f t="shared" si="79"/>
        <v>23.292932484284059</v>
      </c>
      <c r="Q134" s="166">
        <f t="shared" si="79"/>
        <v>23.292932484284059</v>
      </c>
    </row>
    <row r="135" spans="1:17" ht="3.75" customHeight="1">
      <c r="B135" s="150"/>
      <c r="E135" s="169"/>
      <c r="F135" s="169"/>
      <c r="G135" s="328"/>
      <c r="H135" s="295"/>
      <c r="I135" s="295"/>
      <c r="J135" s="295"/>
      <c r="K135" s="295"/>
      <c r="L135" s="295"/>
      <c r="M135" s="295"/>
      <c r="N135" s="295"/>
      <c r="O135" s="295"/>
      <c r="P135" s="295"/>
      <c r="Q135" s="295"/>
    </row>
    <row r="136" spans="1:17" ht="15.6">
      <c r="B136" s="125" t="s">
        <v>589</v>
      </c>
      <c r="E136" s="293">
        <f>+_xlfn.XLOOKUP($B136,Inputs!$B:$B,Inputs!O:O)</f>
        <v>21.6</v>
      </c>
      <c r="F136" s="293">
        <f>+_xlfn.XLOOKUP($B136,Inputs!$B:$B,Inputs!P:P)</f>
        <v>16.3</v>
      </c>
      <c r="G136" s="294">
        <f>+_xlfn.XLOOKUP($B136,Inputs!$B:$B,Inputs!Q:Q)</f>
        <v>28.5</v>
      </c>
      <c r="H136" s="166">
        <f t="shared" ref="H136:Q136" si="80">+IFERROR(H137*H48,"")</f>
        <v>48.460017808156984</v>
      </c>
      <c r="I136" s="166">
        <f t="shared" si="80"/>
        <v>46.399806950917217</v>
      </c>
      <c r="J136" s="166">
        <f t="shared" si="80"/>
        <v>53.794754631071314</v>
      </c>
      <c r="K136" s="166">
        <f t="shared" si="80"/>
        <v>62.248879615184251</v>
      </c>
      <c r="L136" s="166">
        <f t="shared" si="80"/>
        <v>65.839528294199951</v>
      </c>
      <c r="M136" s="166">
        <f t="shared" si="80"/>
        <v>72.576126454327792</v>
      </c>
      <c r="N136" s="166">
        <f t="shared" si="80"/>
        <v>79.061125804007176</v>
      </c>
      <c r="O136" s="166">
        <f t="shared" si="80"/>
        <v>84.694244418140642</v>
      </c>
      <c r="P136" s="166">
        <f t="shared" si="80"/>
        <v>91.27368160376453</v>
      </c>
      <c r="Q136" s="166">
        <f t="shared" si="80"/>
        <v>101.83605615996201</v>
      </c>
    </row>
    <row r="137" spans="1:17" ht="15.6">
      <c r="B137" s="150" t="s">
        <v>590</v>
      </c>
      <c r="E137" s="291">
        <f>IFERROR(E136/E$48,"")</f>
        <v>5.50739418663947E-2</v>
      </c>
      <c r="F137" s="291">
        <f>IFERROR(F136/F$48,"")</f>
        <v>2.8161713890808574E-2</v>
      </c>
      <c r="G137" s="292">
        <f>IFERROR(G136/G$48,"")</f>
        <v>2.7834749487254614E-2</v>
      </c>
      <c r="H137" s="142">
        <f>+IFERROR(AVERAGE(E137:G137),"")</f>
        <v>3.7023468414819301E-2</v>
      </c>
      <c r="I137" s="142">
        <f t="shared" ref="I137:Q137" si="81">+IFERROR(AVERAGE(F137:H137),"")</f>
        <v>3.1006643930960826E-2</v>
      </c>
      <c r="J137" s="142">
        <f t="shared" si="81"/>
        <v>3.1954953944344909E-2</v>
      </c>
      <c r="K137" s="142">
        <f t="shared" si="81"/>
        <v>3.332835543004168E-2</v>
      </c>
      <c r="L137" s="142">
        <f t="shared" si="81"/>
        <v>3.2096651101782475E-2</v>
      </c>
      <c r="M137" s="142">
        <f t="shared" si="81"/>
        <v>3.245998682538969E-2</v>
      </c>
      <c r="N137" s="142">
        <f t="shared" si="81"/>
        <v>3.2628331119071284E-2</v>
      </c>
      <c r="O137" s="142">
        <f t="shared" si="81"/>
        <v>3.2394989682081154E-2</v>
      </c>
      <c r="P137" s="142">
        <f t="shared" si="81"/>
        <v>3.2494435875514045E-2</v>
      </c>
      <c r="Q137" s="142">
        <f t="shared" si="81"/>
        <v>3.2505918892222159E-2</v>
      </c>
    </row>
    <row r="138" spans="1:17" ht="3.75" customHeight="1">
      <c r="G138" s="156"/>
    </row>
    <row r="139" spans="1:17" ht="15.6">
      <c r="A139" s="125" t="s">
        <v>472</v>
      </c>
      <c r="B139" s="51" t="s">
        <v>273</v>
      </c>
      <c r="C139" s="51"/>
      <c r="D139" s="51"/>
      <c r="E139" s="136">
        <f t="shared" ref="E139:Q139" si="82">E46</f>
        <v>2022</v>
      </c>
      <c r="F139" s="136">
        <f t="shared" si="82"/>
        <v>2023</v>
      </c>
      <c r="G139" s="161">
        <f t="shared" si="82"/>
        <v>2024</v>
      </c>
      <c r="H139" s="99">
        <f t="shared" si="82"/>
        <v>2025</v>
      </c>
      <c r="I139" s="99">
        <f t="shared" si="82"/>
        <v>2026</v>
      </c>
      <c r="J139" s="99">
        <f t="shared" si="82"/>
        <v>2027</v>
      </c>
      <c r="K139" s="99">
        <f t="shared" si="82"/>
        <v>2028</v>
      </c>
      <c r="L139" s="99">
        <f t="shared" si="82"/>
        <v>2029</v>
      </c>
      <c r="M139" s="99">
        <f t="shared" si="82"/>
        <v>2030</v>
      </c>
      <c r="N139" s="99">
        <f t="shared" si="82"/>
        <v>2031</v>
      </c>
      <c r="O139" s="99">
        <f t="shared" si="82"/>
        <v>2032</v>
      </c>
      <c r="P139" s="99">
        <f t="shared" si="82"/>
        <v>2033</v>
      </c>
      <c r="Q139" s="99">
        <f t="shared" si="82"/>
        <v>2034</v>
      </c>
    </row>
    <row r="140" spans="1:17" ht="3.95" customHeight="1">
      <c r="B140" s="52"/>
      <c r="C140" s="52"/>
      <c r="D140" s="52"/>
      <c r="E140" s="170"/>
      <c r="F140" s="170"/>
      <c r="G140" s="171"/>
      <c r="H140" s="52"/>
      <c r="I140" s="52"/>
      <c r="J140" s="52"/>
      <c r="K140" s="52"/>
      <c r="L140" s="52"/>
      <c r="M140" s="52"/>
      <c r="N140" s="52"/>
      <c r="O140" s="52"/>
      <c r="P140" s="52"/>
      <c r="Q140" s="52"/>
    </row>
    <row r="141" spans="1:17" ht="15.6">
      <c r="B141" s="125" t="s">
        <v>558</v>
      </c>
      <c r="E141" s="164">
        <f>+E68</f>
        <v>27.1</v>
      </c>
      <c r="F141" s="164">
        <f t="shared" ref="F141:Q141" si="83">+F68</f>
        <v>22.2</v>
      </c>
      <c r="G141" s="165">
        <f t="shared" si="83"/>
        <v>35.9</v>
      </c>
      <c r="H141" s="166">
        <f>+H68</f>
        <v>37.284731668128309</v>
      </c>
      <c r="I141" s="166">
        <f>+I68</f>
        <v>38.129056062583771</v>
      </c>
      <c r="J141" s="166">
        <f t="shared" si="83"/>
        <v>39.336933070693604</v>
      </c>
      <c r="K141" s="166">
        <f t="shared" si="83"/>
        <v>40.749709577367838</v>
      </c>
      <c r="L141" s="166">
        <f t="shared" si="83"/>
        <v>42.10108010696797</v>
      </c>
      <c r="M141" s="166">
        <f>+M68</f>
        <v>71.817938077715354</v>
      </c>
      <c r="N141" s="166">
        <f t="shared" si="83"/>
        <v>73.494068962843755</v>
      </c>
      <c r="O141" s="166">
        <f t="shared" si="83"/>
        <v>75.224393162067273</v>
      </c>
      <c r="P141" s="166">
        <f t="shared" si="83"/>
        <v>77.050746050651227</v>
      </c>
      <c r="Q141" s="166">
        <f t="shared" si="83"/>
        <v>78.207964430244374</v>
      </c>
    </row>
    <row r="142" spans="1:17" ht="3.95" customHeight="1">
      <c r="G142" s="145"/>
    </row>
    <row r="143" spans="1:17" ht="13.5" customHeight="1">
      <c r="B143" s="125" t="s">
        <v>591</v>
      </c>
      <c r="E143" s="293">
        <f>+_xlfn.XLOOKUP($B143,Inputs!$B:$B,Inputs!O:O)</f>
        <v>19.600000000000001</v>
      </c>
      <c r="F143" s="293">
        <f>+_xlfn.XLOOKUP($B143,Inputs!$B:$B,Inputs!P:P)</f>
        <v>29.1</v>
      </c>
      <c r="G143" s="294">
        <f>+_xlfn.XLOOKUP($B143,Inputs!$B:$B,Inputs!Q:Q)</f>
        <v>40.6</v>
      </c>
      <c r="H143" s="166">
        <f t="shared" ref="H143:Q143" si="84">IFERROR(H144*H57,"")</f>
        <v>61.018675098724614</v>
      </c>
      <c r="I143" s="166">
        <f t="shared" si="84"/>
        <v>68.298738612345062</v>
      </c>
      <c r="J143" s="166">
        <f t="shared" si="84"/>
        <v>74.022221287011035</v>
      </c>
      <c r="K143" s="166">
        <f t="shared" si="84"/>
        <v>84.813863137315252</v>
      </c>
      <c r="L143" s="166">
        <f t="shared" si="84"/>
        <v>92.322220182314084</v>
      </c>
      <c r="M143" s="166">
        <f t="shared" si="84"/>
        <v>100.15708506177909</v>
      </c>
      <c r="N143" s="166">
        <f t="shared" si="84"/>
        <v>109.21022048071663</v>
      </c>
      <c r="O143" s="166">
        <f t="shared" si="84"/>
        <v>117.538753839846</v>
      </c>
      <c r="P143" s="166">
        <f t="shared" si="84"/>
        <v>126.236053311101</v>
      </c>
      <c r="Q143" s="166">
        <f t="shared" si="84"/>
        <v>140.94677821767442</v>
      </c>
    </row>
    <row r="144" spans="1:17" ht="13.5" customHeight="1">
      <c r="B144" s="276" t="s">
        <v>592</v>
      </c>
      <c r="E144" s="291">
        <f>+IFERROR(E143/E57,"")</f>
        <v>8.8328075709779186E-2</v>
      </c>
      <c r="F144" s="291">
        <f>+IFERROR(F143/F57,"")</f>
        <v>9.028855103940428E-2</v>
      </c>
      <c r="G144" s="292">
        <f>+IFERROR(G143/G57,"")</f>
        <v>7.0682451253481896E-2</v>
      </c>
      <c r="H144" s="142">
        <f>IFERROR(AVERAGE(E144:G144),"")</f>
        <v>8.3099692667555125E-2</v>
      </c>
      <c r="I144" s="142">
        <f t="shared" ref="I144:Q144" si="85">IFERROR(AVERAGE(F144:H144),"")</f>
        <v>8.13568983201471E-2</v>
      </c>
      <c r="J144" s="142">
        <f t="shared" si="85"/>
        <v>7.8379680747061364E-2</v>
      </c>
      <c r="K144" s="142">
        <f t="shared" si="85"/>
        <v>8.0945423911587863E-2</v>
      </c>
      <c r="L144" s="142">
        <f t="shared" si="85"/>
        <v>8.0227334326265443E-2</v>
      </c>
      <c r="M144" s="142">
        <f t="shared" si="85"/>
        <v>7.9850812994971557E-2</v>
      </c>
      <c r="N144" s="142">
        <f t="shared" si="85"/>
        <v>8.0341190410941621E-2</v>
      </c>
      <c r="O144" s="142">
        <f t="shared" si="85"/>
        <v>8.0139779244059531E-2</v>
      </c>
      <c r="P144" s="142">
        <f t="shared" si="85"/>
        <v>8.011059421665756E-2</v>
      </c>
      <c r="Q144" s="142">
        <f t="shared" si="85"/>
        <v>8.0197187957219571E-2</v>
      </c>
    </row>
    <row r="145" spans="2:17" ht="3.75" customHeight="1">
      <c r="B145" s="276"/>
      <c r="E145" s="291"/>
      <c r="F145" s="291"/>
      <c r="G145" s="292"/>
      <c r="H145" s="142"/>
      <c r="I145" s="142"/>
      <c r="J145" s="142"/>
      <c r="K145" s="142"/>
      <c r="L145" s="142"/>
      <c r="M145" s="142"/>
      <c r="N145" s="142"/>
      <c r="O145" s="142"/>
      <c r="P145" s="142"/>
      <c r="Q145" s="142"/>
    </row>
    <row r="146" spans="2:17" ht="13.5" customHeight="1">
      <c r="B146" s="125" t="s">
        <v>593</v>
      </c>
      <c r="E146" s="293">
        <f>+_xlfn.XLOOKUP($B146,Inputs!$B:$B,Inputs!O:O)</f>
        <v>-42.4</v>
      </c>
      <c r="F146" s="293">
        <f>+_xlfn.XLOOKUP($B146,Inputs!$B:$B,Inputs!P:P)</f>
        <v>-0.80000000000000071</v>
      </c>
      <c r="G146" s="294">
        <f>+_xlfn.XLOOKUP($B146,Inputs!$B:$B,Inputs!Q:Q)</f>
        <v>-117.5</v>
      </c>
      <c r="H146" s="172">
        <f>IFERROR(-((H108+H111+H114-H128-H131)-(G108+G111+G114-G128-G131)),"")</f>
        <v>-152.66083281617472</v>
      </c>
      <c r="I146" s="172">
        <f t="shared" ref="I146:Q146" si="86">IFERROR(-((I108+I111+I114-I128-I131)-(H108+H111+H114-H128-H131)),"")</f>
        <v>-0.16300549038390955</v>
      </c>
      <c r="J146" s="172">
        <f t="shared" si="86"/>
        <v>-23.275872928681622</v>
      </c>
      <c r="K146" s="172">
        <f t="shared" si="86"/>
        <v>-45.001669198716996</v>
      </c>
      <c r="L146" s="172">
        <f t="shared" si="86"/>
        <v>-26.219076583491699</v>
      </c>
      <c r="M146" s="172">
        <f t="shared" si="86"/>
        <v>-35.147328036519468</v>
      </c>
      <c r="N146" s="172">
        <f t="shared" si="86"/>
        <v>-37.851410621293383</v>
      </c>
      <c r="O146" s="172">
        <f t="shared" si="86"/>
        <v>-35.310012953628757</v>
      </c>
      <c r="P146" s="172">
        <f t="shared" si="86"/>
        <v>-38.486623044970088</v>
      </c>
      <c r="Q146" s="172">
        <f t="shared" si="86"/>
        <v>-60.419695309363419</v>
      </c>
    </row>
    <row r="147" spans="2:17" ht="3.75" customHeight="1">
      <c r="G147" s="145"/>
    </row>
    <row r="148" spans="2:17" ht="13.5" customHeight="1">
      <c r="B148" s="383" t="s">
        <v>594</v>
      </c>
      <c r="C148" s="383"/>
      <c r="D148" s="383"/>
      <c r="E148" s="384">
        <f>+_xlfn.XLOOKUP($B148,Inputs!$B:$B,Inputs!O:O)</f>
        <v>-6.6999999999999815</v>
      </c>
      <c r="F148" s="384">
        <f>+_xlfn.XLOOKUP($B148,Inputs!$B:$B,Inputs!P:P)</f>
        <v>-10.099999999999952</v>
      </c>
      <c r="G148" s="385">
        <f>+_xlfn.XLOOKUP($B148,Inputs!$B:$B,Inputs!Q:Q)</f>
        <v>-15.499999999999922</v>
      </c>
      <c r="H148" s="386">
        <f t="shared" ref="H148:Q148" si="87">IFERROR(AVERAGE(E148:G148)*(1+H49),"")</f>
        <v>-13.763541361461018</v>
      </c>
      <c r="I148" s="386">
        <f t="shared" si="87"/>
        <v>-15.001263937839513</v>
      </c>
      <c r="J148" s="386">
        <f t="shared" si="87"/>
        <v>-16.598835728550227</v>
      </c>
      <c r="K148" s="386">
        <f t="shared" si="87"/>
        <v>-16.776546712779314</v>
      </c>
      <c r="L148" s="386">
        <f t="shared" si="87"/>
        <v>-17.710215182996862</v>
      </c>
      <c r="M148" s="386">
        <f t="shared" si="87"/>
        <v>-18.560756801744851</v>
      </c>
      <c r="N148" s="386">
        <f t="shared" si="87"/>
        <v>-19.163132704750634</v>
      </c>
      <c r="O148" s="386">
        <f t="shared" si="87"/>
        <v>-19.937178703727405</v>
      </c>
      <c r="P148" s="386">
        <f t="shared" si="87"/>
        <v>-20.650089764919805</v>
      </c>
      <c r="Q148" s="386">
        <f t="shared" si="87"/>
        <v>-22.213762719017843</v>
      </c>
    </row>
    <row r="149" spans="2:17" ht="5.25" customHeight="1">
      <c r="E149" s="322"/>
      <c r="F149" s="322"/>
      <c r="G149" s="294"/>
      <c r="H149" s="166"/>
      <c r="I149" s="166"/>
      <c r="J149" s="166"/>
      <c r="K149" s="166"/>
      <c r="L149" s="166"/>
      <c r="M149" s="166"/>
      <c r="N149" s="166"/>
      <c r="O149" s="166"/>
      <c r="P149" s="166"/>
      <c r="Q149" s="166"/>
    </row>
    <row r="150" spans="2:17" ht="13.5" customHeight="1">
      <c r="B150" s="400" t="s">
        <v>324</v>
      </c>
      <c r="C150" s="147"/>
      <c r="D150" s="147"/>
      <c r="E150" s="345">
        <f>+_xlfn.XLOOKUP($B150,Inputs!$B:$B,Inputs!O:O)</f>
        <v>19.5</v>
      </c>
      <c r="F150" s="345">
        <f>+_xlfn.XLOOKUP($B150,Inputs!$B:$B,Inputs!P:P)</f>
        <v>101.9</v>
      </c>
      <c r="G150" s="346">
        <f>+_xlfn.XLOOKUP($B150,Inputs!$B:$B,Inputs!Q:Q)</f>
        <v>71.2</v>
      </c>
      <c r="H150" s="475">
        <f>IFERROR(H99+H141+H143+H146+H148,"")</f>
        <v>-6.0577842058963771</v>
      </c>
      <c r="I150" s="475">
        <f t="shared" ref="I150:Q150" si="88">IFERROR(I99+I141+I143+I146+I148,"")</f>
        <v>200.74861634255367</v>
      </c>
      <c r="J150" s="475">
        <f t="shared" si="88"/>
        <v>222.0634518495898</v>
      </c>
      <c r="K150" s="475">
        <f t="shared" si="88"/>
        <v>243.94143529979684</v>
      </c>
      <c r="L150" s="475">
        <f t="shared" si="88"/>
        <v>298.2219835924555</v>
      </c>
      <c r="M150" s="475">
        <f t="shared" si="88"/>
        <v>324.83399719320937</v>
      </c>
      <c r="N150" s="475">
        <f t="shared" si="88"/>
        <v>354.81940871379862</v>
      </c>
      <c r="O150" s="475">
        <f t="shared" si="88"/>
        <v>389.00792421445277</v>
      </c>
      <c r="P150" s="475">
        <f t="shared" si="88"/>
        <v>417.90440055932339</v>
      </c>
      <c r="Q150" s="475">
        <f t="shared" si="88"/>
        <v>445.13295473519327</v>
      </c>
    </row>
    <row r="151" spans="2:17" ht="3.75" customHeight="1">
      <c r="G151" s="145"/>
    </row>
    <row r="152" spans="2:17" ht="13.5" customHeight="1">
      <c r="B152" s="341" t="s">
        <v>595</v>
      </c>
      <c r="C152" s="341"/>
      <c r="D152" s="341"/>
      <c r="E152" s="342">
        <f>+_xlfn.XLOOKUP($B152,Inputs!$B:$B,Inputs!O:O)</f>
        <v>-4.8</v>
      </c>
      <c r="F152" s="342">
        <f>+_xlfn.XLOOKUP($B152,Inputs!$B:$B,Inputs!P:P)</f>
        <v>-1.7</v>
      </c>
      <c r="G152" s="343">
        <f>+_xlfn.XLOOKUP($B152,Inputs!$B:$B,Inputs!Q:Q)</f>
        <v>-8.6999999999999993</v>
      </c>
      <c r="H152" s="344">
        <f>IFERROR(H154+H156,"")</f>
        <v>-8.6999999999999993</v>
      </c>
      <c r="I152" s="344">
        <f t="shared" ref="I152:Q152" si="89">IFERROR(I154+I156,"")</f>
        <v>-9.36</v>
      </c>
      <c r="J152" s="344">
        <f t="shared" si="89"/>
        <v>-9.8879999999999999</v>
      </c>
      <c r="K152" s="344">
        <f t="shared" si="89"/>
        <v>-10.3104</v>
      </c>
      <c r="L152" s="344">
        <f t="shared" si="89"/>
        <v>-10.64832</v>
      </c>
      <c r="M152" s="344">
        <f t="shared" si="89"/>
        <v>-10.918656</v>
      </c>
      <c r="N152" s="344">
        <f t="shared" si="89"/>
        <v>-11.1349248</v>
      </c>
      <c r="O152" s="344">
        <f t="shared" si="89"/>
        <v>-11.30793984</v>
      </c>
      <c r="P152" s="344">
        <f t="shared" si="89"/>
        <v>-11.446351871999999</v>
      </c>
      <c r="Q152" s="344">
        <f t="shared" si="89"/>
        <v>-12</v>
      </c>
    </row>
    <row r="153" spans="2:17" ht="3.75" customHeight="1">
      <c r="B153" s="150"/>
      <c r="E153" s="152"/>
      <c r="F153" s="152"/>
      <c r="G153" s="153"/>
      <c r="H153" s="152"/>
      <c r="I153" s="152"/>
      <c r="J153" s="152"/>
      <c r="K153" s="152"/>
      <c r="L153" s="152"/>
      <c r="M153" s="152"/>
      <c r="N153" s="152"/>
      <c r="O153" s="152"/>
      <c r="P153" s="152"/>
      <c r="Q153" s="152"/>
    </row>
    <row r="154" spans="2:17" s="150" customFormat="1" ht="15.6">
      <c r="B154" s="275" t="s">
        <v>596</v>
      </c>
      <c r="E154" s="319">
        <f>+_xlfn.XLOOKUP($B154,Inputs!$B:$B,Inputs!O:O)</f>
        <v>-4.8</v>
      </c>
      <c r="F154" s="319">
        <f>+_xlfn.XLOOKUP($B154,Inputs!$B:$B,Inputs!P:P)</f>
        <v>-1.7</v>
      </c>
      <c r="G154" s="320">
        <f>+_xlfn.XLOOKUP($B154,Inputs!$B:$B,Inputs!Q:Q)</f>
        <v>-8.6999999999999993</v>
      </c>
      <c r="H154" s="321">
        <f>G154</f>
        <v>-8.6999999999999993</v>
      </c>
      <c r="I154" s="321">
        <f>H154+($Q$154-H154)/5</f>
        <v>-9.36</v>
      </c>
      <c r="J154" s="321">
        <f t="shared" ref="J154:P154" si="90">I154+($Q$154-I154)/5</f>
        <v>-9.8879999999999999</v>
      </c>
      <c r="K154" s="321">
        <f t="shared" si="90"/>
        <v>-10.3104</v>
      </c>
      <c r="L154" s="321">
        <f t="shared" si="90"/>
        <v>-10.64832</v>
      </c>
      <c r="M154" s="321">
        <f t="shared" si="90"/>
        <v>-10.918656</v>
      </c>
      <c r="N154" s="321">
        <f t="shared" si="90"/>
        <v>-11.1349248</v>
      </c>
      <c r="O154" s="321">
        <f t="shared" si="90"/>
        <v>-11.30793984</v>
      </c>
      <c r="P154" s="321">
        <f t="shared" si="90"/>
        <v>-11.446351871999999</v>
      </c>
      <c r="Q154" s="321">
        <v>-12</v>
      </c>
    </row>
    <row r="155" spans="2:17" ht="3.75" customHeight="1">
      <c r="B155" s="275"/>
      <c r="E155" s="152"/>
      <c r="F155" s="152"/>
      <c r="G155" s="153"/>
      <c r="H155" s="152"/>
      <c r="I155" s="152"/>
      <c r="J155" s="152"/>
      <c r="K155" s="152"/>
      <c r="L155" s="152"/>
      <c r="M155" s="152"/>
      <c r="N155" s="152"/>
      <c r="O155" s="152"/>
      <c r="P155" s="152"/>
      <c r="Q155" s="152"/>
    </row>
    <row r="156" spans="2:17" s="150" customFormat="1" ht="15.6">
      <c r="B156" s="275" t="s">
        <v>597</v>
      </c>
      <c r="E156" s="319">
        <f>+_xlfn.XLOOKUP($B156,Inputs!$B:$B,Inputs!O:O)</f>
        <v>0</v>
      </c>
      <c r="F156" s="319">
        <f>+_xlfn.XLOOKUP($B156,Inputs!$B:$B,Inputs!P:P)</f>
        <v>0</v>
      </c>
      <c r="G156" s="320">
        <f>+_xlfn.XLOOKUP($B156,Inputs!$B:$B,Inputs!Q:Q)</f>
        <v>0</v>
      </c>
      <c r="H156" s="321">
        <f>IFERROR(H157*G118,"")</f>
        <v>0</v>
      </c>
      <c r="I156" s="321">
        <f t="shared" ref="I156:Q156" si="91">IFERROR(I157*H118,"")</f>
        <v>0</v>
      </c>
      <c r="J156" s="321">
        <f t="shared" si="91"/>
        <v>0</v>
      </c>
      <c r="K156" s="321">
        <f t="shared" si="91"/>
        <v>0</v>
      </c>
      <c r="L156" s="321">
        <f t="shared" si="91"/>
        <v>0</v>
      </c>
      <c r="M156" s="321">
        <f t="shared" si="91"/>
        <v>0</v>
      </c>
      <c r="N156" s="321">
        <f t="shared" si="91"/>
        <v>0</v>
      </c>
      <c r="O156" s="321">
        <f t="shared" si="91"/>
        <v>0</v>
      </c>
      <c r="P156" s="321">
        <f t="shared" si="91"/>
        <v>0</v>
      </c>
      <c r="Q156" s="321">
        <f t="shared" si="91"/>
        <v>0</v>
      </c>
    </row>
    <row r="157" spans="2:17" customFormat="1" ht="14.45">
      <c r="B157" s="285" t="s">
        <v>598</v>
      </c>
      <c r="E157" s="284">
        <f>IFERROR(E156/E118,"")</f>
        <v>0</v>
      </c>
      <c r="F157" s="284">
        <f t="shared" ref="F157:G157" si="92">IFERROR(F156/F118,"")</f>
        <v>0</v>
      </c>
      <c r="G157" s="315">
        <f t="shared" si="92"/>
        <v>0</v>
      </c>
      <c r="H157" s="307">
        <f>IFERROR(AVERAGE(E157:G157),"")</f>
        <v>0</v>
      </c>
      <c r="I157" s="307">
        <f t="shared" ref="I157:Q157" si="93">IFERROR(AVERAGE(F157:H157),"")</f>
        <v>0</v>
      </c>
      <c r="J157" s="307">
        <f t="shared" si="93"/>
        <v>0</v>
      </c>
      <c r="K157" s="307">
        <f t="shared" si="93"/>
        <v>0</v>
      </c>
      <c r="L157" s="307">
        <f t="shared" si="93"/>
        <v>0</v>
      </c>
      <c r="M157" s="307">
        <f t="shared" si="93"/>
        <v>0</v>
      </c>
      <c r="N157" s="307">
        <f t="shared" si="93"/>
        <v>0</v>
      </c>
      <c r="O157" s="307">
        <f t="shared" si="93"/>
        <v>0</v>
      </c>
      <c r="P157" s="307">
        <f t="shared" si="93"/>
        <v>0</v>
      </c>
      <c r="Q157" s="307">
        <f t="shared" si="93"/>
        <v>0</v>
      </c>
    </row>
    <row r="158" spans="2:17" ht="3.75" customHeight="1">
      <c r="B158" s="150"/>
      <c r="E158" s="152"/>
      <c r="F158" s="152"/>
      <c r="G158" s="153"/>
      <c r="H158" s="152"/>
      <c r="I158" s="152"/>
      <c r="J158" s="152"/>
      <c r="K158" s="152"/>
      <c r="L158" s="152"/>
      <c r="M158" s="152"/>
      <c r="N158" s="152"/>
      <c r="O158" s="152"/>
      <c r="P158" s="152"/>
      <c r="Q158" s="152"/>
    </row>
    <row r="159" spans="2:17" ht="13.5" customHeight="1">
      <c r="B159" s="196" t="s">
        <v>599</v>
      </c>
      <c r="E159" s="319">
        <f>+_xlfn.XLOOKUP($B159,Inputs!$B:$B,Inputs!O:O)</f>
        <v>0</v>
      </c>
      <c r="F159" s="319">
        <f>+_xlfn.XLOOKUP($B159,Inputs!$B:$B,Inputs!P:P)</f>
        <v>0</v>
      </c>
      <c r="G159" s="320">
        <f>+_xlfn.XLOOKUP($B159,Inputs!$B:$B,Inputs!Q:Q)</f>
        <v>-275</v>
      </c>
      <c r="H159" s="335">
        <v>0</v>
      </c>
      <c r="I159" s="335">
        <v>0</v>
      </c>
      <c r="J159" s="335">
        <v>0</v>
      </c>
      <c r="K159" s="335">
        <v>0</v>
      </c>
      <c r="L159" s="335">
        <v>0</v>
      </c>
      <c r="M159" s="335">
        <v>-300</v>
      </c>
      <c r="N159" s="335">
        <v>0</v>
      </c>
      <c r="O159" s="335">
        <v>0</v>
      </c>
      <c r="P159" s="335">
        <v>0</v>
      </c>
      <c r="Q159" s="335">
        <v>0</v>
      </c>
    </row>
    <row r="160" spans="2:17" ht="3.75" customHeight="1">
      <c r="B160" s="150"/>
      <c r="E160" s="152"/>
      <c r="F160" s="152"/>
      <c r="G160" s="160"/>
      <c r="H160" s="152"/>
      <c r="I160" s="152"/>
      <c r="J160" s="152"/>
      <c r="K160" s="152"/>
      <c r="L160" s="152"/>
      <c r="M160" s="152"/>
      <c r="N160" s="152"/>
      <c r="O160" s="152"/>
      <c r="P160" s="152"/>
      <c r="Q160" s="152"/>
    </row>
    <row r="161" spans="2:20" ht="13.5" customHeight="1">
      <c r="B161" s="383" t="s">
        <v>600</v>
      </c>
      <c r="C161" s="383"/>
      <c r="D161" s="383"/>
      <c r="E161" s="384">
        <f>+_xlfn.XLOOKUP($B161,Inputs!$B:$B,Inputs!O:O)</f>
        <v>0</v>
      </c>
      <c r="F161" s="384">
        <f>+_xlfn.XLOOKUP($B161,Inputs!$B:$B,Inputs!P:P)</f>
        <v>0</v>
      </c>
      <c r="G161" s="385">
        <f>+_xlfn.XLOOKUP($B161,Inputs!$B:$B,Inputs!Q:Q)</f>
        <v>-1</v>
      </c>
      <c r="H161" s="386">
        <f t="shared" ref="H161:Q161" si="94">IFERROR(AVERAGE(E161:G161)*(1+H49),"")</f>
        <v>-0.42611583162418204</v>
      </c>
      <c r="I161" s="386">
        <f t="shared" si="94"/>
        <v>-0.54348616146288398</v>
      </c>
      <c r="J161" s="386">
        <f t="shared" si="94"/>
        <v>-0.7385800008114799</v>
      </c>
      <c r="K161" s="386">
        <f t="shared" si="94"/>
        <v>-0.63172607765266042</v>
      </c>
      <c r="L161" s="386">
        <f t="shared" si="94"/>
        <v>-0.70062054568651866</v>
      </c>
      <c r="M161" s="386">
        <f t="shared" si="94"/>
        <v>-0.75242274168512624</v>
      </c>
      <c r="N161" s="386">
        <f t="shared" si="94"/>
        <v>-0.75311179451314136</v>
      </c>
      <c r="O161" s="386">
        <f t="shared" si="94"/>
        <v>-0.79345573202719555</v>
      </c>
      <c r="P161" s="386">
        <f t="shared" si="94"/>
        <v>-0.82333464989668737</v>
      </c>
      <c r="Q161" s="386">
        <f t="shared" si="94"/>
        <v>-0.8810726552593332</v>
      </c>
    </row>
    <row r="162" spans="2:20" ht="5.25" customHeight="1">
      <c r="E162" s="336"/>
      <c r="F162" s="336"/>
      <c r="G162" s="320"/>
      <c r="H162" s="321"/>
      <c r="I162" s="321"/>
      <c r="J162" s="321"/>
      <c r="K162" s="321"/>
      <c r="L162" s="321"/>
      <c r="M162" s="321"/>
      <c r="N162" s="321"/>
      <c r="O162" s="321"/>
      <c r="P162" s="321"/>
      <c r="Q162" s="321"/>
    </row>
    <row r="163" spans="2:20" ht="13.5" customHeight="1">
      <c r="B163" s="147" t="s">
        <v>325</v>
      </c>
      <c r="C163" s="147"/>
      <c r="D163" s="147"/>
      <c r="E163" s="345">
        <f>+_xlfn.XLOOKUP($B163,Inputs!$B:$B,Inputs!O:O)</f>
        <v>-4.8</v>
      </c>
      <c r="F163" s="345">
        <f>+_xlfn.XLOOKUP($B163,Inputs!$B:$B,Inputs!P:P)</f>
        <v>-1.7</v>
      </c>
      <c r="G163" s="346">
        <f>+_xlfn.XLOOKUP($B163,Inputs!$B:$B,Inputs!Q:Q)</f>
        <v>-284.7</v>
      </c>
      <c r="H163" s="350">
        <f>IFERROR(+H152+H159+H161,"")</f>
        <v>-9.1261158316241815</v>
      </c>
      <c r="I163" s="350">
        <f t="shared" ref="I163:Q163" si="95">IFERROR(+I152+I159+I161,"")</f>
        <v>-9.9034861614628831</v>
      </c>
      <c r="J163" s="350">
        <f t="shared" si="95"/>
        <v>-10.626580000811479</v>
      </c>
      <c r="K163" s="350">
        <f t="shared" si="95"/>
        <v>-10.942126077652659</v>
      </c>
      <c r="L163" s="350">
        <f t="shared" si="95"/>
        <v>-11.348940545686519</v>
      </c>
      <c r="M163" s="350">
        <f t="shared" si="95"/>
        <v>-311.67107874168511</v>
      </c>
      <c r="N163" s="350">
        <f t="shared" si="95"/>
        <v>-11.888036594513142</v>
      </c>
      <c r="O163" s="350">
        <f t="shared" si="95"/>
        <v>-12.101395572027196</v>
      </c>
      <c r="P163" s="350">
        <f t="shared" si="95"/>
        <v>-12.269686521896686</v>
      </c>
      <c r="Q163" s="350">
        <f t="shared" si="95"/>
        <v>-12.881072655259333</v>
      </c>
    </row>
    <row r="164" spans="2:20" ht="3.75" customHeight="1">
      <c r="E164" s="336"/>
      <c r="F164" s="336"/>
      <c r="G164" s="320"/>
      <c r="H164" s="321"/>
      <c r="I164" s="321"/>
      <c r="J164" s="321"/>
      <c r="K164" s="321"/>
      <c r="L164" s="321"/>
      <c r="M164" s="321"/>
      <c r="N164" s="321"/>
      <c r="O164" s="321"/>
      <c r="P164" s="321"/>
      <c r="Q164" s="321"/>
    </row>
    <row r="165" spans="2:20" ht="13.5" customHeight="1">
      <c r="B165" s="341" t="s">
        <v>601</v>
      </c>
      <c r="C165" s="341"/>
      <c r="D165" s="341"/>
      <c r="E165" s="342">
        <f>+_xlfn.XLOOKUP($B165,Inputs!$B:$B,Inputs!O:O)</f>
        <v>0</v>
      </c>
      <c r="F165" s="342">
        <f>+_xlfn.XLOOKUP($B165,Inputs!$B:$B,Inputs!P:P)</f>
        <v>0</v>
      </c>
      <c r="G165" s="343">
        <f>+_xlfn.XLOOKUP($B165,Inputs!$B:$B,Inputs!Q:Q)</f>
        <v>0</v>
      </c>
      <c r="H165" s="341">
        <f t="shared" ref="H165:Q165" si="96">+IFERROR(H166*_xlfn.XLOOKUP("Net Income",$B:$B,$H:$H),"")</f>
        <v>0</v>
      </c>
      <c r="I165" s="341">
        <f t="shared" si="96"/>
        <v>0</v>
      </c>
      <c r="J165" s="341">
        <f t="shared" si="96"/>
        <v>0</v>
      </c>
      <c r="K165" s="341">
        <f t="shared" si="96"/>
        <v>0</v>
      </c>
      <c r="L165" s="341">
        <f t="shared" si="96"/>
        <v>0</v>
      </c>
      <c r="M165" s="341">
        <f t="shared" si="96"/>
        <v>0</v>
      </c>
      <c r="N165" s="341">
        <f t="shared" si="96"/>
        <v>0</v>
      </c>
      <c r="O165" s="341">
        <f t="shared" si="96"/>
        <v>0</v>
      </c>
      <c r="P165" s="341">
        <f t="shared" si="96"/>
        <v>0</v>
      </c>
      <c r="Q165" s="341">
        <f t="shared" si="96"/>
        <v>0</v>
      </c>
    </row>
    <row r="166" spans="2:20" ht="13.5" customHeight="1">
      <c r="B166" s="276" t="s">
        <v>602</v>
      </c>
      <c r="E166" s="337">
        <f>IFERROR(-E165/E$99,"")</f>
        <v>0</v>
      </c>
      <c r="F166" s="337">
        <f t="shared" ref="F166:G166" si="97">IFERROR(-F165/F$99,"")</f>
        <v>0</v>
      </c>
      <c r="G166" s="338">
        <f t="shared" si="97"/>
        <v>0</v>
      </c>
      <c r="H166" s="339">
        <v>0</v>
      </c>
      <c r="I166" s="339">
        <v>0</v>
      </c>
      <c r="J166" s="339">
        <v>0</v>
      </c>
      <c r="K166" s="339">
        <v>0</v>
      </c>
      <c r="L166" s="339">
        <v>0</v>
      </c>
      <c r="M166" s="339">
        <v>0</v>
      </c>
      <c r="N166" s="339">
        <v>0</v>
      </c>
      <c r="O166" s="339">
        <v>0</v>
      </c>
      <c r="P166" s="339">
        <v>0</v>
      </c>
      <c r="Q166" s="339">
        <v>0</v>
      </c>
    </row>
    <row r="167" spans="2:20" ht="3.75" customHeight="1">
      <c r="E167" s="336"/>
      <c r="F167" s="336"/>
      <c r="G167" s="320"/>
      <c r="H167" s="321"/>
      <c r="I167" s="321"/>
      <c r="J167" s="321"/>
      <c r="K167" s="321"/>
      <c r="L167" s="321"/>
      <c r="M167" s="321"/>
      <c r="N167" s="321"/>
      <c r="O167" s="321"/>
      <c r="P167" s="321"/>
      <c r="Q167" s="321"/>
    </row>
    <row r="168" spans="2:20" ht="13.5" customHeight="1">
      <c r="B168" s="125" t="s">
        <v>603</v>
      </c>
      <c r="E168" s="293">
        <f>+_xlfn.XLOOKUP($B168,Inputs!$B:$B,Inputs!O:O)</f>
        <v>1.7</v>
      </c>
      <c r="F168" s="293">
        <f>+_xlfn.XLOOKUP($B168,Inputs!$B:$B,Inputs!P:P)</f>
        <v>8.1</v>
      </c>
      <c r="G168" s="294">
        <f>+_xlfn.XLOOKUP($B168,Inputs!$B:$B,Inputs!Q:Q)</f>
        <v>5.6</v>
      </c>
      <c r="H168" s="166">
        <f t="shared" ref="H168:Q168" si="98">IFERROR(-H169*_xlfn.XLOOKUP("Net Income",$B:$B,H:H),"")</f>
        <v>-33.514118930638688</v>
      </c>
      <c r="I168" s="166">
        <f t="shared" si="98"/>
        <v>-38.319781883546895</v>
      </c>
      <c r="J168" s="166">
        <f t="shared" si="98"/>
        <v>-74.28950307455851</v>
      </c>
      <c r="K168" s="166">
        <f t="shared" si="98"/>
        <v>-90.078039248305046</v>
      </c>
      <c r="L168" s="166">
        <f t="shared" si="98"/>
        <v>-103.86398753483101</v>
      </c>
      <c r="M168" s="166">
        <f t="shared" si="98"/>
        <v>-103.28352944598961</v>
      </c>
      <c r="N168" s="166">
        <f t="shared" si="98"/>
        <v>-114.56483129814113</v>
      </c>
      <c r="O168" s="166">
        <f t="shared" si="98"/>
        <v>-125.74598443494784</v>
      </c>
      <c r="P168" s="166">
        <f t="shared" si="98"/>
        <v>-136.87715700373053</v>
      </c>
      <c r="Q168" s="166">
        <f t="shared" si="98"/>
        <v>-154.30583505782786</v>
      </c>
      <c r="R168" s="125" t="s">
        <v>604</v>
      </c>
    </row>
    <row r="169" spans="2:20" ht="13.5" customHeight="1">
      <c r="B169" s="276" t="s">
        <v>605</v>
      </c>
      <c r="E169" s="337">
        <f>IFERROR(-E168/E$99,"")</f>
        <v>-7.7625570776255787E-2</v>
      </c>
      <c r="F169" s="337">
        <f>IFERROR(-F168/F$99,"")</f>
        <v>-0.13170731707317082</v>
      </c>
      <c r="G169" s="338">
        <f>IFERROR(-G168/G$99,"")</f>
        <v>-4.3852779953014898E-2</v>
      </c>
      <c r="H169" s="339">
        <v>0.54</v>
      </c>
      <c r="I169" s="339">
        <v>0.35</v>
      </c>
      <c r="J169" s="339">
        <v>0.5</v>
      </c>
      <c r="K169" s="339">
        <v>0.5</v>
      </c>
      <c r="L169" s="339">
        <v>0.5</v>
      </c>
      <c r="M169" s="339">
        <v>0.5</v>
      </c>
      <c r="N169" s="339">
        <v>0.5</v>
      </c>
      <c r="O169" s="339">
        <v>0.5</v>
      </c>
      <c r="P169" s="339">
        <v>0.5</v>
      </c>
      <c r="Q169" s="339">
        <v>0.5</v>
      </c>
      <c r="R169" s="166">
        <v>500</v>
      </c>
      <c r="S169" s="125" t="s">
        <v>606</v>
      </c>
    </row>
    <row r="170" spans="2:20" ht="3.75" customHeight="1">
      <c r="E170" s="336"/>
      <c r="F170" s="336"/>
      <c r="G170" s="320"/>
      <c r="H170" s="321"/>
      <c r="I170" s="321"/>
      <c r="J170" s="321"/>
      <c r="K170" s="321"/>
      <c r="L170" s="321"/>
      <c r="M170" s="321"/>
      <c r="N170" s="321"/>
      <c r="O170" s="321"/>
      <c r="P170" s="321"/>
      <c r="Q170" s="321"/>
    </row>
    <row r="171" spans="2:20" ht="15.6">
      <c r="B171" s="125" t="s">
        <v>607</v>
      </c>
      <c r="E171" s="293">
        <f>+_xlfn.XLOOKUP($B171,Inputs!$B:$B,Inputs!O:O)</f>
        <v>4.6859999999999999</v>
      </c>
      <c r="F171" s="293">
        <f>+_xlfn.XLOOKUP($B171,Inputs!$B:$B,Inputs!P:P)</f>
        <v>4.6379999999999999</v>
      </c>
      <c r="G171" s="294">
        <f>+_xlfn.XLOOKUP($B171,Inputs!$B:$B,Inputs!Q:Q)</f>
        <v>7.3410000000000002</v>
      </c>
      <c r="H171" s="166">
        <f>+IFERROR(H172*H119,"")</f>
        <v>14.031942324557344</v>
      </c>
      <c r="I171" s="166">
        <f t="shared" ref="I171:Q171" si="99">+IFERROR(I172*I119,"")</f>
        <v>12.846161113846073</v>
      </c>
      <c r="J171" s="166">
        <f t="shared" si="99"/>
        <v>14.195974243706791</v>
      </c>
      <c r="K171" s="166">
        <f t="shared" si="99"/>
        <v>16.529606864822082</v>
      </c>
      <c r="L171" s="166">
        <f t="shared" si="99"/>
        <v>17.098638083171565</v>
      </c>
      <c r="M171" s="166">
        <f t="shared" si="99"/>
        <v>18.571015817149128</v>
      </c>
      <c r="N171" s="166">
        <f t="shared" si="99"/>
        <v>20.126598799527951</v>
      </c>
      <c r="O171" s="166">
        <f t="shared" si="99"/>
        <v>21.349978948402374</v>
      </c>
      <c r="P171" s="166">
        <f t="shared" si="99"/>
        <v>22.861551598035856</v>
      </c>
      <c r="Q171" s="166">
        <f t="shared" si="99"/>
        <v>24.884573546670637</v>
      </c>
      <c r="S171" s="125" t="s">
        <v>608</v>
      </c>
      <c r="T171" s="166"/>
    </row>
    <row r="172" spans="2:20" ht="15.6">
      <c r="B172" s="276" t="s">
        <v>609</v>
      </c>
      <c r="E172" s="278">
        <f>IFERROR(E171/E119,"")</f>
        <v>1.0912901723334887</v>
      </c>
      <c r="F172" s="278">
        <f>IFERROR(F171/F119,"")</f>
        <v>1.3807680857398035</v>
      </c>
      <c r="G172" s="282">
        <f t="shared" ref="G172" si="100">IFERROR(G171/G119,"")</f>
        <v>1.5290564465736305</v>
      </c>
      <c r="H172" s="307">
        <v>1.5</v>
      </c>
      <c r="I172" s="307">
        <f>H172+($Q$172-H172)/5</f>
        <v>1.46</v>
      </c>
      <c r="J172" s="307">
        <f t="shared" ref="J172:P172" si="101">I172+($Q$172-I172)/5</f>
        <v>1.4279999999999999</v>
      </c>
      <c r="K172" s="307">
        <f t="shared" si="101"/>
        <v>1.4023999999999999</v>
      </c>
      <c r="L172" s="307">
        <f t="shared" si="101"/>
        <v>1.3819199999999998</v>
      </c>
      <c r="M172" s="307">
        <f t="shared" si="101"/>
        <v>1.3655359999999999</v>
      </c>
      <c r="N172" s="307">
        <f t="shared" si="101"/>
        <v>1.3524288</v>
      </c>
      <c r="O172" s="307">
        <f t="shared" si="101"/>
        <v>1.3419430400000001</v>
      </c>
      <c r="P172" s="307">
        <f t="shared" si="101"/>
        <v>1.3335544320000001</v>
      </c>
      <c r="Q172" s="307">
        <v>1.3</v>
      </c>
    </row>
    <row r="173" spans="2:20" ht="3.75" customHeight="1">
      <c r="B173" s="276"/>
      <c r="E173" s="278"/>
      <c r="F173" s="278"/>
      <c r="G173" s="282"/>
      <c r="H173" s="333"/>
      <c r="I173" s="333"/>
      <c r="J173" s="333"/>
      <c r="K173" s="333"/>
      <c r="L173" s="333"/>
      <c r="M173" s="333"/>
      <c r="N173" s="333"/>
      <c r="O173" s="333"/>
      <c r="P173" s="333"/>
      <c r="Q173" s="333"/>
    </row>
    <row r="174" spans="2:20" ht="15.6">
      <c r="B174" s="125" t="s">
        <v>326</v>
      </c>
      <c r="E174" s="148">
        <f>+_xlfn.XLOOKUP($B174,Inputs!$B:$B,Inputs!O:O)</f>
        <v>25.6</v>
      </c>
      <c r="F174" s="148">
        <f>+_xlfn.XLOOKUP($B174,Inputs!$B:$B,Inputs!P:P)</f>
        <v>0</v>
      </c>
      <c r="G174" s="268">
        <f>+_xlfn.XLOOKUP($B174,Inputs!$B:$B,Inputs!Q:Q)</f>
        <v>204.5</v>
      </c>
      <c r="H174" s="321">
        <f>IFERROR(MAX(0,-G262),"")</f>
        <v>0</v>
      </c>
      <c r="I174" s="321">
        <f>IFERROR(MAX(0,-H262),"")</f>
        <v>15.514242844435355</v>
      </c>
      <c r="J174" s="321">
        <f t="shared" ref="J174:Q174" si="102">IFERROR(MAX(0,-I262),"")</f>
        <v>0</v>
      </c>
      <c r="K174" s="321">
        <f>IFERROR(MAX(0,-J262),"")</f>
        <v>0</v>
      </c>
      <c r="L174" s="321">
        <f t="shared" si="102"/>
        <v>0</v>
      </c>
      <c r="M174" s="321">
        <f t="shared" si="102"/>
        <v>0</v>
      </c>
      <c r="N174" s="321">
        <f t="shared" si="102"/>
        <v>0</v>
      </c>
      <c r="O174" s="321">
        <f t="shared" si="102"/>
        <v>0</v>
      </c>
      <c r="P174" s="321">
        <f t="shared" si="102"/>
        <v>0</v>
      </c>
      <c r="Q174" s="321">
        <f t="shared" si="102"/>
        <v>0</v>
      </c>
    </row>
    <row r="175" spans="2:20" ht="3.75" customHeight="1">
      <c r="B175" s="276"/>
      <c r="E175" s="278"/>
      <c r="F175" s="278"/>
      <c r="G175" s="282"/>
      <c r="H175" s="333"/>
      <c r="I175" s="333"/>
      <c r="J175" s="333"/>
      <c r="K175" s="333"/>
      <c r="L175" s="333"/>
      <c r="M175" s="333"/>
      <c r="N175" s="333"/>
      <c r="O175" s="333"/>
      <c r="P175" s="333"/>
      <c r="Q175" s="333"/>
    </row>
    <row r="176" spans="2:20" ht="15.6">
      <c r="B176" s="125" t="s">
        <v>327</v>
      </c>
      <c r="E176" s="148">
        <f>+_xlfn.XLOOKUP($B176,Inputs!$B:$B,Inputs!O:O)</f>
        <v>-54.5</v>
      </c>
      <c r="F176" s="148">
        <f>+_xlfn.XLOOKUP($B176,Inputs!$B:$B,Inputs!P:P)</f>
        <v>-30</v>
      </c>
      <c r="G176" s="268">
        <f>+_xlfn.XLOOKUP($B176,Inputs!$B:$B,Inputs!Q:Q)</f>
        <v>-7.9</v>
      </c>
      <c r="H176" s="321">
        <f>IFERROR(MAX(0,H177*G262),"")</f>
        <v>14.519999999999996</v>
      </c>
      <c r="I176" s="321">
        <f>IFERROR(MAX(0,I177*H262),"")</f>
        <v>0</v>
      </c>
      <c r="J176" s="321">
        <f t="shared" ref="J176:Q176" si="103">IFERROR(MAX(0,J177*I262),"")</f>
        <v>48.818907087462279</v>
      </c>
      <c r="K176" s="321">
        <f>IFERROR(MAX(0,K177*J262),"")</f>
        <v>35.991076098135544</v>
      </c>
      <c r="L176" s="321">
        <f t="shared" si="103"/>
        <v>42.883301182888125</v>
      </c>
      <c r="M176" s="321">
        <f t="shared" si="103"/>
        <v>11.808025991665389</v>
      </c>
      <c r="N176" s="321">
        <f t="shared" si="103"/>
        <v>0</v>
      </c>
      <c r="O176" s="321">
        <f t="shared" si="103"/>
        <v>0</v>
      </c>
      <c r="P176" s="321">
        <f t="shared" si="103"/>
        <v>0</v>
      </c>
      <c r="Q176" s="321">
        <f t="shared" si="103"/>
        <v>0</v>
      </c>
      <c r="R176" s="166">
        <f>SUM(H176:Q176)</f>
        <v>154.02131036015135</v>
      </c>
      <c r="S176" s="125" t="s">
        <v>610</v>
      </c>
    </row>
    <row r="177" spans="1:19" ht="15.6">
      <c r="B177" s="276" t="s">
        <v>611</v>
      </c>
      <c r="E177" s="296">
        <f>IFERROR(E176/E262,"")</f>
        <v>-0.53694581280788189</v>
      </c>
      <c r="F177" s="296">
        <f t="shared" ref="F177:G177" si="104">IFERROR(F176/F262,"")</f>
        <v>-0.21382751247327164</v>
      </c>
      <c r="G177" s="282">
        <f t="shared" si="104"/>
        <v>-2.7203856749311302E-2</v>
      </c>
      <c r="H177" s="307">
        <v>0.05</v>
      </c>
      <c r="I177" s="307">
        <v>0.5</v>
      </c>
      <c r="J177" s="307">
        <v>0.22</v>
      </c>
      <c r="K177" s="307">
        <v>0.2</v>
      </c>
      <c r="L177" s="307">
        <v>0.2</v>
      </c>
      <c r="M177" s="307">
        <v>4.4999999999999998E-2</v>
      </c>
      <c r="N177" s="307"/>
      <c r="O177" s="307"/>
      <c r="P177" s="307"/>
      <c r="Q177" s="307"/>
    </row>
    <row r="178" spans="1:19" ht="3.75" customHeight="1">
      <c r="B178" s="276"/>
      <c r="E178" s="296"/>
      <c r="F178" s="296"/>
      <c r="G178" s="282"/>
      <c r="H178" s="333"/>
      <c r="I178" s="333"/>
      <c r="J178" s="333"/>
      <c r="K178" s="333"/>
      <c r="L178" s="333"/>
      <c r="M178" s="333"/>
      <c r="N178" s="333"/>
      <c r="O178" s="333"/>
      <c r="P178" s="333"/>
      <c r="Q178" s="333"/>
    </row>
    <row r="179" spans="1:19" ht="15.6">
      <c r="B179" s="383" t="s">
        <v>612</v>
      </c>
      <c r="C179" s="383"/>
      <c r="D179" s="383"/>
      <c r="E179" s="384">
        <f>+_xlfn.XLOOKUP($B179,Inputs!$B:$B,Inputs!O:O)</f>
        <v>-6.586000000000003</v>
      </c>
      <c r="F179" s="384">
        <f>+_xlfn.XLOOKUP($B179,Inputs!$B:$B,Inputs!P:P)</f>
        <v>-5.4379999999999988</v>
      </c>
      <c r="G179" s="385">
        <f>+_xlfn.XLOOKUP($B179,Inputs!$B:$B,Inputs!Q:Q)</f>
        <v>-8.6409999999999947</v>
      </c>
      <c r="H179" s="387">
        <f t="shared" ref="H179:Q179" si="105">IFERROR(AVERAGE(E179:G179)*(1+H49),"")</f>
        <v>-8.8056836605137203</v>
      </c>
      <c r="I179" s="387">
        <f t="shared" si="105"/>
        <v>-8.721247323073392</v>
      </c>
      <c r="J179" s="387">
        <f t="shared" si="105"/>
        <v>-9.8126984816866827</v>
      </c>
      <c r="K179" s="387">
        <f t="shared" si="105"/>
        <v>-10.110841203258992</v>
      </c>
      <c r="L179" s="387">
        <f t="shared" si="105"/>
        <v>-10.486575233159938</v>
      </c>
      <c r="M179" s="387">
        <f t="shared" si="105"/>
        <v>-11.048803842108594</v>
      </c>
      <c r="N179" s="387">
        <f t="shared" si="105"/>
        <v>-11.432027994733206</v>
      </c>
      <c r="O179" s="387">
        <f t="shared" si="105"/>
        <v>-11.856908122442162</v>
      </c>
      <c r="P179" s="387">
        <f t="shared" si="105"/>
        <v>-12.297333963680773</v>
      </c>
      <c r="Q179" s="387">
        <f t="shared" si="105"/>
        <v>-13.230119699731352</v>
      </c>
      <c r="S179" s="166"/>
    </row>
    <row r="180" spans="1:19" ht="5.25" customHeight="1">
      <c r="E180" s="340"/>
      <c r="F180" s="340"/>
      <c r="G180" s="268"/>
      <c r="H180" s="321"/>
      <c r="I180" s="321"/>
      <c r="J180" s="321"/>
      <c r="K180" s="321"/>
      <c r="L180" s="321"/>
      <c r="M180" s="321"/>
      <c r="N180" s="321"/>
      <c r="O180" s="321"/>
      <c r="P180" s="321"/>
      <c r="Q180" s="321"/>
    </row>
    <row r="181" spans="1:19" ht="15.6">
      <c r="B181" s="147" t="s">
        <v>328</v>
      </c>
      <c r="C181" s="147"/>
      <c r="D181" s="147"/>
      <c r="E181" s="345">
        <f>+_xlfn.XLOOKUP($B181,Inputs!$B:$B,Inputs!O:O)</f>
        <v>-29.1</v>
      </c>
      <c r="F181" s="345">
        <f>+_xlfn.XLOOKUP($B181,Inputs!$B:$B,Inputs!P:P)</f>
        <v>-22.7</v>
      </c>
      <c r="G181" s="346">
        <f>+_xlfn.XLOOKUP($B181,Inputs!$B:$B,Inputs!Q:Q)</f>
        <v>200.9</v>
      </c>
      <c r="H181" s="350">
        <f>IFERROR(+H165+H168+H171+H174+H176+H179,"")</f>
        <v>-13.76786026659507</v>
      </c>
      <c r="I181" s="350">
        <f t="shared" ref="I181:Q181" si="106">IFERROR(+I165+I168+I171+I174+I176+I179,"")</f>
        <v>-18.68062524833886</v>
      </c>
      <c r="J181" s="350">
        <f t="shared" si="106"/>
        <v>-21.08732022507612</v>
      </c>
      <c r="K181" s="350">
        <f t="shared" si="106"/>
        <v>-47.66819748860641</v>
      </c>
      <c r="L181" s="350">
        <f t="shared" si="106"/>
        <v>-54.36862350193126</v>
      </c>
      <c r="M181" s="350">
        <f t="shared" si="106"/>
        <v>-83.953291479283692</v>
      </c>
      <c r="N181" s="350">
        <f t="shared" si="106"/>
        <v>-105.87026049334638</v>
      </c>
      <c r="O181" s="350">
        <f t="shared" si="106"/>
        <v>-116.25291360898764</v>
      </c>
      <c r="P181" s="350">
        <f t="shared" si="106"/>
        <v>-126.31293936937544</v>
      </c>
      <c r="Q181" s="350">
        <f t="shared" si="106"/>
        <v>-142.65138121088859</v>
      </c>
    </row>
    <row r="182" spans="1:19" ht="3.75" customHeight="1">
      <c r="B182" s="276"/>
      <c r="E182" s="296"/>
      <c r="F182" s="296"/>
      <c r="G182" s="282"/>
      <c r="H182" s="333"/>
      <c r="I182" s="333"/>
      <c r="J182" s="333"/>
      <c r="K182" s="333"/>
      <c r="L182" s="333"/>
      <c r="M182" s="333"/>
      <c r="N182" s="333"/>
      <c r="O182" s="333"/>
      <c r="P182" s="333"/>
      <c r="Q182" s="333"/>
    </row>
    <row r="183" spans="1:19" ht="15.6">
      <c r="B183" s="476" t="s">
        <v>329</v>
      </c>
      <c r="C183" s="341"/>
      <c r="D183" s="341"/>
      <c r="E183" s="347">
        <f>+_xlfn.XLOOKUP($B183,Inputs!$B:$B,Inputs!O:O)</f>
        <v>-14.4</v>
      </c>
      <c r="F183" s="347">
        <f>+_xlfn.XLOOKUP($B183,Inputs!$B:$B,Inputs!P:P)</f>
        <v>77.400000000000006</v>
      </c>
      <c r="G183" s="348">
        <f>+_xlfn.XLOOKUP($B183,Inputs!$B:$B,Inputs!Q:Q)</f>
        <v>-12.6</v>
      </c>
      <c r="H183" s="349">
        <f>IFERROR(+H150+H163+H181,"")</f>
        <v>-28.951760304115631</v>
      </c>
      <c r="I183" s="349">
        <f t="shared" ref="I183:Q183" si="107">IFERROR(+I150+I163+I181,"")</f>
        <v>172.16450493275192</v>
      </c>
      <c r="J183" s="349">
        <f t="shared" si="107"/>
        <v>190.34955162370218</v>
      </c>
      <c r="K183" s="349">
        <f t="shared" si="107"/>
        <v>185.33111173353777</v>
      </c>
      <c r="L183" s="349">
        <f t="shared" si="107"/>
        <v>232.50441954483773</v>
      </c>
      <c r="M183" s="349">
        <f t="shared" si="107"/>
        <v>-70.790373027759429</v>
      </c>
      <c r="N183" s="349">
        <f t="shared" si="107"/>
        <v>237.06111162593908</v>
      </c>
      <c r="O183" s="349">
        <f t="shared" si="107"/>
        <v>260.65361503343797</v>
      </c>
      <c r="P183" s="349">
        <f t="shared" si="107"/>
        <v>279.32177466805126</v>
      </c>
      <c r="Q183" s="349">
        <f t="shared" si="107"/>
        <v>289.60050086904533</v>
      </c>
    </row>
    <row r="184" spans="1:19" ht="15.6">
      <c r="B184" s="276"/>
      <c r="E184" s="322"/>
      <c r="F184" s="296"/>
      <c r="G184" s="282"/>
      <c r="H184" s="333"/>
      <c r="I184" s="333"/>
      <c r="J184" s="333"/>
      <c r="K184" s="333"/>
      <c r="L184" s="333"/>
      <c r="M184" s="333"/>
      <c r="N184" s="333"/>
      <c r="O184" s="333"/>
      <c r="P184" s="333"/>
      <c r="Q184" s="333"/>
    </row>
    <row r="185" spans="1:19" ht="3.75" customHeight="1">
      <c r="G185" s="145"/>
      <c r="H185" s="130"/>
      <c r="I185" s="130"/>
      <c r="J185" s="130"/>
      <c r="K185" s="130"/>
      <c r="L185" s="130"/>
      <c r="O185" s="130"/>
      <c r="P185" s="130"/>
      <c r="Q185" s="130"/>
    </row>
    <row r="186" spans="1:19" ht="15.6">
      <c r="A186" s="125" t="s">
        <v>472</v>
      </c>
      <c r="B186" s="51" t="s">
        <v>613</v>
      </c>
      <c r="C186" s="51"/>
      <c r="D186" s="51"/>
      <c r="E186" s="136">
        <f t="shared" ref="E186:Q186" si="108">E46</f>
        <v>2022</v>
      </c>
      <c r="F186" s="136">
        <f t="shared" si="108"/>
        <v>2023</v>
      </c>
      <c r="G186" s="161">
        <f t="shared" si="108"/>
        <v>2024</v>
      </c>
      <c r="H186" s="99">
        <f t="shared" si="108"/>
        <v>2025</v>
      </c>
      <c r="I186" s="99">
        <f t="shared" si="108"/>
        <v>2026</v>
      </c>
      <c r="J186" s="99">
        <f t="shared" si="108"/>
        <v>2027</v>
      </c>
      <c r="K186" s="99">
        <f t="shared" si="108"/>
        <v>2028</v>
      </c>
      <c r="L186" s="99">
        <f t="shared" si="108"/>
        <v>2029</v>
      </c>
      <c r="M186" s="99">
        <f t="shared" si="108"/>
        <v>2030</v>
      </c>
      <c r="N186" s="99">
        <f t="shared" si="108"/>
        <v>2031</v>
      </c>
      <c r="O186" s="99">
        <f t="shared" si="108"/>
        <v>2032</v>
      </c>
      <c r="P186" s="99">
        <f t="shared" si="108"/>
        <v>2033</v>
      </c>
      <c r="Q186" s="99">
        <f t="shared" si="108"/>
        <v>2034</v>
      </c>
    </row>
    <row r="187" spans="1:19" ht="3.95" customHeight="1">
      <c r="B187" s="52"/>
      <c r="C187" s="52"/>
      <c r="D187" s="52"/>
      <c r="E187" s="52"/>
      <c r="F187" s="52"/>
      <c r="G187" s="163"/>
      <c r="H187" s="52"/>
      <c r="I187" s="52"/>
      <c r="J187" s="52"/>
      <c r="K187" s="52"/>
      <c r="L187" s="52"/>
      <c r="M187" s="52"/>
      <c r="N187" s="52"/>
      <c r="O187" s="52"/>
      <c r="P187" s="52"/>
      <c r="Q187" s="52"/>
    </row>
    <row r="188" spans="1:19" ht="15.6">
      <c r="B188" s="125" t="s">
        <v>183</v>
      </c>
      <c r="E188" s="149">
        <f>$E$48</f>
        <v>392.2</v>
      </c>
      <c r="F188" s="149">
        <f>$F$48</f>
        <v>578.79999999999995</v>
      </c>
      <c r="G188" s="173">
        <f>$G$48</f>
        <v>1023.9</v>
      </c>
      <c r="H188" s="149">
        <f ca="1">IFERROR(G188*(1+H189),"")</f>
        <v>1349.856</v>
      </c>
      <c r="I188" s="149">
        <f t="shared" ref="I188:Q188" ca="1" si="109">IFERROR(H188*(1+I189),"")</f>
        <v>1597.2659147814056</v>
      </c>
      <c r="J188" s="149">
        <f t="shared" ca="1" si="109"/>
        <v>1860.7643168210025</v>
      </c>
      <c r="K188" s="149">
        <f t="shared" ca="1" si="109"/>
        <v>2138.8944544490937</v>
      </c>
      <c r="L188" s="149">
        <f t="shared" ca="1" si="109"/>
        <v>2434.6405459672842</v>
      </c>
      <c r="M188" s="149">
        <f t="shared" ca="1" si="109"/>
        <v>2751.0946812300804</v>
      </c>
      <c r="N188" s="149">
        <f t="shared" ca="1" si="109"/>
        <v>3091.4985520057676</v>
      </c>
      <c r="O188" s="149">
        <f t="shared" ca="1" si="109"/>
        <v>3459.2829906835586</v>
      </c>
      <c r="P188" s="149">
        <f t="shared" ca="1" si="109"/>
        <v>3854.9780265706027</v>
      </c>
      <c r="Q188" s="149">
        <f t="shared" ca="1" si="109"/>
        <v>4453.7635836053578</v>
      </c>
    </row>
    <row r="189" spans="1:19" ht="15.6">
      <c r="B189" s="276" t="s">
        <v>554</v>
      </c>
      <c r="C189" s="276"/>
      <c r="D189" s="276"/>
      <c r="E189" s="308">
        <f>$E$49</f>
        <v>0.23294561458660787</v>
      </c>
      <c r="F189" s="308">
        <f>$F$49</f>
        <v>0.47577766445690967</v>
      </c>
      <c r="G189" s="309">
        <f>$G$49</f>
        <v>0.76900483759502425</v>
      </c>
      <c r="H189" s="308">
        <f ca="1">+OFFSET($H$189,$C$7,0)</f>
        <v>0.31834749487254616</v>
      </c>
      <c r="I189" s="308">
        <f ca="1">+OFFSET($I$189,$C$7,0)</f>
        <v>0.18328615406488222</v>
      </c>
      <c r="J189" s="308">
        <f ca="1">+OFFSET($J$189,$C$7,0)</f>
        <v>0.16496839981441533</v>
      </c>
      <c r="K189" s="308">
        <f ca="1">+OFFSET($K$189,$C$7,0)</f>
        <v>0.14947091101964968</v>
      </c>
      <c r="L189" s="308">
        <f ca="1">+OFFSET($L$189,$C$7,0)</f>
        <v>0.13827054013956228</v>
      </c>
      <c r="M189" s="308">
        <f ca="1">+OFFSET($M$189,$C$7,0)</f>
        <v>0.12997981808319412</v>
      </c>
      <c r="N189" s="308">
        <f ca="1">+OFFSET($N$189,$C$7,0)</f>
        <v>0.1237339714616745</v>
      </c>
      <c r="O189" s="308">
        <f ca="1">+OFFSET($O$189,$C$7,0)</f>
        <v>0.11896639525810945</v>
      </c>
      <c r="P189" s="308">
        <f ca="1">+OFFSET($P$189,$C$7,0)</f>
        <v>0.11438643122078138</v>
      </c>
      <c r="Q189" s="308">
        <f ca="1">+OFFSET($Q$189,$C$7,0)</f>
        <v>0.1553278781117817</v>
      </c>
    </row>
    <row r="190" spans="1:19" ht="15.6">
      <c r="B190" s="275" t="s">
        <v>515</v>
      </c>
      <c r="G190" s="156"/>
      <c r="H190" s="562">
        <f t="shared" ref="H190:Q190" si="110">IFERROR(+H191+$F$7,"")</f>
        <v>0.21834749487254618</v>
      </c>
      <c r="I190" s="562">
        <f t="shared" si="110"/>
        <v>8.3286154064882212E-2</v>
      </c>
      <c r="J190" s="562">
        <f t="shared" si="110"/>
        <v>6.4968399814415323E-2</v>
      </c>
      <c r="K190" s="562">
        <f t="shared" si="110"/>
        <v>4.9470911019649677E-2</v>
      </c>
      <c r="L190" s="562">
        <f t="shared" si="110"/>
        <v>3.827054013956227E-2</v>
      </c>
      <c r="M190" s="562">
        <f t="shared" si="110"/>
        <v>2.997981808319411E-2</v>
      </c>
      <c r="N190" s="562">
        <f t="shared" si="110"/>
        <v>2.3733971461674497E-2</v>
      </c>
      <c r="O190" s="562">
        <f t="shared" si="110"/>
        <v>1.8966395258109447E-2</v>
      </c>
      <c r="P190" s="562">
        <f t="shared" si="110"/>
        <v>1.438643122078137E-2</v>
      </c>
      <c r="Q190" s="562">
        <f t="shared" si="110"/>
        <v>5.5327878111781692E-2</v>
      </c>
    </row>
    <row r="191" spans="1:19" ht="15.6">
      <c r="B191" s="275" t="s">
        <v>516</v>
      </c>
      <c r="G191" s="156"/>
      <c r="H191" s="563">
        <f>$H$49</f>
        <v>0.27834749487254618</v>
      </c>
      <c r="I191" s="563">
        <f>$I$49</f>
        <v>0.14328615406488221</v>
      </c>
      <c r="J191" s="563">
        <f>$J$49</f>
        <v>0.12496839981441532</v>
      </c>
      <c r="K191" s="563">
        <f>$K$49</f>
        <v>0.10947091101964967</v>
      </c>
      <c r="L191" s="563">
        <f>$L$49</f>
        <v>9.8270540139562268E-2</v>
      </c>
      <c r="M191" s="563">
        <f>$M$49</f>
        <v>8.9979818083194107E-2</v>
      </c>
      <c r="N191" s="563">
        <f>$N$49</f>
        <v>8.3733971461674495E-2</v>
      </c>
      <c r="O191" s="564">
        <f>$O$49</f>
        <v>7.8966395258109445E-2</v>
      </c>
      <c r="P191" s="563">
        <f>$P$49</f>
        <v>7.4386431220781368E-2</v>
      </c>
      <c r="Q191" s="563">
        <f>$Q$49</f>
        <v>0.11532787811178169</v>
      </c>
    </row>
    <row r="192" spans="1:19" ht="15.6">
      <c r="B192" s="275" t="s">
        <v>517</v>
      </c>
      <c r="G192" s="156"/>
      <c r="H192" s="565">
        <f t="shared" ref="H192:Q192" si="111">IFERROR(+H191+$L$7,"")</f>
        <v>0.31834749487254616</v>
      </c>
      <c r="I192" s="565">
        <f t="shared" si="111"/>
        <v>0.18328615406488222</v>
      </c>
      <c r="J192" s="565">
        <f t="shared" si="111"/>
        <v>0.16496839981441533</v>
      </c>
      <c r="K192" s="565">
        <f t="shared" si="111"/>
        <v>0.14947091101964968</v>
      </c>
      <c r="L192" s="565">
        <f t="shared" si="111"/>
        <v>0.13827054013956228</v>
      </c>
      <c r="M192" s="565">
        <f t="shared" si="111"/>
        <v>0.12997981808319412</v>
      </c>
      <c r="N192" s="565">
        <f t="shared" si="111"/>
        <v>0.1237339714616745</v>
      </c>
      <c r="O192" s="565">
        <f t="shared" si="111"/>
        <v>0.11896639525810945</v>
      </c>
      <c r="P192" s="565">
        <f t="shared" si="111"/>
        <v>0.11438643122078138</v>
      </c>
      <c r="Q192" s="565">
        <f t="shared" si="111"/>
        <v>0.1553278781117817</v>
      </c>
    </row>
    <row r="193" spans="2:29" ht="3.75" customHeight="1">
      <c r="G193" s="156"/>
    </row>
    <row r="194" spans="2:29" ht="15.6">
      <c r="B194" s="125" t="s">
        <v>525</v>
      </c>
      <c r="E194" s="149">
        <f t="shared" ref="E194:G195" si="112">+E77</f>
        <v>2.2999999999999758</v>
      </c>
      <c r="F194" s="149">
        <f t="shared" si="112"/>
        <v>45.899999999999963</v>
      </c>
      <c r="G194" s="173">
        <f t="shared" si="112"/>
        <v>113.79999999999993</v>
      </c>
      <c r="H194" s="174">
        <f ca="1">IFERROR(H195*H188,"")</f>
        <v>27.482248656708169</v>
      </c>
      <c r="I194" s="174">
        <f t="shared" ref="I194:Q194" ca="1" si="113">IFERROR(I195*I188,"")</f>
        <v>77.425448434921364</v>
      </c>
      <c r="J194" s="174">
        <f t="shared" ca="1" si="113"/>
        <v>117.36844713487358</v>
      </c>
      <c r="K194" s="174">
        <f t="shared" ca="1" si="113"/>
        <v>151.56208075007916</v>
      </c>
      <c r="L194" s="174">
        <f t="shared" ca="1" si="113"/>
        <v>183.32265755981555</v>
      </c>
      <c r="M194" s="174">
        <f t="shared" ca="1" si="113"/>
        <v>179.54136592714491</v>
      </c>
      <c r="N194" s="174">
        <f t="shared" ca="1" si="113"/>
        <v>209.70831211827539</v>
      </c>
      <c r="O194" s="174">
        <f t="shared" ca="1" si="113"/>
        <v>241.41383689696769</v>
      </c>
      <c r="P194" s="174">
        <f t="shared" ca="1" si="113"/>
        <v>274.95851614085842</v>
      </c>
      <c r="Q194" s="174">
        <f t="shared" ca="1" si="113"/>
        <v>329.53289608722304</v>
      </c>
    </row>
    <row r="195" spans="2:29" ht="15.6">
      <c r="B195" s="276" t="s">
        <v>555</v>
      </c>
      <c r="C195" s="276"/>
      <c r="D195" s="276"/>
      <c r="E195" s="308">
        <f t="shared" si="112"/>
        <v>5.8643549209586327E-3</v>
      </c>
      <c r="F195" s="308">
        <f t="shared" si="112"/>
        <v>7.9302004146509966E-2</v>
      </c>
      <c r="G195" s="309">
        <f t="shared" si="112"/>
        <v>0.11114366637366924</v>
      </c>
      <c r="H195" s="308">
        <f ca="1">OFFSET(H195,$C$8,0)</f>
        <v>2.0359392895766784E-2</v>
      </c>
      <c r="I195" s="308">
        <f ca="1">+OFFSET(I195,$C$8,0)</f>
        <v>4.8473737352316477E-2</v>
      </c>
      <c r="J195" s="308">
        <f ca="1">+OFFSET(J195,$C$8,0)</f>
        <v>6.3075396531351219E-2</v>
      </c>
      <c r="K195" s="308">
        <f ca="1">+OFFSET(K195,$C$8,0)</f>
        <v>7.0860009214020053E-2</v>
      </c>
      <c r="L195" s="308">
        <f ca="1">+OFFSET(L195,$C$8,0)</f>
        <v>7.529762776006893E-2</v>
      </c>
      <c r="M195" s="308">
        <f t="shared" ref="M195:Q195" ca="1" si="114">+OFFSET(M195,$C$8,0)</f>
        <v>6.526179093438822E-2</v>
      </c>
      <c r="N195" s="308">
        <f t="shared" ca="1" si="114"/>
        <v>6.7833870399912177E-2</v>
      </c>
      <c r="O195" s="308">
        <f t="shared" ca="1" si="114"/>
        <v>6.9787247110784656E-2</v>
      </c>
      <c r="P195" s="308">
        <f t="shared" ca="1" si="114"/>
        <v>7.1325572868559811E-2</v>
      </c>
      <c r="Q195" s="308">
        <f t="shared" ca="1" si="114"/>
        <v>7.3989759425098056E-2</v>
      </c>
    </row>
    <row r="196" spans="2:29" ht="15.6">
      <c r="B196" s="275" t="s">
        <v>515</v>
      </c>
      <c r="G196" s="156"/>
      <c r="H196" s="565">
        <f t="shared" ref="H196:Q196" si="115">IFERROR(H197+$F$8,"")</f>
        <v>2.0359392895766784E-2</v>
      </c>
      <c r="I196" s="565">
        <f t="shared" si="115"/>
        <v>4.8473737352316477E-2</v>
      </c>
      <c r="J196" s="565">
        <f t="shared" si="115"/>
        <v>6.3075396531351219E-2</v>
      </c>
      <c r="K196" s="565">
        <f t="shared" si="115"/>
        <v>7.0860009214020053E-2</v>
      </c>
      <c r="L196" s="565">
        <f t="shared" si="115"/>
        <v>7.529762776006893E-2</v>
      </c>
      <c r="M196" s="565">
        <f t="shared" si="115"/>
        <v>6.526179093438822E-2</v>
      </c>
      <c r="N196" s="565">
        <f t="shared" si="115"/>
        <v>6.7833870399912177E-2</v>
      </c>
      <c r="O196" s="565">
        <f t="shared" si="115"/>
        <v>6.9787247110784656E-2</v>
      </c>
      <c r="P196" s="565">
        <f t="shared" si="115"/>
        <v>7.1325572868559811E-2</v>
      </c>
      <c r="Q196" s="565">
        <f t="shared" si="115"/>
        <v>7.3989759425098056E-2</v>
      </c>
    </row>
    <row r="197" spans="2:29" ht="15.6">
      <c r="B197" s="275" t="s">
        <v>516</v>
      </c>
      <c r="G197" s="156"/>
      <c r="H197" s="563">
        <f t="shared" ref="H197:Q197" si="116">IFERROR(VALUE(H78),"")</f>
        <v>6.0359392895766785E-2</v>
      </c>
      <c r="I197" s="563">
        <f t="shared" si="116"/>
        <v>8.8473737352316478E-2</v>
      </c>
      <c r="J197" s="563">
        <f t="shared" si="116"/>
        <v>0.10307539653135123</v>
      </c>
      <c r="K197" s="563">
        <f t="shared" si="116"/>
        <v>0.11086000921402006</v>
      </c>
      <c r="L197" s="563">
        <f t="shared" si="116"/>
        <v>0.11529762776006894</v>
      </c>
      <c r="M197" s="563">
        <f t="shared" si="116"/>
        <v>0.10526179093438823</v>
      </c>
      <c r="N197" s="563">
        <f t="shared" si="116"/>
        <v>0.10783387039991219</v>
      </c>
      <c r="O197" s="563">
        <f t="shared" si="116"/>
        <v>0.10978724711078466</v>
      </c>
      <c r="P197" s="563">
        <f t="shared" si="116"/>
        <v>0.11132557286855982</v>
      </c>
      <c r="Q197" s="563">
        <f t="shared" si="116"/>
        <v>0.11398975942509805</v>
      </c>
    </row>
    <row r="198" spans="2:29" ht="15.6">
      <c r="B198" s="275" t="s">
        <v>517</v>
      </c>
      <c r="G198" s="156"/>
      <c r="H198" s="565">
        <f t="shared" ref="H198:Q198" si="117">+IFERROR(H197+$L$8,"")</f>
        <v>9.0359392895766777E-2</v>
      </c>
      <c r="I198" s="565">
        <f t="shared" si="117"/>
        <v>0.11847373735231648</v>
      </c>
      <c r="J198" s="565">
        <f t="shared" si="117"/>
        <v>0.13307539653135123</v>
      </c>
      <c r="K198" s="565">
        <f t="shared" si="117"/>
        <v>0.14086000921402006</v>
      </c>
      <c r="L198" s="565">
        <f t="shared" si="117"/>
        <v>0.14529762776006894</v>
      </c>
      <c r="M198" s="565">
        <f t="shared" si="117"/>
        <v>0.13526179093438823</v>
      </c>
      <c r="N198" s="565">
        <f t="shared" si="117"/>
        <v>0.13783387039991218</v>
      </c>
      <c r="O198" s="565">
        <f t="shared" si="117"/>
        <v>0.13978724711078466</v>
      </c>
      <c r="P198" s="565">
        <f t="shared" si="117"/>
        <v>0.14132557286855982</v>
      </c>
      <c r="Q198" s="565">
        <f t="shared" si="117"/>
        <v>0.14398975942509806</v>
      </c>
    </row>
    <row r="199" spans="2:29" ht="3.75" customHeight="1">
      <c r="G199" s="156"/>
    </row>
    <row r="200" spans="2:29" ht="15.6">
      <c r="B200" s="176" t="s">
        <v>521</v>
      </c>
      <c r="C200" s="177"/>
      <c r="D200" s="177"/>
      <c r="E200" s="178">
        <f>+IFERROR(E194*(1-E97),"")</f>
        <v>7.9733333333331586</v>
      </c>
      <c r="F200" s="178">
        <f t="shared" ref="F200:G200" si="118">+IFERROR(F194*(1-F97),"")</f>
        <v>43.154784688995178</v>
      </c>
      <c r="G200" s="331">
        <f t="shared" si="118"/>
        <v>99.399048525213999</v>
      </c>
      <c r="H200" s="178">
        <f ca="1">+IFERROR(H194*(1-H97),"")</f>
        <v>24.921524744557921</v>
      </c>
      <c r="I200" s="178">
        <f t="shared" ref="I200:Q200" ca="1" si="119">+IFERROR(I194*(1-I97),"")</f>
        <v>69.937383526202765</v>
      </c>
      <c r="J200" s="178">
        <f t="shared" ca="1" si="119"/>
        <v>105.64847987808864</v>
      </c>
      <c r="K200" s="178">
        <f t="shared" ca="1" si="119"/>
        <v>136.00423975255148</v>
      </c>
      <c r="L200" s="178">
        <f t="shared" ca="1" si="119"/>
        <v>164.04934258190903</v>
      </c>
      <c r="M200" s="178">
        <f t="shared" ca="1" si="119"/>
        <v>160.26926888443637</v>
      </c>
      <c r="N200" s="178">
        <f t="shared" ca="1" si="119"/>
        <v>186.78659591117972</v>
      </c>
      <c r="O200" s="178">
        <f t="shared" ca="1" si="119"/>
        <v>214.60555989138754</v>
      </c>
      <c r="P200" s="178">
        <f t="shared" ca="1" si="119"/>
        <v>243.99892585264925</v>
      </c>
      <c r="Q200" s="330">
        <f t="shared" ca="1" si="119"/>
        <v>288.34128407632016</v>
      </c>
    </row>
    <row r="201" spans="2:29" ht="3.75" customHeight="1">
      <c r="G201" s="156"/>
    </row>
    <row r="202" spans="2:29" ht="15.6">
      <c r="B202" s="125" t="s">
        <v>614</v>
      </c>
      <c r="E202" s="149">
        <f t="shared" ref="E202:Q202" si="120">+E141</f>
        <v>27.1</v>
      </c>
      <c r="F202" s="149">
        <f t="shared" si="120"/>
        <v>22.2</v>
      </c>
      <c r="G202" s="173">
        <f t="shared" si="120"/>
        <v>35.9</v>
      </c>
      <c r="H202" s="179">
        <f t="shared" si="120"/>
        <v>37.284731668128309</v>
      </c>
      <c r="I202" s="179">
        <f>+I141</f>
        <v>38.129056062583771</v>
      </c>
      <c r="J202" s="179">
        <f t="shared" si="120"/>
        <v>39.336933070693604</v>
      </c>
      <c r="K202" s="179">
        <f t="shared" si="120"/>
        <v>40.749709577367838</v>
      </c>
      <c r="L202" s="179">
        <f t="shared" si="120"/>
        <v>42.10108010696797</v>
      </c>
      <c r="M202" s="179">
        <f t="shared" si="120"/>
        <v>71.817938077715354</v>
      </c>
      <c r="N202" s="179">
        <f t="shared" si="120"/>
        <v>73.494068962843755</v>
      </c>
      <c r="O202" s="179">
        <f t="shared" si="120"/>
        <v>75.224393162067273</v>
      </c>
      <c r="P202" s="179">
        <f t="shared" si="120"/>
        <v>77.050746050651227</v>
      </c>
      <c r="Q202" s="179">
        <f t="shared" si="120"/>
        <v>78.207964430244374</v>
      </c>
      <c r="R202" s="126"/>
      <c r="S202" s="126"/>
      <c r="T202" s="126"/>
      <c r="U202" s="126"/>
      <c r="V202" s="126"/>
      <c r="W202" s="126"/>
      <c r="X202" s="126"/>
      <c r="Y202" s="126"/>
      <c r="Z202" s="126"/>
      <c r="AA202" s="126"/>
      <c r="AB202" s="126"/>
      <c r="AC202" s="126"/>
    </row>
    <row r="203" spans="2:29" ht="3.75" customHeight="1">
      <c r="G203" s="156"/>
      <c r="R203" s="126"/>
      <c r="S203" s="126"/>
      <c r="T203" s="126"/>
      <c r="U203" s="126"/>
      <c r="V203" s="126"/>
      <c r="W203" s="126"/>
      <c r="X203" s="126"/>
      <c r="Y203" s="126"/>
      <c r="Z203" s="126"/>
      <c r="AA203" s="126"/>
      <c r="AB203" s="126"/>
      <c r="AC203" s="126"/>
    </row>
    <row r="204" spans="2:29" ht="15.6">
      <c r="B204" s="125" t="s">
        <v>591</v>
      </c>
      <c r="E204" s="149">
        <f t="shared" ref="E204:Q204" si="121">+E143</f>
        <v>19.600000000000001</v>
      </c>
      <c r="F204" s="149">
        <f t="shared" si="121"/>
        <v>29.1</v>
      </c>
      <c r="G204" s="173">
        <f t="shared" si="121"/>
        <v>40.6</v>
      </c>
      <c r="H204" s="149">
        <f t="shared" si="121"/>
        <v>61.018675098724614</v>
      </c>
      <c r="I204" s="149">
        <f t="shared" si="121"/>
        <v>68.298738612345062</v>
      </c>
      <c r="J204" s="149">
        <f t="shared" si="121"/>
        <v>74.022221287011035</v>
      </c>
      <c r="K204" s="149">
        <f t="shared" si="121"/>
        <v>84.813863137315252</v>
      </c>
      <c r="L204" s="149">
        <f t="shared" si="121"/>
        <v>92.322220182314084</v>
      </c>
      <c r="M204" s="149">
        <f t="shared" si="121"/>
        <v>100.15708506177909</v>
      </c>
      <c r="N204" s="149">
        <f t="shared" si="121"/>
        <v>109.21022048071663</v>
      </c>
      <c r="O204" s="149">
        <f t="shared" si="121"/>
        <v>117.538753839846</v>
      </c>
      <c r="P204" s="149">
        <f t="shared" si="121"/>
        <v>126.236053311101</v>
      </c>
      <c r="Q204" s="149">
        <f t="shared" si="121"/>
        <v>140.94677821767442</v>
      </c>
      <c r="R204" s="126"/>
      <c r="S204" s="126"/>
      <c r="T204" s="126"/>
      <c r="U204" s="126"/>
      <c r="V204" s="126"/>
      <c r="W204" s="126"/>
      <c r="X204" s="126"/>
      <c r="Y204" s="126"/>
      <c r="Z204" s="126"/>
      <c r="AA204" s="126"/>
      <c r="AB204" s="126"/>
      <c r="AC204" s="126"/>
    </row>
    <row r="205" spans="2:29" ht="3.75" customHeight="1">
      <c r="G205" s="145"/>
      <c r="R205" s="126"/>
      <c r="S205" s="126"/>
      <c r="T205" s="126"/>
      <c r="U205" s="126"/>
      <c r="V205" s="126"/>
      <c r="W205" s="126"/>
      <c r="X205" s="126"/>
      <c r="Y205" s="126"/>
      <c r="Z205" s="126"/>
      <c r="AA205" s="126"/>
      <c r="AB205" s="126"/>
      <c r="AC205" s="126"/>
    </row>
    <row r="206" spans="2:29" ht="15.6">
      <c r="B206" s="125" t="s">
        <v>615</v>
      </c>
      <c r="E206" s="149">
        <f t="shared" ref="E206:Q206" si="122">+E146</f>
        <v>-42.4</v>
      </c>
      <c r="F206" s="149">
        <f t="shared" si="122"/>
        <v>-0.80000000000000071</v>
      </c>
      <c r="G206" s="180">
        <f t="shared" si="122"/>
        <v>-117.5</v>
      </c>
      <c r="H206" s="172">
        <f t="shared" si="122"/>
        <v>-152.66083281617472</v>
      </c>
      <c r="I206" s="172">
        <f t="shared" si="122"/>
        <v>-0.16300549038390955</v>
      </c>
      <c r="J206" s="172">
        <f t="shared" si="122"/>
        <v>-23.275872928681622</v>
      </c>
      <c r="K206" s="172">
        <f t="shared" si="122"/>
        <v>-45.001669198716996</v>
      </c>
      <c r="L206" s="172">
        <f t="shared" si="122"/>
        <v>-26.219076583491699</v>
      </c>
      <c r="M206" s="172">
        <f t="shared" si="122"/>
        <v>-35.147328036519468</v>
      </c>
      <c r="N206" s="172">
        <f t="shared" si="122"/>
        <v>-37.851410621293383</v>
      </c>
      <c r="O206" s="172">
        <f t="shared" si="122"/>
        <v>-35.310012953628757</v>
      </c>
      <c r="P206" s="172">
        <f t="shared" si="122"/>
        <v>-38.486623044970088</v>
      </c>
      <c r="Q206" s="172">
        <f t="shared" si="122"/>
        <v>-60.419695309363419</v>
      </c>
      <c r="R206" s="126"/>
      <c r="S206" s="126"/>
      <c r="T206" s="126"/>
      <c r="U206" s="126"/>
      <c r="V206" s="126"/>
      <c r="W206" s="126"/>
      <c r="X206" s="126"/>
      <c r="Y206" s="126"/>
      <c r="Z206" s="126"/>
      <c r="AA206" s="126"/>
      <c r="AB206" s="126"/>
      <c r="AC206" s="126"/>
    </row>
    <row r="207" spans="2:29" ht="3.75" customHeight="1">
      <c r="G207" s="145"/>
      <c r="R207" s="126"/>
      <c r="S207" s="126"/>
      <c r="T207" s="126"/>
      <c r="U207" s="126"/>
      <c r="V207" s="126"/>
      <c r="W207" s="126"/>
      <c r="X207" s="126"/>
      <c r="Y207" s="126"/>
      <c r="Z207" s="126"/>
      <c r="AA207" s="126"/>
      <c r="AB207" s="126"/>
      <c r="AC207" s="126"/>
    </row>
    <row r="208" spans="2:29" ht="13.5" customHeight="1">
      <c r="B208" s="125" t="s">
        <v>595</v>
      </c>
      <c r="E208" s="149">
        <f t="shared" ref="E208:Q208" si="123">+E152</f>
        <v>-4.8</v>
      </c>
      <c r="F208" s="149">
        <f t="shared" si="123"/>
        <v>-1.7</v>
      </c>
      <c r="G208" s="173">
        <f t="shared" si="123"/>
        <v>-8.6999999999999993</v>
      </c>
      <c r="H208" s="149">
        <f>+H152</f>
        <v>-8.6999999999999993</v>
      </c>
      <c r="I208" s="149">
        <f t="shared" si="123"/>
        <v>-9.36</v>
      </c>
      <c r="J208" s="149">
        <f t="shared" si="123"/>
        <v>-9.8879999999999999</v>
      </c>
      <c r="K208" s="149">
        <f t="shared" si="123"/>
        <v>-10.3104</v>
      </c>
      <c r="L208" s="149">
        <f t="shared" si="123"/>
        <v>-10.64832</v>
      </c>
      <c r="M208" s="149">
        <f t="shared" si="123"/>
        <v>-10.918656</v>
      </c>
      <c r="N208" s="149">
        <f t="shared" si="123"/>
        <v>-11.1349248</v>
      </c>
      <c r="O208" s="149">
        <f t="shared" si="123"/>
        <v>-11.30793984</v>
      </c>
      <c r="P208" s="149">
        <f t="shared" si="123"/>
        <v>-11.446351871999999</v>
      </c>
      <c r="Q208" s="149">
        <f t="shared" si="123"/>
        <v>-12</v>
      </c>
      <c r="R208" s="126"/>
      <c r="S208" s="126"/>
      <c r="T208" s="126"/>
      <c r="U208" s="126"/>
      <c r="V208" s="126"/>
      <c r="W208" s="126"/>
      <c r="X208" s="126"/>
      <c r="Y208" s="126"/>
      <c r="Z208" s="126"/>
      <c r="AA208" s="126"/>
      <c r="AB208" s="126"/>
      <c r="AC208" s="126"/>
    </row>
    <row r="209" spans="2:29" ht="3.75" customHeight="1">
      <c r="B209" s="150"/>
      <c r="E209" s="152"/>
      <c r="F209" s="152"/>
      <c r="G209" s="160"/>
      <c r="H209" s="175"/>
      <c r="I209" s="175"/>
      <c r="J209" s="175"/>
      <c r="K209" s="175"/>
      <c r="L209" s="175"/>
      <c r="M209" s="175"/>
      <c r="N209" s="175"/>
      <c r="O209" s="175"/>
      <c r="P209" s="175"/>
      <c r="Q209" s="175"/>
      <c r="R209" s="126"/>
      <c r="S209" s="126"/>
      <c r="T209" s="126"/>
      <c r="U209" s="126"/>
      <c r="V209" s="126"/>
      <c r="W209" s="126"/>
      <c r="X209" s="126"/>
      <c r="Y209" s="126"/>
      <c r="Z209" s="126"/>
      <c r="AA209" s="126"/>
      <c r="AB209" s="126"/>
      <c r="AC209" s="126"/>
    </row>
    <row r="210" spans="2:29" ht="15.6">
      <c r="B210" s="181" t="s">
        <v>29</v>
      </c>
      <c r="C210" s="182"/>
      <c r="D210" s="182"/>
      <c r="E210" s="183">
        <f t="shared" ref="E210:Q210" si="124">IFERROR(E200+E202+E208+E206+E204,"")</f>
        <v>7.4733333333331622</v>
      </c>
      <c r="F210" s="183">
        <f t="shared" si="124"/>
        <v>91.954784688995176</v>
      </c>
      <c r="G210" s="184">
        <f t="shared" si="124"/>
        <v>49.699048525214003</v>
      </c>
      <c r="H210" s="183">
        <f t="shared" ca="1" si="124"/>
        <v>-38.135901304763877</v>
      </c>
      <c r="I210" s="183">
        <f t="shared" ca="1" si="124"/>
        <v>166.84217271074769</v>
      </c>
      <c r="J210" s="183">
        <f t="shared" ca="1" si="124"/>
        <v>185.84376130711166</v>
      </c>
      <c r="K210" s="183">
        <f t="shared" ca="1" si="124"/>
        <v>206.25574326851759</v>
      </c>
      <c r="L210" s="183">
        <f t="shared" ca="1" si="124"/>
        <v>261.6052462876994</v>
      </c>
      <c r="M210" s="183">
        <f t="shared" ca="1" si="124"/>
        <v>286.17830798741136</v>
      </c>
      <c r="N210" s="183">
        <f t="shared" ca="1" si="124"/>
        <v>320.50454993344675</v>
      </c>
      <c r="O210" s="183">
        <f t="shared" ca="1" si="124"/>
        <v>360.75075409967201</v>
      </c>
      <c r="P210" s="183">
        <f t="shared" ca="1" si="124"/>
        <v>397.35275029743138</v>
      </c>
      <c r="Q210" s="332">
        <f t="shared" ca="1" si="124"/>
        <v>435.07633141487554</v>
      </c>
      <c r="R210" s="126"/>
      <c r="S210" s="126" t="s">
        <v>616</v>
      </c>
      <c r="T210" s="126"/>
      <c r="U210" s="126">
        <f ca="1">+J210/(1+$C$12)^(J213-2)</f>
        <v>184.24704602884546</v>
      </c>
      <c r="V210" s="126">
        <f ca="1">+K210/(1+$C$12)^(K213-2)</f>
        <v>190.54502721971542</v>
      </c>
      <c r="W210" s="126">
        <f ca="1">+L210/(1+$C$12)^(L213-2)</f>
        <v>225.20448715127046</v>
      </c>
      <c r="X210" s="126">
        <f ca="1">+M210/(1+$C$12)^(M213-2)</f>
        <v>229.5653426808438</v>
      </c>
      <c r="Y210" s="126">
        <f ca="1">+N210/(1+$C$12)^(N213-2)</f>
        <v>239.57573696011769</v>
      </c>
      <c r="Z210" s="126"/>
      <c r="AA210" s="126">
        <f ca="1">+O210/(1+$C$12)^(O213-2)</f>
        <v>251.27825228858825</v>
      </c>
      <c r="AB210" s="126">
        <f ca="1">+P210/(1+$C$12)^(P213-2)</f>
        <v>257.90686365136941</v>
      </c>
      <c r="AC210" s="126">
        <f ca="1">+Q210/(1+$C$12)^(Q213-2)</f>
        <v>263.14259686118902</v>
      </c>
    </row>
    <row r="211" spans="2:29" ht="15.6">
      <c r="B211" s="185" t="s">
        <v>617</v>
      </c>
      <c r="C211" s="186"/>
      <c r="D211" s="186"/>
      <c r="E211" s="186"/>
      <c r="F211" s="186"/>
      <c r="G211" s="187"/>
      <c r="H211" s="188">
        <f ca="1">IFERROR(H210/(1+$C$12)^H213,"")</f>
        <v>-37.808248787211014</v>
      </c>
      <c r="I211" s="188">
        <f t="shared" ref="I211:P211" ca="1" si="125">IFERROR(I210/(1+$C$12)^I213,"")</f>
        <v>154.13362962299811</v>
      </c>
      <c r="J211" s="188">
        <f t="shared" ca="1" si="125"/>
        <v>159.98474628984954</v>
      </c>
      <c r="K211" s="188">
        <f t="shared" ca="1" si="125"/>
        <v>165.45338714285856</v>
      </c>
      <c r="L211" s="188">
        <f t="shared" ca="1" si="125"/>
        <v>195.54876735766493</v>
      </c>
      <c r="M211" s="188">
        <f t="shared" ca="1" si="125"/>
        <v>199.33537007690884</v>
      </c>
      <c r="N211" s="188">
        <f t="shared" ca="1" si="125"/>
        <v>208.02756039175529</v>
      </c>
      <c r="O211" s="188">
        <f t="shared" ca="1" si="125"/>
        <v>218.18904729822827</v>
      </c>
      <c r="P211" s="188">
        <f t="shared" ca="1" si="125"/>
        <v>223.94477977799096</v>
      </c>
      <c r="Q211" s="189">
        <f ca="1">IFERROR(Q210/(1+$C$12)^Q213,"")</f>
        <v>228.4910532041776</v>
      </c>
      <c r="R211" s="126"/>
      <c r="S211" s="126" t="s">
        <v>618</v>
      </c>
      <c r="T211" s="367">
        <f t="shared" ref="T211:Y211" ca="1" si="126">+I210/(1+$C$12)^(I213-1)</f>
        <v>165.40871352786908</v>
      </c>
      <c r="U211" s="367">
        <f t="shared" ca="1" si="126"/>
        <v>171.68784730894345</v>
      </c>
      <c r="V211" s="367">
        <f t="shared" ca="1" si="126"/>
        <v>177.55652665202169</v>
      </c>
      <c r="W211" s="367">
        <f t="shared" ca="1" si="126"/>
        <v>209.85342471793501</v>
      </c>
      <c r="X211" s="367">
        <f t="shared" ca="1" si="126"/>
        <v>213.91702255809</v>
      </c>
      <c r="Y211" s="367">
        <f t="shared" ca="1" si="126"/>
        <v>223.24505837502915</v>
      </c>
      <c r="Z211" s="367"/>
      <c r="AA211" s="367">
        <f ca="1">+O210/(1+$C$12)^(O213-1)</f>
        <v>234.14987182061603</v>
      </c>
      <c r="AB211" s="367">
        <f ca="1">+P210/(1+$C$12)^(P213-1)</f>
        <v>240.32664393204152</v>
      </c>
      <c r="AC211" s="367">
        <f ca="1">+Q210/(1+$C$12)^(Q213-1)</f>
        <v>245.20548342093696</v>
      </c>
    </row>
    <row r="212" spans="2:29" ht="3.75" customHeight="1">
      <c r="G212" s="145"/>
      <c r="R212" s="126"/>
      <c r="S212" s="126"/>
      <c r="T212" s="126"/>
      <c r="U212" s="126"/>
      <c r="V212" s="126"/>
      <c r="W212" s="126"/>
      <c r="X212" s="126"/>
      <c r="Y212" s="126"/>
      <c r="Z212" s="126"/>
      <c r="AA212" s="126"/>
      <c r="AB212" s="126"/>
      <c r="AC212" s="126"/>
    </row>
    <row r="213" spans="2:29" ht="15.6">
      <c r="B213" s="125" t="s">
        <v>619</v>
      </c>
      <c r="G213" s="145"/>
      <c r="H213" s="190">
        <f ca="1">+H214/2</f>
        <v>0.12222222222222222</v>
      </c>
      <c r="I213" s="190">
        <f ca="1">+H213+1</f>
        <v>1.1222222222222222</v>
      </c>
      <c r="J213" s="190">
        <f t="shared" ref="J213:P213" ca="1" si="127">+I213+1</f>
        <v>2.1222222222222222</v>
      </c>
      <c r="K213" s="190">
        <f ca="1">+J213+1</f>
        <v>3.1222222222222222</v>
      </c>
      <c r="L213" s="190">
        <f t="shared" ca="1" si="127"/>
        <v>4.1222222222222218</v>
      </c>
      <c r="M213" s="190">
        <f t="shared" ca="1" si="127"/>
        <v>5.1222222222222218</v>
      </c>
      <c r="N213" s="190">
        <f t="shared" ca="1" si="127"/>
        <v>6.1222222222222218</v>
      </c>
      <c r="O213" s="190">
        <f t="shared" ca="1" si="127"/>
        <v>7.1222222222222218</v>
      </c>
      <c r="P213" s="190">
        <f t="shared" ca="1" si="127"/>
        <v>8.1222222222222218</v>
      </c>
      <c r="Q213" s="190">
        <f ca="1">+P213+1</f>
        <v>9.1222222222222218</v>
      </c>
      <c r="R213" s="126"/>
      <c r="S213" s="126"/>
      <c r="T213" s="126"/>
      <c r="U213" s="126"/>
      <c r="V213" s="126"/>
      <c r="W213" s="126"/>
      <c r="X213" s="126"/>
      <c r="Y213" s="126"/>
      <c r="Z213" s="126"/>
      <c r="AA213" s="126"/>
      <c r="AB213" s="126"/>
      <c r="AC213" s="126"/>
    </row>
    <row r="214" spans="2:29" ht="15.6" hidden="1">
      <c r="B214" s="125" t="s">
        <v>620</v>
      </c>
      <c r="G214" s="145"/>
      <c r="H214" s="190">
        <f ca="1">YEARFRAC(P214,P215)</f>
        <v>0.24444444444444444</v>
      </c>
      <c r="P214" s="191">
        <f ca="1">TODAY()</f>
        <v>45933</v>
      </c>
      <c r="R214" s="126"/>
      <c r="S214" s="126"/>
      <c r="T214" s="126"/>
      <c r="U214" s="126"/>
      <c r="V214" s="126"/>
      <c r="W214" s="126"/>
      <c r="X214" s="126"/>
      <c r="Y214" s="126"/>
      <c r="Z214" s="126"/>
      <c r="AA214" s="126"/>
      <c r="AB214" s="126"/>
      <c r="AC214" s="126"/>
    </row>
    <row r="215" spans="2:29" s="126" customFormat="1" ht="3.75" customHeight="1">
      <c r="G215" s="192"/>
      <c r="P215" s="191">
        <v>46022</v>
      </c>
    </row>
    <row r="216" spans="2:29" ht="15.6">
      <c r="B216" s="125" t="s">
        <v>621</v>
      </c>
      <c r="G216" s="145"/>
      <c r="L216" s="193" t="str">
        <f ca="1">IFERROR((#REF!*(1+$C$13))/($C$12-$C$13),"")</f>
        <v/>
      </c>
      <c r="P216" s="194"/>
      <c r="Q216" s="195">
        <f ca="1">IFERROR(+(Q210*(1+$C$13))/($C$12-$C$13),"")</f>
        <v>8349.323465106103</v>
      </c>
      <c r="R216" s="126">
        <v>2025</v>
      </c>
      <c r="S216" s="126">
        <v>2026</v>
      </c>
      <c r="T216" s="594"/>
      <c r="U216" s="595"/>
      <c r="V216" s="595"/>
      <c r="W216" s="126"/>
      <c r="X216" s="126"/>
      <c r="Y216" s="126"/>
      <c r="Z216" s="126"/>
      <c r="AA216" s="126"/>
      <c r="AB216" s="126"/>
      <c r="AC216" s="126"/>
    </row>
    <row r="217" spans="2:29" ht="15.6">
      <c r="B217" s="125" t="s">
        <v>622</v>
      </c>
      <c r="G217" s="145"/>
      <c r="L217" s="193" t="str">
        <f ca="1">IFERROR(L216/(1+$C$12)^#REF!,"")</f>
        <v/>
      </c>
      <c r="Q217" s="166">
        <f ca="1">IFERROR(Q216/(1+$C$12)^$Q$213,"")</f>
        <v>4384.8528966869471</v>
      </c>
      <c r="R217" s="647">
        <f ca="1">+Q216/(1+$C$12)^$P$213</f>
        <v>4705.6108288889463</v>
      </c>
      <c r="S217" s="126">
        <f ca="1">+Q216/(1+$C$12)^$O$213</f>
        <v>5049.8326385560813</v>
      </c>
      <c r="T217" s="595"/>
      <c r="U217" s="133"/>
      <c r="V217" s="133"/>
      <c r="W217" s="126"/>
      <c r="X217" s="126"/>
      <c r="Y217" s="126"/>
      <c r="Z217" s="126"/>
      <c r="AA217" s="126"/>
      <c r="AB217" s="126"/>
      <c r="AC217" s="126"/>
    </row>
    <row r="218" spans="2:29" ht="15.6">
      <c r="B218" s="125" t="s">
        <v>623</v>
      </c>
      <c r="G218" s="145"/>
      <c r="L218" s="196"/>
      <c r="Q218" s="166">
        <f ca="1">+SUM(H211:Q211,Q217)</f>
        <v>6100.1529890621687</v>
      </c>
      <c r="R218" s="647">
        <f ca="1">+SUM(T211:AC211,R217)</f>
        <v>6586.9614212024298</v>
      </c>
      <c r="S218" s="126">
        <f ca="1">+SUM(S217,U210:AC210)</f>
        <v>6891.2979913980216</v>
      </c>
      <c r="T218" s="595"/>
      <c r="U218" s="133"/>
      <c r="V218" s="133"/>
      <c r="W218" s="126"/>
      <c r="X218" s="126"/>
      <c r="Y218" s="126"/>
      <c r="Z218" s="126"/>
      <c r="AA218" s="126"/>
      <c r="AB218" s="126"/>
      <c r="AC218" s="126"/>
    </row>
    <row r="219" spans="2:29" ht="15.6">
      <c r="B219" s="125" t="s">
        <v>624</v>
      </c>
      <c r="G219" s="145"/>
      <c r="L219" s="196"/>
      <c r="Q219" s="334"/>
      <c r="R219" s="647">
        <f>+H106</f>
        <v>79.248239695884365</v>
      </c>
      <c r="S219" s="647">
        <f>+I106</f>
        <v>251.41274462863629</v>
      </c>
      <c r="T219" s="130"/>
      <c r="U219" s="130"/>
      <c r="V219" s="130"/>
      <c r="W219" s="126"/>
      <c r="X219" s="126"/>
      <c r="Y219" s="126"/>
      <c r="Z219" s="126"/>
      <c r="AA219" s="126"/>
      <c r="AB219" s="126"/>
      <c r="AC219" s="126"/>
    </row>
    <row r="220" spans="2:29" ht="15.6">
      <c r="B220" s="125" t="s">
        <v>625</v>
      </c>
      <c r="G220" s="145"/>
      <c r="L220" s="196"/>
      <c r="Q220" s="334">
        <v>0</v>
      </c>
      <c r="R220" s="647">
        <f>+Q220</f>
        <v>0</v>
      </c>
      <c r="S220" s="647">
        <f>+Q220</f>
        <v>0</v>
      </c>
      <c r="T220" s="130"/>
      <c r="U220" s="130"/>
      <c r="V220" s="130"/>
      <c r="W220" s="126"/>
      <c r="X220" s="126"/>
      <c r="Y220" s="126"/>
      <c r="Z220" s="126"/>
      <c r="AA220" s="126"/>
      <c r="AB220" s="126"/>
      <c r="AC220" s="126"/>
    </row>
    <row r="221" spans="2:29" ht="15.6">
      <c r="B221" s="125" t="s">
        <v>626</v>
      </c>
      <c r="G221" s="145"/>
      <c r="M221" s="197"/>
      <c r="Q221" s="334">
        <v>0</v>
      </c>
      <c r="R221" s="647">
        <f>+Q221</f>
        <v>0</v>
      </c>
      <c r="S221" s="647">
        <f>+Q221</f>
        <v>0</v>
      </c>
      <c r="T221" s="130"/>
      <c r="U221" s="130"/>
      <c r="V221" s="130"/>
      <c r="W221" s="126"/>
      <c r="X221" s="126"/>
      <c r="Y221" s="126"/>
      <c r="Z221" s="126"/>
      <c r="AA221" s="126"/>
      <c r="AB221" s="126"/>
      <c r="AC221" s="126"/>
    </row>
    <row r="222" spans="2:29" ht="15.6">
      <c r="B222" s="125" t="s">
        <v>627</v>
      </c>
      <c r="G222" s="145"/>
      <c r="Q222" s="334">
        <v>0</v>
      </c>
      <c r="R222" s="647">
        <f>+H134</f>
        <v>147.28000000000003</v>
      </c>
      <c r="S222" s="647">
        <f>+I134</f>
        <v>162.79424284443539</v>
      </c>
      <c r="T222" s="130"/>
      <c r="U222" s="130"/>
      <c r="V222" s="130"/>
      <c r="W222" s="126"/>
      <c r="X222" s="126"/>
      <c r="Y222" s="126"/>
      <c r="Z222" s="126"/>
      <c r="AA222" s="126"/>
      <c r="AB222" s="126"/>
      <c r="AC222" s="126"/>
    </row>
    <row r="223" spans="2:29" ht="15.6">
      <c r="B223" s="125" t="s">
        <v>241</v>
      </c>
      <c r="G223" s="145"/>
      <c r="Q223" s="166">
        <f ca="1">Q218+Q219-Q220-Q221-Q222</f>
        <v>6100.1529890621687</v>
      </c>
      <c r="R223" s="647">
        <f ca="1">R218+R219-R220-R221-R222</f>
        <v>6518.9296608983141</v>
      </c>
      <c r="S223" s="647">
        <f ca="1">S218+S219-S220-S221-S222</f>
        <v>6979.9164931822224</v>
      </c>
      <c r="T223" s="130"/>
      <c r="U223" s="130"/>
      <c r="V223" s="130"/>
      <c r="W223" s="126"/>
      <c r="X223" s="126"/>
      <c r="Y223" s="126"/>
      <c r="Z223" s="126"/>
      <c r="AA223" s="126"/>
      <c r="AB223" s="126"/>
      <c r="AC223" s="126"/>
    </row>
    <row r="224" spans="2:29" ht="3.75" customHeight="1">
      <c r="G224" s="145"/>
      <c r="Q224" s="198"/>
      <c r="R224" s="130"/>
      <c r="S224" s="130"/>
      <c r="T224" s="130"/>
      <c r="U224" s="130"/>
      <c r="V224" s="130"/>
      <c r="W224" s="126"/>
      <c r="X224" s="126"/>
      <c r="Y224" s="126"/>
      <c r="Z224" s="126"/>
      <c r="AA224" s="126"/>
      <c r="AB224" s="126"/>
      <c r="AC224" s="126"/>
    </row>
    <row r="225" spans="1:29" ht="15.6">
      <c r="B225" s="125" t="s">
        <v>628</v>
      </c>
      <c r="G225" s="145"/>
      <c r="O225" s="150"/>
      <c r="Q225" s="195" cm="1">
        <f t="array" aca="1" ref="Q225" ca="1">IFERROR(_FV(R4,"Shares outstanding",TRUE)/1000000,"")</f>
        <v>56.734900000000003</v>
      </c>
      <c r="R225" s="130"/>
      <c r="S225" s="130"/>
      <c r="T225" s="130"/>
      <c r="U225" s="130"/>
      <c r="V225" s="130"/>
      <c r="W225" s="126"/>
      <c r="X225" s="126"/>
      <c r="Y225" s="126"/>
      <c r="Z225" s="126"/>
      <c r="AA225" s="126"/>
      <c r="AB225" s="126"/>
      <c r="AC225" s="126"/>
    </row>
    <row r="226" spans="1:29" ht="15.6">
      <c r="B226" s="147" t="s">
        <v>629</v>
      </c>
      <c r="G226" s="145"/>
      <c r="N226" s="199"/>
      <c r="Q226" s="824">
        <f ca="1">IFERROR(Q223/Q$225,"")</f>
        <v>107.52029155003655</v>
      </c>
      <c r="R226" s="130"/>
      <c r="S226" s="130"/>
      <c r="T226" s="130"/>
      <c r="U226" s="130"/>
      <c r="V226" s="130"/>
      <c r="W226" s="126"/>
      <c r="X226" s="126"/>
      <c r="Y226" s="126"/>
      <c r="Z226" s="126"/>
      <c r="AA226" s="126"/>
      <c r="AB226" s="126"/>
      <c r="AC226" s="126"/>
    </row>
    <row r="227" spans="1:29" ht="3.75" customHeight="1">
      <c r="G227" s="145"/>
      <c r="R227" s="130"/>
      <c r="S227" s="130"/>
      <c r="T227" s="130"/>
      <c r="U227" s="130"/>
      <c r="V227" s="130"/>
      <c r="W227" s="126"/>
      <c r="X227" s="126"/>
      <c r="Y227" s="126"/>
      <c r="Z227" s="126"/>
      <c r="AA227" s="126"/>
      <c r="AB227" s="126"/>
      <c r="AC227" s="126"/>
    </row>
    <row r="228" spans="1:29" ht="15.6">
      <c r="B228" s="125" t="s">
        <v>630</v>
      </c>
      <c r="G228" s="145"/>
      <c r="Q228" s="200" cm="1">
        <f t="array" aca="1" ref="Q228" ca="1">IFERROR(_FV(R4,"Price"),"")</f>
        <v>135.91</v>
      </c>
      <c r="R228" s="126"/>
      <c r="S228" s="126"/>
      <c r="T228" s="126"/>
      <c r="U228" s="126"/>
      <c r="V228" s="126"/>
      <c r="W228" s="126"/>
      <c r="X228" s="126"/>
      <c r="Y228" s="126"/>
      <c r="Z228" s="126"/>
      <c r="AA228" s="126"/>
      <c r="AB228" s="126"/>
      <c r="AC228" s="126"/>
    </row>
    <row r="229" spans="1:29" ht="15.6">
      <c r="B229" s="147" t="s">
        <v>631</v>
      </c>
      <c r="C229" s="147"/>
      <c r="D229" s="147"/>
      <c r="E229" s="147"/>
      <c r="F229" s="147"/>
      <c r="G229" s="201"/>
      <c r="H229" s="147"/>
      <c r="I229" s="147"/>
      <c r="J229" s="147"/>
      <c r="K229" s="147"/>
      <c r="L229" s="147"/>
      <c r="M229" s="147"/>
      <c r="N229" s="147"/>
      <c r="O229" s="147"/>
      <c r="P229" s="147"/>
      <c r="Q229" s="202">
        <f ca="1">IFERROR(Q226/Q228-1,"")</f>
        <v>-0.20888608969143885</v>
      </c>
      <c r="R229" s="126"/>
      <c r="S229" s="126"/>
      <c r="T229" s="126"/>
      <c r="U229" s="126"/>
      <c r="V229" s="126"/>
      <c r="W229" s="126"/>
      <c r="X229" s="126"/>
      <c r="Y229" s="126"/>
      <c r="Z229" s="126"/>
      <c r="AA229" s="126"/>
      <c r="AB229" s="126"/>
      <c r="AC229" s="126"/>
    </row>
    <row r="230" spans="1:29" ht="5.25" customHeight="1">
      <c r="B230" s="147"/>
      <c r="C230" s="147"/>
      <c r="D230" s="147"/>
      <c r="E230" s="147"/>
      <c r="F230" s="147"/>
      <c r="G230" s="201"/>
      <c r="H230" s="147"/>
      <c r="I230" s="147"/>
      <c r="J230" s="147"/>
      <c r="K230" s="147"/>
      <c r="L230" s="147"/>
      <c r="M230" s="147"/>
      <c r="N230" s="147"/>
      <c r="O230" s="147"/>
      <c r="P230" s="147"/>
      <c r="Q230" s="202"/>
      <c r="R230" s="126"/>
      <c r="S230" s="126"/>
      <c r="T230" s="126"/>
      <c r="U230" s="126"/>
      <c r="V230" s="126"/>
      <c r="W230" s="126"/>
      <c r="X230" s="126"/>
      <c r="Y230" s="126"/>
      <c r="Z230" s="126"/>
      <c r="AA230" s="126"/>
      <c r="AB230" s="126"/>
      <c r="AC230" s="126"/>
    </row>
    <row r="231" spans="1:29" ht="15.6">
      <c r="A231" s="125" t="s">
        <v>472</v>
      </c>
      <c r="B231" s="51" t="s">
        <v>632</v>
      </c>
      <c r="C231" s="51"/>
      <c r="D231" s="51"/>
      <c r="E231" s="136">
        <f>E186</f>
        <v>2022</v>
      </c>
      <c r="F231" s="136">
        <f t="shared" ref="F231:Q231" si="128">F186</f>
        <v>2023</v>
      </c>
      <c r="G231" s="136">
        <f t="shared" si="128"/>
        <v>2024</v>
      </c>
      <c r="H231" s="136">
        <f t="shared" si="128"/>
        <v>2025</v>
      </c>
      <c r="I231" s="136">
        <f t="shared" si="128"/>
        <v>2026</v>
      </c>
      <c r="J231" s="136">
        <f t="shared" si="128"/>
        <v>2027</v>
      </c>
      <c r="K231" s="136">
        <f t="shared" si="128"/>
        <v>2028</v>
      </c>
      <c r="L231" s="136">
        <f t="shared" si="128"/>
        <v>2029</v>
      </c>
      <c r="M231" s="136">
        <f t="shared" si="128"/>
        <v>2030</v>
      </c>
      <c r="N231" s="136">
        <f t="shared" si="128"/>
        <v>2031</v>
      </c>
      <c r="O231" s="136">
        <f t="shared" si="128"/>
        <v>2032</v>
      </c>
      <c r="P231" s="136">
        <f t="shared" si="128"/>
        <v>2033</v>
      </c>
      <c r="Q231" s="136">
        <f t="shared" si="128"/>
        <v>2034</v>
      </c>
      <c r="R231" s="126"/>
      <c r="S231" s="126"/>
      <c r="T231" s="126"/>
      <c r="U231" s="126"/>
      <c r="V231" s="126"/>
      <c r="W231" s="126"/>
      <c r="X231" s="126"/>
      <c r="Y231" s="126"/>
      <c r="Z231" s="126"/>
      <c r="AA231" s="126"/>
      <c r="AB231" s="126"/>
      <c r="AC231" s="126"/>
    </row>
    <row r="232" spans="1:29" ht="3.75" customHeight="1">
      <c r="B232" s="52"/>
      <c r="C232" s="52"/>
      <c r="D232" s="52"/>
      <c r="E232" s="52"/>
      <c r="F232" s="52"/>
      <c r="G232" s="163"/>
      <c r="H232" s="52"/>
      <c r="I232" s="52"/>
      <c r="J232" s="52"/>
      <c r="K232" s="52"/>
      <c r="L232" s="52"/>
      <c r="M232" s="52"/>
      <c r="N232" s="52"/>
      <c r="O232" s="52"/>
      <c r="P232" s="52"/>
      <c r="Q232" s="52"/>
      <c r="R232" s="126"/>
      <c r="S232" s="126"/>
      <c r="T232" s="126"/>
      <c r="U232" s="126"/>
      <c r="V232" s="126"/>
      <c r="W232" s="126"/>
      <c r="X232" s="126"/>
      <c r="Y232" s="126"/>
      <c r="Z232" s="126"/>
      <c r="AA232" s="126"/>
      <c r="AB232" s="126"/>
      <c r="AC232" s="126"/>
    </row>
    <row r="233" spans="1:29" ht="15.6">
      <c r="B233" s="181" t="s">
        <v>633</v>
      </c>
      <c r="C233" s="182"/>
      <c r="D233" s="182"/>
      <c r="E233" s="183"/>
      <c r="F233" s="183"/>
      <c r="G233" s="184"/>
      <c r="H233" s="183">
        <f ca="1">IFERROR(H210/(1+WACC!$G$16)^H213,"")</f>
        <v>-37.788017081111654</v>
      </c>
      <c r="I233" s="183">
        <f ca="1">IFERROR(I210/(1+WACC!$G$16)^I213,"")</f>
        <v>153.37797820334461</v>
      </c>
      <c r="J233" s="183">
        <f ca="1">IFERROR(J210/(1+WACC!$G$16)^J213,"")</f>
        <v>158.50473569432873</v>
      </c>
      <c r="K233" s="183">
        <f ca="1">IFERROR(K210/(1+WACC!$G$16)^K213,"")</f>
        <v>163.2064769523499</v>
      </c>
      <c r="L233" s="183">
        <f ca="1">IFERROR(L210/(1+WACC!$G$16)^L213,"")</f>
        <v>192.05024809667765</v>
      </c>
      <c r="M233" s="183">
        <f ca="1">IFERROR(M210/(1+WACC!$G$16)^M213,"")</f>
        <v>194.91363408664785</v>
      </c>
      <c r="N233" s="183">
        <f ca="1">IFERROR(N210/(1+WACC!$G$16)^N213,"")</f>
        <v>202.52413700970101</v>
      </c>
      <c r="O233" s="183">
        <f ca="1">IFERROR(O210/(1+WACC!$G$16)^O213,"")</f>
        <v>211.48858060225265</v>
      </c>
      <c r="P233" s="183">
        <f ca="1">IFERROR(P210/(1+WACC!$G$16)^P213,"")</f>
        <v>216.11901627262642</v>
      </c>
      <c r="Q233" s="592">
        <f ca="1">IFERROR(Q210/(1+WACC!$G$16)^Q213,"")</f>
        <v>219.54285137008736</v>
      </c>
      <c r="R233" s="126"/>
      <c r="S233" s="126"/>
      <c r="T233" s="126"/>
      <c r="U233" s="126"/>
      <c r="V233" s="126"/>
      <c r="W233" s="126"/>
      <c r="X233" s="126"/>
      <c r="Y233" s="126"/>
      <c r="Z233" s="126"/>
      <c r="AA233" s="126"/>
      <c r="AB233" s="126"/>
      <c r="AC233" s="126"/>
    </row>
    <row r="234" spans="1:29" ht="15.6">
      <c r="B234" s="185" t="s">
        <v>634</v>
      </c>
      <c r="C234" s="186"/>
      <c r="D234" s="186"/>
      <c r="E234" s="186"/>
      <c r="F234" s="186"/>
      <c r="G234" s="187"/>
      <c r="H234" s="188">
        <f ca="1">IFERROR((H83*H97)/(1+WACC!$G$20)^H213,"")</f>
        <v>0.68221376549638846</v>
      </c>
      <c r="I234" s="188">
        <f ca="1">IFERROR((I83*I97)/(1+WACC!$G$20)^I213,"")</f>
        <v>0.71676496784670329</v>
      </c>
      <c r="J234" s="188">
        <f ca="1">IFERROR((J83*J97)/(1+WACC!$G$20)^J213,"")</f>
        <v>0.47778106606077714</v>
      </c>
      <c r="K234" s="188">
        <f ca="1">IFERROR((K83*K97)/(1+WACC!$G$20)^K213,"")</f>
        <v>0.27635362351617637</v>
      </c>
      <c r="L234" s="188">
        <f ca="1">IFERROR((L83*L97)/(1+WACC!$G$20)^L213,"")</f>
        <v>0.11241255974204674</v>
      </c>
      <c r="M234" s="188">
        <f ca="1">IFERROR((M83*M97)/(1+WACC!$G$20)^M213,"")</f>
        <v>6.7941165508940887E-2</v>
      </c>
      <c r="N234" s="188">
        <f ca="1">IFERROR((N83*N97)/(1+WACC!$G$20)^N213,"")</f>
        <v>6.2333339332986813E-2</v>
      </c>
      <c r="O234" s="188">
        <f ca="1">IFERROR((O83*O97)/(1+WACC!$G$20)^O213,"")</f>
        <v>5.7570819030957732E-2</v>
      </c>
      <c r="P234" s="188">
        <f ca="1">IFERROR((P83*P97)/(1+WACC!$G$20)^P213,"")</f>
        <v>5.3487909898335087E-2</v>
      </c>
      <c r="Q234" s="593">
        <f ca="1">IFERROR((Q83*Q97)/(1+WACC!$G$20)^Q213,"")</f>
        <v>4.7336933802012482E-2</v>
      </c>
      <c r="R234" s="126"/>
      <c r="S234" s="126"/>
      <c r="T234" s="126"/>
      <c r="U234" s="126"/>
      <c r="V234" s="126"/>
      <c r="W234" s="126"/>
      <c r="X234" s="126"/>
      <c r="Y234" s="126"/>
      <c r="Z234" s="126"/>
      <c r="AA234" s="126"/>
      <c r="AB234" s="126"/>
      <c r="AC234" s="126"/>
    </row>
    <row r="235" spans="1:29" ht="3.75" customHeight="1">
      <c r="B235" s="147"/>
      <c r="C235" s="147"/>
      <c r="D235" s="147"/>
      <c r="E235" s="147"/>
      <c r="F235" s="147"/>
      <c r="G235" s="201"/>
      <c r="H235" s="147"/>
      <c r="I235" s="147"/>
      <c r="J235" s="147"/>
      <c r="K235" s="147"/>
      <c r="L235" s="147"/>
      <c r="M235" s="147"/>
      <c r="N235" s="147"/>
      <c r="O235" s="147"/>
      <c r="P235" s="147"/>
      <c r="Q235" s="202"/>
      <c r="R235" s="126"/>
      <c r="S235" s="126"/>
      <c r="T235" s="126"/>
      <c r="U235" s="126"/>
      <c r="V235" s="126"/>
      <c r="W235" s="126"/>
      <c r="X235" s="126"/>
      <c r="Y235" s="126"/>
      <c r="Z235" s="126"/>
      <c r="AA235" s="126"/>
      <c r="AB235" s="126"/>
      <c r="AC235" s="126"/>
    </row>
    <row r="236" spans="1:29" ht="15.6">
      <c r="B236" s="125" t="s">
        <v>635</v>
      </c>
      <c r="C236" s="147"/>
      <c r="D236" s="147"/>
      <c r="E236" s="147"/>
      <c r="F236" s="147"/>
      <c r="G236" s="201"/>
      <c r="H236" s="147"/>
      <c r="I236" s="147"/>
      <c r="J236" s="147"/>
      <c r="K236" s="147"/>
      <c r="L236" s="147"/>
      <c r="M236" s="147"/>
      <c r="N236" s="147"/>
      <c r="O236" s="147"/>
      <c r="P236" s="147"/>
      <c r="Q236" s="166">
        <f ca="1">IFERROR((Q210*(1+$C$13))/(WACC!$G$16-'DCF (2)'!$C$13),"")</f>
        <v>7669.6713109946641</v>
      </c>
      <c r="R236" s="126"/>
      <c r="S236" s="126"/>
      <c r="T236" s="126"/>
      <c r="U236" s="126"/>
      <c r="V236" s="126"/>
      <c r="W236" s="126"/>
      <c r="X236" s="126"/>
      <c r="Y236" s="126"/>
      <c r="Z236" s="126"/>
      <c r="AA236" s="126"/>
      <c r="AB236" s="126"/>
      <c r="AC236" s="126"/>
    </row>
    <row r="237" spans="1:29" ht="15.6">
      <c r="B237" s="125" t="s">
        <v>636</v>
      </c>
      <c r="C237" s="147"/>
      <c r="D237" s="147"/>
      <c r="E237" s="147"/>
      <c r="F237" s="147"/>
      <c r="G237" s="201"/>
      <c r="H237" s="147"/>
      <c r="I237" s="147"/>
      <c r="J237" s="147"/>
      <c r="K237" s="147"/>
      <c r="L237" s="147"/>
      <c r="M237" s="147"/>
      <c r="N237" s="147"/>
      <c r="O237" s="147"/>
      <c r="P237" s="147"/>
      <c r="Q237" s="166">
        <f ca="1">IFERROR(Q236/(1+WACC!$G$16)^$Q$213,"")</f>
        <v>3870.1749258832556</v>
      </c>
      <c r="R237" s="126"/>
      <c r="S237" s="126"/>
      <c r="T237" s="126"/>
      <c r="U237" s="126"/>
      <c r="V237" s="126"/>
      <c r="W237" s="126"/>
      <c r="X237" s="126"/>
      <c r="Y237" s="126"/>
      <c r="Z237" s="126"/>
      <c r="AA237" s="126"/>
      <c r="AB237" s="126"/>
      <c r="AC237" s="126"/>
    </row>
    <row r="238" spans="1:29" ht="15.6">
      <c r="B238" s="125" t="s">
        <v>637</v>
      </c>
      <c r="C238" s="147"/>
      <c r="D238" s="147"/>
      <c r="E238" s="147"/>
      <c r="F238" s="147"/>
      <c r="G238" s="201"/>
      <c r="H238" s="147"/>
      <c r="I238" s="147"/>
      <c r="J238" s="147"/>
      <c r="K238" s="147"/>
      <c r="L238" s="147"/>
      <c r="M238" s="147"/>
      <c r="N238" s="147"/>
      <c r="O238" s="147"/>
      <c r="P238" s="147"/>
      <c r="Q238" s="166">
        <f ca="1">IFERROR((Q234*(1+$C$13))/(WACC!$G$16-$C$13),"")</f>
        <v>0.83447132587303841</v>
      </c>
      <c r="R238" s="126"/>
      <c r="S238" s="126"/>
      <c r="T238" s="126"/>
      <c r="U238" s="126"/>
      <c r="V238" s="126"/>
      <c r="W238" s="126"/>
      <c r="X238" s="126"/>
      <c r="Y238" s="126"/>
      <c r="Z238" s="126"/>
      <c r="AA238" s="126"/>
      <c r="AB238" s="126"/>
      <c r="AC238" s="126"/>
    </row>
    <row r="239" spans="1:29" ht="15.6">
      <c r="B239" s="125" t="s">
        <v>638</v>
      </c>
      <c r="C239" s="147"/>
      <c r="D239" s="147"/>
      <c r="E239" s="147"/>
      <c r="F239" s="147"/>
      <c r="G239" s="201"/>
      <c r="H239" s="147"/>
      <c r="I239" s="147"/>
      <c r="J239" s="147"/>
      <c r="K239" s="147"/>
      <c r="L239" s="147"/>
      <c r="M239" s="147"/>
      <c r="N239" s="147"/>
      <c r="O239" s="147"/>
      <c r="P239" s="147"/>
      <c r="Q239" s="166">
        <f ca="1">IFERROR(Q238/(1+WACC!$G$18)^$Q$213,"")</f>
        <v>2.7357218131102408E-23</v>
      </c>
      <c r="R239" s="126"/>
      <c r="S239" s="126"/>
      <c r="T239" s="126"/>
      <c r="U239" s="126"/>
      <c r="V239" s="126"/>
      <c r="W239" s="126"/>
      <c r="X239" s="126"/>
      <c r="Y239" s="126"/>
      <c r="Z239" s="126"/>
      <c r="AA239" s="126"/>
      <c r="AB239" s="126"/>
      <c r="AC239" s="126"/>
    </row>
    <row r="240" spans="1:29" ht="15.6">
      <c r="B240" s="125" t="s">
        <v>639</v>
      </c>
      <c r="G240" s="145"/>
      <c r="Q240" s="166">
        <f ca="1">+SUM(H233:Q234,Q237,Q239)</f>
        <v>5546.6687632403955</v>
      </c>
      <c r="R240" s="126"/>
      <c r="S240" s="126"/>
      <c r="T240" s="126"/>
      <c r="U240" s="126"/>
      <c r="V240" s="126"/>
      <c r="W240" s="126"/>
      <c r="X240" s="126"/>
      <c r="Y240" s="126"/>
      <c r="Z240" s="126"/>
      <c r="AA240" s="126"/>
      <c r="AB240" s="126"/>
      <c r="AC240" s="126"/>
    </row>
    <row r="241" spans="1:29" ht="15.6">
      <c r="B241" s="125" t="s">
        <v>241</v>
      </c>
      <c r="G241" s="145"/>
      <c r="Q241" s="166">
        <f ca="1">+Q240-Q219+Q220+Q221+Q222</f>
        <v>5546.6687632403955</v>
      </c>
      <c r="R241" s="126"/>
      <c r="S241" s="126"/>
      <c r="T241" s="126"/>
      <c r="U241" s="126"/>
      <c r="V241" s="126"/>
      <c r="W241" s="126"/>
      <c r="X241" s="126"/>
      <c r="Y241" s="126"/>
      <c r="Z241" s="126"/>
      <c r="AA241" s="126"/>
      <c r="AB241" s="126"/>
      <c r="AC241" s="126"/>
    </row>
    <row r="242" spans="1:29" ht="15.6">
      <c r="B242" s="147" t="s">
        <v>629</v>
      </c>
      <c r="C242" s="147"/>
      <c r="D242" s="147"/>
      <c r="E242" s="147"/>
      <c r="F242" s="147"/>
      <c r="G242" s="201"/>
      <c r="H242" s="147"/>
      <c r="I242" s="147"/>
      <c r="J242" s="147"/>
      <c r="K242" s="147"/>
      <c r="L242" s="147"/>
      <c r="M242" s="147"/>
      <c r="N242" s="147"/>
      <c r="O242" s="147"/>
      <c r="P242" s="147"/>
      <c r="Q242" s="399">
        <f ca="1">IFERROR(Q241/Q225,"")</f>
        <v>97.764669775400947</v>
      </c>
      <c r="R242" s="126"/>
      <c r="S242" s="126"/>
      <c r="T242" s="126"/>
      <c r="U242" s="126"/>
      <c r="V242" s="126"/>
      <c r="W242" s="126"/>
      <c r="X242" s="126"/>
      <c r="Y242" s="126"/>
      <c r="Z242" s="126"/>
      <c r="AA242" s="126"/>
      <c r="AB242" s="126"/>
      <c r="AC242" s="126"/>
    </row>
    <row r="243" spans="1:29" ht="3.75" customHeight="1">
      <c r="B243" s="147"/>
      <c r="C243" s="147"/>
      <c r="D243" s="147"/>
      <c r="E243" s="147"/>
      <c r="F243" s="147"/>
      <c r="G243" s="201"/>
      <c r="H243" s="147"/>
      <c r="I243" s="147"/>
      <c r="J243" s="147"/>
      <c r="K243" s="147"/>
      <c r="L243" s="147"/>
      <c r="M243" s="147"/>
      <c r="N243" s="147"/>
      <c r="O243" s="147"/>
      <c r="P243" s="147"/>
      <c r="Q243" s="399"/>
      <c r="R243" s="126"/>
      <c r="S243" s="126"/>
      <c r="T243" s="126"/>
      <c r="U243" s="126"/>
      <c r="V243" s="126"/>
      <c r="W243" s="126"/>
      <c r="X243" s="126"/>
      <c r="Y243" s="126"/>
      <c r="Z243" s="126"/>
      <c r="AA243" s="126"/>
      <c r="AB243" s="126"/>
      <c r="AC243" s="126"/>
    </row>
    <row r="244" spans="1:29" ht="15.6">
      <c r="B244" s="400" t="s">
        <v>631</v>
      </c>
      <c r="C244" s="147"/>
      <c r="D244" s="147"/>
      <c r="E244" s="147"/>
      <c r="F244" s="147"/>
      <c r="G244" s="201"/>
      <c r="H244" s="147"/>
      <c r="I244" s="147"/>
      <c r="J244" s="147"/>
      <c r="K244" s="147"/>
      <c r="L244" s="147"/>
      <c r="M244" s="147"/>
      <c r="N244" s="147"/>
      <c r="O244" s="147"/>
      <c r="P244" s="147"/>
      <c r="Q244" s="202">
        <f ca="1">IFERROR(Q242/Q228-1,"")</f>
        <v>-0.28066610422043303</v>
      </c>
      <c r="R244" s="126"/>
      <c r="S244" s="126"/>
      <c r="T244" s="126"/>
      <c r="U244" s="126"/>
      <c r="V244" s="126"/>
      <c r="W244" s="126"/>
      <c r="X244" s="126"/>
      <c r="Y244" s="126"/>
      <c r="Z244" s="126"/>
      <c r="AA244" s="126"/>
      <c r="AB244" s="126"/>
      <c r="AC244" s="126"/>
    </row>
    <row r="245" spans="1:29" ht="3.75" customHeight="1">
      <c r="G245" s="145"/>
    </row>
    <row r="246" spans="1:29" ht="15.6">
      <c r="A246" s="125" t="s">
        <v>472</v>
      </c>
      <c r="B246" s="51" t="s">
        <v>640</v>
      </c>
      <c r="C246" s="51"/>
      <c r="D246" s="51"/>
      <c r="E246" s="136">
        <f>E46</f>
        <v>2022</v>
      </c>
      <c r="F246" s="136">
        <f>F46</f>
        <v>2023</v>
      </c>
      <c r="G246" s="137">
        <f>G46</f>
        <v>2024</v>
      </c>
      <c r="H246" s="99">
        <f t="shared" ref="H246:Q246" si="129">1+G246</f>
        <v>2025</v>
      </c>
      <c r="I246" s="99">
        <f t="shared" si="129"/>
        <v>2026</v>
      </c>
      <c r="J246" s="99">
        <f t="shared" si="129"/>
        <v>2027</v>
      </c>
      <c r="K246" s="99">
        <f t="shared" si="129"/>
        <v>2028</v>
      </c>
      <c r="L246" s="99">
        <f t="shared" si="129"/>
        <v>2029</v>
      </c>
      <c r="M246" s="99">
        <f t="shared" si="129"/>
        <v>2030</v>
      </c>
      <c r="N246" s="99">
        <f t="shared" si="129"/>
        <v>2031</v>
      </c>
      <c r="O246" s="99">
        <f t="shared" si="129"/>
        <v>2032</v>
      </c>
      <c r="P246" s="99">
        <f t="shared" si="129"/>
        <v>2033</v>
      </c>
      <c r="Q246" s="99">
        <f t="shared" si="129"/>
        <v>2034</v>
      </c>
    </row>
    <row r="247" spans="1:29" ht="3.75" customHeight="1">
      <c r="B247" s="52"/>
      <c r="C247" s="52"/>
      <c r="D247" s="52"/>
      <c r="E247" s="52"/>
      <c r="F247" s="52"/>
      <c r="G247" s="203"/>
      <c r="H247" s="52"/>
      <c r="I247" s="52"/>
      <c r="J247" s="52"/>
      <c r="K247" s="52"/>
      <c r="L247" s="52"/>
      <c r="M247" s="52"/>
      <c r="N247" s="52"/>
      <c r="O247" s="52"/>
      <c r="P247" s="52"/>
      <c r="Q247" s="52"/>
    </row>
    <row r="248" spans="1:29" ht="15.6">
      <c r="B248" s="125" t="s">
        <v>525</v>
      </c>
      <c r="E248" s="149">
        <f>+E77</f>
        <v>2.2999999999999758</v>
      </c>
      <c r="F248" s="149">
        <f>+F77</f>
        <v>45.899999999999963</v>
      </c>
      <c r="G248" s="180">
        <f>+G77</f>
        <v>113.79999999999993</v>
      </c>
      <c r="H248" s="174">
        <f>+H77</f>
        <v>79.004409361269154</v>
      </c>
      <c r="I248" s="174">
        <f t="shared" ref="I248:Q248" si="130">+I77</f>
        <v>132.39628069758751</v>
      </c>
      <c r="J248" s="174">
        <f t="shared" si="130"/>
        <v>173.52288082035261</v>
      </c>
      <c r="K248" s="174">
        <f t="shared" si="130"/>
        <v>207.0582625112481</v>
      </c>
      <c r="L248" s="174">
        <f t="shared" si="130"/>
        <v>236.50883081511336</v>
      </c>
      <c r="M248" s="174">
        <f t="shared" si="130"/>
        <v>235.35108288114535</v>
      </c>
      <c r="N248" s="174">
        <f t="shared" si="130"/>
        <v>261.29032350776043</v>
      </c>
      <c r="O248" s="174">
        <f t="shared" si="130"/>
        <v>287.03043378151949</v>
      </c>
      <c r="P248" s="174">
        <f t="shared" si="130"/>
        <v>312.70260949562868</v>
      </c>
      <c r="Q248" s="174">
        <f t="shared" si="130"/>
        <v>357.11242561589017</v>
      </c>
    </row>
    <row r="249" spans="1:29" ht="3.75" customHeight="1">
      <c r="G249" s="145"/>
    </row>
    <row r="250" spans="1:29" ht="15" customHeight="1">
      <c r="B250" s="125" t="s">
        <v>306</v>
      </c>
      <c r="E250" s="166">
        <f>+E99</f>
        <v>21.899999999999977</v>
      </c>
      <c r="F250" s="166">
        <f t="shared" ref="F250:Q250" si="131">+F99</f>
        <v>61.499999999999957</v>
      </c>
      <c r="G250" s="204">
        <f t="shared" si="131"/>
        <v>127.69999999999993</v>
      </c>
      <c r="H250" s="166">
        <f t="shared" si="131"/>
        <v>62.063183204886457</v>
      </c>
      <c r="I250" s="166">
        <f t="shared" si="131"/>
        <v>109.48509109584828</v>
      </c>
      <c r="J250" s="166">
        <f t="shared" si="131"/>
        <v>148.57900614911702</v>
      </c>
      <c r="K250" s="166">
        <f t="shared" si="131"/>
        <v>180.15607849661009</v>
      </c>
      <c r="L250" s="166">
        <f t="shared" si="131"/>
        <v>207.72797506966202</v>
      </c>
      <c r="M250" s="166">
        <f t="shared" si="131"/>
        <v>206.56705889197923</v>
      </c>
      <c r="N250" s="166">
        <f t="shared" si="131"/>
        <v>229.12966259628226</v>
      </c>
      <c r="O250" s="166">
        <f t="shared" si="131"/>
        <v>251.49196886989569</v>
      </c>
      <c r="P250" s="166">
        <f t="shared" si="131"/>
        <v>273.75431400746106</v>
      </c>
      <c r="Q250" s="166">
        <f t="shared" si="131"/>
        <v>308.61167011565573</v>
      </c>
    </row>
    <row r="251" spans="1:29" ht="3.75" customHeight="1">
      <c r="G251" s="145"/>
    </row>
    <row r="252" spans="1:29" ht="15" customHeight="1">
      <c r="B252" s="125" t="s">
        <v>558</v>
      </c>
      <c r="E252" s="205">
        <f t="shared" ref="E252:Q252" si="132">+E141</f>
        <v>27.1</v>
      </c>
      <c r="F252" s="205">
        <f t="shared" si="132"/>
        <v>22.2</v>
      </c>
      <c r="G252" s="206">
        <f t="shared" si="132"/>
        <v>35.9</v>
      </c>
      <c r="H252" s="205">
        <f t="shared" si="132"/>
        <v>37.284731668128309</v>
      </c>
      <c r="I252" s="205">
        <f t="shared" si="132"/>
        <v>38.129056062583771</v>
      </c>
      <c r="J252" s="205">
        <f t="shared" si="132"/>
        <v>39.336933070693604</v>
      </c>
      <c r="K252" s="205">
        <f t="shared" si="132"/>
        <v>40.749709577367838</v>
      </c>
      <c r="L252" s="205">
        <f t="shared" si="132"/>
        <v>42.10108010696797</v>
      </c>
      <c r="M252" s="205">
        <f t="shared" si="132"/>
        <v>71.817938077715354</v>
      </c>
      <c r="N252" s="205">
        <f t="shared" si="132"/>
        <v>73.494068962843755</v>
      </c>
      <c r="O252" s="205">
        <f t="shared" si="132"/>
        <v>75.224393162067273</v>
      </c>
      <c r="P252" s="205">
        <f t="shared" si="132"/>
        <v>77.050746050651227</v>
      </c>
      <c r="Q252" s="205">
        <f t="shared" si="132"/>
        <v>78.207964430244374</v>
      </c>
    </row>
    <row r="253" spans="1:29" ht="3.95" customHeight="1">
      <c r="B253" s="150"/>
      <c r="E253" s="207"/>
      <c r="F253" s="207"/>
      <c r="G253" s="208"/>
      <c r="H253" s="209"/>
      <c r="I253" s="209"/>
      <c r="J253" s="209"/>
      <c r="K253" s="209"/>
      <c r="L253" s="209"/>
      <c r="M253" s="209"/>
      <c r="N253" s="209"/>
      <c r="O253" s="209"/>
      <c r="P253" s="209"/>
      <c r="Q253" s="209"/>
    </row>
    <row r="254" spans="1:29" ht="13.5" customHeight="1">
      <c r="B254" s="125" t="s">
        <v>591</v>
      </c>
      <c r="E254" s="166">
        <f>+E143</f>
        <v>19.600000000000001</v>
      </c>
      <c r="F254" s="166">
        <f t="shared" ref="F254:Q254" si="133">+F143</f>
        <v>29.1</v>
      </c>
      <c r="G254" s="204">
        <f t="shared" si="133"/>
        <v>40.6</v>
      </c>
      <c r="H254" s="166">
        <f t="shared" si="133"/>
        <v>61.018675098724614</v>
      </c>
      <c r="I254" s="166">
        <f t="shared" si="133"/>
        <v>68.298738612345062</v>
      </c>
      <c r="J254" s="166">
        <f t="shared" si="133"/>
        <v>74.022221287011035</v>
      </c>
      <c r="K254" s="166">
        <f t="shared" si="133"/>
        <v>84.813863137315252</v>
      </c>
      <c r="L254" s="166">
        <f t="shared" si="133"/>
        <v>92.322220182314084</v>
      </c>
      <c r="M254" s="166">
        <f t="shared" si="133"/>
        <v>100.15708506177909</v>
      </c>
      <c r="N254" s="166">
        <f t="shared" si="133"/>
        <v>109.21022048071663</v>
      </c>
      <c r="O254" s="166">
        <f t="shared" si="133"/>
        <v>117.538753839846</v>
      </c>
      <c r="P254" s="166">
        <f t="shared" si="133"/>
        <v>126.236053311101</v>
      </c>
      <c r="Q254" s="166">
        <f t="shared" si="133"/>
        <v>140.94677821767442</v>
      </c>
    </row>
    <row r="255" spans="1:29" ht="3.95" customHeight="1">
      <c r="B255" s="150"/>
      <c r="E255" s="207"/>
      <c r="F255" s="207"/>
      <c r="G255" s="208"/>
      <c r="H255" s="209"/>
      <c r="I255" s="209"/>
      <c r="J255" s="209"/>
      <c r="K255" s="209"/>
      <c r="L255" s="209"/>
      <c r="M255" s="209"/>
      <c r="N255" s="209"/>
      <c r="O255" s="209"/>
      <c r="P255" s="209"/>
      <c r="Q255" s="209"/>
    </row>
    <row r="256" spans="1:29" ht="15" customHeight="1">
      <c r="B256" s="125" t="s">
        <v>615</v>
      </c>
      <c r="E256" s="166">
        <f t="shared" ref="E256:Q256" si="134">E206</f>
        <v>-42.4</v>
      </c>
      <c r="F256" s="166">
        <f t="shared" si="134"/>
        <v>-0.80000000000000071</v>
      </c>
      <c r="G256" s="204">
        <f t="shared" si="134"/>
        <v>-117.5</v>
      </c>
      <c r="H256" s="166">
        <f t="shared" si="134"/>
        <v>-152.66083281617472</v>
      </c>
      <c r="I256" s="166">
        <f t="shared" si="134"/>
        <v>-0.16300549038390955</v>
      </c>
      <c r="J256" s="166">
        <f t="shared" si="134"/>
        <v>-23.275872928681622</v>
      </c>
      <c r="K256" s="166">
        <f t="shared" si="134"/>
        <v>-45.001669198716996</v>
      </c>
      <c r="L256" s="166">
        <f t="shared" si="134"/>
        <v>-26.219076583491699</v>
      </c>
      <c r="M256" s="166">
        <f t="shared" si="134"/>
        <v>-35.147328036519468</v>
      </c>
      <c r="N256" s="166">
        <f t="shared" si="134"/>
        <v>-37.851410621293383</v>
      </c>
      <c r="O256" s="166">
        <f t="shared" si="134"/>
        <v>-35.310012953628757</v>
      </c>
      <c r="P256" s="166">
        <f t="shared" si="134"/>
        <v>-38.486623044970088</v>
      </c>
      <c r="Q256" s="166">
        <f t="shared" si="134"/>
        <v>-60.419695309363419</v>
      </c>
    </row>
    <row r="257" spans="2:17" ht="3.75" customHeight="1">
      <c r="E257" s="166"/>
      <c r="F257" s="166"/>
      <c r="G257" s="204"/>
      <c r="H257" s="166"/>
      <c r="I257" s="166"/>
      <c r="J257" s="166"/>
      <c r="K257" s="166"/>
      <c r="L257" s="166"/>
      <c r="M257" s="166"/>
      <c r="N257" s="166"/>
      <c r="O257" s="166"/>
      <c r="P257" s="166"/>
      <c r="Q257" s="166"/>
    </row>
    <row r="258" spans="2:17" ht="15" customHeight="1">
      <c r="B258" s="125" t="s">
        <v>30</v>
      </c>
      <c r="E258" s="149">
        <f>E152</f>
        <v>-4.8</v>
      </c>
      <c r="F258" s="149">
        <f t="shared" ref="F258:G258" si="135">F152</f>
        <v>-1.7</v>
      </c>
      <c r="G258" s="180">
        <f t="shared" si="135"/>
        <v>-8.6999999999999993</v>
      </c>
      <c r="H258" s="149">
        <f>H208</f>
        <v>-8.6999999999999993</v>
      </c>
      <c r="I258" s="149">
        <f t="shared" ref="I258:Q258" si="136">I208</f>
        <v>-9.36</v>
      </c>
      <c r="J258" s="149">
        <f t="shared" si="136"/>
        <v>-9.8879999999999999</v>
      </c>
      <c r="K258" s="149">
        <f t="shared" si="136"/>
        <v>-10.3104</v>
      </c>
      <c r="L258" s="149">
        <f t="shared" si="136"/>
        <v>-10.64832</v>
      </c>
      <c r="M258" s="149">
        <f t="shared" si="136"/>
        <v>-10.918656</v>
      </c>
      <c r="N258" s="149">
        <f t="shared" si="136"/>
        <v>-11.1349248</v>
      </c>
      <c r="O258" s="149">
        <f t="shared" si="136"/>
        <v>-11.30793984</v>
      </c>
      <c r="P258" s="149">
        <f t="shared" si="136"/>
        <v>-11.446351871999999</v>
      </c>
      <c r="Q258" s="149">
        <f t="shared" si="136"/>
        <v>-12</v>
      </c>
    </row>
    <row r="259" spans="2:17" ht="3.75" customHeight="1">
      <c r="G259" s="145"/>
    </row>
    <row r="260" spans="2:17" ht="15" customHeight="1">
      <c r="B260" s="125" t="s">
        <v>641</v>
      </c>
      <c r="E260" s="205">
        <f>+E174-E176</f>
        <v>80.099999999999994</v>
      </c>
      <c r="F260" s="205">
        <f t="shared" ref="F260:G260" si="137">+F174-F176</f>
        <v>30</v>
      </c>
      <c r="G260" s="206">
        <f t="shared" si="137"/>
        <v>212.4</v>
      </c>
      <c r="H260" s="205">
        <f>IFERROR(H174-H176,"")</f>
        <v>-14.519999999999996</v>
      </c>
      <c r="I260" s="205">
        <f t="shared" ref="I260:Q260" si="138">IFERROR(I174-I176,"")</f>
        <v>15.514242844435355</v>
      </c>
      <c r="J260" s="205">
        <f t="shared" si="138"/>
        <v>-48.818907087462279</v>
      </c>
      <c r="K260" s="205">
        <f t="shared" si="138"/>
        <v>-35.991076098135544</v>
      </c>
      <c r="L260" s="205">
        <f t="shared" si="138"/>
        <v>-42.883301182888125</v>
      </c>
      <c r="M260" s="205">
        <f t="shared" si="138"/>
        <v>-11.808025991665389</v>
      </c>
      <c r="N260" s="205">
        <f t="shared" si="138"/>
        <v>0</v>
      </c>
      <c r="O260" s="205">
        <f t="shared" si="138"/>
        <v>0</v>
      </c>
      <c r="P260" s="205">
        <f t="shared" si="138"/>
        <v>0</v>
      </c>
      <c r="Q260" s="205">
        <f t="shared" si="138"/>
        <v>0</v>
      </c>
    </row>
    <row r="261" spans="2:17" ht="3.95" customHeight="1">
      <c r="G261" s="145"/>
    </row>
    <row r="262" spans="2:17" ht="15" customHeight="1">
      <c r="B262" s="181" t="s">
        <v>518</v>
      </c>
      <c r="C262" s="182"/>
      <c r="D262" s="182"/>
      <c r="E262" s="183">
        <f t="shared" ref="E262:G262" si="139">+E250+E252+E254+E256+E258+E260</f>
        <v>101.49999999999997</v>
      </c>
      <c r="F262" s="183">
        <f t="shared" si="139"/>
        <v>140.29999999999995</v>
      </c>
      <c r="G262" s="184">
        <f t="shared" si="139"/>
        <v>290.39999999999992</v>
      </c>
      <c r="H262" s="183">
        <f>IFERROR(+H250+H252+H254+H256+H258+H260,"")</f>
        <v>-15.514242844435355</v>
      </c>
      <c r="I262" s="183">
        <f t="shared" ref="I262:Q262" si="140">IFERROR(+I250+I252+I254+I256+I258+I260,"")</f>
        <v>221.90412312482854</v>
      </c>
      <c r="J262" s="183">
        <f t="shared" si="140"/>
        <v>179.95538049067773</v>
      </c>
      <c r="K262" s="183">
        <f t="shared" si="140"/>
        <v>214.41650591444062</v>
      </c>
      <c r="L262" s="183">
        <f t="shared" si="140"/>
        <v>262.40057759256422</v>
      </c>
      <c r="M262" s="183">
        <f t="shared" si="140"/>
        <v>320.66807200328884</v>
      </c>
      <c r="N262" s="183">
        <f t="shared" si="140"/>
        <v>362.84761661854924</v>
      </c>
      <c r="O262" s="183">
        <f t="shared" si="140"/>
        <v>397.63716307818015</v>
      </c>
      <c r="P262" s="183">
        <f t="shared" si="140"/>
        <v>427.10813845224322</v>
      </c>
      <c r="Q262" s="332">
        <f t="shared" si="140"/>
        <v>455.3467174542111</v>
      </c>
    </row>
    <row r="263" spans="2:17" ht="15" customHeight="1">
      <c r="B263" s="185" t="s">
        <v>642</v>
      </c>
      <c r="C263" s="186"/>
      <c r="D263" s="186"/>
      <c r="E263" s="186"/>
      <c r="F263" s="186"/>
      <c r="G263" s="187"/>
      <c r="H263" s="188">
        <f t="shared" ref="H263:Q263" ca="1" si="141">IFERROR(H262/(1+$C$12)^H$213,"")</f>
        <v>-15.380949004458095</v>
      </c>
      <c r="I263" s="188">
        <f t="shared" ca="1" si="141"/>
        <v>205.00145358833009</v>
      </c>
      <c r="J263" s="188">
        <f t="shared" ca="1" si="141"/>
        <v>154.91569740518756</v>
      </c>
      <c r="K263" s="188">
        <f t="shared" ca="1" si="141"/>
        <v>171.99975428900424</v>
      </c>
      <c r="L263" s="188">
        <f t="shared" ca="1" si="141"/>
        <v>196.1432739989279</v>
      </c>
      <c r="M263" s="188">
        <f t="shared" ca="1" si="141"/>
        <v>223.35895845549629</v>
      </c>
      <c r="N263" s="188">
        <f t="shared" ca="1" si="141"/>
        <v>235.5108671461723</v>
      </c>
      <c r="O263" s="188">
        <f t="shared" ca="1" si="141"/>
        <v>240.49866229365489</v>
      </c>
      <c r="P263" s="188">
        <f t="shared" ca="1" si="141"/>
        <v>240.71467464483177</v>
      </c>
      <c r="Q263" s="189">
        <f t="shared" ca="1" si="141"/>
        <v>239.13654577767844</v>
      </c>
    </row>
    <row r="264" spans="2:17" ht="3.75" customHeight="1">
      <c r="G264" s="145"/>
    </row>
    <row r="265" spans="2:17" ht="15" customHeight="1">
      <c r="B265" s="125" t="s">
        <v>621</v>
      </c>
      <c r="G265" s="145"/>
      <c r="Q265" s="166">
        <f ca="1">IFERROR((Q262*(1+$C$13))/(WACC!$G$11-$C$13),"")</f>
        <v>7874.1711014002221</v>
      </c>
    </row>
    <row r="266" spans="2:17" ht="15" customHeight="1">
      <c r="B266" s="125" t="s">
        <v>622</v>
      </c>
      <c r="G266" s="145"/>
      <c r="Q266" s="210">
        <f ca="1">IFERROR(Q265/(1+WACC!$G$11)^$Q$213,"")</f>
        <v>3935.7996776407758</v>
      </c>
    </row>
    <row r="267" spans="2:17" ht="15" customHeight="1">
      <c r="B267" s="125" t="s">
        <v>241</v>
      </c>
      <c r="G267" s="145"/>
      <c r="Q267" s="166">
        <f ca="1">+SUM(Q266,H263:Q263)</f>
        <v>5827.6986162356006</v>
      </c>
    </row>
    <row r="268" spans="2:17" ht="3.75" customHeight="1">
      <c r="G268" s="145"/>
    </row>
    <row r="269" spans="2:17" ht="15" customHeight="1">
      <c r="B269" s="147" t="s">
        <v>629</v>
      </c>
      <c r="G269" s="145"/>
      <c r="N269" s="199"/>
      <c r="Q269" s="200">
        <f ca="1">IFERROR(Q267/Q225,"")</f>
        <v>102.71805566301519</v>
      </c>
    </row>
    <row r="270" spans="2:17" ht="3.75" customHeight="1">
      <c r="G270" s="145"/>
    </row>
    <row r="271" spans="2:17" ht="15" customHeight="1">
      <c r="B271" s="147" t="s">
        <v>631</v>
      </c>
      <c r="C271" s="147"/>
      <c r="D271" s="147"/>
      <c r="E271" s="147"/>
      <c r="F271" s="147"/>
      <c r="G271" s="201"/>
      <c r="H271" s="147"/>
      <c r="I271" s="147"/>
      <c r="J271" s="147"/>
      <c r="K271" s="147"/>
      <c r="L271" s="147"/>
      <c r="M271" s="147"/>
      <c r="N271" s="147"/>
      <c r="O271" s="147"/>
      <c r="P271" s="147"/>
      <c r="Q271" s="202">
        <f ca="1">IFERROR(Q269/Q228-1,"")</f>
        <v>-0.24422003043914953</v>
      </c>
    </row>
    <row r="272" spans="2:17" s="207" customFormat="1" ht="3.75" customHeight="1">
      <c r="G272" s="208"/>
    </row>
    <row r="273" spans="1:17" ht="15" customHeight="1">
      <c r="A273" s="125" t="s">
        <v>472</v>
      </c>
      <c r="B273" s="51" t="s">
        <v>643</v>
      </c>
      <c r="C273" s="51"/>
      <c r="D273" s="51"/>
      <c r="E273" s="136">
        <f>+E246</f>
        <v>2022</v>
      </c>
      <c r="F273" s="136">
        <f>+F246</f>
        <v>2023</v>
      </c>
      <c r="G273" s="137">
        <f>+G246</f>
        <v>2024</v>
      </c>
      <c r="H273" s="99">
        <f t="shared" ref="H273:Q273" si="142">1+G273</f>
        <v>2025</v>
      </c>
      <c r="I273" s="99">
        <f t="shared" si="142"/>
        <v>2026</v>
      </c>
      <c r="J273" s="99">
        <f t="shared" si="142"/>
        <v>2027</v>
      </c>
      <c r="K273" s="99">
        <f t="shared" si="142"/>
        <v>2028</v>
      </c>
      <c r="L273" s="99">
        <f t="shared" si="142"/>
        <v>2029</v>
      </c>
      <c r="M273" s="99">
        <f t="shared" si="142"/>
        <v>2030</v>
      </c>
      <c r="N273" s="99">
        <f t="shared" si="142"/>
        <v>2031</v>
      </c>
      <c r="O273" s="99">
        <f t="shared" si="142"/>
        <v>2032</v>
      </c>
      <c r="P273" s="99">
        <f t="shared" si="142"/>
        <v>2033</v>
      </c>
      <c r="Q273" s="99">
        <f t="shared" si="142"/>
        <v>2034</v>
      </c>
    </row>
    <row r="274" spans="1:17" ht="3.75" customHeight="1">
      <c r="B274" s="52"/>
      <c r="C274" s="52"/>
      <c r="D274" s="52"/>
      <c r="E274" s="52"/>
      <c r="F274" s="52"/>
      <c r="G274" s="203"/>
      <c r="H274" s="52"/>
      <c r="I274" s="52"/>
      <c r="J274" s="52"/>
      <c r="K274" s="52"/>
      <c r="L274" s="52"/>
      <c r="M274" s="52"/>
      <c r="N274" s="52"/>
      <c r="O274" s="52"/>
      <c r="P274" s="52"/>
      <c r="Q274" s="52"/>
    </row>
    <row r="275" spans="1:17" ht="15" customHeight="1">
      <c r="B275" s="125" t="s">
        <v>520</v>
      </c>
      <c r="E275" s="166">
        <f t="shared" ref="E275:G275" si="143">+E168+E165</f>
        <v>1.7</v>
      </c>
      <c r="F275" s="166">
        <f t="shared" si="143"/>
        <v>8.1</v>
      </c>
      <c r="G275" s="204">
        <f t="shared" si="143"/>
        <v>5.6</v>
      </c>
      <c r="H275" s="166">
        <f>IFERROR(H168+H165,"")</f>
        <v>-33.514118930638688</v>
      </c>
      <c r="I275" s="166">
        <f t="shared" ref="I275:P275" si="144">IFERROR(I168+I165,"")</f>
        <v>-38.319781883546895</v>
      </c>
      <c r="J275" s="166">
        <f t="shared" si="144"/>
        <v>-74.28950307455851</v>
      </c>
      <c r="K275" s="166">
        <f t="shared" si="144"/>
        <v>-90.078039248305046</v>
      </c>
      <c r="L275" s="166">
        <f t="shared" si="144"/>
        <v>-103.86398753483101</v>
      </c>
      <c r="M275" s="166">
        <f t="shared" si="144"/>
        <v>-103.28352944598961</v>
      </c>
      <c r="N275" s="166">
        <f t="shared" si="144"/>
        <v>-114.56483129814113</v>
      </c>
      <c r="O275" s="166">
        <f t="shared" si="144"/>
        <v>-125.74598443494784</v>
      </c>
      <c r="P275" s="166">
        <f t="shared" si="144"/>
        <v>-136.87715700373053</v>
      </c>
      <c r="Q275" s="166">
        <f>IFERROR(Q168+Q165,"")</f>
        <v>-154.30583505782786</v>
      </c>
    </row>
    <row r="276" spans="1:17" ht="15" customHeight="1">
      <c r="B276" s="150" t="s">
        <v>644</v>
      </c>
      <c r="E276" s="207">
        <f t="shared" ref="E276:Q276" si="145">IFERROR(_xlfn.XLOOKUP("Repurchase payout",$B:$B,E:E)+_xlfn.XLOOKUP("Dividend payout",$B:$B,E:E),"")</f>
        <v>-7.7625570776255787E-2</v>
      </c>
      <c r="F276" s="207">
        <f t="shared" si="145"/>
        <v>-0.13170731707317082</v>
      </c>
      <c r="G276" s="208">
        <f t="shared" si="145"/>
        <v>-4.3852779953014898E-2</v>
      </c>
      <c r="H276" s="207">
        <f t="shared" si="145"/>
        <v>0.54</v>
      </c>
      <c r="I276" s="207">
        <f t="shared" si="145"/>
        <v>0.35</v>
      </c>
      <c r="J276" s="207">
        <f t="shared" si="145"/>
        <v>0.5</v>
      </c>
      <c r="K276" s="207">
        <f t="shared" si="145"/>
        <v>0.5</v>
      </c>
      <c r="L276" s="207">
        <f t="shared" si="145"/>
        <v>0.5</v>
      </c>
      <c r="M276" s="207">
        <f t="shared" si="145"/>
        <v>0.5</v>
      </c>
      <c r="N276" s="207">
        <f t="shared" si="145"/>
        <v>0.5</v>
      </c>
      <c r="O276" s="207">
        <f t="shared" si="145"/>
        <v>0.5</v>
      </c>
      <c r="P276" s="207">
        <f t="shared" si="145"/>
        <v>0.5</v>
      </c>
      <c r="Q276" s="207">
        <f t="shared" si="145"/>
        <v>0.5</v>
      </c>
    </row>
    <row r="277" spans="1:17" ht="15" customHeight="1">
      <c r="B277" s="125" t="s">
        <v>645</v>
      </c>
      <c r="E277" s="207">
        <f>IFERROR(1-E276,"")</f>
        <v>1.0776255707762559</v>
      </c>
      <c r="F277" s="207">
        <f t="shared" ref="F277:Q277" si="146">IFERROR(1-F276,"")</f>
        <v>1.1317073170731708</v>
      </c>
      <c r="G277" s="208">
        <f t="shared" si="146"/>
        <v>1.0438527799530148</v>
      </c>
      <c r="H277" s="207">
        <f t="shared" si="146"/>
        <v>0.45999999999999996</v>
      </c>
      <c r="I277" s="207">
        <f t="shared" si="146"/>
        <v>0.65</v>
      </c>
      <c r="J277" s="207">
        <f t="shared" si="146"/>
        <v>0.5</v>
      </c>
      <c r="K277" s="207">
        <f t="shared" si="146"/>
        <v>0.5</v>
      </c>
      <c r="L277" s="207">
        <f t="shared" si="146"/>
        <v>0.5</v>
      </c>
      <c r="M277" s="207">
        <f t="shared" si="146"/>
        <v>0.5</v>
      </c>
      <c r="N277" s="207">
        <f t="shared" si="146"/>
        <v>0.5</v>
      </c>
      <c r="O277" s="207">
        <f t="shared" si="146"/>
        <v>0.5</v>
      </c>
      <c r="P277" s="207">
        <f t="shared" si="146"/>
        <v>0.5</v>
      </c>
      <c r="Q277" s="207">
        <f t="shared" si="146"/>
        <v>0.5</v>
      </c>
    </row>
    <row r="278" spans="1:17" ht="3.75" customHeight="1">
      <c r="G278" s="145"/>
    </row>
    <row r="279" spans="1:17" ht="15" customHeight="1">
      <c r="B279" s="211" t="s">
        <v>646</v>
      </c>
      <c r="C279" s="212"/>
      <c r="D279" s="212"/>
      <c r="E279" s="212"/>
      <c r="F279" s="212"/>
      <c r="G279" s="213"/>
      <c r="H279" s="214">
        <f ca="1">IFERROR(-H275/(1+WACC!$G$11)^H$213,"")</f>
        <v>33.20416911360865</v>
      </c>
      <c r="I279" s="214">
        <f ca="1">IFERROR(-I275/(1+WACC!$G$11)^I$213,"")</f>
        <v>35.186223195570719</v>
      </c>
      <c r="J279" s="214">
        <f ca="1">IFERROR(-J275/(1+WACC!$G$11)^J$213,"")</f>
        <v>63.221077344243518</v>
      </c>
      <c r="K279" s="214">
        <f ca="1">IFERROR(-K275/(1+WACC!$G$11)^K$213,"")</f>
        <v>71.045762123034379</v>
      </c>
      <c r="L279" s="214">
        <f ca="1">IFERROR(-L275/(1+WACC!$G$11)^L$213,"")</f>
        <v>75.9222481025691</v>
      </c>
      <c r="M279" s="214">
        <f ca="1">IFERROR(-M275/(1+WACC!$G$11)^M$213,"")</f>
        <v>69.971301478508849</v>
      </c>
      <c r="N279" s="214">
        <f ca="1">IFERROR(-N275/(1+WACC!$G$11)^N$213,"")</f>
        <v>71.932477022119357</v>
      </c>
      <c r="O279" s="214">
        <f ca="1">IFERROR(-O275/(1+WACC!$G$11)^O$213,"")</f>
        <v>73.173298931642492</v>
      </c>
      <c r="P279" s="214">
        <f ca="1">IFERROR(-P275/(1+WACC!$G$11)^P$213,"")</f>
        <v>73.82004408954046</v>
      </c>
      <c r="Q279" s="482">
        <f ca="1">IFERROR(-Q275/(1+WACC!$G$11)^Q$213,"")</f>
        <v>77.127718976121017</v>
      </c>
    </row>
    <row r="280" spans="1:17" ht="3.75" customHeight="1">
      <c r="G280" s="145"/>
    </row>
    <row r="281" spans="1:17" ht="13.5" customHeight="1">
      <c r="B281" s="125" t="s">
        <v>621</v>
      </c>
      <c r="G281" s="145"/>
      <c r="Q281" s="166">
        <f ca="1">IFERROR(+(Q279*(1+$C$13))/(WACC!$G$11-$C$13),"")</f>
        <v>1333.7459843218492</v>
      </c>
    </row>
    <row r="282" spans="1:17" ht="15" customHeight="1">
      <c r="B282" s="125" t="s">
        <v>622</v>
      </c>
      <c r="G282" s="145"/>
      <c r="Q282" s="210">
        <f ca="1">IFERROR(Q281/(1+$C$12)^$Q$213,"")</f>
        <v>700.44955944510457</v>
      </c>
    </row>
    <row r="283" spans="1:17" ht="15" customHeight="1">
      <c r="B283" s="125" t="s">
        <v>241</v>
      </c>
      <c r="G283" s="145"/>
      <c r="Q283" s="166">
        <f ca="1">+SUM(Q282,H279:Q279)</f>
        <v>1345.0538798220632</v>
      </c>
    </row>
    <row r="284" spans="1:17" ht="3.75" customHeight="1">
      <c r="G284" s="145"/>
      <c r="N284" s="199"/>
    </row>
    <row r="285" spans="1:17" ht="15" customHeight="1">
      <c r="B285" s="147" t="s">
        <v>629</v>
      </c>
      <c r="G285" s="145"/>
      <c r="Q285" s="200">
        <f ca="1">IFERROR(Q282/Q$225,"")</f>
        <v>12.346008531699264</v>
      </c>
    </row>
    <row r="286" spans="1:17" ht="3.75" customHeight="1">
      <c r="B286" s="147"/>
      <c r="G286" s="145"/>
    </row>
    <row r="287" spans="1:17" ht="15" customHeight="1">
      <c r="B287" s="147" t="s">
        <v>631</v>
      </c>
      <c r="C287" s="147"/>
      <c r="D287" s="147"/>
      <c r="E287" s="147"/>
      <c r="F287" s="147"/>
      <c r="G287" s="201"/>
      <c r="H287" s="147"/>
      <c r="I287" s="147"/>
      <c r="J287" s="147"/>
      <c r="K287" s="147"/>
      <c r="L287" s="147"/>
      <c r="M287" s="147"/>
      <c r="N287" s="147"/>
      <c r="O287" s="147"/>
      <c r="P287" s="147"/>
      <c r="Q287" s="215">
        <f ca="1">IFERROR(Q285/Q228-1,"")</f>
        <v>-0.90916041106835943</v>
      </c>
    </row>
    <row r="289" spans="1:49" ht="15" customHeight="1">
      <c r="A289" s="125" t="s">
        <v>472</v>
      </c>
      <c r="B289" s="67" t="s">
        <v>145</v>
      </c>
      <c r="C289" s="68"/>
      <c r="D289" s="67"/>
      <c r="E289" s="68"/>
      <c r="F289" s="68"/>
      <c r="G289" s="68"/>
      <c r="H289" s="68"/>
      <c r="I289" s="68"/>
      <c r="J289" s="94"/>
      <c r="K289" s="95"/>
      <c r="L289" s="95"/>
      <c r="M289" s="95"/>
      <c r="N289" s="95"/>
      <c r="O289" s="95"/>
    </row>
    <row r="290" spans="1:49" ht="3.75" customHeight="1">
      <c r="B290" s="69"/>
      <c r="C290" s="69"/>
      <c r="D290" s="69"/>
      <c r="E290" s="69"/>
      <c r="F290" s="69"/>
      <c r="G290" s="69"/>
      <c r="H290" s="69"/>
      <c r="I290" s="69"/>
      <c r="J290" s="96"/>
      <c r="K290" s="96"/>
      <c r="L290" s="96"/>
      <c r="M290" s="96"/>
      <c r="N290" s="96"/>
      <c r="O290" s="96"/>
    </row>
    <row r="291" spans="1:49" ht="75.75" customHeight="1">
      <c r="B291" s="1062" t="s">
        <v>647</v>
      </c>
      <c r="C291" s="1062"/>
      <c r="D291" s="1062"/>
      <c r="E291" s="1062"/>
      <c r="F291" s="1062"/>
      <c r="G291" s="1062"/>
      <c r="H291" s="822"/>
      <c r="I291" s="822"/>
      <c r="J291" s="822"/>
      <c r="K291" s="822"/>
      <c r="L291" s="822"/>
      <c r="M291" s="822"/>
      <c r="N291" s="822"/>
      <c r="O291" s="822"/>
      <c r="AO291" s="202">
        <f ca="1">AP291+0.01</f>
        <v>9.770658795312212E-2</v>
      </c>
      <c r="AP291" s="202">
        <f ca="1">AQ291+0.01</f>
        <v>8.7706587953122125E-2</v>
      </c>
      <c r="AQ291" s="202">
        <f ca="1">WACC!G25</f>
        <v>7.770658795312213E-2</v>
      </c>
      <c r="AR291" s="202">
        <f ca="1">AQ291-0.01</f>
        <v>6.7706587953122135E-2</v>
      </c>
      <c r="AS291" s="202">
        <f ca="1">AR291-0.01</f>
        <v>5.7706587953122133E-2</v>
      </c>
    </row>
    <row r="292" spans="1:49" ht="46.5" customHeight="1">
      <c r="B292" s="1062" t="s">
        <v>648</v>
      </c>
      <c r="C292" s="1062"/>
      <c r="D292" s="1062"/>
      <c r="E292" s="1062"/>
      <c r="F292" s="1062"/>
      <c r="G292" s="1062"/>
      <c r="H292" s="821"/>
      <c r="I292" s="821"/>
      <c r="J292" s="821"/>
      <c r="K292" s="821"/>
      <c r="L292" s="821"/>
      <c r="M292" s="821"/>
      <c r="N292" s="821"/>
      <c r="O292"/>
      <c r="AO292" s="602">
        <v>73.64842392314938</v>
      </c>
      <c r="AP292" s="602">
        <v>85.06052646264807</v>
      </c>
      <c r="AQ292" s="602">
        <v>100.09899730223748</v>
      </c>
      <c r="AR292" s="602">
        <v>120.75856991989281</v>
      </c>
      <c r="AS292" s="602">
        <v>150.81606629510202</v>
      </c>
    </row>
    <row r="293" spans="1:49" ht="39.75" customHeight="1">
      <c r="B293" s="1077"/>
      <c r="C293" s="1077"/>
      <c r="D293" s="1013"/>
      <c r="E293" s="1013"/>
      <c r="F293" s="1013"/>
      <c r="G293" s="1013"/>
      <c r="H293" s="1013"/>
      <c r="I293" s="1013"/>
      <c r="J293" s="1013"/>
      <c r="K293" s="1013"/>
      <c r="L293" s="1013"/>
      <c r="M293" s="1013"/>
      <c r="N293" s="1013"/>
      <c r="O293"/>
      <c r="AO293" s="602">
        <v>79.676273426331136</v>
      </c>
      <c r="AP293" s="602">
        <v>93.576657387108511</v>
      </c>
      <c r="AQ293" s="602">
        <v>112.65728612990976</v>
      </c>
      <c r="AR293" s="602">
        <v>140.39707076214253</v>
      </c>
      <c r="AS293" s="602">
        <v>184.2748550351028</v>
      </c>
    </row>
    <row r="294" spans="1:49" ht="39.75" customHeight="1">
      <c r="B294" s="1077"/>
      <c r="C294" s="1077"/>
      <c r="D294" s="1013"/>
      <c r="E294" s="1013"/>
      <c r="F294" s="1013"/>
      <c r="G294" s="1013"/>
      <c r="H294" s="1013"/>
      <c r="I294" s="1013"/>
      <c r="J294" s="1013"/>
      <c r="K294" s="1013"/>
      <c r="L294" s="1013"/>
      <c r="M294" s="1013"/>
      <c r="N294" s="1013"/>
      <c r="O294"/>
      <c r="AO294" s="602">
        <v>87.56457030703811</v>
      </c>
      <c r="AP294" s="602">
        <v>105.200865291299</v>
      </c>
      <c r="AQ294" s="602">
        <v>130.8219538985071</v>
      </c>
      <c r="AR294" s="602">
        <v>171.32206634131742</v>
      </c>
      <c r="AS294" s="602">
        <v>244.71653792026549</v>
      </c>
    </row>
    <row r="295" spans="1:49" ht="39.75" customHeight="1">
      <c r="B295" s="1077"/>
      <c r="C295" s="1077"/>
      <c r="D295" s="1078"/>
      <c r="E295" s="1078"/>
      <c r="F295" s="1078"/>
      <c r="G295" s="1078"/>
      <c r="H295" s="1078"/>
      <c r="I295" s="1078"/>
      <c r="J295" s="1078"/>
      <c r="K295" s="1078"/>
      <c r="L295" s="1078"/>
      <c r="M295" s="1078"/>
      <c r="N295" s="1078"/>
      <c r="O295" s="1078"/>
      <c r="AO295" s="602">
        <v>98.331807655156425</v>
      </c>
      <c r="AP295" s="602">
        <v>122.01445172414599</v>
      </c>
      <c r="AQ295" s="602">
        <v>159.42608590193061</v>
      </c>
      <c r="AR295" s="602">
        <v>227.186574484343</v>
      </c>
      <c r="AS295" s="602">
        <v>386.83617065024276</v>
      </c>
    </row>
    <row r="296" spans="1:49" ht="39.75" customHeight="1" thickBot="1">
      <c r="B296" s="1077"/>
      <c r="C296" s="1077"/>
      <c r="D296" s="1078"/>
      <c r="E296" s="1078"/>
      <c r="F296" s="1078"/>
      <c r="G296" s="1078"/>
      <c r="H296" s="1078"/>
      <c r="I296" s="1078"/>
      <c r="J296" s="1078"/>
      <c r="K296" s="1078"/>
      <c r="L296" s="1078"/>
      <c r="M296" s="1078"/>
      <c r="N296" s="1078"/>
      <c r="O296" s="1078"/>
      <c r="AO296" s="603">
        <v>113.90584739082752</v>
      </c>
      <c r="AP296" s="603">
        <v>148.49101886552566</v>
      </c>
      <c r="AQ296" s="603">
        <v>211.09806629521165</v>
      </c>
      <c r="AR296" s="603">
        <v>358.54366119902483</v>
      </c>
      <c r="AS296" s="603">
        <v>1121.1209397551254</v>
      </c>
    </row>
    <row r="297" spans="1:49" ht="15" customHeight="1">
      <c r="D297" s="1013"/>
      <c r="E297" s="1013"/>
      <c r="F297" s="1013"/>
      <c r="G297" s="1013"/>
      <c r="H297" s="1013"/>
      <c r="I297" s="1013"/>
      <c r="J297" s="1013"/>
      <c r="K297" s="1013"/>
      <c r="L297" s="1013"/>
      <c r="M297" s="1013"/>
      <c r="N297" s="1013"/>
      <c r="O297"/>
    </row>
    <row r="298" spans="1:49" s="41" customFormat="1" ht="20.100000000000001" customHeight="1">
      <c r="A298" s="125"/>
      <c r="B298" s="1029"/>
      <c r="C298" s="1029"/>
      <c r="D298" s="1013"/>
      <c r="E298" s="1013"/>
      <c r="F298" s="1013"/>
      <c r="G298" s="1013"/>
      <c r="H298" s="1013"/>
      <c r="I298" s="1013"/>
      <c r="J298" s="1013"/>
      <c r="K298" s="1013"/>
      <c r="L298" s="1013"/>
      <c r="M298" s="1013"/>
      <c r="N298" s="1013"/>
      <c r="O298"/>
      <c r="P298" s="125"/>
      <c r="Q298" s="125"/>
      <c r="R298" s="125"/>
      <c r="S298" s="125"/>
      <c r="T298" s="125"/>
      <c r="U298" s="125"/>
      <c r="V298" s="125"/>
      <c r="W298" s="125"/>
      <c r="X298" s="125"/>
      <c r="Y298" s="125"/>
      <c r="Z298" s="125"/>
      <c r="AA298" s="125"/>
      <c r="AB298" s="125"/>
      <c r="AC298" s="125"/>
      <c r="AD298" s="125"/>
      <c r="AE298" s="125"/>
      <c r="AF298" s="125"/>
      <c r="AG298" s="125"/>
      <c r="AH298" s="125"/>
      <c r="AI298" s="125"/>
      <c r="AJ298" s="125"/>
      <c r="AK298" s="125"/>
      <c r="AN298" s="680" t="s">
        <v>649</v>
      </c>
    </row>
    <row r="300" spans="1:49" ht="15" customHeight="1">
      <c r="T300" s="828"/>
      <c r="AN300" s="601" t="str">
        <f>Peers!AM280&amp;" Stock Price - Blended Discount Rate and Terminal Growth Rate"</f>
        <v xml:space="preserve"> Stock Price - Blended Discount Rate and Terminal Growth Rate</v>
      </c>
      <c r="AO300"/>
      <c r="AP300"/>
      <c r="AQ300"/>
      <c r="AR300"/>
      <c r="AS300"/>
      <c r="AT300"/>
      <c r="AW300" s="125">
        <v>1</v>
      </c>
    </row>
    <row r="301" spans="1:49" ht="15" customHeight="1" thickBot="1">
      <c r="AN301" t="s">
        <v>650</v>
      </c>
      <c r="AO301"/>
      <c r="AP301"/>
      <c r="AQ301"/>
      <c r="AR301"/>
      <c r="AS301"/>
      <c r="AT301"/>
      <c r="AW301" s="125">
        <v>2</v>
      </c>
    </row>
    <row r="302" spans="1:49" ht="15" customHeight="1">
      <c r="AN302" s="599"/>
      <c r="AO302" s="600"/>
      <c r="AP302" s="681"/>
      <c r="AQ302" s="599"/>
      <c r="AR302" s="682" t="s">
        <v>527</v>
      </c>
      <c r="AS302" s="599"/>
      <c r="AT302" s="599"/>
      <c r="AW302" s="125">
        <v>3</v>
      </c>
    </row>
    <row r="303" spans="1:49" ht="15" customHeight="1" thickBot="1">
      <c r="AN303" s="591"/>
      <c r="AO303" s="686">
        <f ca="1">Q226</f>
        <v>107.52029155003655</v>
      </c>
      <c r="AP303" s="604">
        <v>0.11</v>
      </c>
      <c r="AQ303" s="604">
        <v>0.1</v>
      </c>
      <c r="AR303" s="604">
        <v>0.09</v>
      </c>
      <c r="AS303" s="604">
        <v>0.08</v>
      </c>
      <c r="AT303" s="604">
        <v>7.0000000000000007E-2</v>
      </c>
      <c r="AW303" s="125">
        <v>4</v>
      </c>
    </row>
    <row r="304" spans="1:49" ht="15" customHeight="1">
      <c r="T304" s="826"/>
      <c r="AN304"/>
      <c r="AO304" s="596">
        <v>0.01</v>
      </c>
      <c r="AP304" s="602">
        <f t="dataTable" ref="AP304:AT308" dt2D="1" dtr="1" r1="I9" r2="I10" ca="1"/>
        <v>36.902865897111248</v>
      </c>
      <c r="AQ304" s="602">
        <v>82.98122360273122</v>
      </c>
      <c r="AR304" s="602">
        <v>59.863744839014316</v>
      </c>
      <c r="AS304" s="602">
        <v>69.72945210597247</v>
      </c>
      <c r="AT304" s="602">
        <v>100.37217904338198</v>
      </c>
      <c r="AW304" s="125">
        <v>5</v>
      </c>
    </row>
    <row r="305" spans="20:49" ht="15" customHeight="1">
      <c r="T305" s="825"/>
      <c r="AN305" s="679"/>
      <c r="AO305" s="596">
        <v>0.02</v>
      </c>
      <c r="AP305" s="602">
        <v>58.396817638050535</v>
      </c>
      <c r="AQ305" s="602">
        <v>89.093056687517716</v>
      </c>
      <c r="AR305" s="602">
        <v>65.498557283670721</v>
      </c>
      <c r="AS305" s="602">
        <v>103.08360245883763</v>
      </c>
      <c r="AT305" s="602">
        <v>188.69071524527644</v>
      </c>
      <c r="AW305" s="125">
        <v>6</v>
      </c>
    </row>
    <row r="306" spans="20:49" ht="15" customHeight="1">
      <c r="AN306" s="24" t="s">
        <v>529</v>
      </c>
      <c r="AO306" s="596">
        <v>0.03</v>
      </c>
      <c r="AP306" s="602">
        <v>63.230121886749387</v>
      </c>
      <c r="AQ306" s="602">
        <v>61.585419830506908</v>
      </c>
      <c r="AR306" s="602">
        <v>83.805893848039972</v>
      </c>
      <c r="AS306" s="602">
        <v>101.02730156699081</v>
      </c>
      <c r="AT306" s="602">
        <v>149.08035754248129</v>
      </c>
      <c r="AW306" s="125">
        <v>7</v>
      </c>
    </row>
    <row r="307" spans="20:49" ht="15" customHeight="1">
      <c r="T307" s="827"/>
      <c r="AN307"/>
      <c r="AO307" s="596">
        <v>0.04</v>
      </c>
      <c r="AP307" s="602">
        <v>57.962957558154002</v>
      </c>
      <c r="AQ307" s="602">
        <v>135.03326295445066</v>
      </c>
      <c r="AR307" s="602">
        <v>82.811746042245488</v>
      </c>
      <c r="AS307" s="602">
        <v>118.66710897159913</v>
      </c>
      <c r="AT307" s="602">
        <v>188.01325541626233</v>
      </c>
      <c r="AW307" s="125">
        <v>8</v>
      </c>
    </row>
    <row r="308" spans="20:49" ht="15" customHeight="1" thickBot="1">
      <c r="T308" s="824"/>
      <c r="AN308" s="591"/>
      <c r="AO308" s="597">
        <v>0.05</v>
      </c>
      <c r="AP308" s="603">
        <v>84.976135026737737</v>
      </c>
      <c r="AQ308" s="603">
        <v>77.498776755917007</v>
      </c>
      <c r="AR308" s="603">
        <v>195.77016649500925</v>
      </c>
      <c r="AS308" s="603">
        <v>207.34387564894112</v>
      </c>
      <c r="AT308" s="603">
        <v>192.99204604776665</v>
      </c>
      <c r="AW308" s="125">
        <v>9</v>
      </c>
    </row>
    <row r="309" spans="20:49" ht="15" customHeight="1">
      <c r="AN309"/>
      <c r="AO309" s="688"/>
      <c r="AP309"/>
      <c r="AQ309"/>
      <c r="AR309"/>
      <c r="AS309"/>
      <c r="AT309"/>
      <c r="AW309" s="125">
        <v>10</v>
      </c>
    </row>
    <row r="310" spans="20:49" ht="15" customHeight="1">
      <c r="AN310" s="601" t="str">
        <f>Peers!AM280&amp;" Stock Price - Blended Revenue Growth and Operating Margin"</f>
        <v xml:space="preserve"> Stock Price - Blended Revenue Growth and Operating Margin</v>
      </c>
      <c r="AO310"/>
      <c r="AP310"/>
      <c r="AQ310"/>
      <c r="AR310"/>
      <c r="AS310"/>
      <c r="AT310"/>
      <c r="AW310" s="125">
        <v>11</v>
      </c>
    </row>
    <row r="311" spans="20:49" ht="15" customHeight="1" thickBot="1">
      <c r="AN311" t="s">
        <v>650</v>
      </c>
      <c r="AO311"/>
      <c r="AP311"/>
      <c r="AQ311"/>
      <c r="AR311"/>
      <c r="AS311"/>
      <c r="AT311"/>
      <c r="AW311" s="125">
        <v>12</v>
      </c>
    </row>
    <row r="312" spans="20:49" ht="15" customHeight="1">
      <c r="AN312" s="599"/>
      <c r="AO312" s="600"/>
      <c r="AP312" s="599"/>
      <c r="AQ312" s="605" t="s">
        <v>244</v>
      </c>
      <c r="AR312" s="599"/>
      <c r="AS312"/>
      <c r="AT312"/>
      <c r="AW312" s="125">
        <v>13</v>
      </c>
    </row>
    <row r="313" spans="20:49" ht="15" customHeight="1" thickBot="1">
      <c r="AN313" s="591"/>
      <c r="AO313" s="686">
        <f ca="1">Q226</f>
        <v>107.52029155003655</v>
      </c>
      <c r="AP313" s="829">
        <v>1</v>
      </c>
      <c r="AQ313" s="829">
        <v>2</v>
      </c>
      <c r="AR313" s="829">
        <v>3</v>
      </c>
      <c r="AS313"/>
      <c r="AT313"/>
      <c r="AW313" s="125">
        <v>14</v>
      </c>
    </row>
    <row r="314" spans="20:49" ht="15" customHeight="1">
      <c r="AN314"/>
      <c r="AO314" s="830">
        <v>1</v>
      </c>
      <c r="AP314">
        <f t="dataTable" ref="AP314:AR316" dt2D="1" dtr="1" r1="C7" r2="C8" ca="1"/>
        <v>47.396287228950804</v>
      </c>
      <c r="AQ314">
        <v>83.254589445109801</v>
      </c>
      <c r="AR314">
        <v>149.8954026995045</v>
      </c>
      <c r="AS314"/>
      <c r="AT314"/>
      <c r="AW314" s="125">
        <v>15</v>
      </c>
    </row>
    <row r="315" spans="20:49" ht="15" customHeight="1">
      <c r="AN315" s="24" t="s">
        <v>525</v>
      </c>
      <c r="AO315" s="831">
        <v>2</v>
      </c>
      <c r="AP315">
        <v>99.900319521505793</v>
      </c>
      <c r="AQ315">
        <v>92.070818177659675</v>
      </c>
      <c r="AR315">
        <v>149.27435701908465</v>
      </c>
      <c r="AS315"/>
      <c r="AT315"/>
      <c r="AW315" s="125">
        <v>16</v>
      </c>
    </row>
    <row r="316" spans="20:49" ht="15" customHeight="1" thickBot="1">
      <c r="AN316" s="591"/>
      <c r="AO316" s="832">
        <v>3</v>
      </c>
      <c r="AP316" s="591">
        <v>94.273540103480428</v>
      </c>
      <c r="AQ316" s="591">
        <v>125.37143416601035</v>
      </c>
      <c r="AR316" s="591">
        <v>182.24836479917715</v>
      </c>
      <c r="AS316"/>
      <c r="AT316"/>
      <c r="AW316" s="125">
        <v>17</v>
      </c>
    </row>
    <row r="317" spans="20:49" ht="15" customHeight="1">
      <c r="AN317"/>
      <c r="AO317" s="683"/>
      <c r="AP317"/>
      <c r="AQ317"/>
      <c r="AR317"/>
      <c r="AS317"/>
      <c r="AT317"/>
      <c r="AW317" s="125">
        <v>18</v>
      </c>
    </row>
    <row r="318" spans="20:49" ht="15" customHeight="1">
      <c r="AN318" s="609" t="s">
        <v>651</v>
      </c>
      <c r="AO318" s="37"/>
      <c r="AP318" s="37"/>
      <c r="AQ318" s="37"/>
      <c r="AR318" s="37"/>
      <c r="AS318" s="37"/>
      <c r="AT318" s="37"/>
      <c r="AW318" s="125">
        <v>19</v>
      </c>
    </row>
    <row r="319" spans="20:49" ht="15" customHeight="1">
      <c r="AW319" s="125">
        <v>20</v>
      </c>
    </row>
    <row r="320" spans="20:49" ht="15" customHeight="1" thickBot="1">
      <c r="AM320" s="874"/>
      <c r="AW320" s="125">
        <v>21</v>
      </c>
    </row>
    <row r="321" spans="36:49" ht="15" customHeight="1" thickBot="1">
      <c r="AJ321" s="700" t="s">
        <v>652</v>
      </c>
      <c r="AK321" s="700" t="s">
        <v>235</v>
      </c>
      <c r="AL321" s="700" t="s">
        <v>653</v>
      </c>
      <c r="AM321" s="875" t="s">
        <v>654</v>
      </c>
      <c r="AR321" s="132"/>
      <c r="AS321" s="132"/>
      <c r="AW321" s="125">
        <v>22</v>
      </c>
    </row>
    <row r="322" spans="36:49" ht="15" customHeight="1">
      <c r="AJ322" t="s">
        <v>527</v>
      </c>
      <c r="AK322" s="17">
        <f ca="1">DCF!I9</f>
        <v>7.770658795312213E-2</v>
      </c>
      <c r="AL322" s="17">
        <v>0.01</v>
      </c>
      <c r="AM322" s="826">
        <f ca="1">_xlfn.NORM.INV(RAND(),AK322,AL322)</f>
        <v>7.3151355304155008E-2</v>
      </c>
      <c r="AR322" s="132"/>
      <c r="AS322" s="132"/>
      <c r="AW322" s="125">
        <v>23</v>
      </c>
    </row>
    <row r="323" spans="36:49" ht="15" customHeight="1">
      <c r="AJ323" t="s">
        <v>529</v>
      </c>
      <c r="AK323" s="17">
        <f>DCF!I10</f>
        <v>0.02</v>
      </c>
      <c r="AL323" s="17">
        <v>5.0000000000000001E-3</v>
      </c>
      <c r="AM323" s="826">
        <f ca="1">_xlfn.NORM.INV(RAND(),AK323,AL323)</f>
        <v>1.9395292027118319E-2</v>
      </c>
      <c r="AR323" s="132"/>
      <c r="AS323" s="132"/>
    </row>
    <row r="324" spans="36:49" ht="15" customHeight="1">
      <c r="AJ324" t="s">
        <v>227</v>
      </c>
      <c r="AK324" s="872">
        <f>DCF!C7</f>
        <v>2</v>
      </c>
      <c r="AL324" s="122">
        <v>1</v>
      </c>
      <c r="AM324" s="125">
        <f ca="1">RANDBETWEEN(1,3)</f>
        <v>3</v>
      </c>
      <c r="AR324" s="175"/>
      <c r="AS324" s="175"/>
      <c r="AW324" s="125">
        <v>24</v>
      </c>
    </row>
    <row r="325" spans="36:49" ht="15" customHeight="1" thickBot="1">
      <c r="AJ325" s="591" t="s">
        <v>28</v>
      </c>
      <c r="AK325" s="873">
        <f>DCF!C8</f>
        <v>2</v>
      </c>
      <c r="AL325" s="873">
        <v>1</v>
      </c>
      <c r="AM325" s="874">
        <f ca="1">RANDBETWEEN(1,3)</f>
        <v>1</v>
      </c>
      <c r="AW325" s="125">
        <v>25</v>
      </c>
    </row>
    <row r="326" spans="36:49" ht="15" customHeight="1">
      <c r="AN326" s="147"/>
      <c r="AW326" s="125">
        <v>26</v>
      </c>
    </row>
    <row r="327" spans="36:49" ht="15" customHeight="1">
      <c r="AW327" s="125">
        <v>27</v>
      </c>
    </row>
    <row r="328" spans="36:49" ht="15" customHeight="1">
      <c r="AW328" s="125">
        <v>28</v>
      </c>
    </row>
    <row r="329" spans="36:49" ht="15" customHeight="1">
      <c r="AW329" s="125">
        <v>29</v>
      </c>
    </row>
    <row r="330" spans="36:49" ht="15" customHeight="1">
      <c r="AW330" s="125">
        <v>30</v>
      </c>
    </row>
    <row r="331" spans="36:49" ht="15" customHeight="1">
      <c r="AW331" s="125">
        <v>31</v>
      </c>
    </row>
    <row r="332" spans="36:49" ht="15" customHeight="1">
      <c r="AW332" s="125">
        <v>32</v>
      </c>
    </row>
    <row r="333" spans="36:49" ht="15" customHeight="1">
      <c r="AW333" s="125">
        <v>33</v>
      </c>
    </row>
    <row r="334" spans="36:49" ht="15" customHeight="1">
      <c r="AW334" s="125">
        <v>34</v>
      </c>
    </row>
    <row r="335" spans="36:49" ht="15" customHeight="1">
      <c r="AW335" s="125">
        <v>35</v>
      </c>
    </row>
    <row r="336" spans="36:49" ht="15" customHeight="1">
      <c r="AW336" s="125">
        <v>36</v>
      </c>
    </row>
    <row r="337" spans="49:49" ht="15" customHeight="1">
      <c r="AW337" s="125">
        <v>37</v>
      </c>
    </row>
    <row r="338" spans="49:49" ht="15" customHeight="1">
      <c r="AW338" s="125">
        <v>38</v>
      </c>
    </row>
    <row r="339" spans="49:49" ht="15" customHeight="1">
      <c r="AW339" s="125">
        <v>39</v>
      </c>
    </row>
    <row r="340" spans="49:49" ht="15" customHeight="1">
      <c r="AW340" s="125">
        <v>40</v>
      </c>
    </row>
    <row r="341" spans="49:49" ht="15" customHeight="1">
      <c r="AW341" s="125">
        <v>41</v>
      </c>
    </row>
    <row r="342" spans="49:49" ht="15" customHeight="1">
      <c r="AW342" s="125">
        <v>42</v>
      </c>
    </row>
    <row r="343" spans="49:49" ht="15" customHeight="1">
      <c r="AW343" s="125">
        <v>43</v>
      </c>
    </row>
    <row r="344" spans="49:49" ht="15" customHeight="1">
      <c r="AW344" s="125">
        <v>44</v>
      </c>
    </row>
    <row r="345" spans="49:49" ht="15" customHeight="1">
      <c r="AW345" s="125">
        <v>45</v>
      </c>
    </row>
    <row r="346" spans="49:49" ht="15" customHeight="1">
      <c r="AW346" s="125">
        <v>46</v>
      </c>
    </row>
    <row r="347" spans="49:49" ht="15" customHeight="1">
      <c r="AW347" s="125">
        <v>47</v>
      </c>
    </row>
    <row r="348" spans="49:49" ht="15" customHeight="1">
      <c r="AW348" s="125">
        <v>48</v>
      </c>
    </row>
    <row r="349" spans="49:49" ht="15" customHeight="1">
      <c r="AW349" s="125">
        <v>49</v>
      </c>
    </row>
    <row r="350" spans="49:49" ht="15" customHeight="1">
      <c r="AW350" s="125">
        <v>50</v>
      </c>
    </row>
    <row r="351" spans="49:49" ht="15" customHeight="1">
      <c r="AW351" s="125">
        <v>51</v>
      </c>
    </row>
    <row r="352" spans="49:49" ht="15" customHeight="1">
      <c r="AW352" s="125">
        <v>52</v>
      </c>
    </row>
    <row r="353" spans="49:49" ht="15" customHeight="1">
      <c r="AW353" s="125">
        <v>53</v>
      </c>
    </row>
    <row r="354" spans="49:49" ht="15" customHeight="1">
      <c r="AW354" s="125">
        <v>54</v>
      </c>
    </row>
    <row r="355" spans="49:49" ht="15" customHeight="1">
      <c r="AW355" s="125">
        <v>55</v>
      </c>
    </row>
    <row r="356" spans="49:49" ht="15" customHeight="1">
      <c r="AW356" s="125">
        <v>56</v>
      </c>
    </row>
    <row r="357" spans="49:49" ht="15" customHeight="1">
      <c r="AW357" s="125">
        <v>57</v>
      </c>
    </row>
    <row r="358" spans="49:49" ht="15" customHeight="1">
      <c r="AW358" s="125">
        <v>58</v>
      </c>
    </row>
    <row r="359" spans="49:49" ht="15" customHeight="1">
      <c r="AW359" s="125">
        <v>59</v>
      </c>
    </row>
    <row r="360" spans="49:49" ht="15" customHeight="1">
      <c r="AW360" s="125">
        <v>60</v>
      </c>
    </row>
    <row r="361" spans="49:49" ht="15" customHeight="1">
      <c r="AW361" s="125">
        <v>61</v>
      </c>
    </row>
    <row r="362" spans="49:49" ht="15" customHeight="1">
      <c r="AW362" s="125">
        <v>62</v>
      </c>
    </row>
    <row r="363" spans="49:49" ht="15" customHeight="1">
      <c r="AW363" s="125">
        <v>63</v>
      </c>
    </row>
    <row r="364" spans="49:49" ht="15" customHeight="1">
      <c r="AW364" s="125">
        <v>64</v>
      </c>
    </row>
    <row r="365" spans="49:49" ht="15" customHeight="1">
      <c r="AW365" s="125">
        <v>65</v>
      </c>
    </row>
    <row r="366" spans="49:49" ht="15" customHeight="1">
      <c r="AW366" s="125">
        <v>66</v>
      </c>
    </row>
    <row r="367" spans="49:49" ht="15" customHeight="1">
      <c r="AW367" s="125">
        <v>67</v>
      </c>
    </row>
    <row r="368" spans="49:49" ht="15" customHeight="1">
      <c r="AW368" s="125">
        <v>68</v>
      </c>
    </row>
    <row r="369" spans="49:49" ht="15" customHeight="1">
      <c r="AW369" s="125">
        <v>69</v>
      </c>
    </row>
    <row r="370" spans="49:49" ht="15" customHeight="1">
      <c r="AW370" s="125">
        <v>70</v>
      </c>
    </row>
    <row r="371" spans="49:49" ht="15" customHeight="1">
      <c r="AW371" s="125">
        <v>71</v>
      </c>
    </row>
    <row r="372" spans="49:49" ht="15" customHeight="1">
      <c r="AW372" s="125">
        <v>72</v>
      </c>
    </row>
    <row r="373" spans="49:49" ht="15" customHeight="1">
      <c r="AW373" s="125">
        <v>73</v>
      </c>
    </row>
    <row r="374" spans="49:49" ht="15" customHeight="1">
      <c r="AW374" s="125">
        <v>74</v>
      </c>
    </row>
    <row r="375" spans="49:49" ht="15" customHeight="1">
      <c r="AW375" s="125">
        <v>75</v>
      </c>
    </row>
    <row r="376" spans="49:49" ht="15" customHeight="1">
      <c r="AW376" s="125">
        <v>76</v>
      </c>
    </row>
    <row r="377" spans="49:49" ht="15" customHeight="1">
      <c r="AW377" s="125">
        <v>77</v>
      </c>
    </row>
    <row r="378" spans="49:49" ht="15" customHeight="1">
      <c r="AW378" s="125">
        <v>78</v>
      </c>
    </row>
    <row r="379" spans="49:49" ht="15" customHeight="1">
      <c r="AW379" s="125">
        <v>79</v>
      </c>
    </row>
    <row r="380" spans="49:49" ht="15" customHeight="1">
      <c r="AW380" s="125">
        <v>80</v>
      </c>
    </row>
    <row r="381" spans="49:49" ht="15" customHeight="1">
      <c r="AW381" s="125">
        <v>81</v>
      </c>
    </row>
    <row r="382" spans="49:49" ht="15" customHeight="1">
      <c r="AW382" s="125">
        <v>82</v>
      </c>
    </row>
    <row r="383" spans="49:49" ht="15" customHeight="1">
      <c r="AW383" s="125">
        <v>83</v>
      </c>
    </row>
    <row r="384" spans="49:49" ht="15" customHeight="1">
      <c r="AW384" s="125">
        <v>84</v>
      </c>
    </row>
    <row r="385" spans="49:49" ht="15" customHeight="1">
      <c r="AW385" s="125">
        <v>85</v>
      </c>
    </row>
    <row r="386" spans="49:49" ht="15" customHeight="1">
      <c r="AW386" s="125">
        <v>86</v>
      </c>
    </row>
    <row r="387" spans="49:49" ht="15" customHeight="1">
      <c r="AW387" s="125">
        <v>87</v>
      </c>
    </row>
    <row r="388" spans="49:49" ht="15" customHeight="1">
      <c r="AW388" s="125">
        <v>88</v>
      </c>
    </row>
    <row r="389" spans="49:49" ht="15" customHeight="1">
      <c r="AW389" s="125">
        <v>89</v>
      </c>
    </row>
    <row r="390" spans="49:49" ht="15" customHeight="1">
      <c r="AW390" s="125">
        <v>90</v>
      </c>
    </row>
    <row r="391" spans="49:49" ht="15" customHeight="1">
      <c r="AW391" s="125">
        <v>91</v>
      </c>
    </row>
    <row r="392" spans="49:49" ht="15" customHeight="1">
      <c r="AW392" s="125">
        <v>92</v>
      </c>
    </row>
    <row r="393" spans="49:49" ht="15" customHeight="1">
      <c r="AW393" s="125">
        <v>93</v>
      </c>
    </row>
    <row r="394" spans="49:49" ht="15" customHeight="1">
      <c r="AW394" s="125">
        <v>94</v>
      </c>
    </row>
    <row r="395" spans="49:49" ht="15" customHeight="1">
      <c r="AW395" s="125">
        <v>95</v>
      </c>
    </row>
    <row r="396" spans="49:49" ht="15" customHeight="1">
      <c r="AW396" s="125">
        <v>96</v>
      </c>
    </row>
    <row r="397" spans="49:49" ht="15" customHeight="1">
      <c r="AW397" s="125">
        <v>97</v>
      </c>
    </row>
    <row r="398" spans="49:49" ht="15" customHeight="1">
      <c r="AW398" s="125">
        <v>98</v>
      </c>
    </row>
    <row r="399" spans="49:49" ht="15" customHeight="1">
      <c r="AW399" s="125">
        <v>99</v>
      </c>
    </row>
    <row r="400" spans="49:49" ht="15" customHeight="1">
      <c r="AW400" s="125">
        <v>100</v>
      </c>
    </row>
    <row r="401" spans="49:49" ht="15" customHeight="1">
      <c r="AW401" s="125">
        <v>101</v>
      </c>
    </row>
    <row r="402" spans="49:49" ht="15" customHeight="1">
      <c r="AW402" s="125">
        <v>102</v>
      </c>
    </row>
    <row r="403" spans="49:49" ht="15" customHeight="1">
      <c r="AW403" s="125">
        <v>103</v>
      </c>
    </row>
    <row r="404" spans="49:49" ht="15" customHeight="1">
      <c r="AW404" s="125">
        <v>104</v>
      </c>
    </row>
    <row r="405" spans="49:49" ht="15" customHeight="1">
      <c r="AW405" s="125">
        <v>105</v>
      </c>
    </row>
    <row r="406" spans="49:49" ht="15" customHeight="1">
      <c r="AW406" s="125">
        <v>106</v>
      </c>
    </row>
    <row r="407" spans="49:49" ht="15" customHeight="1">
      <c r="AW407" s="125">
        <v>107</v>
      </c>
    </row>
    <row r="408" spans="49:49" ht="15" customHeight="1">
      <c r="AW408" s="125">
        <v>108</v>
      </c>
    </row>
    <row r="409" spans="49:49" ht="15" customHeight="1">
      <c r="AW409" s="125">
        <v>109</v>
      </c>
    </row>
    <row r="410" spans="49:49" ht="15" customHeight="1">
      <c r="AW410" s="125">
        <v>110</v>
      </c>
    </row>
    <row r="411" spans="49:49" ht="15" customHeight="1">
      <c r="AW411" s="125">
        <v>111</v>
      </c>
    </row>
    <row r="412" spans="49:49" ht="15" customHeight="1">
      <c r="AW412" s="125">
        <v>112</v>
      </c>
    </row>
    <row r="413" spans="49:49" ht="15" customHeight="1">
      <c r="AW413" s="125">
        <v>113</v>
      </c>
    </row>
    <row r="414" spans="49:49" ht="15" customHeight="1">
      <c r="AW414" s="125">
        <v>114</v>
      </c>
    </row>
    <row r="415" spans="49:49" ht="15" customHeight="1">
      <c r="AW415" s="125">
        <v>115</v>
      </c>
    </row>
    <row r="416" spans="49:49" ht="15" customHeight="1">
      <c r="AW416" s="125">
        <v>116</v>
      </c>
    </row>
    <row r="417" spans="49:49" ht="15" customHeight="1">
      <c r="AW417" s="125">
        <v>117</v>
      </c>
    </row>
    <row r="418" spans="49:49" ht="15" customHeight="1">
      <c r="AW418" s="125">
        <v>118</v>
      </c>
    </row>
    <row r="419" spans="49:49" ht="15" customHeight="1">
      <c r="AW419" s="125">
        <v>119</v>
      </c>
    </row>
    <row r="420" spans="49:49" ht="15" customHeight="1">
      <c r="AW420" s="125">
        <v>120</v>
      </c>
    </row>
    <row r="421" spans="49:49" ht="15" customHeight="1">
      <c r="AW421" s="125">
        <v>121</v>
      </c>
    </row>
    <row r="422" spans="49:49" ht="15" customHeight="1">
      <c r="AW422" s="125">
        <v>122</v>
      </c>
    </row>
    <row r="423" spans="49:49" ht="15" customHeight="1">
      <c r="AW423" s="125">
        <v>123</v>
      </c>
    </row>
    <row r="424" spans="49:49" ht="15" customHeight="1">
      <c r="AW424" s="125">
        <v>124</v>
      </c>
    </row>
    <row r="425" spans="49:49" ht="15" customHeight="1">
      <c r="AW425" s="125">
        <v>125</v>
      </c>
    </row>
    <row r="426" spans="49:49" ht="15" customHeight="1">
      <c r="AW426" s="125">
        <v>126</v>
      </c>
    </row>
    <row r="427" spans="49:49" ht="15" customHeight="1">
      <c r="AW427" s="125">
        <v>127</v>
      </c>
    </row>
    <row r="428" spans="49:49" ht="15" customHeight="1">
      <c r="AW428" s="125">
        <v>128</v>
      </c>
    </row>
    <row r="429" spans="49:49" ht="15" customHeight="1">
      <c r="AW429" s="125">
        <v>129</v>
      </c>
    </row>
    <row r="430" spans="49:49" ht="15" customHeight="1">
      <c r="AW430" s="125">
        <v>130</v>
      </c>
    </row>
    <row r="431" spans="49:49" ht="15" customHeight="1">
      <c r="AW431" s="125">
        <v>131</v>
      </c>
    </row>
    <row r="432" spans="49:49" ht="15" customHeight="1">
      <c r="AW432" s="125">
        <v>132</v>
      </c>
    </row>
    <row r="433" spans="49:49" ht="15" customHeight="1">
      <c r="AW433" s="125">
        <v>133</v>
      </c>
    </row>
    <row r="434" spans="49:49" ht="15" customHeight="1">
      <c r="AW434" s="125">
        <v>134</v>
      </c>
    </row>
    <row r="435" spans="49:49" ht="15" customHeight="1">
      <c r="AW435" s="125">
        <v>135</v>
      </c>
    </row>
    <row r="436" spans="49:49" ht="15" customHeight="1">
      <c r="AW436" s="125">
        <v>136</v>
      </c>
    </row>
    <row r="437" spans="49:49" ht="15" customHeight="1">
      <c r="AW437" s="125">
        <v>137</v>
      </c>
    </row>
    <row r="438" spans="49:49" ht="15" customHeight="1">
      <c r="AW438" s="125">
        <v>138</v>
      </c>
    </row>
    <row r="439" spans="49:49" ht="15" customHeight="1">
      <c r="AW439" s="125">
        <v>139</v>
      </c>
    </row>
    <row r="440" spans="49:49" ht="15" customHeight="1">
      <c r="AW440" s="125">
        <v>140</v>
      </c>
    </row>
    <row r="441" spans="49:49" ht="15" customHeight="1">
      <c r="AW441" s="125">
        <v>141</v>
      </c>
    </row>
    <row r="442" spans="49:49" ht="15" customHeight="1">
      <c r="AW442" s="125">
        <v>142</v>
      </c>
    </row>
    <row r="443" spans="49:49" ht="15" customHeight="1">
      <c r="AW443" s="125">
        <v>143</v>
      </c>
    </row>
    <row r="444" spans="49:49" ht="15" customHeight="1">
      <c r="AW444" s="125">
        <v>144</v>
      </c>
    </row>
    <row r="445" spans="49:49" ht="15" customHeight="1">
      <c r="AW445" s="125">
        <v>145</v>
      </c>
    </row>
    <row r="446" spans="49:49" ht="15" customHeight="1">
      <c r="AW446" s="125">
        <v>146</v>
      </c>
    </row>
    <row r="447" spans="49:49" ht="15" customHeight="1">
      <c r="AW447" s="125">
        <v>147</v>
      </c>
    </row>
    <row r="448" spans="49:49" ht="15" customHeight="1">
      <c r="AW448" s="125">
        <v>148</v>
      </c>
    </row>
    <row r="449" spans="49:49" ht="15" customHeight="1">
      <c r="AW449" s="125">
        <v>149</v>
      </c>
    </row>
    <row r="450" spans="49:49" ht="15" customHeight="1">
      <c r="AW450" s="125">
        <v>150</v>
      </c>
    </row>
    <row r="451" spans="49:49" ht="15" customHeight="1">
      <c r="AW451" s="125">
        <v>151</v>
      </c>
    </row>
    <row r="452" spans="49:49" ht="15" customHeight="1">
      <c r="AW452" s="125">
        <v>152</v>
      </c>
    </row>
    <row r="453" spans="49:49" ht="15" customHeight="1">
      <c r="AW453" s="125">
        <v>153</v>
      </c>
    </row>
    <row r="454" spans="49:49" ht="15" customHeight="1">
      <c r="AW454" s="125">
        <v>154</v>
      </c>
    </row>
    <row r="455" spans="49:49" ht="15" customHeight="1">
      <c r="AW455" s="125">
        <v>155</v>
      </c>
    </row>
    <row r="456" spans="49:49" ht="15" customHeight="1">
      <c r="AW456" s="125">
        <v>156</v>
      </c>
    </row>
    <row r="457" spans="49:49" ht="15" customHeight="1">
      <c r="AW457" s="125">
        <v>157</v>
      </c>
    </row>
    <row r="458" spans="49:49" ht="15" customHeight="1">
      <c r="AW458" s="125">
        <v>158</v>
      </c>
    </row>
    <row r="459" spans="49:49" ht="15" customHeight="1">
      <c r="AW459" s="125">
        <v>159</v>
      </c>
    </row>
    <row r="460" spans="49:49" ht="15" customHeight="1">
      <c r="AW460" s="125">
        <v>160</v>
      </c>
    </row>
    <row r="461" spans="49:49" ht="15" customHeight="1">
      <c r="AW461" s="125">
        <v>161</v>
      </c>
    </row>
    <row r="462" spans="49:49" ht="15" customHeight="1">
      <c r="AW462" s="125">
        <v>162</v>
      </c>
    </row>
    <row r="463" spans="49:49" ht="15" customHeight="1">
      <c r="AW463" s="125">
        <v>163</v>
      </c>
    </row>
    <row r="464" spans="49:49" ht="15" customHeight="1">
      <c r="AW464" s="125">
        <v>164</v>
      </c>
    </row>
    <row r="465" spans="49:49" ht="15" customHeight="1">
      <c r="AW465" s="125">
        <v>165</v>
      </c>
    </row>
    <row r="466" spans="49:49" ht="15" customHeight="1">
      <c r="AW466" s="125">
        <v>166</v>
      </c>
    </row>
    <row r="467" spans="49:49" ht="15" customHeight="1">
      <c r="AW467" s="125">
        <v>167</v>
      </c>
    </row>
    <row r="468" spans="49:49" ht="15" customHeight="1">
      <c r="AW468" s="125">
        <v>168</v>
      </c>
    </row>
    <row r="469" spans="49:49" ht="15" customHeight="1">
      <c r="AW469" s="125">
        <v>169</v>
      </c>
    </row>
    <row r="470" spans="49:49" ht="15" customHeight="1">
      <c r="AW470" s="125">
        <v>170</v>
      </c>
    </row>
    <row r="471" spans="49:49" ht="15" customHeight="1">
      <c r="AW471" s="125">
        <v>171</v>
      </c>
    </row>
    <row r="472" spans="49:49" ht="15" customHeight="1">
      <c r="AW472" s="125">
        <v>172</v>
      </c>
    </row>
    <row r="473" spans="49:49" ht="15" customHeight="1">
      <c r="AW473" s="125">
        <v>173</v>
      </c>
    </row>
    <row r="474" spans="49:49" ht="15" customHeight="1">
      <c r="AW474" s="125">
        <v>174</v>
      </c>
    </row>
    <row r="475" spans="49:49" ht="15" customHeight="1">
      <c r="AW475" s="125">
        <v>175</v>
      </c>
    </row>
    <row r="476" spans="49:49" ht="15" customHeight="1">
      <c r="AW476" s="125">
        <v>176</v>
      </c>
    </row>
    <row r="477" spans="49:49" ht="15" customHeight="1">
      <c r="AW477" s="125">
        <v>177</v>
      </c>
    </row>
    <row r="478" spans="49:49" ht="15" customHeight="1">
      <c r="AW478" s="125">
        <v>178</v>
      </c>
    </row>
    <row r="479" spans="49:49" ht="15" customHeight="1">
      <c r="AW479" s="125">
        <v>179</v>
      </c>
    </row>
    <row r="480" spans="49:49" ht="15" customHeight="1">
      <c r="AW480" s="125">
        <v>180</v>
      </c>
    </row>
    <row r="481" spans="49:49" ht="15" customHeight="1">
      <c r="AW481" s="125">
        <v>181</v>
      </c>
    </row>
    <row r="482" spans="49:49" ht="15" customHeight="1">
      <c r="AW482" s="125">
        <v>182</v>
      </c>
    </row>
    <row r="483" spans="49:49" ht="15" customHeight="1">
      <c r="AW483" s="125">
        <v>183</v>
      </c>
    </row>
    <row r="484" spans="49:49" ht="15" customHeight="1">
      <c r="AW484" s="125">
        <v>184</v>
      </c>
    </row>
    <row r="485" spans="49:49" ht="15" customHeight="1">
      <c r="AW485" s="125">
        <v>185</v>
      </c>
    </row>
    <row r="486" spans="49:49" ht="15" customHeight="1">
      <c r="AW486" s="125">
        <v>186</v>
      </c>
    </row>
    <row r="487" spans="49:49" ht="15" customHeight="1">
      <c r="AW487" s="125">
        <v>187</v>
      </c>
    </row>
    <row r="488" spans="49:49" ht="15" customHeight="1">
      <c r="AW488" s="125">
        <v>188</v>
      </c>
    </row>
    <row r="489" spans="49:49" ht="15" customHeight="1">
      <c r="AW489" s="125">
        <v>189</v>
      </c>
    </row>
    <row r="490" spans="49:49" ht="15" customHeight="1">
      <c r="AW490" s="125">
        <v>190</v>
      </c>
    </row>
    <row r="491" spans="49:49" ht="15" customHeight="1">
      <c r="AW491" s="125">
        <v>191</v>
      </c>
    </row>
    <row r="492" spans="49:49" ht="15" customHeight="1">
      <c r="AW492" s="125">
        <v>192</v>
      </c>
    </row>
    <row r="493" spans="49:49" ht="15" customHeight="1">
      <c r="AW493" s="125">
        <v>193</v>
      </c>
    </row>
    <row r="494" spans="49:49" ht="15" customHeight="1">
      <c r="AW494" s="125">
        <v>194</v>
      </c>
    </row>
    <row r="495" spans="49:49" ht="15" customHeight="1">
      <c r="AW495" s="125">
        <v>195</v>
      </c>
    </row>
    <row r="496" spans="49:49" ht="15" customHeight="1">
      <c r="AW496" s="125">
        <v>196</v>
      </c>
    </row>
    <row r="497" spans="49:49" ht="15" customHeight="1">
      <c r="AW497" s="125">
        <v>197</v>
      </c>
    </row>
    <row r="498" spans="49:49" ht="15" customHeight="1">
      <c r="AW498" s="125">
        <v>198</v>
      </c>
    </row>
    <row r="499" spans="49:49" ht="15" customHeight="1">
      <c r="AW499" s="125">
        <v>199</v>
      </c>
    </row>
    <row r="500" spans="49:49" ht="15" customHeight="1">
      <c r="AW500" s="125">
        <v>200</v>
      </c>
    </row>
    <row r="501" spans="49:49" ht="15" customHeight="1">
      <c r="AW501" s="125">
        <v>201</v>
      </c>
    </row>
    <row r="502" spans="49:49" ht="15" customHeight="1">
      <c r="AW502" s="125">
        <v>202</v>
      </c>
    </row>
    <row r="503" spans="49:49" ht="15" customHeight="1">
      <c r="AW503" s="125">
        <v>203</v>
      </c>
    </row>
    <row r="504" spans="49:49" ht="15" customHeight="1">
      <c r="AW504" s="125">
        <v>204</v>
      </c>
    </row>
    <row r="505" spans="49:49" ht="15" customHeight="1">
      <c r="AW505" s="125">
        <v>205</v>
      </c>
    </row>
    <row r="506" spans="49:49" ht="15" customHeight="1">
      <c r="AW506" s="125">
        <v>206</v>
      </c>
    </row>
    <row r="507" spans="49:49" ht="15" customHeight="1">
      <c r="AW507" s="125">
        <v>207</v>
      </c>
    </row>
    <row r="508" spans="49:49" ht="15" customHeight="1">
      <c r="AW508" s="125">
        <v>208</v>
      </c>
    </row>
    <row r="509" spans="49:49" ht="15" customHeight="1">
      <c r="AW509" s="125">
        <v>209</v>
      </c>
    </row>
    <row r="510" spans="49:49" ht="15" customHeight="1">
      <c r="AW510" s="125">
        <v>210</v>
      </c>
    </row>
    <row r="511" spans="49:49" ht="15" customHeight="1">
      <c r="AW511" s="125">
        <v>211</v>
      </c>
    </row>
    <row r="512" spans="49:49" ht="15" customHeight="1">
      <c r="AW512" s="125">
        <v>212</v>
      </c>
    </row>
    <row r="513" spans="49:49" ht="15" customHeight="1">
      <c r="AW513" s="125">
        <v>213</v>
      </c>
    </row>
    <row r="514" spans="49:49" ht="15" customHeight="1">
      <c r="AW514" s="125">
        <v>214</v>
      </c>
    </row>
    <row r="515" spans="49:49" ht="15" customHeight="1">
      <c r="AW515" s="125">
        <v>215</v>
      </c>
    </row>
    <row r="516" spans="49:49" ht="15" customHeight="1">
      <c r="AW516" s="125">
        <v>216</v>
      </c>
    </row>
    <row r="517" spans="49:49" ht="15" customHeight="1">
      <c r="AW517" s="125">
        <v>217</v>
      </c>
    </row>
    <row r="518" spans="49:49" ht="15" customHeight="1">
      <c r="AW518" s="125">
        <v>218</v>
      </c>
    </row>
    <row r="519" spans="49:49" ht="15" customHeight="1">
      <c r="AW519" s="125">
        <v>219</v>
      </c>
    </row>
    <row r="520" spans="49:49" ht="15" customHeight="1">
      <c r="AW520" s="125">
        <v>220</v>
      </c>
    </row>
    <row r="521" spans="49:49" ht="15" customHeight="1">
      <c r="AW521" s="125">
        <v>221</v>
      </c>
    </row>
    <row r="522" spans="49:49" ht="15" customHeight="1">
      <c r="AW522" s="125">
        <v>222</v>
      </c>
    </row>
    <row r="523" spans="49:49" ht="15" customHeight="1">
      <c r="AW523" s="125">
        <v>223</v>
      </c>
    </row>
    <row r="524" spans="49:49" ht="15" customHeight="1">
      <c r="AW524" s="125">
        <v>224</v>
      </c>
    </row>
    <row r="525" spans="49:49" ht="15" customHeight="1">
      <c r="AW525" s="125">
        <v>225</v>
      </c>
    </row>
    <row r="526" spans="49:49" ht="15" customHeight="1">
      <c r="AW526" s="125">
        <v>226</v>
      </c>
    </row>
    <row r="527" spans="49:49" ht="15" customHeight="1">
      <c r="AW527" s="125">
        <v>227</v>
      </c>
    </row>
    <row r="528" spans="49:49" ht="15" customHeight="1">
      <c r="AW528" s="125">
        <v>228</v>
      </c>
    </row>
    <row r="529" spans="49:49" ht="15" customHeight="1">
      <c r="AW529" s="125">
        <v>229</v>
      </c>
    </row>
    <row r="530" spans="49:49" ht="15" customHeight="1">
      <c r="AW530" s="125">
        <v>230</v>
      </c>
    </row>
    <row r="531" spans="49:49" ht="15" customHeight="1">
      <c r="AW531" s="125">
        <v>231</v>
      </c>
    </row>
    <row r="532" spans="49:49" ht="15" customHeight="1">
      <c r="AW532" s="125">
        <v>232</v>
      </c>
    </row>
    <row r="533" spans="49:49" ht="15" customHeight="1">
      <c r="AW533" s="125">
        <v>233</v>
      </c>
    </row>
    <row r="534" spans="49:49" ht="15" customHeight="1">
      <c r="AW534" s="125">
        <v>234</v>
      </c>
    </row>
    <row r="535" spans="49:49" ht="15" customHeight="1">
      <c r="AW535" s="125">
        <v>235</v>
      </c>
    </row>
    <row r="536" spans="49:49" ht="15" customHeight="1">
      <c r="AW536" s="125">
        <v>236</v>
      </c>
    </row>
    <row r="537" spans="49:49" ht="15" customHeight="1">
      <c r="AW537" s="125">
        <v>237</v>
      </c>
    </row>
    <row r="538" spans="49:49" ht="15" customHeight="1">
      <c r="AW538" s="125">
        <v>238</v>
      </c>
    </row>
    <row r="539" spans="49:49" ht="15" customHeight="1">
      <c r="AW539" s="125">
        <v>239</v>
      </c>
    </row>
    <row r="540" spans="49:49" ht="15" customHeight="1">
      <c r="AW540" s="125">
        <v>240</v>
      </c>
    </row>
    <row r="541" spans="49:49" ht="15" customHeight="1">
      <c r="AW541" s="125">
        <v>241</v>
      </c>
    </row>
    <row r="542" spans="49:49" ht="15" customHeight="1">
      <c r="AW542" s="125">
        <v>242</v>
      </c>
    </row>
    <row r="543" spans="49:49" ht="15" customHeight="1">
      <c r="AW543" s="125">
        <v>243</v>
      </c>
    </row>
    <row r="544" spans="49:49" ht="15" customHeight="1">
      <c r="AW544" s="125">
        <v>244</v>
      </c>
    </row>
    <row r="545" spans="49:49" ht="15" customHeight="1">
      <c r="AW545" s="125">
        <v>245</v>
      </c>
    </row>
    <row r="546" spans="49:49" ht="15" customHeight="1">
      <c r="AW546" s="125">
        <v>246</v>
      </c>
    </row>
    <row r="547" spans="49:49" ht="15" customHeight="1">
      <c r="AW547" s="125">
        <v>247</v>
      </c>
    </row>
    <row r="548" spans="49:49" ht="15" customHeight="1">
      <c r="AW548" s="125">
        <v>248</v>
      </c>
    </row>
    <row r="549" spans="49:49" ht="15" customHeight="1">
      <c r="AW549" s="125">
        <v>249</v>
      </c>
    </row>
    <row r="550" spans="49:49" ht="15" customHeight="1">
      <c r="AW550" s="125">
        <v>250</v>
      </c>
    </row>
    <row r="551" spans="49:49" ht="15" customHeight="1">
      <c r="AW551" s="125">
        <v>251</v>
      </c>
    </row>
    <row r="552" spans="49:49" ht="15" customHeight="1">
      <c r="AW552" s="125">
        <v>252</v>
      </c>
    </row>
    <row r="553" spans="49:49" ht="15" customHeight="1">
      <c r="AW553" s="125">
        <v>253</v>
      </c>
    </row>
    <row r="554" spans="49:49" ht="15" customHeight="1">
      <c r="AW554" s="125">
        <v>254</v>
      </c>
    </row>
    <row r="555" spans="49:49" ht="15" customHeight="1">
      <c r="AW555" s="125">
        <v>255</v>
      </c>
    </row>
    <row r="556" spans="49:49" ht="15" customHeight="1">
      <c r="AW556" s="125">
        <v>256</v>
      </c>
    </row>
    <row r="557" spans="49:49" ht="15" customHeight="1">
      <c r="AW557" s="125">
        <v>257</v>
      </c>
    </row>
    <row r="558" spans="49:49" ht="15" customHeight="1">
      <c r="AW558" s="125">
        <v>258</v>
      </c>
    </row>
    <row r="559" spans="49:49" ht="15" customHeight="1">
      <c r="AW559" s="125">
        <v>259</v>
      </c>
    </row>
    <row r="560" spans="49:49" ht="15" customHeight="1">
      <c r="AW560" s="125">
        <v>260</v>
      </c>
    </row>
    <row r="561" spans="49:49" ht="15" customHeight="1">
      <c r="AW561" s="125">
        <v>261</v>
      </c>
    </row>
    <row r="562" spans="49:49" ht="15" customHeight="1">
      <c r="AW562" s="125">
        <v>262</v>
      </c>
    </row>
    <row r="563" spans="49:49" ht="15" customHeight="1">
      <c r="AW563" s="125">
        <v>263</v>
      </c>
    </row>
    <row r="564" spans="49:49" ht="15" customHeight="1">
      <c r="AW564" s="125">
        <v>264</v>
      </c>
    </row>
    <row r="565" spans="49:49" ht="15" customHeight="1">
      <c r="AW565" s="125">
        <v>265</v>
      </c>
    </row>
    <row r="566" spans="49:49" ht="15" customHeight="1">
      <c r="AW566" s="125">
        <v>266</v>
      </c>
    </row>
    <row r="567" spans="49:49" ht="15" customHeight="1">
      <c r="AW567" s="125">
        <v>267</v>
      </c>
    </row>
    <row r="568" spans="49:49" ht="15" customHeight="1">
      <c r="AW568" s="125">
        <v>268</v>
      </c>
    </row>
    <row r="569" spans="49:49" ht="15" customHeight="1">
      <c r="AW569" s="125">
        <v>269</v>
      </c>
    </row>
    <row r="570" spans="49:49" ht="15" customHeight="1">
      <c r="AW570" s="125">
        <v>270</v>
      </c>
    </row>
    <row r="571" spans="49:49" ht="15" customHeight="1">
      <c r="AW571" s="125">
        <v>271</v>
      </c>
    </row>
    <row r="572" spans="49:49" ht="15" customHeight="1">
      <c r="AW572" s="125">
        <v>272</v>
      </c>
    </row>
    <row r="573" spans="49:49" ht="15" customHeight="1">
      <c r="AW573" s="125">
        <v>273</v>
      </c>
    </row>
    <row r="574" spans="49:49" ht="15" customHeight="1">
      <c r="AW574" s="125">
        <v>274</v>
      </c>
    </row>
    <row r="575" spans="49:49" ht="15" customHeight="1">
      <c r="AW575" s="125">
        <v>275</v>
      </c>
    </row>
    <row r="576" spans="49:49" ht="15" customHeight="1">
      <c r="AW576" s="125">
        <v>276</v>
      </c>
    </row>
    <row r="577" spans="49:49" ht="15" customHeight="1">
      <c r="AW577" s="125">
        <v>277</v>
      </c>
    </row>
    <row r="578" spans="49:49" ht="15" customHeight="1">
      <c r="AW578" s="125">
        <v>278</v>
      </c>
    </row>
    <row r="579" spans="49:49" ht="15" customHeight="1">
      <c r="AW579" s="125">
        <v>279</v>
      </c>
    </row>
    <row r="580" spans="49:49" ht="15" customHeight="1">
      <c r="AW580" s="125">
        <v>280</v>
      </c>
    </row>
    <row r="581" spans="49:49" ht="15" customHeight="1">
      <c r="AW581" s="125">
        <v>281</v>
      </c>
    </row>
    <row r="582" spans="49:49" ht="15" customHeight="1">
      <c r="AW582" s="125">
        <v>282</v>
      </c>
    </row>
    <row r="583" spans="49:49" ht="15" customHeight="1">
      <c r="AW583" s="125">
        <v>283</v>
      </c>
    </row>
    <row r="584" spans="49:49" ht="15" customHeight="1">
      <c r="AW584" s="125">
        <v>284</v>
      </c>
    </row>
    <row r="585" spans="49:49" ht="15" customHeight="1">
      <c r="AW585" s="125">
        <v>285</v>
      </c>
    </row>
    <row r="586" spans="49:49" ht="15" customHeight="1">
      <c r="AW586" s="125">
        <v>286</v>
      </c>
    </row>
    <row r="587" spans="49:49" ht="15" customHeight="1">
      <c r="AW587" s="125">
        <v>287</v>
      </c>
    </row>
    <row r="588" spans="49:49" ht="15" customHeight="1">
      <c r="AW588" s="125">
        <v>288</v>
      </c>
    </row>
    <row r="589" spans="49:49" ht="15" customHeight="1">
      <c r="AW589" s="125">
        <v>289</v>
      </c>
    </row>
    <row r="590" spans="49:49" ht="15" customHeight="1">
      <c r="AW590" s="125">
        <v>290</v>
      </c>
    </row>
    <row r="591" spans="49:49" ht="15" customHeight="1">
      <c r="AW591" s="125">
        <v>291</v>
      </c>
    </row>
    <row r="592" spans="49:49" ht="15" customHeight="1">
      <c r="AW592" s="125">
        <v>292</v>
      </c>
    </row>
    <row r="593" spans="49:49" ht="15" customHeight="1">
      <c r="AW593" s="125">
        <v>293</v>
      </c>
    </row>
    <row r="594" spans="49:49" ht="15" customHeight="1">
      <c r="AW594" s="125">
        <v>294</v>
      </c>
    </row>
    <row r="595" spans="49:49" ht="15" customHeight="1">
      <c r="AW595" s="125">
        <v>295</v>
      </c>
    </row>
    <row r="596" spans="49:49" ht="15" customHeight="1">
      <c r="AW596" s="125">
        <v>296</v>
      </c>
    </row>
    <row r="597" spans="49:49" ht="15" customHeight="1">
      <c r="AW597" s="125">
        <v>297</v>
      </c>
    </row>
    <row r="598" spans="49:49" ht="15" customHeight="1">
      <c r="AW598" s="125">
        <v>298</v>
      </c>
    </row>
    <row r="599" spans="49:49" ht="15" customHeight="1">
      <c r="AW599" s="125">
        <v>299</v>
      </c>
    </row>
    <row r="600" spans="49:49" ht="15" customHeight="1">
      <c r="AW600" s="125">
        <v>300</v>
      </c>
    </row>
    <row r="601" spans="49:49" ht="15" customHeight="1">
      <c r="AW601" s="125">
        <v>301</v>
      </c>
    </row>
    <row r="602" spans="49:49" ht="15" customHeight="1">
      <c r="AW602" s="125">
        <v>302</v>
      </c>
    </row>
    <row r="603" spans="49:49" ht="15" customHeight="1">
      <c r="AW603" s="125">
        <v>303</v>
      </c>
    </row>
    <row r="604" spans="49:49" ht="15" customHeight="1">
      <c r="AW604" s="125">
        <v>304</v>
      </c>
    </row>
    <row r="605" spans="49:49" ht="15" customHeight="1">
      <c r="AW605" s="125">
        <v>305</v>
      </c>
    </row>
    <row r="606" spans="49:49" ht="15" customHeight="1">
      <c r="AW606" s="125">
        <v>306</v>
      </c>
    </row>
    <row r="607" spans="49:49" ht="15" customHeight="1">
      <c r="AW607" s="125">
        <v>307</v>
      </c>
    </row>
    <row r="608" spans="49:49" ht="15" customHeight="1">
      <c r="AW608" s="125">
        <v>308</v>
      </c>
    </row>
    <row r="609" spans="49:49" ht="15" customHeight="1">
      <c r="AW609" s="125">
        <v>309</v>
      </c>
    </row>
    <row r="610" spans="49:49" ht="15" customHeight="1">
      <c r="AW610" s="125">
        <v>310</v>
      </c>
    </row>
    <row r="611" spans="49:49" ht="15" customHeight="1">
      <c r="AW611" s="125">
        <v>311</v>
      </c>
    </row>
    <row r="612" spans="49:49" ht="15" customHeight="1">
      <c r="AW612" s="125">
        <v>312</v>
      </c>
    </row>
    <row r="613" spans="49:49" ht="15" customHeight="1">
      <c r="AW613" s="125">
        <v>313</v>
      </c>
    </row>
    <row r="614" spans="49:49" ht="15" customHeight="1">
      <c r="AW614" s="125">
        <v>314</v>
      </c>
    </row>
    <row r="615" spans="49:49" ht="15" customHeight="1">
      <c r="AW615" s="125">
        <v>315</v>
      </c>
    </row>
    <row r="616" spans="49:49" ht="15" customHeight="1">
      <c r="AW616" s="125">
        <v>316</v>
      </c>
    </row>
    <row r="617" spans="49:49" ht="15" customHeight="1">
      <c r="AW617" s="125">
        <v>317</v>
      </c>
    </row>
    <row r="618" spans="49:49" ht="15" customHeight="1">
      <c r="AW618" s="125">
        <v>318</v>
      </c>
    </row>
    <row r="619" spans="49:49" ht="15" customHeight="1">
      <c r="AW619" s="125">
        <v>319</v>
      </c>
    </row>
    <row r="620" spans="49:49" ht="15" customHeight="1">
      <c r="AW620" s="125">
        <v>320</v>
      </c>
    </row>
    <row r="621" spans="49:49" ht="15" customHeight="1">
      <c r="AW621" s="125">
        <v>321</v>
      </c>
    </row>
    <row r="622" spans="49:49" ht="15" customHeight="1">
      <c r="AW622" s="125">
        <v>322</v>
      </c>
    </row>
    <row r="623" spans="49:49" ht="15" customHeight="1">
      <c r="AW623" s="125">
        <v>323</v>
      </c>
    </row>
    <row r="624" spans="49:49" ht="15" customHeight="1">
      <c r="AW624" s="125">
        <v>324</v>
      </c>
    </row>
    <row r="625" spans="49:49" ht="15" customHeight="1">
      <c r="AW625" s="125">
        <v>325</v>
      </c>
    </row>
    <row r="626" spans="49:49" ht="15" customHeight="1">
      <c r="AW626" s="125">
        <v>326</v>
      </c>
    </row>
    <row r="627" spans="49:49" ht="15" customHeight="1">
      <c r="AW627" s="125">
        <v>327</v>
      </c>
    </row>
    <row r="628" spans="49:49" ht="15" customHeight="1">
      <c r="AW628" s="125">
        <v>328</v>
      </c>
    </row>
    <row r="629" spans="49:49" ht="15" customHeight="1">
      <c r="AW629" s="125">
        <v>329</v>
      </c>
    </row>
    <row r="630" spans="49:49" ht="15" customHeight="1">
      <c r="AW630" s="125">
        <v>330</v>
      </c>
    </row>
    <row r="631" spans="49:49" ht="15" customHeight="1">
      <c r="AW631" s="125">
        <v>331</v>
      </c>
    </row>
    <row r="632" spans="49:49" ht="15" customHeight="1">
      <c r="AW632" s="125">
        <v>332</v>
      </c>
    </row>
    <row r="633" spans="49:49" ht="15" customHeight="1">
      <c r="AW633" s="125">
        <v>333</v>
      </c>
    </row>
    <row r="634" spans="49:49" ht="15" customHeight="1">
      <c r="AW634" s="125">
        <v>334</v>
      </c>
    </row>
    <row r="635" spans="49:49" ht="15" customHeight="1">
      <c r="AW635" s="125">
        <v>335</v>
      </c>
    </row>
    <row r="636" spans="49:49" ht="15" customHeight="1">
      <c r="AW636" s="125">
        <v>336</v>
      </c>
    </row>
    <row r="637" spans="49:49" ht="15" customHeight="1">
      <c r="AW637" s="125">
        <v>337</v>
      </c>
    </row>
    <row r="638" spans="49:49" ht="15" customHeight="1">
      <c r="AW638" s="125">
        <v>338</v>
      </c>
    </row>
    <row r="639" spans="49:49" ht="15" customHeight="1">
      <c r="AW639" s="125">
        <v>339</v>
      </c>
    </row>
    <row r="640" spans="49:49" ht="15" customHeight="1">
      <c r="AW640" s="125">
        <v>340</v>
      </c>
    </row>
    <row r="641" spans="49:49" ht="15" customHeight="1">
      <c r="AW641" s="125">
        <v>341</v>
      </c>
    </row>
    <row r="642" spans="49:49" ht="15" customHeight="1">
      <c r="AW642" s="125">
        <v>342</v>
      </c>
    </row>
    <row r="643" spans="49:49" ht="15" customHeight="1">
      <c r="AW643" s="125">
        <v>343</v>
      </c>
    </row>
    <row r="644" spans="49:49" ht="15" customHeight="1">
      <c r="AW644" s="125">
        <v>344</v>
      </c>
    </row>
    <row r="645" spans="49:49" ht="15" customHeight="1">
      <c r="AW645" s="125">
        <v>345</v>
      </c>
    </row>
    <row r="646" spans="49:49" ht="15" customHeight="1">
      <c r="AW646" s="125">
        <v>346</v>
      </c>
    </row>
    <row r="647" spans="49:49" ht="15" customHeight="1">
      <c r="AW647" s="125">
        <v>347</v>
      </c>
    </row>
    <row r="648" spans="49:49" ht="15" customHeight="1">
      <c r="AW648" s="125">
        <v>348</v>
      </c>
    </row>
    <row r="649" spans="49:49" ht="15" customHeight="1">
      <c r="AW649" s="125">
        <v>349</v>
      </c>
    </row>
    <row r="650" spans="49:49" ht="15" customHeight="1">
      <c r="AW650" s="125">
        <v>350</v>
      </c>
    </row>
    <row r="651" spans="49:49" ht="15" customHeight="1">
      <c r="AW651" s="125">
        <v>351</v>
      </c>
    </row>
    <row r="652" spans="49:49" ht="15" customHeight="1">
      <c r="AW652" s="125">
        <v>352</v>
      </c>
    </row>
    <row r="653" spans="49:49" ht="15" customHeight="1">
      <c r="AW653" s="125">
        <v>353</v>
      </c>
    </row>
    <row r="654" spans="49:49" ht="15" customHeight="1">
      <c r="AW654" s="125">
        <v>354</v>
      </c>
    </row>
    <row r="655" spans="49:49" ht="15" customHeight="1">
      <c r="AW655" s="125">
        <v>355</v>
      </c>
    </row>
    <row r="656" spans="49:49" ht="15" customHeight="1">
      <c r="AW656" s="125">
        <v>356</v>
      </c>
    </row>
    <row r="657" spans="49:49" ht="15" customHeight="1">
      <c r="AW657" s="125">
        <v>357</v>
      </c>
    </row>
    <row r="658" spans="49:49" ht="15" customHeight="1">
      <c r="AW658" s="125">
        <v>358</v>
      </c>
    </row>
    <row r="659" spans="49:49" ht="15" customHeight="1">
      <c r="AW659" s="125">
        <v>359</v>
      </c>
    </row>
    <row r="660" spans="49:49" ht="15" customHeight="1">
      <c r="AW660" s="125">
        <v>360</v>
      </c>
    </row>
    <row r="661" spans="49:49" ht="15" customHeight="1">
      <c r="AW661" s="125">
        <v>361</v>
      </c>
    </row>
    <row r="662" spans="49:49" ht="15" customHeight="1">
      <c r="AW662" s="125">
        <v>362</v>
      </c>
    </row>
    <row r="663" spans="49:49" ht="15" customHeight="1">
      <c r="AW663" s="125">
        <v>363</v>
      </c>
    </row>
    <row r="664" spans="49:49" ht="15" customHeight="1">
      <c r="AW664" s="125">
        <v>364</v>
      </c>
    </row>
    <row r="665" spans="49:49" ht="15" customHeight="1">
      <c r="AW665" s="125">
        <v>365</v>
      </c>
    </row>
    <row r="666" spans="49:49" ht="15" customHeight="1">
      <c r="AW666" s="125">
        <v>366</v>
      </c>
    </row>
    <row r="667" spans="49:49" ht="15" customHeight="1">
      <c r="AW667" s="125">
        <v>367</v>
      </c>
    </row>
    <row r="668" spans="49:49" ht="15" customHeight="1">
      <c r="AW668" s="125">
        <v>368</v>
      </c>
    </row>
    <row r="669" spans="49:49" ht="15" customHeight="1">
      <c r="AW669" s="125">
        <v>369</v>
      </c>
    </row>
    <row r="670" spans="49:49" ht="15" customHeight="1">
      <c r="AW670" s="125">
        <v>370</v>
      </c>
    </row>
    <row r="671" spans="49:49" ht="15" customHeight="1">
      <c r="AW671" s="125">
        <v>371</v>
      </c>
    </row>
    <row r="672" spans="49:49" ht="15" customHeight="1">
      <c r="AW672" s="125">
        <v>372</v>
      </c>
    </row>
    <row r="673" spans="49:49" ht="15" customHeight="1">
      <c r="AW673" s="125">
        <v>373</v>
      </c>
    </row>
    <row r="674" spans="49:49" ht="15" customHeight="1">
      <c r="AW674" s="125">
        <v>374</v>
      </c>
    </row>
    <row r="675" spans="49:49" ht="15" customHeight="1">
      <c r="AW675" s="125">
        <v>375</v>
      </c>
    </row>
    <row r="676" spans="49:49" ht="15" customHeight="1">
      <c r="AW676" s="125">
        <v>376</v>
      </c>
    </row>
    <row r="677" spans="49:49" ht="15" customHeight="1">
      <c r="AW677" s="125">
        <v>377</v>
      </c>
    </row>
    <row r="678" spans="49:49" ht="15" customHeight="1">
      <c r="AW678" s="125">
        <v>378</v>
      </c>
    </row>
    <row r="679" spans="49:49" ht="15" customHeight="1">
      <c r="AW679" s="125">
        <v>379</v>
      </c>
    </row>
    <row r="680" spans="49:49" ht="15" customHeight="1">
      <c r="AW680" s="125">
        <v>380</v>
      </c>
    </row>
    <row r="681" spans="49:49" ht="15" customHeight="1">
      <c r="AW681" s="125">
        <v>381</v>
      </c>
    </row>
    <row r="682" spans="49:49" ht="15" customHeight="1">
      <c r="AW682" s="125">
        <v>382</v>
      </c>
    </row>
    <row r="683" spans="49:49" ht="15" customHeight="1">
      <c r="AW683" s="125">
        <v>383</v>
      </c>
    </row>
    <row r="684" spans="49:49" ht="15" customHeight="1">
      <c r="AW684" s="125">
        <v>384</v>
      </c>
    </row>
    <row r="685" spans="49:49" ht="15" customHeight="1">
      <c r="AW685" s="125">
        <v>385</v>
      </c>
    </row>
    <row r="686" spans="49:49" ht="15" customHeight="1">
      <c r="AW686" s="125">
        <v>386</v>
      </c>
    </row>
    <row r="687" spans="49:49" ht="15" customHeight="1">
      <c r="AW687" s="125">
        <v>387</v>
      </c>
    </row>
    <row r="688" spans="49:49" ht="15" customHeight="1">
      <c r="AW688" s="125">
        <v>388</v>
      </c>
    </row>
    <row r="689" spans="49:49" ht="15" customHeight="1">
      <c r="AW689" s="125">
        <v>389</v>
      </c>
    </row>
    <row r="690" spans="49:49" ht="15" customHeight="1">
      <c r="AW690" s="125">
        <v>390</v>
      </c>
    </row>
    <row r="691" spans="49:49" ht="15" customHeight="1">
      <c r="AW691" s="125">
        <v>391</v>
      </c>
    </row>
    <row r="692" spans="49:49" ht="15" customHeight="1">
      <c r="AW692" s="125">
        <v>392</v>
      </c>
    </row>
    <row r="693" spans="49:49" ht="15" customHeight="1">
      <c r="AW693" s="125">
        <v>393</v>
      </c>
    </row>
    <row r="694" spans="49:49" ht="15" customHeight="1">
      <c r="AW694" s="125">
        <v>394</v>
      </c>
    </row>
    <row r="695" spans="49:49" ht="15" customHeight="1">
      <c r="AW695" s="125">
        <v>395</v>
      </c>
    </row>
    <row r="696" spans="49:49" ht="15" customHeight="1">
      <c r="AW696" s="125">
        <v>396</v>
      </c>
    </row>
    <row r="697" spans="49:49" ht="15" customHeight="1">
      <c r="AW697" s="125">
        <v>397</v>
      </c>
    </row>
    <row r="698" spans="49:49" ht="15" customHeight="1">
      <c r="AW698" s="125">
        <v>398</v>
      </c>
    </row>
    <row r="699" spans="49:49" ht="15" customHeight="1">
      <c r="AW699" s="125">
        <v>399</v>
      </c>
    </row>
    <row r="700" spans="49:49" ht="15" customHeight="1">
      <c r="AW700" s="125">
        <v>400</v>
      </c>
    </row>
    <row r="701" spans="49:49" ht="15" customHeight="1">
      <c r="AW701" s="125">
        <v>401</v>
      </c>
    </row>
    <row r="702" spans="49:49" ht="15" customHeight="1">
      <c r="AW702" s="125">
        <v>402</v>
      </c>
    </row>
    <row r="703" spans="49:49" ht="15" customHeight="1">
      <c r="AW703" s="125">
        <v>403</v>
      </c>
    </row>
    <row r="704" spans="49:49" ht="15" customHeight="1">
      <c r="AW704" s="125">
        <v>404</v>
      </c>
    </row>
    <row r="705" spans="49:49" ht="15" customHeight="1">
      <c r="AW705" s="125">
        <v>405</v>
      </c>
    </row>
    <row r="706" spans="49:49" ht="15" customHeight="1">
      <c r="AW706" s="125">
        <v>406</v>
      </c>
    </row>
    <row r="707" spans="49:49" ht="15" customHeight="1">
      <c r="AW707" s="125">
        <v>407</v>
      </c>
    </row>
    <row r="708" spans="49:49" ht="15" customHeight="1">
      <c r="AW708" s="125">
        <v>408</v>
      </c>
    </row>
    <row r="709" spans="49:49" ht="15" customHeight="1">
      <c r="AW709" s="125">
        <v>409</v>
      </c>
    </row>
    <row r="710" spans="49:49" ht="15" customHeight="1">
      <c r="AW710" s="125">
        <v>410</v>
      </c>
    </row>
    <row r="711" spans="49:49" ht="15" customHeight="1">
      <c r="AW711" s="125">
        <v>411</v>
      </c>
    </row>
    <row r="712" spans="49:49" ht="15" customHeight="1">
      <c r="AW712" s="125">
        <v>412</v>
      </c>
    </row>
    <row r="713" spans="49:49" ht="15" customHeight="1">
      <c r="AW713" s="125">
        <v>413</v>
      </c>
    </row>
    <row r="714" spans="49:49" ht="15" customHeight="1">
      <c r="AW714" s="125">
        <v>414</v>
      </c>
    </row>
    <row r="715" spans="49:49" ht="15" customHeight="1">
      <c r="AW715" s="125">
        <v>415</v>
      </c>
    </row>
    <row r="716" spans="49:49" ht="15" customHeight="1">
      <c r="AW716" s="125">
        <v>416</v>
      </c>
    </row>
    <row r="717" spans="49:49" ht="15" customHeight="1">
      <c r="AW717" s="125">
        <v>417</v>
      </c>
    </row>
    <row r="718" spans="49:49" ht="15" customHeight="1">
      <c r="AW718" s="125">
        <v>418</v>
      </c>
    </row>
    <row r="719" spans="49:49" ht="15" customHeight="1">
      <c r="AW719" s="125">
        <v>419</v>
      </c>
    </row>
    <row r="720" spans="49:49" ht="15" customHeight="1">
      <c r="AW720" s="125">
        <v>420</v>
      </c>
    </row>
    <row r="721" spans="49:49" ht="15" customHeight="1">
      <c r="AW721" s="125">
        <v>421</v>
      </c>
    </row>
    <row r="722" spans="49:49" ht="15" customHeight="1">
      <c r="AW722" s="125">
        <v>422</v>
      </c>
    </row>
    <row r="723" spans="49:49" ht="15" customHeight="1">
      <c r="AW723" s="125">
        <v>423</v>
      </c>
    </row>
    <row r="724" spans="49:49" ht="15" customHeight="1">
      <c r="AW724" s="125">
        <v>424</v>
      </c>
    </row>
    <row r="725" spans="49:49" ht="15" customHeight="1">
      <c r="AW725" s="125">
        <v>425</v>
      </c>
    </row>
    <row r="726" spans="49:49" ht="15" customHeight="1">
      <c r="AW726" s="125">
        <v>426</v>
      </c>
    </row>
    <row r="727" spans="49:49" ht="15" customHeight="1">
      <c r="AW727" s="125">
        <v>427</v>
      </c>
    </row>
    <row r="728" spans="49:49" ht="15" customHeight="1">
      <c r="AW728" s="125">
        <v>428</v>
      </c>
    </row>
    <row r="729" spans="49:49" ht="15" customHeight="1">
      <c r="AW729" s="125">
        <v>429</v>
      </c>
    </row>
    <row r="730" spans="49:49" ht="15" customHeight="1">
      <c r="AW730" s="125">
        <v>430</v>
      </c>
    </row>
    <row r="731" spans="49:49" ht="15" customHeight="1">
      <c r="AW731" s="125">
        <v>431</v>
      </c>
    </row>
    <row r="732" spans="49:49" ht="15" customHeight="1">
      <c r="AW732" s="125">
        <v>432</v>
      </c>
    </row>
    <row r="733" spans="49:49" ht="15" customHeight="1">
      <c r="AW733" s="125">
        <v>433</v>
      </c>
    </row>
    <row r="734" spans="49:49" ht="15" customHeight="1">
      <c r="AW734" s="125">
        <v>434</v>
      </c>
    </row>
    <row r="735" spans="49:49" ht="15" customHeight="1">
      <c r="AW735" s="125">
        <v>435</v>
      </c>
    </row>
    <row r="736" spans="49:49" ht="15" customHeight="1">
      <c r="AW736" s="125">
        <v>436</v>
      </c>
    </row>
    <row r="737" spans="49:49" ht="15" customHeight="1">
      <c r="AW737" s="125">
        <v>437</v>
      </c>
    </row>
    <row r="738" spans="49:49" ht="15" customHeight="1">
      <c r="AW738" s="125">
        <v>438</v>
      </c>
    </row>
    <row r="739" spans="49:49" ht="15" customHeight="1">
      <c r="AW739" s="125">
        <v>439</v>
      </c>
    </row>
    <row r="740" spans="49:49" ht="15" customHeight="1">
      <c r="AW740" s="125">
        <v>440</v>
      </c>
    </row>
    <row r="741" spans="49:49" ht="15" customHeight="1">
      <c r="AW741" s="125">
        <v>441</v>
      </c>
    </row>
    <row r="742" spans="49:49" ht="15" customHeight="1">
      <c r="AW742" s="125">
        <v>442</v>
      </c>
    </row>
    <row r="743" spans="49:49" ht="15" customHeight="1">
      <c r="AW743" s="125">
        <v>443</v>
      </c>
    </row>
    <row r="744" spans="49:49" ht="15" customHeight="1">
      <c r="AW744" s="125">
        <v>444</v>
      </c>
    </row>
    <row r="745" spans="49:49" ht="15" customHeight="1">
      <c r="AW745" s="125">
        <v>445</v>
      </c>
    </row>
    <row r="746" spans="49:49" ht="15" customHeight="1">
      <c r="AW746" s="125">
        <v>446</v>
      </c>
    </row>
    <row r="747" spans="49:49" ht="15" customHeight="1">
      <c r="AW747" s="125">
        <v>447</v>
      </c>
    </row>
    <row r="748" spans="49:49" ht="15" customHeight="1">
      <c r="AW748" s="125">
        <v>448</v>
      </c>
    </row>
    <row r="749" spans="49:49" ht="15" customHeight="1">
      <c r="AW749" s="125">
        <v>449</v>
      </c>
    </row>
    <row r="750" spans="49:49" ht="15" customHeight="1">
      <c r="AW750" s="125">
        <v>450</v>
      </c>
    </row>
    <row r="751" spans="49:49" ht="15" customHeight="1">
      <c r="AW751" s="125">
        <v>451</v>
      </c>
    </row>
    <row r="752" spans="49:49" ht="15" customHeight="1">
      <c r="AW752" s="125">
        <v>452</v>
      </c>
    </row>
    <row r="753" spans="49:49" ht="15" customHeight="1">
      <c r="AW753" s="125">
        <v>453</v>
      </c>
    </row>
    <row r="754" spans="49:49" ht="15" customHeight="1">
      <c r="AW754" s="125">
        <v>454</v>
      </c>
    </row>
    <row r="755" spans="49:49" ht="15" customHeight="1">
      <c r="AW755" s="125">
        <v>455</v>
      </c>
    </row>
    <row r="756" spans="49:49" ht="15" customHeight="1">
      <c r="AW756" s="125">
        <v>456</v>
      </c>
    </row>
    <row r="757" spans="49:49" ht="15" customHeight="1">
      <c r="AW757" s="125">
        <v>457</v>
      </c>
    </row>
    <row r="758" spans="49:49" ht="15" customHeight="1">
      <c r="AW758" s="125">
        <v>458</v>
      </c>
    </row>
    <row r="759" spans="49:49" ht="15" customHeight="1">
      <c r="AW759" s="125">
        <v>459</v>
      </c>
    </row>
    <row r="760" spans="49:49" ht="15" customHeight="1">
      <c r="AW760" s="125">
        <v>460</v>
      </c>
    </row>
    <row r="761" spans="49:49" ht="15" customHeight="1">
      <c r="AW761" s="125">
        <v>461</v>
      </c>
    </row>
    <row r="762" spans="49:49" ht="15" customHeight="1">
      <c r="AW762" s="125">
        <v>462</v>
      </c>
    </row>
    <row r="763" spans="49:49" ht="15" customHeight="1">
      <c r="AW763" s="125">
        <v>463</v>
      </c>
    </row>
    <row r="764" spans="49:49" ht="15" customHeight="1">
      <c r="AW764" s="125">
        <v>464</v>
      </c>
    </row>
    <row r="765" spans="49:49" ht="15" customHeight="1">
      <c r="AW765" s="125">
        <v>465</v>
      </c>
    </row>
    <row r="766" spans="49:49" ht="15" customHeight="1">
      <c r="AW766" s="125">
        <v>466</v>
      </c>
    </row>
    <row r="767" spans="49:49" ht="15" customHeight="1">
      <c r="AW767" s="125">
        <v>467</v>
      </c>
    </row>
    <row r="768" spans="49:49" ht="15" customHeight="1">
      <c r="AW768" s="125">
        <v>468</v>
      </c>
    </row>
    <row r="769" spans="49:49" ht="15" customHeight="1">
      <c r="AW769" s="125">
        <v>469</v>
      </c>
    </row>
    <row r="770" spans="49:49" ht="15" customHeight="1">
      <c r="AW770" s="125">
        <v>470</v>
      </c>
    </row>
    <row r="771" spans="49:49" ht="15" customHeight="1">
      <c r="AW771" s="125">
        <v>471</v>
      </c>
    </row>
    <row r="772" spans="49:49" ht="15" customHeight="1">
      <c r="AW772" s="125">
        <v>472</v>
      </c>
    </row>
    <row r="773" spans="49:49" ht="15" customHeight="1">
      <c r="AW773" s="125">
        <v>473</v>
      </c>
    </row>
    <row r="774" spans="49:49" ht="15" customHeight="1">
      <c r="AW774" s="125">
        <v>474</v>
      </c>
    </row>
    <row r="775" spans="49:49" ht="15" customHeight="1">
      <c r="AW775" s="125">
        <v>475</v>
      </c>
    </row>
    <row r="776" spans="49:49" ht="15" customHeight="1">
      <c r="AW776" s="125">
        <v>476</v>
      </c>
    </row>
    <row r="777" spans="49:49" ht="15" customHeight="1">
      <c r="AW777" s="125">
        <v>477</v>
      </c>
    </row>
    <row r="778" spans="49:49" ht="15" customHeight="1">
      <c r="AW778" s="125">
        <v>478</v>
      </c>
    </row>
    <row r="779" spans="49:49" ht="15" customHeight="1">
      <c r="AW779" s="125">
        <v>479</v>
      </c>
    </row>
    <row r="780" spans="49:49" ht="15" customHeight="1">
      <c r="AW780" s="125">
        <v>480</v>
      </c>
    </row>
    <row r="781" spans="49:49" ht="15" customHeight="1">
      <c r="AW781" s="125">
        <v>481</v>
      </c>
    </row>
    <row r="782" spans="49:49" ht="15" customHeight="1">
      <c r="AW782" s="125">
        <v>482</v>
      </c>
    </row>
    <row r="783" spans="49:49" ht="15" customHeight="1">
      <c r="AW783" s="125">
        <v>483</v>
      </c>
    </row>
    <row r="784" spans="49:49" ht="15" customHeight="1">
      <c r="AW784" s="125">
        <v>484</v>
      </c>
    </row>
    <row r="785" spans="49:49" ht="15" customHeight="1">
      <c r="AW785" s="125">
        <v>485</v>
      </c>
    </row>
    <row r="786" spans="49:49" ht="15" customHeight="1">
      <c r="AW786" s="125">
        <v>486</v>
      </c>
    </row>
    <row r="787" spans="49:49" ht="15" customHeight="1">
      <c r="AW787" s="125">
        <v>487</v>
      </c>
    </row>
    <row r="788" spans="49:49" ht="15" customHeight="1">
      <c r="AW788" s="125">
        <v>488</v>
      </c>
    </row>
    <row r="789" spans="49:49" ht="15" customHeight="1">
      <c r="AW789" s="125">
        <v>489</v>
      </c>
    </row>
    <row r="790" spans="49:49" ht="15" customHeight="1">
      <c r="AW790" s="125">
        <v>490</v>
      </c>
    </row>
    <row r="791" spans="49:49" ht="15" customHeight="1">
      <c r="AW791" s="125">
        <v>491</v>
      </c>
    </row>
    <row r="792" spans="49:49" ht="15" customHeight="1">
      <c r="AW792" s="125">
        <v>492</v>
      </c>
    </row>
    <row r="793" spans="49:49" ht="15" customHeight="1">
      <c r="AW793" s="125">
        <v>493</v>
      </c>
    </row>
    <row r="794" spans="49:49" ht="15" customHeight="1">
      <c r="AW794" s="125">
        <v>494</v>
      </c>
    </row>
    <row r="795" spans="49:49" ht="15" customHeight="1">
      <c r="AW795" s="125">
        <v>495</v>
      </c>
    </row>
    <row r="796" spans="49:49" ht="15" customHeight="1">
      <c r="AW796" s="125">
        <v>496</v>
      </c>
    </row>
    <row r="797" spans="49:49" ht="15" customHeight="1">
      <c r="AW797" s="125">
        <v>497</v>
      </c>
    </row>
    <row r="798" spans="49:49" ht="15" customHeight="1">
      <c r="AW798" s="125">
        <v>498</v>
      </c>
    </row>
    <row r="799" spans="49:49" ht="15" customHeight="1">
      <c r="AW799" s="125">
        <v>499</v>
      </c>
    </row>
    <row r="800" spans="49:49" ht="15" customHeight="1">
      <c r="AW800" s="125">
        <v>500</v>
      </c>
    </row>
    <row r="801" spans="49:49" ht="15" customHeight="1">
      <c r="AW801" s="125">
        <v>501</v>
      </c>
    </row>
    <row r="802" spans="49:49" ht="15" customHeight="1">
      <c r="AW802" s="125">
        <v>502</v>
      </c>
    </row>
    <row r="803" spans="49:49" ht="15" customHeight="1">
      <c r="AW803" s="125">
        <v>503</v>
      </c>
    </row>
    <row r="804" spans="49:49" ht="15" customHeight="1">
      <c r="AW804" s="125">
        <v>504</v>
      </c>
    </row>
    <row r="805" spans="49:49" ht="15" customHeight="1">
      <c r="AW805" s="125">
        <v>505</v>
      </c>
    </row>
    <row r="806" spans="49:49" ht="15" customHeight="1">
      <c r="AW806" s="125">
        <v>506</v>
      </c>
    </row>
    <row r="807" spans="49:49" ht="15" customHeight="1">
      <c r="AW807" s="125">
        <v>507</v>
      </c>
    </row>
    <row r="808" spans="49:49" ht="15" customHeight="1">
      <c r="AW808" s="125">
        <v>508</v>
      </c>
    </row>
    <row r="809" spans="49:49" ht="15" customHeight="1">
      <c r="AW809" s="125">
        <v>509</v>
      </c>
    </row>
    <row r="810" spans="49:49" ht="15" customHeight="1">
      <c r="AW810" s="125">
        <v>510</v>
      </c>
    </row>
    <row r="811" spans="49:49" ht="15" customHeight="1">
      <c r="AW811" s="125">
        <v>511</v>
      </c>
    </row>
    <row r="812" spans="49:49" ht="15" customHeight="1">
      <c r="AW812" s="125">
        <v>512</v>
      </c>
    </row>
    <row r="813" spans="49:49" ht="15" customHeight="1">
      <c r="AW813" s="125">
        <v>513</v>
      </c>
    </row>
    <row r="814" spans="49:49" ht="15" customHeight="1">
      <c r="AW814" s="125">
        <v>514</v>
      </c>
    </row>
    <row r="815" spans="49:49" ht="15" customHeight="1">
      <c r="AW815" s="125">
        <v>515</v>
      </c>
    </row>
    <row r="816" spans="49:49" ht="15" customHeight="1">
      <c r="AW816" s="125">
        <v>516</v>
      </c>
    </row>
    <row r="817" spans="49:49" ht="15" customHeight="1">
      <c r="AW817" s="125">
        <v>517</v>
      </c>
    </row>
    <row r="818" spans="49:49" ht="15" customHeight="1">
      <c r="AW818" s="125">
        <v>518</v>
      </c>
    </row>
    <row r="819" spans="49:49" ht="15" customHeight="1">
      <c r="AW819" s="125">
        <v>519</v>
      </c>
    </row>
    <row r="820" spans="49:49" ht="15" customHeight="1">
      <c r="AW820" s="125">
        <v>520</v>
      </c>
    </row>
    <row r="821" spans="49:49" ht="15" customHeight="1">
      <c r="AW821" s="125">
        <v>521</v>
      </c>
    </row>
    <row r="822" spans="49:49" ht="15" customHeight="1">
      <c r="AW822" s="125">
        <v>522</v>
      </c>
    </row>
    <row r="823" spans="49:49" ht="15" customHeight="1">
      <c r="AW823" s="125">
        <v>523</v>
      </c>
    </row>
    <row r="824" spans="49:49" ht="15" customHeight="1">
      <c r="AW824" s="125">
        <v>524</v>
      </c>
    </row>
    <row r="825" spans="49:49" ht="15" customHeight="1">
      <c r="AW825" s="125">
        <v>525</v>
      </c>
    </row>
    <row r="826" spans="49:49" ht="15" customHeight="1">
      <c r="AW826" s="125">
        <v>526</v>
      </c>
    </row>
    <row r="827" spans="49:49" ht="15" customHeight="1">
      <c r="AW827" s="125">
        <v>527</v>
      </c>
    </row>
    <row r="828" spans="49:49" ht="15" customHeight="1">
      <c r="AW828" s="125">
        <v>528</v>
      </c>
    </row>
    <row r="829" spans="49:49" ht="15" customHeight="1">
      <c r="AW829" s="125">
        <v>529</v>
      </c>
    </row>
    <row r="830" spans="49:49" ht="15" customHeight="1">
      <c r="AW830" s="125">
        <v>530</v>
      </c>
    </row>
    <row r="831" spans="49:49" ht="15" customHeight="1">
      <c r="AW831" s="125">
        <v>531</v>
      </c>
    </row>
    <row r="832" spans="49:49" ht="15" customHeight="1">
      <c r="AW832" s="125">
        <v>532</v>
      </c>
    </row>
    <row r="833" spans="49:49" ht="15" customHeight="1">
      <c r="AW833" s="125">
        <v>533</v>
      </c>
    </row>
    <row r="834" spans="49:49" ht="15" customHeight="1">
      <c r="AW834" s="125">
        <v>534</v>
      </c>
    </row>
    <row r="835" spans="49:49" ht="15" customHeight="1">
      <c r="AW835" s="125">
        <v>535</v>
      </c>
    </row>
    <row r="836" spans="49:49" ht="15" customHeight="1">
      <c r="AW836" s="125">
        <v>536</v>
      </c>
    </row>
    <row r="837" spans="49:49" ht="15" customHeight="1">
      <c r="AW837" s="125">
        <v>537</v>
      </c>
    </row>
    <row r="838" spans="49:49" ht="15" customHeight="1">
      <c r="AW838" s="125">
        <v>538</v>
      </c>
    </row>
    <row r="839" spans="49:49" ht="15" customHeight="1">
      <c r="AW839" s="125">
        <v>539</v>
      </c>
    </row>
    <row r="840" spans="49:49" ht="15" customHeight="1">
      <c r="AW840" s="125">
        <v>540</v>
      </c>
    </row>
    <row r="841" spans="49:49" ht="15" customHeight="1">
      <c r="AW841" s="125">
        <v>541</v>
      </c>
    </row>
    <row r="842" spans="49:49" ht="15" customHeight="1">
      <c r="AW842" s="125">
        <v>542</v>
      </c>
    </row>
    <row r="843" spans="49:49" ht="15" customHeight="1">
      <c r="AW843" s="125">
        <v>543</v>
      </c>
    </row>
    <row r="844" spans="49:49" ht="15" customHeight="1">
      <c r="AW844" s="125">
        <v>544</v>
      </c>
    </row>
    <row r="845" spans="49:49" ht="15" customHeight="1">
      <c r="AW845" s="125">
        <v>545</v>
      </c>
    </row>
    <row r="846" spans="49:49" ht="15" customHeight="1">
      <c r="AW846" s="125">
        <v>546</v>
      </c>
    </row>
    <row r="847" spans="49:49" ht="15" customHeight="1">
      <c r="AW847" s="125">
        <v>547</v>
      </c>
    </row>
    <row r="848" spans="49:49" ht="15" customHeight="1">
      <c r="AW848" s="125">
        <v>548</v>
      </c>
    </row>
    <row r="849" spans="49:49" ht="15" customHeight="1">
      <c r="AW849" s="125">
        <v>549</v>
      </c>
    </row>
    <row r="850" spans="49:49" ht="15" customHeight="1">
      <c r="AW850" s="125">
        <v>550</v>
      </c>
    </row>
    <row r="851" spans="49:49" ht="15" customHeight="1">
      <c r="AW851" s="125">
        <v>551</v>
      </c>
    </row>
    <row r="852" spans="49:49" ht="15" customHeight="1">
      <c r="AW852" s="125">
        <v>552</v>
      </c>
    </row>
    <row r="853" spans="49:49" ht="15" customHeight="1">
      <c r="AW853" s="125">
        <v>553</v>
      </c>
    </row>
    <row r="854" spans="49:49" ht="15" customHeight="1">
      <c r="AW854" s="125">
        <v>554</v>
      </c>
    </row>
    <row r="855" spans="49:49" ht="15" customHeight="1">
      <c r="AW855" s="125">
        <v>555</v>
      </c>
    </row>
    <row r="856" spans="49:49" ht="15" customHeight="1">
      <c r="AW856" s="125">
        <v>556</v>
      </c>
    </row>
    <row r="857" spans="49:49" ht="15" customHeight="1">
      <c r="AW857" s="125">
        <v>557</v>
      </c>
    </row>
    <row r="858" spans="49:49" ht="15" customHeight="1">
      <c r="AW858" s="125">
        <v>558</v>
      </c>
    </row>
    <row r="859" spans="49:49" ht="15" customHeight="1">
      <c r="AW859" s="125">
        <v>559</v>
      </c>
    </row>
    <row r="860" spans="49:49" ht="15" customHeight="1">
      <c r="AW860" s="125">
        <v>560</v>
      </c>
    </row>
    <row r="861" spans="49:49" ht="15" customHeight="1">
      <c r="AW861" s="125">
        <v>561</v>
      </c>
    </row>
    <row r="862" spans="49:49" ht="15" customHeight="1">
      <c r="AW862" s="125">
        <v>562</v>
      </c>
    </row>
    <row r="863" spans="49:49" ht="15" customHeight="1">
      <c r="AW863" s="125">
        <v>563</v>
      </c>
    </row>
    <row r="864" spans="49:49" ht="15" customHeight="1">
      <c r="AW864" s="125">
        <v>564</v>
      </c>
    </row>
    <row r="865" spans="49:49" ht="15" customHeight="1">
      <c r="AW865" s="125">
        <v>565</v>
      </c>
    </row>
    <row r="866" spans="49:49" ht="15" customHeight="1">
      <c r="AW866" s="125">
        <v>566</v>
      </c>
    </row>
    <row r="867" spans="49:49" ht="15" customHeight="1">
      <c r="AW867" s="125">
        <v>567</v>
      </c>
    </row>
    <row r="868" spans="49:49" ht="15" customHeight="1">
      <c r="AW868" s="125">
        <v>568</v>
      </c>
    </row>
    <row r="869" spans="49:49" ht="15" customHeight="1">
      <c r="AW869" s="125">
        <v>569</v>
      </c>
    </row>
    <row r="870" spans="49:49" ht="15" customHeight="1">
      <c r="AW870" s="125">
        <v>570</v>
      </c>
    </row>
    <row r="871" spans="49:49" ht="15" customHeight="1">
      <c r="AW871" s="125">
        <v>571</v>
      </c>
    </row>
    <row r="872" spans="49:49" ht="15" customHeight="1">
      <c r="AW872" s="125">
        <v>572</v>
      </c>
    </row>
    <row r="873" spans="49:49" ht="15" customHeight="1">
      <c r="AW873" s="125">
        <v>573</v>
      </c>
    </row>
    <row r="874" spans="49:49" ht="15" customHeight="1">
      <c r="AW874" s="125">
        <v>574</v>
      </c>
    </row>
    <row r="875" spans="49:49" ht="15" customHeight="1">
      <c r="AW875" s="125">
        <v>575</v>
      </c>
    </row>
    <row r="876" spans="49:49" ht="15" customHeight="1">
      <c r="AW876" s="125">
        <v>576</v>
      </c>
    </row>
    <row r="877" spans="49:49" ht="15" customHeight="1">
      <c r="AW877" s="125">
        <v>577</v>
      </c>
    </row>
    <row r="878" spans="49:49" ht="15" customHeight="1">
      <c r="AW878" s="125">
        <v>578</v>
      </c>
    </row>
    <row r="879" spans="49:49" ht="15" customHeight="1">
      <c r="AW879" s="125">
        <v>579</v>
      </c>
    </row>
    <row r="880" spans="49:49" ht="15" customHeight="1">
      <c r="AW880" s="125">
        <v>580</v>
      </c>
    </row>
    <row r="881" spans="49:49" ht="15" customHeight="1">
      <c r="AW881" s="125">
        <v>581</v>
      </c>
    </row>
    <row r="882" spans="49:49" ht="15" customHeight="1">
      <c r="AW882" s="125">
        <v>582</v>
      </c>
    </row>
    <row r="883" spans="49:49" ht="15" customHeight="1">
      <c r="AW883" s="125">
        <v>583</v>
      </c>
    </row>
    <row r="884" spans="49:49" ht="15" customHeight="1">
      <c r="AW884" s="125">
        <v>584</v>
      </c>
    </row>
    <row r="885" spans="49:49" ht="15" customHeight="1">
      <c r="AW885" s="125">
        <v>585</v>
      </c>
    </row>
    <row r="886" spans="49:49" ht="15" customHeight="1">
      <c r="AW886" s="125">
        <v>586</v>
      </c>
    </row>
    <row r="887" spans="49:49" ht="15" customHeight="1">
      <c r="AW887" s="125">
        <v>587</v>
      </c>
    </row>
    <row r="888" spans="49:49" ht="15" customHeight="1">
      <c r="AW888" s="125">
        <v>588</v>
      </c>
    </row>
    <row r="889" spans="49:49" ht="15" customHeight="1">
      <c r="AW889" s="125">
        <v>589</v>
      </c>
    </row>
    <row r="890" spans="49:49" ht="15" customHeight="1">
      <c r="AW890" s="125">
        <v>590</v>
      </c>
    </row>
    <row r="891" spans="49:49" ht="15" customHeight="1">
      <c r="AW891" s="125">
        <v>591</v>
      </c>
    </row>
    <row r="892" spans="49:49" ht="15" customHeight="1">
      <c r="AW892" s="125">
        <v>592</v>
      </c>
    </row>
    <row r="893" spans="49:49" ht="15" customHeight="1">
      <c r="AW893" s="125">
        <v>593</v>
      </c>
    </row>
    <row r="894" spans="49:49" ht="15" customHeight="1">
      <c r="AW894" s="125">
        <v>594</v>
      </c>
    </row>
    <row r="895" spans="49:49" ht="15" customHeight="1">
      <c r="AW895" s="125">
        <v>595</v>
      </c>
    </row>
    <row r="896" spans="49:49" ht="15" customHeight="1">
      <c r="AW896" s="125">
        <v>596</v>
      </c>
    </row>
    <row r="897" spans="49:49" ht="15" customHeight="1">
      <c r="AW897" s="125">
        <v>597</v>
      </c>
    </row>
    <row r="898" spans="49:49" ht="15" customHeight="1">
      <c r="AW898" s="125">
        <v>598</v>
      </c>
    </row>
    <row r="899" spans="49:49" ht="15" customHeight="1">
      <c r="AW899" s="125">
        <v>599</v>
      </c>
    </row>
    <row r="900" spans="49:49" ht="15" customHeight="1">
      <c r="AW900" s="125">
        <v>600</v>
      </c>
    </row>
    <row r="901" spans="49:49" ht="15" customHeight="1">
      <c r="AW901" s="125">
        <v>601</v>
      </c>
    </row>
    <row r="902" spans="49:49" ht="15" customHeight="1">
      <c r="AW902" s="125">
        <v>602</v>
      </c>
    </row>
    <row r="903" spans="49:49" ht="15" customHeight="1">
      <c r="AW903" s="125">
        <v>603</v>
      </c>
    </row>
    <row r="904" spans="49:49" ht="15" customHeight="1">
      <c r="AW904" s="125">
        <v>604</v>
      </c>
    </row>
    <row r="905" spans="49:49" ht="15" customHeight="1">
      <c r="AW905" s="125">
        <v>605</v>
      </c>
    </row>
    <row r="906" spans="49:49" ht="15" customHeight="1">
      <c r="AW906" s="125">
        <v>606</v>
      </c>
    </row>
    <row r="907" spans="49:49" ht="15" customHeight="1">
      <c r="AW907" s="125">
        <v>607</v>
      </c>
    </row>
    <row r="908" spans="49:49" ht="15" customHeight="1">
      <c r="AW908" s="125">
        <v>608</v>
      </c>
    </row>
    <row r="909" spans="49:49" ht="15" customHeight="1">
      <c r="AW909" s="125">
        <v>609</v>
      </c>
    </row>
    <row r="910" spans="49:49" ht="15" customHeight="1">
      <c r="AW910" s="125">
        <v>610</v>
      </c>
    </row>
    <row r="911" spans="49:49" ht="15" customHeight="1">
      <c r="AW911" s="125">
        <v>611</v>
      </c>
    </row>
    <row r="912" spans="49:49" ht="15" customHeight="1">
      <c r="AW912" s="125">
        <v>612</v>
      </c>
    </row>
    <row r="913" spans="49:49" ht="15" customHeight="1">
      <c r="AW913" s="125">
        <v>613</v>
      </c>
    </row>
    <row r="914" spans="49:49" ht="15" customHeight="1">
      <c r="AW914" s="125">
        <v>614</v>
      </c>
    </row>
    <row r="915" spans="49:49" ht="15" customHeight="1">
      <c r="AW915" s="125">
        <v>615</v>
      </c>
    </row>
    <row r="916" spans="49:49" ht="15" customHeight="1">
      <c r="AW916" s="125">
        <v>616</v>
      </c>
    </row>
    <row r="917" spans="49:49" ht="15" customHeight="1">
      <c r="AW917" s="125">
        <v>617</v>
      </c>
    </row>
    <row r="918" spans="49:49" ht="15" customHeight="1">
      <c r="AW918" s="125">
        <v>618</v>
      </c>
    </row>
    <row r="919" spans="49:49" ht="15" customHeight="1">
      <c r="AW919" s="125">
        <v>619</v>
      </c>
    </row>
    <row r="920" spans="49:49" ht="15" customHeight="1">
      <c r="AW920" s="125">
        <v>620</v>
      </c>
    </row>
    <row r="921" spans="49:49" ht="15" customHeight="1">
      <c r="AW921" s="125">
        <v>621</v>
      </c>
    </row>
    <row r="922" spans="49:49" ht="15" customHeight="1">
      <c r="AW922" s="125">
        <v>622</v>
      </c>
    </row>
    <row r="923" spans="49:49" ht="15" customHeight="1">
      <c r="AW923" s="125">
        <v>623</v>
      </c>
    </row>
    <row r="924" spans="49:49" ht="15" customHeight="1">
      <c r="AW924" s="125">
        <v>624</v>
      </c>
    </row>
    <row r="925" spans="49:49" ht="15" customHeight="1">
      <c r="AW925" s="125">
        <v>625</v>
      </c>
    </row>
    <row r="926" spans="49:49" ht="15" customHeight="1">
      <c r="AW926" s="125">
        <v>626</v>
      </c>
    </row>
    <row r="927" spans="49:49" ht="15" customHeight="1">
      <c r="AW927" s="125">
        <v>627</v>
      </c>
    </row>
    <row r="928" spans="49:49" ht="15" customHeight="1">
      <c r="AW928" s="125">
        <v>628</v>
      </c>
    </row>
    <row r="929" spans="49:49" ht="15" customHeight="1">
      <c r="AW929" s="125">
        <v>629</v>
      </c>
    </row>
    <row r="930" spans="49:49" ht="15" customHeight="1">
      <c r="AW930" s="125">
        <v>630</v>
      </c>
    </row>
    <row r="931" spans="49:49" ht="15" customHeight="1">
      <c r="AW931" s="125">
        <v>631</v>
      </c>
    </row>
    <row r="932" spans="49:49" ht="15" customHeight="1">
      <c r="AW932" s="125">
        <v>632</v>
      </c>
    </row>
    <row r="933" spans="49:49" ht="15" customHeight="1">
      <c r="AW933" s="125">
        <v>633</v>
      </c>
    </row>
    <row r="934" spans="49:49" ht="15" customHeight="1">
      <c r="AW934" s="125">
        <v>634</v>
      </c>
    </row>
    <row r="935" spans="49:49" ht="15" customHeight="1">
      <c r="AW935" s="125">
        <v>635</v>
      </c>
    </row>
    <row r="936" spans="49:49" ht="15" customHeight="1">
      <c r="AW936" s="125">
        <v>636</v>
      </c>
    </row>
    <row r="937" spans="49:49" ht="15" customHeight="1">
      <c r="AW937" s="125">
        <v>637</v>
      </c>
    </row>
    <row r="938" spans="49:49" ht="15" customHeight="1">
      <c r="AW938" s="125">
        <v>638</v>
      </c>
    </row>
    <row r="939" spans="49:49" ht="15" customHeight="1">
      <c r="AW939" s="125">
        <v>639</v>
      </c>
    </row>
    <row r="940" spans="49:49" ht="15" customHeight="1">
      <c r="AW940" s="125">
        <v>640</v>
      </c>
    </row>
    <row r="941" spans="49:49" ht="15" customHeight="1">
      <c r="AW941" s="125">
        <v>641</v>
      </c>
    </row>
    <row r="942" spans="49:49" ht="15" customHeight="1">
      <c r="AW942" s="125">
        <v>642</v>
      </c>
    </row>
    <row r="943" spans="49:49" ht="15" customHeight="1">
      <c r="AW943" s="125">
        <v>643</v>
      </c>
    </row>
    <row r="944" spans="49:49" ht="15" customHeight="1">
      <c r="AW944" s="125">
        <v>644</v>
      </c>
    </row>
    <row r="945" spans="49:49" ht="15" customHeight="1">
      <c r="AW945" s="125">
        <v>645</v>
      </c>
    </row>
    <row r="946" spans="49:49" ht="15" customHeight="1">
      <c r="AW946" s="125">
        <v>646</v>
      </c>
    </row>
    <row r="947" spans="49:49" ht="15" customHeight="1">
      <c r="AW947" s="125">
        <v>647</v>
      </c>
    </row>
    <row r="948" spans="49:49" ht="15" customHeight="1">
      <c r="AW948" s="125">
        <v>648</v>
      </c>
    </row>
    <row r="949" spans="49:49" ht="15" customHeight="1">
      <c r="AW949" s="125">
        <v>649</v>
      </c>
    </row>
    <row r="950" spans="49:49" ht="15" customHeight="1">
      <c r="AW950" s="125">
        <v>650</v>
      </c>
    </row>
    <row r="951" spans="49:49" ht="15" customHeight="1">
      <c r="AW951" s="125">
        <v>651</v>
      </c>
    </row>
    <row r="952" spans="49:49" ht="15" customHeight="1">
      <c r="AW952" s="125">
        <v>652</v>
      </c>
    </row>
    <row r="953" spans="49:49" ht="15" customHeight="1">
      <c r="AW953" s="125">
        <v>653</v>
      </c>
    </row>
    <row r="954" spans="49:49" ht="15" customHeight="1">
      <c r="AW954" s="125">
        <v>654</v>
      </c>
    </row>
    <row r="955" spans="49:49" ht="15" customHeight="1">
      <c r="AW955" s="125">
        <v>655</v>
      </c>
    </row>
    <row r="956" spans="49:49" ht="15" customHeight="1">
      <c r="AW956" s="125">
        <v>656</v>
      </c>
    </row>
    <row r="957" spans="49:49" ht="15" customHeight="1">
      <c r="AW957" s="125">
        <v>657</v>
      </c>
    </row>
    <row r="958" spans="49:49" ht="15" customHeight="1">
      <c r="AW958" s="125">
        <v>658</v>
      </c>
    </row>
    <row r="959" spans="49:49" ht="15" customHeight="1">
      <c r="AW959" s="125">
        <v>659</v>
      </c>
    </row>
    <row r="960" spans="49:49" ht="15" customHeight="1">
      <c r="AW960" s="125">
        <v>660</v>
      </c>
    </row>
    <row r="961" spans="49:49" ht="15" customHeight="1">
      <c r="AW961" s="125">
        <v>661</v>
      </c>
    </row>
    <row r="962" spans="49:49" ht="15" customHeight="1">
      <c r="AW962" s="125">
        <v>662</v>
      </c>
    </row>
    <row r="963" spans="49:49" ht="15" customHeight="1">
      <c r="AW963" s="125">
        <v>663</v>
      </c>
    </row>
    <row r="964" spans="49:49" ht="15" customHeight="1">
      <c r="AW964" s="125">
        <v>664</v>
      </c>
    </row>
    <row r="965" spans="49:49" ht="15" customHeight="1">
      <c r="AW965" s="125">
        <v>665</v>
      </c>
    </row>
    <row r="966" spans="49:49" ht="15" customHeight="1">
      <c r="AW966" s="125">
        <v>666</v>
      </c>
    </row>
    <row r="967" spans="49:49" ht="15" customHeight="1">
      <c r="AW967" s="125">
        <v>667</v>
      </c>
    </row>
    <row r="968" spans="49:49" ht="15" customHeight="1">
      <c r="AW968" s="125">
        <v>668</v>
      </c>
    </row>
    <row r="969" spans="49:49" ht="15" customHeight="1">
      <c r="AW969" s="125">
        <v>669</v>
      </c>
    </row>
    <row r="970" spans="49:49" ht="15" customHeight="1">
      <c r="AW970" s="125">
        <v>670</v>
      </c>
    </row>
    <row r="971" spans="49:49" ht="15" customHeight="1">
      <c r="AW971" s="125">
        <v>671</v>
      </c>
    </row>
    <row r="972" spans="49:49" ht="15" customHeight="1">
      <c r="AW972" s="125">
        <v>672</v>
      </c>
    </row>
    <row r="973" spans="49:49" ht="15" customHeight="1">
      <c r="AW973" s="125">
        <v>673</v>
      </c>
    </row>
    <row r="974" spans="49:49" ht="15" customHeight="1">
      <c r="AW974" s="125">
        <v>674</v>
      </c>
    </row>
    <row r="975" spans="49:49" ht="15" customHeight="1">
      <c r="AW975" s="125">
        <v>675</v>
      </c>
    </row>
    <row r="976" spans="49:49" ht="15" customHeight="1">
      <c r="AW976" s="125">
        <v>676</v>
      </c>
    </row>
    <row r="977" spans="49:49" ht="15" customHeight="1">
      <c r="AW977" s="125">
        <v>677</v>
      </c>
    </row>
    <row r="978" spans="49:49" ht="15" customHeight="1">
      <c r="AW978" s="125">
        <v>678</v>
      </c>
    </row>
    <row r="979" spans="49:49" ht="15" customHeight="1">
      <c r="AW979" s="125">
        <v>679</v>
      </c>
    </row>
    <row r="980" spans="49:49" ht="15" customHeight="1">
      <c r="AW980" s="125">
        <v>680</v>
      </c>
    </row>
    <row r="981" spans="49:49" ht="15" customHeight="1">
      <c r="AW981" s="125">
        <v>681</v>
      </c>
    </row>
    <row r="982" spans="49:49" ht="15" customHeight="1">
      <c r="AW982" s="125">
        <v>682</v>
      </c>
    </row>
    <row r="983" spans="49:49" ht="15" customHeight="1">
      <c r="AW983" s="125">
        <v>683</v>
      </c>
    </row>
    <row r="984" spans="49:49" ht="15" customHeight="1">
      <c r="AW984" s="125">
        <v>684</v>
      </c>
    </row>
    <row r="985" spans="49:49" ht="15" customHeight="1">
      <c r="AW985" s="125">
        <v>685</v>
      </c>
    </row>
    <row r="986" spans="49:49" ht="15" customHeight="1">
      <c r="AW986" s="125">
        <v>686</v>
      </c>
    </row>
    <row r="987" spans="49:49" ht="15" customHeight="1">
      <c r="AW987" s="125">
        <v>687</v>
      </c>
    </row>
    <row r="988" spans="49:49" ht="15" customHeight="1">
      <c r="AW988" s="125">
        <v>688</v>
      </c>
    </row>
    <row r="989" spans="49:49" ht="15" customHeight="1">
      <c r="AW989" s="125">
        <v>689</v>
      </c>
    </row>
    <row r="990" spans="49:49" ht="15" customHeight="1">
      <c r="AW990" s="125">
        <v>690</v>
      </c>
    </row>
    <row r="991" spans="49:49" ht="15" customHeight="1">
      <c r="AW991" s="125">
        <v>691</v>
      </c>
    </row>
    <row r="992" spans="49:49" ht="15" customHeight="1">
      <c r="AW992" s="125">
        <v>692</v>
      </c>
    </row>
    <row r="993" spans="49:49" ht="15" customHeight="1">
      <c r="AW993" s="125">
        <v>693</v>
      </c>
    </row>
    <row r="994" spans="49:49" ht="15" customHeight="1">
      <c r="AW994" s="125">
        <v>694</v>
      </c>
    </row>
    <row r="995" spans="49:49" ht="15" customHeight="1">
      <c r="AW995" s="125">
        <v>695</v>
      </c>
    </row>
    <row r="996" spans="49:49" ht="15" customHeight="1">
      <c r="AW996" s="125">
        <v>696</v>
      </c>
    </row>
    <row r="997" spans="49:49" ht="15" customHeight="1">
      <c r="AW997" s="125">
        <v>697</v>
      </c>
    </row>
    <row r="998" spans="49:49" ht="15" customHeight="1">
      <c r="AW998" s="125">
        <v>698</v>
      </c>
    </row>
    <row r="999" spans="49:49" ht="15" customHeight="1">
      <c r="AW999" s="125">
        <v>699</v>
      </c>
    </row>
    <row r="1000" spans="49:49" ht="15" customHeight="1">
      <c r="AW1000" s="125">
        <v>700</v>
      </c>
    </row>
    <row r="1001" spans="49:49" ht="15" customHeight="1">
      <c r="AW1001" s="125">
        <v>701</v>
      </c>
    </row>
    <row r="1002" spans="49:49" ht="15" customHeight="1">
      <c r="AW1002" s="125">
        <v>702</v>
      </c>
    </row>
    <row r="1003" spans="49:49" ht="15" customHeight="1">
      <c r="AW1003" s="125">
        <v>703</v>
      </c>
    </row>
    <row r="1004" spans="49:49" ht="15" customHeight="1">
      <c r="AW1004" s="125">
        <v>704</v>
      </c>
    </row>
    <row r="1005" spans="49:49" ht="15" customHeight="1">
      <c r="AW1005" s="125">
        <v>705</v>
      </c>
    </row>
    <row r="1006" spans="49:49" ht="15" customHeight="1">
      <c r="AW1006" s="125">
        <v>706</v>
      </c>
    </row>
    <row r="1007" spans="49:49" ht="15" customHeight="1">
      <c r="AW1007" s="125">
        <v>707</v>
      </c>
    </row>
    <row r="1008" spans="49:49" ht="15" customHeight="1">
      <c r="AW1008" s="125">
        <v>708</v>
      </c>
    </row>
    <row r="1009" spans="49:49" ht="15" customHeight="1">
      <c r="AW1009" s="125">
        <v>709</v>
      </c>
    </row>
    <row r="1010" spans="49:49" ht="15" customHeight="1">
      <c r="AW1010" s="125">
        <v>710</v>
      </c>
    </row>
    <row r="1011" spans="49:49" ht="15" customHeight="1">
      <c r="AW1011" s="125">
        <v>711</v>
      </c>
    </row>
    <row r="1012" spans="49:49" ht="15" customHeight="1">
      <c r="AW1012" s="125">
        <v>712</v>
      </c>
    </row>
    <row r="1013" spans="49:49" ht="15" customHeight="1">
      <c r="AW1013" s="125">
        <v>713</v>
      </c>
    </row>
    <row r="1014" spans="49:49" ht="15" customHeight="1">
      <c r="AW1014" s="125">
        <v>714</v>
      </c>
    </row>
    <row r="1015" spans="49:49" ht="15" customHeight="1">
      <c r="AW1015" s="125">
        <v>715</v>
      </c>
    </row>
    <row r="1016" spans="49:49" ht="15" customHeight="1">
      <c r="AW1016" s="125">
        <v>716</v>
      </c>
    </row>
    <row r="1017" spans="49:49" ht="15" customHeight="1">
      <c r="AW1017" s="125">
        <v>717</v>
      </c>
    </row>
    <row r="1018" spans="49:49" ht="15" customHeight="1">
      <c r="AW1018" s="125">
        <v>718</v>
      </c>
    </row>
    <row r="1019" spans="49:49" ht="15" customHeight="1">
      <c r="AW1019" s="125">
        <v>719</v>
      </c>
    </row>
    <row r="1020" spans="49:49" ht="15" customHeight="1">
      <c r="AW1020" s="125">
        <v>720</v>
      </c>
    </row>
    <row r="1021" spans="49:49" ht="15" customHeight="1">
      <c r="AW1021" s="125">
        <v>721</v>
      </c>
    </row>
    <row r="1022" spans="49:49" ht="15" customHeight="1">
      <c r="AW1022" s="125">
        <v>722</v>
      </c>
    </row>
    <row r="1023" spans="49:49" ht="15" customHeight="1">
      <c r="AW1023" s="125">
        <v>723</v>
      </c>
    </row>
    <row r="1024" spans="49:49" ht="15" customHeight="1">
      <c r="AW1024" s="125">
        <v>724</v>
      </c>
    </row>
    <row r="1025" spans="49:49" ht="15" customHeight="1">
      <c r="AW1025" s="125">
        <v>725</v>
      </c>
    </row>
    <row r="1026" spans="49:49" ht="15" customHeight="1">
      <c r="AW1026" s="125">
        <v>726</v>
      </c>
    </row>
    <row r="1027" spans="49:49" ht="15" customHeight="1">
      <c r="AW1027" s="125">
        <v>727</v>
      </c>
    </row>
    <row r="1028" spans="49:49" ht="15" customHeight="1">
      <c r="AW1028" s="125">
        <v>728</v>
      </c>
    </row>
    <row r="1029" spans="49:49" ht="15" customHeight="1">
      <c r="AW1029" s="125">
        <v>729</v>
      </c>
    </row>
    <row r="1030" spans="49:49" ht="15" customHeight="1">
      <c r="AW1030" s="125">
        <v>730</v>
      </c>
    </row>
    <row r="1031" spans="49:49" ht="15" customHeight="1">
      <c r="AW1031" s="125">
        <v>731</v>
      </c>
    </row>
    <row r="1032" spans="49:49" ht="15" customHeight="1">
      <c r="AW1032" s="125">
        <v>732</v>
      </c>
    </row>
    <row r="1033" spans="49:49" ht="15" customHeight="1">
      <c r="AW1033" s="125">
        <v>733</v>
      </c>
    </row>
    <row r="1034" spans="49:49" ht="15" customHeight="1">
      <c r="AW1034" s="125">
        <v>734</v>
      </c>
    </row>
    <row r="1035" spans="49:49" ht="15" customHeight="1">
      <c r="AW1035" s="125">
        <v>735</v>
      </c>
    </row>
    <row r="1036" spans="49:49" ht="15" customHeight="1">
      <c r="AW1036" s="125">
        <v>736</v>
      </c>
    </row>
    <row r="1037" spans="49:49" ht="15" customHeight="1">
      <c r="AW1037" s="125">
        <v>737</v>
      </c>
    </row>
    <row r="1038" spans="49:49" ht="15" customHeight="1">
      <c r="AW1038" s="125">
        <v>738</v>
      </c>
    </row>
    <row r="1039" spans="49:49" ht="15" customHeight="1">
      <c r="AW1039" s="125">
        <v>739</v>
      </c>
    </row>
    <row r="1040" spans="49:49" ht="15" customHeight="1">
      <c r="AW1040" s="125">
        <v>740</v>
      </c>
    </row>
    <row r="1041" spans="49:49" ht="15" customHeight="1">
      <c r="AW1041" s="125">
        <v>741</v>
      </c>
    </row>
    <row r="1042" spans="49:49" ht="15" customHeight="1">
      <c r="AW1042" s="125">
        <v>742</v>
      </c>
    </row>
    <row r="1043" spans="49:49" ht="15" customHeight="1">
      <c r="AW1043" s="125">
        <v>743</v>
      </c>
    </row>
    <row r="1044" spans="49:49" ht="15" customHeight="1">
      <c r="AW1044" s="125">
        <v>744</v>
      </c>
    </row>
    <row r="1045" spans="49:49" ht="15" customHeight="1">
      <c r="AW1045" s="125">
        <v>745</v>
      </c>
    </row>
    <row r="1046" spans="49:49" ht="15" customHeight="1">
      <c r="AW1046" s="125">
        <v>746</v>
      </c>
    </row>
    <row r="1047" spans="49:49" ht="15" customHeight="1">
      <c r="AW1047" s="125">
        <v>747</v>
      </c>
    </row>
    <row r="1048" spans="49:49" ht="15" customHeight="1">
      <c r="AW1048" s="125">
        <v>748</v>
      </c>
    </row>
    <row r="1049" spans="49:49" ht="15" customHeight="1">
      <c r="AW1049" s="125">
        <v>749</v>
      </c>
    </row>
    <row r="1050" spans="49:49" ht="15" customHeight="1">
      <c r="AW1050" s="125">
        <v>750</v>
      </c>
    </row>
    <row r="1051" spans="49:49" ht="15" customHeight="1">
      <c r="AW1051" s="125">
        <v>751</v>
      </c>
    </row>
    <row r="1052" spans="49:49" ht="15" customHeight="1">
      <c r="AW1052" s="125">
        <v>752</v>
      </c>
    </row>
    <row r="1053" spans="49:49" ht="15" customHeight="1">
      <c r="AW1053" s="125">
        <v>753</v>
      </c>
    </row>
    <row r="1054" spans="49:49" ht="15" customHeight="1">
      <c r="AW1054" s="125">
        <v>754</v>
      </c>
    </row>
    <row r="1055" spans="49:49" ht="15" customHeight="1">
      <c r="AW1055" s="125">
        <v>755</v>
      </c>
    </row>
    <row r="1056" spans="49:49" ht="15" customHeight="1">
      <c r="AW1056" s="125">
        <v>756</v>
      </c>
    </row>
    <row r="1057" spans="49:49" ht="15" customHeight="1">
      <c r="AW1057" s="125">
        <v>757</v>
      </c>
    </row>
    <row r="1058" spans="49:49" ht="15" customHeight="1">
      <c r="AW1058" s="125">
        <v>758</v>
      </c>
    </row>
    <row r="1059" spans="49:49" ht="15" customHeight="1">
      <c r="AW1059" s="125">
        <v>759</v>
      </c>
    </row>
    <row r="1060" spans="49:49" ht="15" customHeight="1">
      <c r="AW1060" s="125">
        <v>760</v>
      </c>
    </row>
    <row r="1061" spans="49:49" ht="15" customHeight="1">
      <c r="AW1061" s="125">
        <v>761</v>
      </c>
    </row>
    <row r="1062" spans="49:49" ht="15" customHeight="1">
      <c r="AW1062" s="125">
        <v>762</v>
      </c>
    </row>
    <row r="1063" spans="49:49" ht="15" customHeight="1">
      <c r="AW1063" s="125">
        <v>763</v>
      </c>
    </row>
    <row r="1064" spans="49:49" ht="15" customHeight="1">
      <c r="AW1064" s="125">
        <v>764</v>
      </c>
    </row>
    <row r="1065" spans="49:49" ht="15" customHeight="1">
      <c r="AW1065" s="125">
        <v>765</v>
      </c>
    </row>
    <row r="1066" spans="49:49" ht="15" customHeight="1">
      <c r="AW1066" s="125">
        <v>766</v>
      </c>
    </row>
    <row r="1067" spans="49:49" ht="15" customHeight="1">
      <c r="AW1067" s="125">
        <v>767</v>
      </c>
    </row>
    <row r="1068" spans="49:49" ht="15" customHeight="1">
      <c r="AW1068" s="125">
        <v>768</v>
      </c>
    </row>
    <row r="1069" spans="49:49" ht="15" customHeight="1">
      <c r="AW1069" s="125">
        <v>769</v>
      </c>
    </row>
    <row r="1070" spans="49:49" ht="15" customHeight="1">
      <c r="AW1070" s="125">
        <v>770</v>
      </c>
    </row>
    <row r="1071" spans="49:49" ht="15" customHeight="1">
      <c r="AW1071" s="125">
        <v>771</v>
      </c>
    </row>
    <row r="1072" spans="49:49" ht="15" customHeight="1">
      <c r="AW1072" s="125">
        <v>772</v>
      </c>
    </row>
    <row r="1073" spans="49:49" ht="15" customHeight="1">
      <c r="AW1073" s="125">
        <v>773</v>
      </c>
    </row>
    <row r="1074" spans="49:49" ht="15" customHeight="1">
      <c r="AW1074" s="125">
        <v>774</v>
      </c>
    </row>
    <row r="1075" spans="49:49" ht="15" customHeight="1">
      <c r="AW1075" s="125">
        <v>775</v>
      </c>
    </row>
    <row r="1076" spans="49:49" ht="15" customHeight="1">
      <c r="AW1076" s="125">
        <v>776</v>
      </c>
    </row>
    <row r="1077" spans="49:49" ht="15" customHeight="1">
      <c r="AW1077" s="125">
        <v>777</v>
      </c>
    </row>
    <row r="1078" spans="49:49" ht="15" customHeight="1">
      <c r="AW1078" s="125">
        <v>778</v>
      </c>
    </row>
    <row r="1079" spans="49:49" ht="15" customHeight="1">
      <c r="AW1079" s="125">
        <v>779</v>
      </c>
    </row>
    <row r="1080" spans="49:49" ht="15" customHeight="1">
      <c r="AW1080" s="125">
        <v>780</v>
      </c>
    </row>
    <row r="1081" spans="49:49" ht="15" customHeight="1">
      <c r="AW1081" s="125">
        <v>781</v>
      </c>
    </row>
    <row r="1082" spans="49:49" ht="15" customHeight="1">
      <c r="AW1082" s="125">
        <v>782</v>
      </c>
    </row>
    <row r="1083" spans="49:49" ht="15" customHeight="1">
      <c r="AW1083" s="125">
        <v>783</v>
      </c>
    </row>
    <row r="1084" spans="49:49" ht="15" customHeight="1">
      <c r="AW1084" s="125">
        <v>784</v>
      </c>
    </row>
    <row r="1085" spans="49:49" ht="15" customHeight="1">
      <c r="AW1085" s="125">
        <v>785</v>
      </c>
    </row>
    <row r="1086" spans="49:49" ht="15" customHeight="1">
      <c r="AW1086" s="125">
        <v>786</v>
      </c>
    </row>
    <row r="1087" spans="49:49" ht="15" customHeight="1">
      <c r="AW1087" s="125">
        <v>787</v>
      </c>
    </row>
    <row r="1088" spans="49:49" ht="15" customHeight="1">
      <c r="AW1088" s="125">
        <v>788</v>
      </c>
    </row>
    <row r="1089" spans="49:49" ht="15" customHeight="1">
      <c r="AW1089" s="125">
        <v>789</v>
      </c>
    </row>
    <row r="1090" spans="49:49" ht="15" customHeight="1">
      <c r="AW1090" s="125">
        <v>790</v>
      </c>
    </row>
    <row r="1091" spans="49:49" ht="15" customHeight="1">
      <c r="AW1091" s="125">
        <v>791</v>
      </c>
    </row>
    <row r="1092" spans="49:49" ht="15" customHeight="1">
      <c r="AW1092" s="125">
        <v>792</v>
      </c>
    </row>
    <row r="1093" spans="49:49" ht="15" customHeight="1">
      <c r="AW1093" s="125">
        <v>793</v>
      </c>
    </row>
    <row r="1094" spans="49:49" ht="15" customHeight="1">
      <c r="AW1094" s="125">
        <v>794</v>
      </c>
    </row>
    <row r="1095" spans="49:49" ht="15" customHeight="1">
      <c r="AW1095" s="125">
        <v>795</v>
      </c>
    </row>
    <row r="1096" spans="49:49" ht="15" customHeight="1">
      <c r="AW1096" s="125">
        <v>796</v>
      </c>
    </row>
    <row r="1097" spans="49:49" ht="15" customHeight="1">
      <c r="AW1097" s="125">
        <v>797</v>
      </c>
    </row>
    <row r="1098" spans="49:49" ht="15" customHeight="1">
      <c r="AW1098" s="125">
        <v>798</v>
      </c>
    </row>
    <row r="1099" spans="49:49" ht="15" customHeight="1">
      <c r="AW1099" s="125">
        <v>799</v>
      </c>
    </row>
    <row r="1100" spans="49:49" ht="15" customHeight="1">
      <c r="AW1100" s="125">
        <v>800</v>
      </c>
    </row>
    <row r="1101" spans="49:49" ht="15" customHeight="1">
      <c r="AW1101" s="125">
        <v>801</v>
      </c>
    </row>
    <row r="1102" spans="49:49" ht="15" customHeight="1">
      <c r="AW1102" s="125">
        <v>802</v>
      </c>
    </row>
    <row r="1103" spans="49:49" ht="15" customHeight="1">
      <c r="AW1103" s="125">
        <v>803</v>
      </c>
    </row>
    <row r="1104" spans="49:49" ht="15" customHeight="1">
      <c r="AW1104" s="125">
        <v>804</v>
      </c>
    </row>
    <row r="1105" spans="49:49" ht="15" customHeight="1">
      <c r="AW1105" s="125">
        <v>805</v>
      </c>
    </row>
    <row r="1106" spans="49:49" ht="15" customHeight="1">
      <c r="AW1106" s="125">
        <v>806</v>
      </c>
    </row>
    <row r="1107" spans="49:49" ht="15" customHeight="1">
      <c r="AW1107" s="125">
        <v>807</v>
      </c>
    </row>
    <row r="1108" spans="49:49" ht="15" customHeight="1">
      <c r="AW1108" s="125">
        <v>808</v>
      </c>
    </row>
    <row r="1109" spans="49:49" ht="15" customHeight="1">
      <c r="AW1109" s="125">
        <v>809</v>
      </c>
    </row>
    <row r="1110" spans="49:49" ht="15" customHeight="1">
      <c r="AW1110" s="125">
        <v>810</v>
      </c>
    </row>
    <row r="1111" spans="49:49" ht="15" customHeight="1">
      <c r="AW1111" s="125">
        <v>811</v>
      </c>
    </row>
    <row r="1112" spans="49:49" ht="15" customHeight="1">
      <c r="AW1112" s="125">
        <v>812</v>
      </c>
    </row>
    <row r="1113" spans="49:49" ht="15" customHeight="1">
      <c r="AW1113" s="125">
        <v>813</v>
      </c>
    </row>
    <row r="1114" spans="49:49" ht="15" customHeight="1">
      <c r="AW1114" s="125">
        <v>814</v>
      </c>
    </row>
    <row r="1115" spans="49:49" ht="15" customHeight="1">
      <c r="AW1115" s="125">
        <v>815</v>
      </c>
    </row>
    <row r="1116" spans="49:49" ht="15" customHeight="1">
      <c r="AW1116" s="125">
        <v>816</v>
      </c>
    </row>
    <row r="1117" spans="49:49" ht="15" customHeight="1">
      <c r="AW1117" s="125">
        <v>817</v>
      </c>
    </row>
    <row r="1118" spans="49:49" ht="15" customHeight="1">
      <c r="AW1118" s="125">
        <v>818</v>
      </c>
    </row>
    <row r="1119" spans="49:49" ht="15" customHeight="1">
      <c r="AW1119" s="125">
        <v>819</v>
      </c>
    </row>
    <row r="1120" spans="49:49" ht="15" customHeight="1">
      <c r="AW1120" s="125">
        <v>820</v>
      </c>
    </row>
    <row r="1121" spans="49:49" ht="15" customHeight="1">
      <c r="AW1121" s="125">
        <v>821</v>
      </c>
    </row>
    <row r="1122" spans="49:49" ht="15" customHeight="1">
      <c r="AW1122" s="125">
        <v>822</v>
      </c>
    </row>
    <row r="1123" spans="49:49" ht="15" customHeight="1">
      <c r="AW1123" s="125">
        <v>823</v>
      </c>
    </row>
    <row r="1124" spans="49:49" ht="15" customHeight="1">
      <c r="AW1124" s="125">
        <v>824</v>
      </c>
    </row>
    <row r="1125" spans="49:49" ht="15" customHeight="1">
      <c r="AW1125" s="125">
        <v>825</v>
      </c>
    </row>
    <row r="1126" spans="49:49" ht="15" customHeight="1">
      <c r="AW1126" s="125">
        <v>826</v>
      </c>
    </row>
    <row r="1127" spans="49:49" ht="15" customHeight="1">
      <c r="AW1127" s="125">
        <v>827</v>
      </c>
    </row>
    <row r="1128" spans="49:49" ht="15" customHeight="1">
      <c r="AW1128" s="125">
        <v>828</v>
      </c>
    </row>
    <row r="1129" spans="49:49" ht="15" customHeight="1">
      <c r="AW1129" s="125">
        <v>829</v>
      </c>
    </row>
    <row r="1130" spans="49:49" ht="15" customHeight="1">
      <c r="AW1130" s="125">
        <v>830</v>
      </c>
    </row>
    <row r="1131" spans="49:49" ht="15" customHeight="1">
      <c r="AW1131" s="125">
        <v>831</v>
      </c>
    </row>
    <row r="1132" spans="49:49" ht="15" customHeight="1">
      <c r="AW1132" s="125">
        <v>832</v>
      </c>
    </row>
    <row r="1133" spans="49:49" ht="15" customHeight="1">
      <c r="AW1133" s="125">
        <v>833</v>
      </c>
    </row>
    <row r="1134" spans="49:49" ht="15" customHeight="1">
      <c r="AW1134" s="125">
        <v>834</v>
      </c>
    </row>
    <row r="1135" spans="49:49" ht="15" customHeight="1">
      <c r="AW1135" s="125">
        <v>835</v>
      </c>
    </row>
    <row r="1136" spans="49:49" ht="15" customHeight="1">
      <c r="AW1136" s="125">
        <v>836</v>
      </c>
    </row>
    <row r="1137" spans="49:49" ht="15" customHeight="1">
      <c r="AW1137" s="125">
        <v>837</v>
      </c>
    </row>
    <row r="1138" spans="49:49" ht="15" customHeight="1">
      <c r="AW1138" s="125">
        <v>838</v>
      </c>
    </row>
    <row r="1139" spans="49:49" ht="15" customHeight="1">
      <c r="AW1139" s="125">
        <v>839</v>
      </c>
    </row>
    <row r="1140" spans="49:49" ht="15" customHeight="1">
      <c r="AW1140" s="125">
        <v>840</v>
      </c>
    </row>
    <row r="1141" spans="49:49" ht="15" customHeight="1">
      <c r="AW1141" s="125">
        <v>841</v>
      </c>
    </row>
    <row r="1142" spans="49:49" ht="15" customHeight="1">
      <c r="AW1142" s="125">
        <v>842</v>
      </c>
    </row>
    <row r="1143" spans="49:49" ht="15" customHeight="1">
      <c r="AW1143" s="125">
        <v>843</v>
      </c>
    </row>
    <row r="1144" spans="49:49" ht="15" customHeight="1">
      <c r="AW1144" s="125">
        <v>844</v>
      </c>
    </row>
    <row r="1145" spans="49:49" ht="15" customHeight="1">
      <c r="AW1145" s="125">
        <v>845</v>
      </c>
    </row>
    <row r="1146" spans="49:49" ht="15" customHeight="1">
      <c r="AW1146" s="125">
        <v>846</v>
      </c>
    </row>
    <row r="1147" spans="49:49" ht="15" customHeight="1">
      <c r="AW1147" s="125">
        <v>847</v>
      </c>
    </row>
    <row r="1148" spans="49:49" ht="15" customHeight="1">
      <c r="AW1148" s="125">
        <v>848</v>
      </c>
    </row>
    <row r="1149" spans="49:49" ht="15" customHeight="1">
      <c r="AW1149" s="125">
        <v>849</v>
      </c>
    </row>
    <row r="1150" spans="49:49" ht="15" customHeight="1">
      <c r="AW1150" s="125">
        <v>850</v>
      </c>
    </row>
    <row r="1151" spans="49:49" ht="15" customHeight="1">
      <c r="AW1151" s="125">
        <v>851</v>
      </c>
    </row>
    <row r="1152" spans="49:49" ht="15" customHeight="1">
      <c r="AW1152" s="125">
        <v>852</v>
      </c>
    </row>
    <row r="1153" spans="49:49" ht="15" customHeight="1">
      <c r="AW1153" s="125">
        <v>853</v>
      </c>
    </row>
    <row r="1154" spans="49:49" ht="15" customHeight="1">
      <c r="AW1154" s="125">
        <v>854</v>
      </c>
    </row>
    <row r="1155" spans="49:49" ht="15" customHeight="1">
      <c r="AW1155" s="125">
        <v>855</v>
      </c>
    </row>
    <row r="1156" spans="49:49" ht="15" customHeight="1">
      <c r="AW1156" s="125">
        <v>856</v>
      </c>
    </row>
    <row r="1157" spans="49:49" ht="15" customHeight="1">
      <c r="AW1157" s="125">
        <v>857</v>
      </c>
    </row>
    <row r="1158" spans="49:49" ht="15" customHeight="1">
      <c r="AW1158" s="125">
        <v>858</v>
      </c>
    </row>
    <row r="1159" spans="49:49" ht="15" customHeight="1">
      <c r="AW1159" s="125">
        <v>859</v>
      </c>
    </row>
    <row r="1160" spans="49:49" ht="15" customHeight="1">
      <c r="AW1160" s="125">
        <v>860</v>
      </c>
    </row>
    <row r="1161" spans="49:49" ht="15" customHeight="1">
      <c r="AW1161" s="125">
        <v>861</v>
      </c>
    </row>
    <row r="1162" spans="49:49" ht="15" customHeight="1">
      <c r="AW1162" s="125">
        <v>862</v>
      </c>
    </row>
    <row r="1163" spans="49:49" ht="15" customHeight="1">
      <c r="AW1163" s="125">
        <v>863</v>
      </c>
    </row>
    <row r="1164" spans="49:49" ht="15" customHeight="1">
      <c r="AW1164" s="125">
        <v>864</v>
      </c>
    </row>
    <row r="1165" spans="49:49" ht="15" customHeight="1">
      <c r="AW1165" s="125">
        <v>865</v>
      </c>
    </row>
    <row r="1166" spans="49:49" ht="15" customHeight="1">
      <c r="AW1166" s="125">
        <v>866</v>
      </c>
    </row>
    <row r="1167" spans="49:49" ht="15" customHeight="1">
      <c r="AW1167" s="125">
        <v>867</v>
      </c>
    </row>
    <row r="1168" spans="49:49" ht="15" customHeight="1">
      <c r="AW1168" s="125">
        <v>868</v>
      </c>
    </row>
    <row r="1169" spans="49:49" ht="15" customHeight="1">
      <c r="AW1169" s="125">
        <v>869</v>
      </c>
    </row>
    <row r="1170" spans="49:49" ht="15" customHeight="1">
      <c r="AW1170" s="125">
        <v>870</v>
      </c>
    </row>
    <row r="1171" spans="49:49" ht="15" customHeight="1">
      <c r="AW1171" s="125">
        <v>871</v>
      </c>
    </row>
    <row r="1172" spans="49:49" ht="15" customHeight="1">
      <c r="AW1172" s="125">
        <v>872</v>
      </c>
    </row>
    <row r="1173" spans="49:49" ht="15" customHeight="1">
      <c r="AW1173" s="125">
        <v>873</v>
      </c>
    </row>
    <row r="1174" spans="49:49" ht="15" customHeight="1">
      <c r="AW1174" s="125">
        <v>874</v>
      </c>
    </row>
    <row r="1175" spans="49:49" ht="15" customHeight="1">
      <c r="AW1175" s="125">
        <v>875</v>
      </c>
    </row>
    <row r="1176" spans="49:49" ht="15" customHeight="1">
      <c r="AW1176" s="125">
        <v>876</v>
      </c>
    </row>
    <row r="1177" spans="49:49" ht="15" customHeight="1">
      <c r="AW1177" s="125">
        <v>877</v>
      </c>
    </row>
    <row r="1178" spans="49:49" ht="15" customHeight="1">
      <c r="AW1178" s="125">
        <v>878</v>
      </c>
    </row>
    <row r="1179" spans="49:49" ht="15" customHeight="1">
      <c r="AW1179" s="125">
        <v>879</v>
      </c>
    </row>
    <row r="1180" spans="49:49" ht="15" customHeight="1">
      <c r="AW1180" s="125">
        <v>880</v>
      </c>
    </row>
    <row r="1181" spans="49:49" ht="15" customHeight="1">
      <c r="AW1181" s="125">
        <v>881</v>
      </c>
    </row>
    <row r="1182" spans="49:49" ht="15" customHeight="1">
      <c r="AW1182" s="125">
        <v>882</v>
      </c>
    </row>
    <row r="1183" spans="49:49" ht="15" customHeight="1">
      <c r="AW1183" s="125">
        <v>883</v>
      </c>
    </row>
    <row r="1184" spans="49:49" ht="15" customHeight="1">
      <c r="AW1184" s="125">
        <v>884</v>
      </c>
    </row>
    <row r="1185" spans="49:49" ht="15" customHeight="1">
      <c r="AW1185" s="125">
        <v>885</v>
      </c>
    </row>
    <row r="1186" spans="49:49" ht="15" customHeight="1">
      <c r="AW1186" s="125">
        <v>886</v>
      </c>
    </row>
    <row r="1187" spans="49:49" ht="15" customHeight="1">
      <c r="AW1187" s="125">
        <v>887</v>
      </c>
    </row>
    <row r="1188" spans="49:49" ht="15" customHeight="1">
      <c r="AW1188" s="125">
        <v>888</v>
      </c>
    </row>
    <row r="1189" spans="49:49" ht="15" customHeight="1">
      <c r="AW1189" s="125">
        <v>889</v>
      </c>
    </row>
    <row r="1190" spans="49:49" ht="15" customHeight="1">
      <c r="AW1190" s="125">
        <v>890</v>
      </c>
    </row>
    <row r="1191" spans="49:49" ht="15" customHeight="1">
      <c r="AW1191" s="125">
        <v>891</v>
      </c>
    </row>
    <row r="1192" spans="49:49" ht="15" customHeight="1">
      <c r="AW1192" s="125">
        <v>892</v>
      </c>
    </row>
    <row r="1193" spans="49:49" ht="15" customHeight="1">
      <c r="AW1193" s="125">
        <v>893</v>
      </c>
    </row>
    <row r="1194" spans="49:49" ht="15" customHeight="1">
      <c r="AW1194" s="125">
        <v>894</v>
      </c>
    </row>
    <row r="1195" spans="49:49" ht="15" customHeight="1">
      <c r="AW1195" s="125">
        <v>895</v>
      </c>
    </row>
    <row r="1196" spans="49:49" ht="15" customHeight="1">
      <c r="AW1196" s="125">
        <v>896</v>
      </c>
    </row>
    <row r="1197" spans="49:49" ht="15" customHeight="1">
      <c r="AW1197" s="125">
        <v>897</v>
      </c>
    </row>
    <row r="1198" spans="49:49" ht="15" customHeight="1">
      <c r="AW1198" s="125">
        <v>898</v>
      </c>
    </row>
    <row r="1199" spans="49:49" ht="15" customHeight="1">
      <c r="AW1199" s="125">
        <v>899</v>
      </c>
    </row>
    <row r="1200" spans="49:49" ht="15" customHeight="1">
      <c r="AW1200" s="125">
        <v>900</v>
      </c>
    </row>
    <row r="1201" spans="49:49" ht="15" customHeight="1">
      <c r="AW1201" s="125">
        <v>901</v>
      </c>
    </row>
    <row r="1202" spans="49:49" ht="15" customHeight="1">
      <c r="AW1202" s="125">
        <v>902</v>
      </c>
    </row>
    <row r="1203" spans="49:49" ht="15" customHeight="1">
      <c r="AW1203" s="125">
        <v>903</v>
      </c>
    </row>
    <row r="1204" spans="49:49" ht="15" customHeight="1">
      <c r="AW1204" s="125">
        <v>904</v>
      </c>
    </row>
    <row r="1205" spans="49:49" ht="15" customHeight="1">
      <c r="AW1205" s="125">
        <v>905</v>
      </c>
    </row>
    <row r="1206" spans="49:49" ht="15" customHeight="1">
      <c r="AW1206" s="125">
        <v>906</v>
      </c>
    </row>
    <row r="1207" spans="49:49" ht="15" customHeight="1">
      <c r="AW1207" s="125">
        <v>907</v>
      </c>
    </row>
    <row r="1208" spans="49:49" ht="15" customHeight="1">
      <c r="AW1208" s="125">
        <v>908</v>
      </c>
    </row>
    <row r="1209" spans="49:49" ht="15" customHeight="1">
      <c r="AW1209" s="125">
        <v>909</v>
      </c>
    </row>
    <row r="1210" spans="49:49" ht="15" customHeight="1">
      <c r="AW1210" s="125">
        <v>910</v>
      </c>
    </row>
    <row r="1211" spans="49:49" ht="15" customHeight="1">
      <c r="AW1211" s="125">
        <v>911</v>
      </c>
    </row>
    <row r="1212" spans="49:49" ht="15" customHeight="1">
      <c r="AW1212" s="125">
        <v>912</v>
      </c>
    </row>
    <row r="1213" spans="49:49" ht="15" customHeight="1">
      <c r="AW1213" s="125">
        <v>913</v>
      </c>
    </row>
    <row r="1214" spans="49:49" ht="15" customHeight="1">
      <c r="AW1214" s="125">
        <v>914</v>
      </c>
    </row>
    <row r="1215" spans="49:49" ht="15" customHeight="1">
      <c r="AW1215" s="125">
        <v>915</v>
      </c>
    </row>
    <row r="1216" spans="49:49" ht="15" customHeight="1">
      <c r="AW1216" s="125">
        <v>916</v>
      </c>
    </row>
    <row r="1217" spans="49:49" ht="15" customHeight="1">
      <c r="AW1217" s="125">
        <v>917</v>
      </c>
    </row>
    <row r="1218" spans="49:49" ht="15" customHeight="1">
      <c r="AW1218" s="125">
        <v>918</v>
      </c>
    </row>
    <row r="1219" spans="49:49" ht="15" customHeight="1">
      <c r="AW1219" s="125">
        <v>919</v>
      </c>
    </row>
    <row r="1220" spans="49:49" ht="15" customHeight="1">
      <c r="AW1220" s="125">
        <v>920</v>
      </c>
    </row>
    <row r="1221" spans="49:49" ht="15" customHeight="1">
      <c r="AW1221" s="125">
        <v>921</v>
      </c>
    </row>
    <row r="1222" spans="49:49" ht="15" customHeight="1">
      <c r="AW1222" s="125">
        <v>922</v>
      </c>
    </row>
    <row r="1223" spans="49:49" ht="15" customHeight="1">
      <c r="AW1223" s="125">
        <v>923</v>
      </c>
    </row>
    <row r="1224" spans="49:49" ht="15" customHeight="1">
      <c r="AW1224" s="125">
        <v>924</v>
      </c>
    </row>
    <row r="1225" spans="49:49" ht="15" customHeight="1">
      <c r="AW1225" s="125">
        <v>925</v>
      </c>
    </row>
    <row r="1226" spans="49:49" ht="15" customHeight="1">
      <c r="AW1226" s="125">
        <v>926</v>
      </c>
    </row>
    <row r="1227" spans="49:49" ht="15" customHeight="1">
      <c r="AW1227" s="125">
        <v>927</v>
      </c>
    </row>
    <row r="1228" spans="49:49" ht="15" customHeight="1">
      <c r="AW1228" s="125">
        <v>928</v>
      </c>
    </row>
    <row r="1229" spans="49:49" ht="15" customHeight="1">
      <c r="AW1229" s="125">
        <v>929</v>
      </c>
    </row>
    <row r="1230" spans="49:49" ht="15" customHeight="1">
      <c r="AW1230" s="125">
        <v>930</v>
      </c>
    </row>
    <row r="1231" spans="49:49" ht="15" customHeight="1">
      <c r="AW1231" s="125">
        <v>931</v>
      </c>
    </row>
    <row r="1232" spans="49:49" ht="15" customHeight="1">
      <c r="AW1232" s="125">
        <v>932</v>
      </c>
    </row>
    <row r="1233" spans="49:49" ht="15" customHeight="1">
      <c r="AW1233" s="125">
        <v>933</v>
      </c>
    </row>
    <row r="1234" spans="49:49" ht="15" customHeight="1">
      <c r="AW1234" s="125">
        <v>934</v>
      </c>
    </row>
    <row r="1235" spans="49:49" ht="15" customHeight="1">
      <c r="AW1235" s="125">
        <v>935</v>
      </c>
    </row>
    <row r="1236" spans="49:49" ht="15" customHeight="1">
      <c r="AW1236" s="125">
        <v>936</v>
      </c>
    </row>
    <row r="1237" spans="49:49" ht="15" customHeight="1">
      <c r="AW1237" s="125">
        <v>937</v>
      </c>
    </row>
    <row r="1238" spans="49:49" ht="15" customHeight="1">
      <c r="AW1238" s="125">
        <v>938</v>
      </c>
    </row>
    <row r="1239" spans="49:49" ht="15" customHeight="1">
      <c r="AW1239" s="125">
        <v>939</v>
      </c>
    </row>
    <row r="1240" spans="49:49" ht="15" customHeight="1">
      <c r="AW1240" s="125">
        <v>940</v>
      </c>
    </row>
    <row r="1241" spans="49:49" ht="15" customHeight="1">
      <c r="AW1241" s="125">
        <v>941</v>
      </c>
    </row>
    <row r="1242" spans="49:49" ht="15" customHeight="1">
      <c r="AW1242" s="125">
        <v>942</v>
      </c>
    </row>
    <row r="1243" spans="49:49" ht="15" customHeight="1">
      <c r="AW1243" s="125">
        <v>943</v>
      </c>
    </row>
    <row r="1244" spans="49:49" ht="15" customHeight="1">
      <c r="AW1244" s="125">
        <v>944</v>
      </c>
    </row>
    <row r="1245" spans="49:49" ht="15" customHeight="1">
      <c r="AW1245" s="125">
        <v>945</v>
      </c>
    </row>
    <row r="1246" spans="49:49" ht="15" customHeight="1">
      <c r="AW1246" s="125">
        <v>946</v>
      </c>
    </row>
    <row r="1247" spans="49:49" ht="15" customHeight="1">
      <c r="AW1247" s="125">
        <v>947</v>
      </c>
    </row>
    <row r="1248" spans="49:49" ht="15" customHeight="1">
      <c r="AW1248" s="125">
        <v>948</v>
      </c>
    </row>
    <row r="1249" spans="49:49" ht="15" customHeight="1">
      <c r="AW1249" s="125">
        <v>949</v>
      </c>
    </row>
    <row r="1250" spans="49:49" ht="15" customHeight="1">
      <c r="AW1250" s="125">
        <v>950</v>
      </c>
    </row>
    <row r="1251" spans="49:49" ht="15" customHeight="1">
      <c r="AW1251" s="125">
        <v>951</v>
      </c>
    </row>
    <row r="1252" spans="49:49" ht="15" customHeight="1">
      <c r="AW1252" s="125">
        <v>952</v>
      </c>
    </row>
    <row r="1253" spans="49:49" ht="15" customHeight="1">
      <c r="AW1253" s="125">
        <v>953</v>
      </c>
    </row>
    <row r="1254" spans="49:49" ht="15" customHeight="1">
      <c r="AW1254" s="125">
        <v>954</v>
      </c>
    </row>
    <row r="1255" spans="49:49" ht="15" customHeight="1">
      <c r="AW1255" s="125">
        <v>955</v>
      </c>
    </row>
    <row r="1256" spans="49:49" ht="15" customHeight="1">
      <c r="AW1256" s="125">
        <v>956</v>
      </c>
    </row>
    <row r="1257" spans="49:49" ht="15" customHeight="1">
      <c r="AW1257" s="125">
        <v>957</v>
      </c>
    </row>
    <row r="1258" spans="49:49" ht="15" customHeight="1">
      <c r="AW1258" s="125">
        <v>958</v>
      </c>
    </row>
    <row r="1259" spans="49:49" ht="15" customHeight="1">
      <c r="AW1259" s="125">
        <v>959</v>
      </c>
    </row>
    <row r="1260" spans="49:49" ht="15" customHeight="1">
      <c r="AW1260" s="125">
        <v>960</v>
      </c>
    </row>
    <row r="1261" spans="49:49" ht="15" customHeight="1">
      <c r="AW1261" s="125">
        <v>961</v>
      </c>
    </row>
    <row r="1262" spans="49:49" ht="15" customHeight="1">
      <c r="AW1262" s="125">
        <v>962</v>
      </c>
    </row>
    <row r="1263" spans="49:49" ht="15" customHeight="1">
      <c r="AW1263" s="125">
        <v>963</v>
      </c>
    </row>
    <row r="1264" spans="49:49" ht="15" customHeight="1">
      <c r="AW1264" s="125">
        <v>964</v>
      </c>
    </row>
    <row r="1265" spans="49:49" ht="15" customHeight="1">
      <c r="AW1265" s="125">
        <v>965</v>
      </c>
    </row>
    <row r="1266" spans="49:49" ht="15" customHeight="1">
      <c r="AW1266" s="125">
        <v>966</v>
      </c>
    </row>
    <row r="1267" spans="49:49" ht="15" customHeight="1">
      <c r="AW1267" s="125">
        <v>967</v>
      </c>
    </row>
    <row r="1268" spans="49:49" ht="15" customHeight="1">
      <c r="AW1268" s="125">
        <v>968</v>
      </c>
    </row>
    <row r="1269" spans="49:49" ht="15" customHeight="1">
      <c r="AW1269" s="125">
        <v>969</v>
      </c>
    </row>
    <row r="1270" spans="49:49" ht="15" customHeight="1">
      <c r="AW1270" s="125">
        <v>970</v>
      </c>
    </row>
    <row r="1271" spans="49:49" ht="15" customHeight="1">
      <c r="AW1271" s="125">
        <v>971</v>
      </c>
    </row>
    <row r="1272" spans="49:49" ht="15" customHeight="1">
      <c r="AW1272" s="125">
        <v>972</v>
      </c>
    </row>
    <row r="1273" spans="49:49" ht="15" customHeight="1">
      <c r="AW1273" s="125">
        <v>973</v>
      </c>
    </row>
    <row r="1274" spans="49:49" ht="15" customHeight="1">
      <c r="AW1274" s="125">
        <v>974</v>
      </c>
    </row>
    <row r="1275" spans="49:49" ht="15" customHeight="1">
      <c r="AW1275" s="125">
        <v>975</v>
      </c>
    </row>
    <row r="1276" spans="49:49" ht="15" customHeight="1">
      <c r="AW1276" s="125">
        <v>976</v>
      </c>
    </row>
    <row r="1277" spans="49:49" ht="15" customHeight="1">
      <c r="AW1277" s="125">
        <v>977</v>
      </c>
    </row>
    <row r="1278" spans="49:49" ht="15" customHeight="1">
      <c r="AW1278" s="125">
        <v>978</v>
      </c>
    </row>
    <row r="1279" spans="49:49" ht="15" customHeight="1">
      <c r="AW1279" s="125">
        <v>979</v>
      </c>
    </row>
    <row r="1280" spans="49:49" ht="15" customHeight="1">
      <c r="AW1280" s="125">
        <v>980</v>
      </c>
    </row>
    <row r="1281" spans="49:49" ht="15" customHeight="1">
      <c r="AW1281" s="125">
        <v>981</v>
      </c>
    </row>
    <row r="1282" spans="49:49" ht="15" customHeight="1">
      <c r="AW1282" s="125">
        <v>982</v>
      </c>
    </row>
    <row r="1283" spans="49:49" ht="15" customHeight="1">
      <c r="AW1283" s="125">
        <v>983</v>
      </c>
    </row>
    <row r="1284" spans="49:49" ht="15" customHeight="1">
      <c r="AW1284" s="125">
        <v>984</v>
      </c>
    </row>
    <row r="1285" spans="49:49" ht="15" customHeight="1">
      <c r="AW1285" s="125">
        <v>985</v>
      </c>
    </row>
    <row r="1286" spans="49:49" ht="15" customHeight="1">
      <c r="AW1286" s="125">
        <v>986</v>
      </c>
    </row>
    <row r="1287" spans="49:49" ht="15" customHeight="1">
      <c r="AW1287" s="125">
        <v>987</v>
      </c>
    </row>
    <row r="1288" spans="49:49" ht="15" customHeight="1">
      <c r="AW1288" s="125">
        <v>988</v>
      </c>
    </row>
    <row r="1289" spans="49:49" ht="15" customHeight="1">
      <c r="AW1289" s="125">
        <v>989</v>
      </c>
    </row>
    <row r="1290" spans="49:49" ht="15" customHeight="1">
      <c r="AW1290" s="125">
        <v>990</v>
      </c>
    </row>
    <row r="1291" spans="49:49" ht="15" customHeight="1">
      <c r="AW1291" s="125">
        <v>991</v>
      </c>
    </row>
    <row r="1292" spans="49:49" ht="15" customHeight="1">
      <c r="AW1292" s="125">
        <v>992</v>
      </c>
    </row>
    <row r="1293" spans="49:49" ht="15" customHeight="1">
      <c r="AW1293" s="125">
        <v>993</v>
      </c>
    </row>
    <row r="1294" spans="49:49" ht="15" customHeight="1">
      <c r="AW1294" s="125">
        <v>994</v>
      </c>
    </row>
    <row r="1295" spans="49:49" ht="15" customHeight="1">
      <c r="AW1295" s="125">
        <v>995</v>
      </c>
    </row>
    <row r="1296" spans="49:49" ht="15" customHeight="1">
      <c r="AW1296" s="125">
        <v>996</v>
      </c>
    </row>
    <row r="1297" spans="49:49" ht="15" customHeight="1">
      <c r="AW1297" s="125">
        <v>997</v>
      </c>
    </row>
    <row r="1298" spans="49:49" ht="15" customHeight="1">
      <c r="AW1298" s="125">
        <v>998</v>
      </c>
    </row>
    <row r="1299" spans="49:49" ht="15" customHeight="1">
      <c r="AW1299" s="125">
        <v>999</v>
      </c>
    </row>
    <row r="1300" spans="49:49" ht="15" customHeight="1">
      <c r="AW1300" s="125">
        <v>1000</v>
      </c>
    </row>
    <row r="1301" spans="49:49" ht="15" customHeight="1">
      <c r="AW1301" s="125">
        <v>1001</v>
      </c>
    </row>
    <row r="1302" spans="49:49" ht="15" customHeight="1">
      <c r="AW1302" s="125">
        <v>1002</v>
      </c>
    </row>
    <row r="1303" spans="49:49" ht="15" customHeight="1">
      <c r="AW1303" s="125">
        <v>1003</v>
      </c>
    </row>
    <row r="1304" spans="49:49" ht="15" customHeight="1">
      <c r="AW1304" s="125">
        <v>1004</v>
      </c>
    </row>
    <row r="1305" spans="49:49" ht="15" customHeight="1">
      <c r="AW1305" s="125">
        <v>1005</v>
      </c>
    </row>
    <row r="1306" spans="49:49" ht="15" customHeight="1">
      <c r="AW1306" s="125">
        <v>1006</v>
      </c>
    </row>
    <row r="1307" spans="49:49" ht="15" customHeight="1">
      <c r="AW1307" s="125">
        <v>1007</v>
      </c>
    </row>
    <row r="1308" spans="49:49" ht="15" customHeight="1">
      <c r="AW1308" s="125">
        <v>1008</v>
      </c>
    </row>
    <row r="1309" spans="49:49" ht="15" customHeight="1">
      <c r="AW1309" s="125">
        <v>1009</v>
      </c>
    </row>
    <row r="1310" spans="49:49" ht="15" customHeight="1">
      <c r="AW1310" s="125">
        <v>1010</v>
      </c>
    </row>
    <row r="1311" spans="49:49" ht="15" customHeight="1">
      <c r="AW1311" s="125">
        <v>1011</v>
      </c>
    </row>
    <row r="1312" spans="49:49" ht="15" customHeight="1">
      <c r="AW1312" s="125">
        <v>1012</v>
      </c>
    </row>
    <row r="1313" spans="49:49" ht="15" customHeight="1">
      <c r="AW1313" s="125">
        <v>1013</v>
      </c>
    </row>
    <row r="1314" spans="49:49" ht="15" customHeight="1">
      <c r="AW1314" s="125">
        <v>1014</v>
      </c>
    </row>
    <row r="1315" spans="49:49" ht="15" customHeight="1">
      <c r="AW1315" s="125">
        <v>1015</v>
      </c>
    </row>
    <row r="1316" spans="49:49" ht="15" customHeight="1">
      <c r="AW1316" s="125">
        <v>1016</v>
      </c>
    </row>
    <row r="1317" spans="49:49" ht="15" customHeight="1">
      <c r="AW1317" s="125">
        <v>1017</v>
      </c>
    </row>
    <row r="1318" spans="49:49" ht="15" customHeight="1">
      <c r="AW1318" s="125">
        <v>1018</v>
      </c>
    </row>
    <row r="1319" spans="49:49" ht="15" customHeight="1">
      <c r="AW1319" s="125">
        <v>1019</v>
      </c>
    </row>
    <row r="1320" spans="49:49" ht="15" customHeight="1">
      <c r="AW1320" s="125">
        <v>1020</v>
      </c>
    </row>
    <row r="1321" spans="49:49" ht="15" customHeight="1">
      <c r="AW1321" s="125">
        <v>1021</v>
      </c>
    </row>
    <row r="1322" spans="49:49" ht="15" customHeight="1">
      <c r="AW1322" s="125">
        <v>1022</v>
      </c>
    </row>
    <row r="1323" spans="49:49" ht="15" customHeight="1">
      <c r="AW1323" s="125">
        <v>1023</v>
      </c>
    </row>
    <row r="1324" spans="49:49" ht="15" customHeight="1">
      <c r="AW1324" s="125">
        <v>1024</v>
      </c>
    </row>
    <row r="1325" spans="49:49" ht="15" customHeight="1">
      <c r="AW1325" s="125">
        <v>1025</v>
      </c>
    </row>
    <row r="1326" spans="49:49" ht="15" customHeight="1">
      <c r="AW1326" s="125">
        <v>1026</v>
      </c>
    </row>
    <row r="1327" spans="49:49" ht="15" customHeight="1">
      <c r="AW1327" s="125">
        <v>1027</v>
      </c>
    </row>
    <row r="1328" spans="49:49" ht="15" customHeight="1">
      <c r="AW1328" s="125">
        <v>1028</v>
      </c>
    </row>
    <row r="1329" spans="49:49" ht="15" customHeight="1">
      <c r="AW1329" s="125">
        <v>1029</v>
      </c>
    </row>
    <row r="1330" spans="49:49" ht="15" customHeight="1">
      <c r="AW1330" s="125">
        <v>1030</v>
      </c>
    </row>
    <row r="1331" spans="49:49" ht="15" customHeight="1">
      <c r="AW1331" s="125">
        <v>1031</v>
      </c>
    </row>
    <row r="1332" spans="49:49" ht="15" customHeight="1">
      <c r="AW1332" s="125">
        <v>1032</v>
      </c>
    </row>
    <row r="1333" spans="49:49" ht="15" customHeight="1">
      <c r="AW1333" s="125">
        <v>1033</v>
      </c>
    </row>
    <row r="1334" spans="49:49" ht="15" customHeight="1">
      <c r="AW1334" s="125">
        <v>1034</v>
      </c>
    </row>
    <row r="1335" spans="49:49" ht="15" customHeight="1">
      <c r="AW1335" s="125">
        <v>1035</v>
      </c>
    </row>
    <row r="1336" spans="49:49" ht="15" customHeight="1">
      <c r="AW1336" s="125">
        <v>1036</v>
      </c>
    </row>
    <row r="1337" spans="49:49" ht="15" customHeight="1">
      <c r="AW1337" s="125">
        <v>1037</v>
      </c>
    </row>
    <row r="1338" spans="49:49" ht="15" customHeight="1">
      <c r="AW1338" s="125">
        <v>1038</v>
      </c>
    </row>
    <row r="1339" spans="49:49" ht="15" customHeight="1">
      <c r="AW1339" s="125">
        <v>1039</v>
      </c>
    </row>
    <row r="1340" spans="49:49" ht="15" customHeight="1">
      <c r="AW1340" s="125">
        <v>1040</v>
      </c>
    </row>
    <row r="1341" spans="49:49" ht="15" customHeight="1">
      <c r="AW1341" s="125">
        <v>1041</v>
      </c>
    </row>
    <row r="1342" spans="49:49" ht="15" customHeight="1">
      <c r="AW1342" s="125">
        <v>1042</v>
      </c>
    </row>
    <row r="1343" spans="49:49" ht="15" customHeight="1">
      <c r="AW1343" s="125">
        <v>1043</v>
      </c>
    </row>
    <row r="1344" spans="49:49" ht="15" customHeight="1">
      <c r="AW1344" s="125">
        <v>1044</v>
      </c>
    </row>
    <row r="1345" spans="49:49" ht="15" customHeight="1">
      <c r="AW1345" s="125">
        <v>1045</v>
      </c>
    </row>
    <row r="1346" spans="49:49" ht="15" customHeight="1">
      <c r="AW1346" s="125">
        <v>1046</v>
      </c>
    </row>
    <row r="1347" spans="49:49" ht="15" customHeight="1">
      <c r="AW1347" s="125">
        <v>1047</v>
      </c>
    </row>
    <row r="1348" spans="49:49" ht="15" customHeight="1">
      <c r="AW1348" s="125">
        <v>1048</v>
      </c>
    </row>
    <row r="1349" spans="49:49" ht="15" customHeight="1">
      <c r="AW1349" s="125">
        <v>1049</v>
      </c>
    </row>
    <row r="1350" spans="49:49" ht="15" customHeight="1">
      <c r="AW1350" s="125">
        <v>1050</v>
      </c>
    </row>
    <row r="1351" spans="49:49" ht="15" customHeight="1">
      <c r="AW1351" s="125">
        <v>1051</v>
      </c>
    </row>
    <row r="1352" spans="49:49" ht="15" customHeight="1">
      <c r="AW1352" s="125">
        <v>1052</v>
      </c>
    </row>
    <row r="1353" spans="49:49" ht="15" customHeight="1">
      <c r="AW1353" s="125">
        <v>1053</v>
      </c>
    </row>
    <row r="1354" spans="49:49" ht="15" customHeight="1">
      <c r="AW1354" s="125">
        <v>1054</v>
      </c>
    </row>
    <row r="1355" spans="49:49" ht="15" customHeight="1">
      <c r="AW1355" s="125">
        <v>1055</v>
      </c>
    </row>
    <row r="1356" spans="49:49" ht="15" customHeight="1">
      <c r="AW1356" s="125">
        <v>1056</v>
      </c>
    </row>
    <row r="1357" spans="49:49" ht="15" customHeight="1">
      <c r="AW1357" s="125">
        <v>1057</v>
      </c>
    </row>
    <row r="1358" spans="49:49" ht="15" customHeight="1">
      <c r="AW1358" s="125">
        <v>1058</v>
      </c>
    </row>
    <row r="1359" spans="49:49" ht="15" customHeight="1">
      <c r="AW1359" s="125">
        <v>1059</v>
      </c>
    </row>
    <row r="1360" spans="49:49" ht="15" customHeight="1">
      <c r="AW1360" s="125">
        <v>1060</v>
      </c>
    </row>
    <row r="1361" spans="49:49" ht="15" customHeight="1">
      <c r="AW1361" s="125">
        <v>1061</v>
      </c>
    </row>
    <row r="1362" spans="49:49" ht="15" customHeight="1">
      <c r="AW1362" s="125">
        <v>1062</v>
      </c>
    </row>
    <row r="1363" spans="49:49" ht="15" customHeight="1">
      <c r="AW1363" s="125">
        <v>1063</v>
      </c>
    </row>
    <row r="1364" spans="49:49" ht="15" customHeight="1">
      <c r="AW1364" s="125">
        <v>1064</v>
      </c>
    </row>
    <row r="1365" spans="49:49" ht="15" customHeight="1">
      <c r="AW1365" s="125">
        <v>1065</v>
      </c>
    </row>
    <row r="1366" spans="49:49" ht="15" customHeight="1">
      <c r="AW1366" s="125">
        <v>1066</v>
      </c>
    </row>
    <row r="1367" spans="49:49" ht="15" customHeight="1">
      <c r="AW1367" s="125">
        <v>1067</v>
      </c>
    </row>
    <row r="1368" spans="49:49" ht="15" customHeight="1">
      <c r="AW1368" s="125">
        <v>1068</v>
      </c>
    </row>
    <row r="1369" spans="49:49" ht="15" customHeight="1">
      <c r="AW1369" s="125">
        <v>1069</v>
      </c>
    </row>
    <row r="1370" spans="49:49" ht="15" customHeight="1">
      <c r="AW1370" s="125">
        <v>1070</v>
      </c>
    </row>
    <row r="1371" spans="49:49" ht="15" customHeight="1">
      <c r="AW1371" s="125">
        <v>1071</v>
      </c>
    </row>
    <row r="1372" spans="49:49" ht="15" customHeight="1">
      <c r="AW1372" s="125">
        <v>1072</v>
      </c>
    </row>
    <row r="1373" spans="49:49" ht="15" customHeight="1">
      <c r="AW1373" s="125">
        <v>1073</v>
      </c>
    </row>
    <row r="1374" spans="49:49" ht="15" customHeight="1">
      <c r="AW1374" s="125">
        <v>1074</v>
      </c>
    </row>
    <row r="1375" spans="49:49" ht="15" customHeight="1">
      <c r="AW1375" s="125">
        <v>1075</v>
      </c>
    </row>
    <row r="1376" spans="49:49" ht="15" customHeight="1">
      <c r="AW1376" s="125">
        <v>1076</v>
      </c>
    </row>
    <row r="1377" spans="49:49" ht="15" customHeight="1">
      <c r="AW1377" s="125">
        <v>1077</v>
      </c>
    </row>
    <row r="1378" spans="49:49" ht="15" customHeight="1">
      <c r="AW1378" s="125">
        <v>1078</v>
      </c>
    </row>
    <row r="1379" spans="49:49" ht="15" customHeight="1">
      <c r="AW1379" s="125">
        <v>1079</v>
      </c>
    </row>
    <row r="1380" spans="49:49" ht="15" customHeight="1">
      <c r="AW1380" s="125">
        <v>1080</v>
      </c>
    </row>
    <row r="1381" spans="49:49" ht="15" customHeight="1">
      <c r="AW1381" s="125">
        <v>1081</v>
      </c>
    </row>
    <row r="1382" spans="49:49" ht="15" customHeight="1">
      <c r="AW1382" s="125">
        <v>1082</v>
      </c>
    </row>
    <row r="1383" spans="49:49" ht="15" customHeight="1">
      <c r="AW1383" s="125">
        <v>1083</v>
      </c>
    </row>
    <row r="1384" spans="49:49" ht="15" customHeight="1">
      <c r="AW1384" s="125">
        <v>1084</v>
      </c>
    </row>
    <row r="1385" spans="49:49" ht="15" customHeight="1">
      <c r="AW1385" s="125">
        <v>1085</v>
      </c>
    </row>
    <row r="1386" spans="49:49" ht="15" customHeight="1">
      <c r="AW1386" s="125">
        <v>1086</v>
      </c>
    </row>
    <row r="1387" spans="49:49" ht="15" customHeight="1">
      <c r="AW1387" s="125">
        <v>1087</v>
      </c>
    </row>
    <row r="1388" spans="49:49" ht="15" customHeight="1">
      <c r="AW1388" s="125">
        <v>1088</v>
      </c>
    </row>
    <row r="1389" spans="49:49" ht="15" customHeight="1">
      <c r="AW1389" s="125">
        <v>1089</v>
      </c>
    </row>
    <row r="1390" spans="49:49" ht="15" customHeight="1">
      <c r="AW1390" s="125">
        <v>1090</v>
      </c>
    </row>
    <row r="1391" spans="49:49" ht="15" customHeight="1">
      <c r="AW1391" s="125">
        <v>1091</v>
      </c>
    </row>
    <row r="1392" spans="49:49" ht="15" customHeight="1">
      <c r="AW1392" s="125">
        <v>1092</v>
      </c>
    </row>
    <row r="1393" spans="49:49" ht="15" customHeight="1">
      <c r="AW1393" s="125">
        <v>1093</v>
      </c>
    </row>
    <row r="1394" spans="49:49" ht="15" customHeight="1">
      <c r="AW1394" s="125">
        <v>1094</v>
      </c>
    </row>
    <row r="1395" spans="49:49" ht="15" customHeight="1">
      <c r="AW1395" s="125">
        <v>1095</v>
      </c>
    </row>
    <row r="1396" spans="49:49" ht="15" customHeight="1">
      <c r="AW1396" s="125">
        <v>1096</v>
      </c>
    </row>
    <row r="1397" spans="49:49" ht="15" customHeight="1">
      <c r="AW1397" s="125">
        <v>1097</v>
      </c>
    </row>
    <row r="1398" spans="49:49" ht="15" customHeight="1">
      <c r="AW1398" s="125">
        <v>1098</v>
      </c>
    </row>
    <row r="1399" spans="49:49" ht="15" customHeight="1">
      <c r="AW1399" s="125">
        <v>1099</v>
      </c>
    </row>
    <row r="1400" spans="49:49" ht="15" customHeight="1">
      <c r="AW1400" s="125">
        <v>1100</v>
      </c>
    </row>
    <row r="1401" spans="49:49" ht="15" customHeight="1">
      <c r="AW1401" s="125">
        <v>1101</v>
      </c>
    </row>
    <row r="1402" spans="49:49" ht="15" customHeight="1">
      <c r="AW1402" s="125">
        <v>1102</v>
      </c>
    </row>
    <row r="1403" spans="49:49" ht="15" customHeight="1">
      <c r="AW1403" s="125">
        <v>1103</v>
      </c>
    </row>
    <row r="1404" spans="49:49" ht="15" customHeight="1">
      <c r="AW1404" s="125">
        <v>1104</v>
      </c>
    </row>
    <row r="1405" spans="49:49" ht="15" customHeight="1">
      <c r="AW1405" s="125">
        <v>1105</v>
      </c>
    </row>
    <row r="1406" spans="49:49" ht="15" customHeight="1">
      <c r="AW1406" s="125">
        <v>1106</v>
      </c>
    </row>
    <row r="1407" spans="49:49" ht="15" customHeight="1">
      <c r="AW1407" s="125">
        <v>1107</v>
      </c>
    </row>
    <row r="1408" spans="49:49" ht="15" customHeight="1">
      <c r="AW1408" s="125">
        <v>1108</v>
      </c>
    </row>
    <row r="1409" spans="49:49" ht="15" customHeight="1">
      <c r="AW1409" s="125">
        <v>1109</v>
      </c>
    </row>
    <row r="1410" spans="49:49" ht="15" customHeight="1">
      <c r="AW1410" s="125">
        <v>1110</v>
      </c>
    </row>
    <row r="1411" spans="49:49" ht="15" customHeight="1">
      <c r="AW1411" s="125">
        <v>1111</v>
      </c>
    </row>
    <row r="1412" spans="49:49" ht="15" customHeight="1">
      <c r="AW1412" s="125">
        <v>1112</v>
      </c>
    </row>
    <row r="1413" spans="49:49" ht="15" customHeight="1">
      <c r="AW1413" s="125">
        <v>1113</v>
      </c>
    </row>
    <row r="1414" spans="49:49" ht="15" customHeight="1">
      <c r="AW1414" s="125">
        <v>1114</v>
      </c>
    </row>
    <row r="1415" spans="49:49" ht="15" customHeight="1">
      <c r="AW1415" s="125">
        <v>1115</v>
      </c>
    </row>
    <row r="1416" spans="49:49" ht="15" customHeight="1">
      <c r="AW1416" s="125">
        <v>1116</v>
      </c>
    </row>
    <row r="1417" spans="49:49" ht="15" customHeight="1">
      <c r="AW1417" s="125">
        <v>1117</v>
      </c>
    </row>
    <row r="1418" spans="49:49" ht="15" customHeight="1">
      <c r="AW1418" s="125">
        <v>1118</v>
      </c>
    </row>
    <row r="1419" spans="49:49" ht="15" customHeight="1">
      <c r="AW1419" s="125">
        <v>1119</v>
      </c>
    </row>
    <row r="1420" spans="49:49" ht="15" customHeight="1">
      <c r="AW1420" s="125">
        <v>1120</v>
      </c>
    </row>
    <row r="1421" spans="49:49" ht="15" customHeight="1">
      <c r="AW1421" s="125">
        <v>1121</v>
      </c>
    </row>
    <row r="1422" spans="49:49" ht="15" customHeight="1">
      <c r="AW1422" s="125">
        <v>1122</v>
      </c>
    </row>
    <row r="1423" spans="49:49" ht="15" customHeight="1">
      <c r="AW1423" s="125">
        <v>1123</v>
      </c>
    </row>
    <row r="1424" spans="49:49" ht="15" customHeight="1">
      <c r="AW1424" s="125">
        <v>1124</v>
      </c>
    </row>
    <row r="1425" spans="49:49" ht="15" customHeight="1">
      <c r="AW1425" s="125">
        <v>1125</v>
      </c>
    </row>
    <row r="1426" spans="49:49" ht="15" customHeight="1">
      <c r="AW1426" s="125">
        <v>1126</v>
      </c>
    </row>
    <row r="1427" spans="49:49" ht="15" customHeight="1">
      <c r="AW1427" s="125">
        <v>1127</v>
      </c>
    </row>
    <row r="1428" spans="49:49" ht="15" customHeight="1">
      <c r="AW1428" s="125">
        <v>1128</v>
      </c>
    </row>
    <row r="1429" spans="49:49" ht="15" customHeight="1">
      <c r="AW1429" s="125">
        <v>1129</v>
      </c>
    </row>
    <row r="1430" spans="49:49" ht="15" customHeight="1">
      <c r="AW1430" s="125">
        <v>1130</v>
      </c>
    </row>
    <row r="1431" spans="49:49" ht="15" customHeight="1">
      <c r="AW1431" s="125">
        <v>1131</v>
      </c>
    </row>
    <row r="1432" spans="49:49" ht="15" customHeight="1">
      <c r="AW1432" s="125">
        <v>1132</v>
      </c>
    </row>
    <row r="1433" spans="49:49" ht="15" customHeight="1">
      <c r="AW1433" s="125">
        <v>1133</v>
      </c>
    </row>
    <row r="1434" spans="49:49" ht="15" customHeight="1">
      <c r="AW1434" s="125">
        <v>1134</v>
      </c>
    </row>
    <row r="1435" spans="49:49" ht="15" customHeight="1">
      <c r="AW1435" s="125">
        <v>1135</v>
      </c>
    </row>
    <row r="1436" spans="49:49" ht="15" customHeight="1">
      <c r="AW1436" s="125">
        <v>1136</v>
      </c>
    </row>
    <row r="1437" spans="49:49" ht="15" customHeight="1">
      <c r="AW1437" s="125">
        <v>1137</v>
      </c>
    </row>
    <row r="1438" spans="49:49" ht="15" customHeight="1">
      <c r="AW1438" s="125">
        <v>1138</v>
      </c>
    </row>
    <row r="1439" spans="49:49" ht="15" customHeight="1">
      <c r="AW1439" s="125">
        <v>1139</v>
      </c>
    </row>
    <row r="1440" spans="49:49" ht="15" customHeight="1">
      <c r="AW1440" s="125">
        <v>1140</v>
      </c>
    </row>
    <row r="1441" spans="49:49" ht="15" customHeight="1">
      <c r="AW1441" s="125">
        <v>1141</v>
      </c>
    </row>
    <row r="1442" spans="49:49" ht="15" customHeight="1">
      <c r="AW1442" s="125">
        <v>1142</v>
      </c>
    </row>
    <row r="1443" spans="49:49" ht="15" customHeight="1">
      <c r="AW1443" s="125">
        <v>1143</v>
      </c>
    </row>
    <row r="1444" spans="49:49" ht="15" customHeight="1">
      <c r="AW1444" s="125">
        <v>1144</v>
      </c>
    </row>
    <row r="1445" spans="49:49" ht="15" customHeight="1">
      <c r="AW1445" s="125">
        <v>1145</v>
      </c>
    </row>
    <row r="1446" spans="49:49" ht="15" customHeight="1">
      <c r="AW1446" s="125">
        <v>1146</v>
      </c>
    </row>
    <row r="1447" spans="49:49" ht="15" customHeight="1">
      <c r="AW1447" s="125">
        <v>1147</v>
      </c>
    </row>
    <row r="1448" spans="49:49" ht="15" customHeight="1">
      <c r="AW1448" s="125">
        <v>1148</v>
      </c>
    </row>
    <row r="1449" spans="49:49" ht="15" customHeight="1">
      <c r="AW1449" s="125">
        <v>1149</v>
      </c>
    </row>
    <row r="1450" spans="49:49" ht="15" customHeight="1">
      <c r="AW1450" s="125">
        <v>1150</v>
      </c>
    </row>
    <row r="1451" spans="49:49" ht="15" customHeight="1">
      <c r="AW1451" s="125">
        <v>1151</v>
      </c>
    </row>
    <row r="1452" spans="49:49" ht="15" customHeight="1">
      <c r="AW1452" s="125">
        <v>1152</v>
      </c>
    </row>
    <row r="1453" spans="49:49" ht="15" customHeight="1">
      <c r="AW1453" s="125">
        <v>1153</v>
      </c>
    </row>
    <row r="1454" spans="49:49" ht="15" customHeight="1">
      <c r="AW1454" s="125">
        <v>1154</v>
      </c>
    </row>
    <row r="1455" spans="49:49" ht="15" customHeight="1">
      <c r="AW1455" s="125">
        <v>1155</v>
      </c>
    </row>
    <row r="1456" spans="49:49" ht="15" customHeight="1">
      <c r="AW1456" s="125">
        <v>1156</v>
      </c>
    </row>
    <row r="1457" spans="49:49" ht="15" customHeight="1">
      <c r="AW1457" s="125">
        <v>1157</v>
      </c>
    </row>
    <row r="1458" spans="49:49" ht="15" customHeight="1">
      <c r="AW1458" s="125">
        <v>1158</v>
      </c>
    </row>
    <row r="1459" spans="49:49" ht="15" customHeight="1">
      <c r="AW1459" s="125">
        <v>1159</v>
      </c>
    </row>
    <row r="1460" spans="49:49" ht="15" customHeight="1">
      <c r="AW1460" s="125">
        <v>1160</v>
      </c>
    </row>
    <row r="1461" spans="49:49" ht="15" customHeight="1">
      <c r="AW1461" s="125">
        <v>1161</v>
      </c>
    </row>
    <row r="1462" spans="49:49" ht="15" customHeight="1">
      <c r="AW1462" s="125">
        <v>1162</v>
      </c>
    </row>
    <row r="1463" spans="49:49" ht="15" customHeight="1">
      <c r="AW1463" s="125">
        <v>1163</v>
      </c>
    </row>
    <row r="1464" spans="49:49" ht="15" customHeight="1">
      <c r="AW1464" s="125">
        <v>1164</v>
      </c>
    </row>
    <row r="1465" spans="49:49" ht="15" customHeight="1">
      <c r="AW1465" s="125">
        <v>1165</v>
      </c>
    </row>
    <row r="1466" spans="49:49" ht="15" customHeight="1">
      <c r="AW1466" s="125">
        <v>1166</v>
      </c>
    </row>
    <row r="1467" spans="49:49" ht="15" customHeight="1">
      <c r="AW1467" s="125">
        <v>1167</v>
      </c>
    </row>
    <row r="1468" spans="49:49" ht="15" customHeight="1">
      <c r="AW1468" s="125">
        <v>1168</v>
      </c>
    </row>
    <row r="1469" spans="49:49" ht="15" customHeight="1">
      <c r="AW1469" s="125">
        <v>1169</v>
      </c>
    </row>
    <row r="1470" spans="49:49" ht="15" customHeight="1">
      <c r="AW1470" s="125">
        <v>1170</v>
      </c>
    </row>
    <row r="1471" spans="49:49" ht="15" customHeight="1">
      <c r="AW1471" s="125">
        <v>1171</v>
      </c>
    </row>
    <row r="1472" spans="49:49" ht="15" customHeight="1">
      <c r="AW1472" s="125">
        <v>1172</v>
      </c>
    </row>
    <row r="1473" spans="49:49" ht="15" customHeight="1">
      <c r="AW1473" s="125">
        <v>1173</v>
      </c>
    </row>
    <row r="1474" spans="49:49" ht="15" customHeight="1">
      <c r="AW1474" s="125">
        <v>1174</v>
      </c>
    </row>
    <row r="1475" spans="49:49" ht="15" customHeight="1">
      <c r="AW1475" s="125">
        <v>1175</v>
      </c>
    </row>
    <row r="1476" spans="49:49" ht="15" customHeight="1">
      <c r="AW1476" s="125">
        <v>1176</v>
      </c>
    </row>
    <row r="1477" spans="49:49" ht="15" customHeight="1">
      <c r="AW1477" s="125">
        <v>1177</v>
      </c>
    </row>
    <row r="1478" spans="49:49" ht="15" customHeight="1">
      <c r="AW1478" s="125">
        <v>1178</v>
      </c>
    </row>
    <row r="1479" spans="49:49" ht="15" customHeight="1">
      <c r="AW1479" s="125">
        <v>1179</v>
      </c>
    </row>
    <row r="1480" spans="49:49" ht="15" customHeight="1">
      <c r="AW1480" s="125">
        <v>1180</v>
      </c>
    </row>
    <row r="1481" spans="49:49" ht="15" customHeight="1">
      <c r="AW1481" s="125">
        <v>1181</v>
      </c>
    </row>
    <row r="1482" spans="49:49" ht="15" customHeight="1">
      <c r="AW1482" s="125">
        <v>1182</v>
      </c>
    </row>
    <row r="1483" spans="49:49" ht="15" customHeight="1">
      <c r="AW1483" s="125">
        <v>1183</v>
      </c>
    </row>
    <row r="1484" spans="49:49" ht="15" customHeight="1">
      <c r="AW1484" s="125">
        <v>1184</v>
      </c>
    </row>
    <row r="1485" spans="49:49" ht="15" customHeight="1">
      <c r="AW1485" s="125">
        <v>1185</v>
      </c>
    </row>
    <row r="1486" spans="49:49" ht="15" customHeight="1">
      <c r="AW1486" s="125">
        <v>1186</v>
      </c>
    </row>
    <row r="1487" spans="49:49" ht="15" customHeight="1">
      <c r="AW1487" s="125">
        <v>1187</v>
      </c>
    </row>
    <row r="1488" spans="49:49" ht="15" customHeight="1">
      <c r="AW1488" s="125">
        <v>1188</v>
      </c>
    </row>
    <row r="1489" spans="49:49" ht="15" customHeight="1">
      <c r="AW1489" s="125">
        <v>1189</v>
      </c>
    </row>
    <row r="1490" spans="49:49" ht="15" customHeight="1">
      <c r="AW1490" s="125">
        <v>1190</v>
      </c>
    </row>
    <row r="1491" spans="49:49" ht="15" customHeight="1">
      <c r="AW1491" s="125">
        <v>1191</v>
      </c>
    </row>
    <row r="1492" spans="49:49" ht="15" customHeight="1">
      <c r="AW1492" s="125">
        <v>1192</v>
      </c>
    </row>
    <row r="1493" spans="49:49" ht="15" customHeight="1">
      <c r="AW1493" s="125">
        <v>1193</v>
      </c>
    </row>
    <row r="1494" spans="49:49" ht="15" customHeight="1">
      <c r="AW1494" s="125">
        <v>1194</v>
      </c>
    </row>
    <row r="1495" spans="49:49" ht="15" customHeight="1">
      <c r="AW1495" s="125">
        <v>1195</v>
      </c>
    </row>
    <row r="1496" spans="49:49" ht="15" customHeight="1">
      <c r="AW1496" s="125">
        <v>1196</v>
      </c>
    </row>
    <row r="1497" spans="49:49" ht="15" customHeight="1">
      <c r="AW1497" s="125">
        <v>1197</v>
      </c>
    </row>
    <row r="1498" spans="49:49" ht="15" customHeight="1">
      <c r="AW1498" s="125">
        <v>1198</v>
      </c>
    </row>
    <row r="1499" spans="49:49" ht="15" customHeight="1">
      <c r="AW1499" s="125">
        <v>1199</v>
      </c>
    </row>
    <row r="1500" spans="49:49" ht="15" customHeight="1">
      <c r="AW1500" s="125">
        <v>1200</v>
      </c>
    </row>
    <row r="1501" spans="49:49" ht="15" customHeight="1">
      <c r="AW1501" s="125">
        <v>1201</v>
      </c>
    </row>
    <row r="1502" spans="49:49" ht="15" customHeight="1">
      <c r="AW1502" s="125">
        <v>1202</v>
      </c>
    </row>
    <row r="1503" spans="49:49" ht="15" customHeight="1">
      <c r="AW1503" s="125">
        <v>1203</v>
      </c>
    </row>
    <row r="1504" spans="49:49" ht="15" customHeight="1">
      <c r="AW1504" s="125">
        <v>1204</v>
      </c>
    </row>
    <row r="1505" spans="49:49" ht="15" customHeight="1">
      <c r="AW1505" s="125">
        <v>1205</v>
      </c>
    </row>
    <row r="1506" spans="49:49" ht="15" customHeight="1">
      <c r="AW1506" s="125">
        <v>1206</v>
      </c>
    </row>
    <row r="1507" spans="49:49" ht="15" customHeight="1">
      <c r="AW1507" s="125">
        <v>1207</v>
      </c>
    </row>
    <row r="1508" spans="49:49" ht="15" customHeight="1">
      <c r="AW1508" s="125">
        <v>1208</v>
      </c>
    </row>
    <row r="1509" spans="49:49" ht="15" customHeight="1">
      <c r="AW1509" s="125">
        <v>1209</v>
      </c>
    </row>
    <row r="1510" spans="49:49" ht="15" customHeight="1">
      <c r="AW1510" s="125">
        <v>1210</v>
      </c>
    </row>
    <row r="1511" spans="49:49" ht="15" customHeight="1">
      <c r="AW1511" s="125">
        <v>1211</v>
      </c>
    </row>
    <row r="1512" spans="49:49" ht="15" customHeight="1">
      <c r="AW1512" s="125">
        <v>1212</v>
      </c>
    </row>
    <row r="1513" spans="49:49" ht="15" customHeight="1">
      <c r="AW1513" s="125">
        <v>1213</v>
      </c>
    </row>
    <row r="1514" spans="49:49" ht="15" customHeight="1">
      <c r="AW1514" s="125">
        <v>1214</v>
      </c>
    </row>
    <row r="1515" spans="49:49" ht="15" customHeight="1">
      <c r="AW1515" s="125">
        <v>1215</v>
      </c>
    </row>
    <row r="1516" spans="49:49" ht="15" customHeight="1">
      <c r="AW1516" s="125">
        <v>1216</v>
      </c>
    </row>
    <row r="1517" spans="49:49" ht="15" customHeight="1">
      <c r="AW1517" s="125">
        <v>1217</v>
      </c>
    </row>
    <row r="1518" spans="49:49" ht="15" customHeight="1">
      <c r="AW1518" s="125">
        <v>1218</v>
      </c>
    </row>
    <row r="1519" spans="49:49" ht="15" customHeight="1">
      <c r="AW1519" s="125">
        <v>1219</v>
      </c>
    </row>
    <row r="1520" spans="49:49" ht="15" customHeight="1">
      <c r="AW1520" s="125">
        <v>1220</v>
      </c>
    </row>
    <row r="1521" spans="49:49" ht="15" customHeight="1">
      <c r="AW1521" s="125">
        <v>1221</v>
      </c>
    </row>
    <row r="1522" spans="49:49" ht="15" customHeight="1">
      <c r="AW1522" s="125">
        <v>1222</v>
      </c>
    </row>
    <row r="1523" spans="49:49" ht="15" customHeight="1">
      <c r="AW1523" s="125">
        <v>1223</v>
      </c>
    </row>
    <row r="1524" spans="49:49" ht="15" customHeight="1">
      <c r="AW1524" s="125">
        <v>1224</v>
      </c>
    </row>
    <row r="1525" spans="49:49" ht="15" customHeight="1">
      <c r="AW1525" s="125">
        <v>1225</v>
      </c>
    </row>
    <row r="1526" spans="49:49" ht="15" customHeight="1">
      <c r="AW1526" s="125">
        <v>1226</v>
      </c>
    </row>
    <row r="1527" spans="49:49" ht="15" customHeight="1">
      <c r="AW1527" s="125">
        <v>1227</v>
      </c>
    </row>
    <row r="1528" spans="49:49" ht="15" customHeight="1">
      <c r="AW1528" s="125">
        <v>1228</v>
      </c>
    </row>
    <row r="1529" spans="49:49" ht="15" customHeight="1">
      <c r="AW1529" s="125">
        <v>1229</v>
      </c>
    </row>
    <row r="1530" spans="49:49" ht="15" customHeight="1">
      <c r="AW1530" s="125">
        <v>1230</v>
      </c>
    </row>
    <row r="1531" spans="49:49" ht="15" customHeight="1">
      <c r="AW1531" s="125">
        <v>1231</v>
      </c>
    </row>
    <row r="1532" spans="49:49" ht="15" customHeight="1">
      <c r="AW1532" s="125">
        <v>1232</v>
      </c>
    </row>
    <row r="1533" spans="49:49" ht="15" customHeight="1">
      <c r="AW1533" s="125">
        <v>1233</v>
      </c>
    </row>
    <row r="1534" spans="49:49" ht="15" customHeight="1">
      <c r="AW1534" s="125">
        <v>1234</v>
      </c>
    </row>
    <row r="1535" spans="49:49" ht="15" customHeight="1">
      <c r="AW1535" s="125">
        <v>1235</v>
      </c>
    </row>
    <row r="1536" spans="49:49" ht="15" customHeight="1">
      <c r="AW1536" s="125">
        <v>1236</v>
      </c>
    </row>
    <row r="1537" spans="49:49" ht="15" customHeight="1">
      <c r="AW1537" s="125">
        <v>1237</v>
      </c>
    </row>
    <row r="1538" spans="49:49" ht="15" customHeight="1">
      <c r="AW1538" s="125">
        <v>1238</v>
      </c>
    </row>
    <row r="1539" spans="49:49" ht="15" customHeight="1">
      <c r="AW1539" s="125">
        <v>1239</v>
      </c>
    </row>
    <row r="1540" spans="49:49" ht="15" customHeight="1">
      <c r="AW1540" s="125">
        <v>1240</v>
      </c>
    </row>
    <row r="1541" spans="49:49" ht="15" customHeight="1">
      <c r="AW1541" s="125">
        <v>1241</v>
      </c>
    </row>
    <row r="1542" spans="49:49" ht="15" customHeight="1">
      <c r="AW1542" s="125">
        <v>1242</v>
      </c>
    </row>
    <row r="1543" spans="49:49" ht="15" customHeight="1">
      <c r="AW1543" s="125">
        <v>1243</v>
      </c>
    </row>
    <row r="1544" spans="49:49" ht="15" customHeight="1">
      <c r="AW1544" s="125">
        <v>1244</v>
      </c>
    </row>
    <row r="1545" spans="49:49" ht="15" customHeight="1">
      <c r="AW1545" s="125">
        <v>1245</v>
      </c>
    </row>
    <row r="1546" spans="49:49" ht="15" customHeight="1">
      <c r="AW1546" s="125">
        <v>1246</v>
      </c>
    </row>
    <row r="1547" spans="49:49" ht="15" customHeight="1">
      <c r="AW1547" s="125">
        <v>1247</v>
      </c>
    </row>
    <row r="1548" spans="49:49" ht="15" customHeight="1">
      <c r="AW1548" s="125">
        <v>1248</v>
      </c>
    </row>
    <row r="1549" spans="49:49" ht="15" customHeight="1">
      <c r="AW1549" s="125">
        <v>1249</v>
      </c>
    </row>
    <row r="1550" spans="49:49" ht="15" customHeight="1">
      <c r="AW1550" s="125">
        <v>1250</v>
      </c>
    </row>
    <row r="1551" spans="49:49" ht="15" customHeight="1">
      <c r="AW1551" s="125">
        <v>1251</v>
      </c>
    </row>
    <row r="1552" spans="49:49" ht="15" customHeight="1">
      <c r="AW1552" s="125">
        <v>1252</v>
      </c>
    </row>
    <row r="1553" spans="49:49" ht="15" customHeight="1">
      <c r="AW1553" s="125">
        <v>1253</v>
      </c>
    </row>
    <row r="1554" spans="49:49" ht="15" customHeight="1">
      <c r="AW1554" s="125">
        <v>1254</v>
      </c>
    </row>
    <row r="1555" spans="49:49" ht="15" customHeight="1">
      <c r="AW1555" s="125">
        <v>1255</v>
      </c>
    </row>
    <row r="1556" spans="49:49" ht="15" customHeight="1">
      <c r="AW1556" s="125">
        <v>1256</v>
      </c>
    </row>
    <row r="1557" spans="49:49" ht="15" customHeight="1">
      <c r="AW1557" s="125">
        <v>1257</v>
      </c>
    </row>
    <row r="1558" spans="49:49" ht="15" customHeight="1">
      <c r="AW1558" s="125">
        <v>1258</v>
      </c>
    </row>
    <row r="1559" spans="49:49" ht="15" customHeight="1">
      <c r="AW1559" s="125">
        <v>1259</v>
      </c>
    </row>
    <row r="1560" spans="49:49" ht="15" customHeight="1">
      <c r="AW1560" s="125">
        <v>1260</v>
      </c>
    </row>
    <row r="1561" spans="49:49" ht="15" customHeight="1">
      <c r="AW1561" s="125">
        <v>1261</v>
      </c>
    </row>
    <row r="1562" spans="49:49" ht="15" customHeight="1">
      <c r="AW1562" s="125">
        <v>1262</v>
      </c>
    </row>
    <row r="1563" spans="49:49" ht="15" customHeight="1">
      <c r="AW1563" s="125">
        <v>1263</v>
      </c>
    </row>
    <row r="1564" spans="49:49" ht="15" customHeight="1">
      <c r="AW1564" s="125">
        <v>1264</v>
      </c>
    </row>
    <row r="1565" spans="49:49" ht="15" customHeight="1">
      <c r="AW1565" s="125">
        <v>1265</v>
      </c>
    </row>
    <row r="1566" spans="49:49" ht="15" customHeight="1">
      <c r="AW1566" s="125">
        <v>1266</v>
      </c>
    </row>
    <row r="1567" spans="49:49" ht="15" customHeight="1">
      <c r="AW1567" s="125">
        <v>1267</v>
      </c>
    </row>
    <row r="1568" spans="49:49" ht="15" customHeight="1">
      <c r="AW1568" s="125">
        <v>1268</v>
      </c>
    </row>
    <row r="1569" spans="49:49" ht="15" customHeight="1">
      <c r="AW1569" s="125">
        <v>1269</v>
      </c>
    </row>
    <row r="1570" spans="49:49" ht="15" customHeight="1">
      <c r="AW1570" s="125">
        <v>1270</v>
      </c>
    </row>
    <row r="1571" spans="49:49" ht="15" customHeight="1">
      <c r="AW1571" s="125">
        <v>1271</v>
      </c>
    </row>
    <row r="1572" spans="49:49" ht="15" customHeight="1">
      <c r="AW1572" s="125">
        <v>1272</v>
      </c>
    </row>
    <row r="1573" spans="49:49" ht="15" customHeight="1">
      <c r="AW1573" s="125">
        <v>1273</v>
      </c>
    </row>
    <row r="1574" spans="49:49" ht="15" customHeight="1">
      <c r="AW1574" s="125">
        <v>1274</v>
      </c>
    </row>
    <row r="1575" spans="49:49" ht="15" customHeight="1">
      <c r="AW1575" s="125">
        <v>1275</v>
      </c>
    </row>
    <row r="1576" spans="49:49" ht="15" customHeight="1">
      <c r="AW1576" s="125">
        <v>1276</v>
      </c>
    </row>
    <row r="1577" spans="49:49" ht="15" customHeight="1">
      <c r="AW1577" s="125">
        <v>1277</v>
      </c>
    </row>
    <row r="1578" spans="49:49" ht="15" customHeight="1">
      <c r="AW1578" s="125">
        <v>1278</v>
      </c>
    </row>
    <row r="1579" spans="49:49" ht="15" customHeight="1">
      <c r="AW1579" s="125">
        <v>1279</v>
      </c>
    </row>
    <row r="1580" spans="49:49" ht="15" customHeight="1">
      <c r="AW1580" s="125">
        <v>1280</v>
      </c>
    </row>
    <row r="1581" spans="49:49" ht="15" customHeight="1">
      <c r="AW1581" s="125">
        <v>1281</v>
      </c>
    </row>
    <row r="1582" spans="49:49" ht="15" customHeight="1">
      <c r="AW1582" s="125">
        <v>1282</v>
      </c>
    </row>
    <row r="1583" spans="49:49" ht="15" customHeight="1">
      <c r="AW1583" s="125">
        <v>1283</v>
      </c>
    </row>
    <row r="1584" spans="49:49" ht="15" customHeight="1">
      <c r="AW1584" s="125">
        <v>1284</v>
      </c>
    </row>
    <row r="1585" spans="49:49" ht="15" customHeight="1">
      <c r="AW1585" s="125">
        <v>1285</v>
      </c>
    </row>
    <row r="1586" spans="49:49" ht="15" customHeight="1">
      <c r="AW1586" s="125">
        <v>1286</v>
      </c>
    </row>
    <row r="1587" spans="49:49" ht="15" customHeight="1">
      <c r="AW1587" s="125">
        <v>1287</v>
      </c>
    </row>
    <row r="1588" spans="49:49" ht="15" customHeight="1">
      <c r="AW1588" s="125">
        <v>1288</v>
      </c>
    </row>
    <row r="1589" spans="49:49" ht="15" customHeight="1">
      <c r="AW1589" s="125">
        <v>1289</v>
      </c>
    </row>
    <row r="1590" spans="49:49" ht="15" customHeight="1">
      <c r="AW1590" s="125">
        <v>1290</v>
      </c>
    </row>
    <row r="1591" spans="49:49" ht="15" customHeight="1">
      <c r="AW1591" s="125">
        <v>1291</v>
      </c>
    </row>
    <row r="1592" spans="49:49" ht="15" customHeight="1">
      <c r="AW1592" s="125">
        <v>1292</v>
      </c>
    </row>
    <row r="1593" spans="49:49" ht="15" customHeight="1">
      <c r="AW1593" s="125">
        <v>1293</v>
      </c>
    </row>
    <row r="1594" spans="49:49" ht="15" customHeight="1">
      <c r="AW1594" s="125">
        <v>1294</v>
      </c>
    </row>
    <row r="1595" spans="49:49" ht="15" customHeight="1">
      <c r="AW1595" s="125">
        <v>1295</v>
      </c>
    </row>
    <row r="1596" spans="49:49" ht="15" customHeight="1">
      <c r="AW1596" s="125">
        <v>1296</v>
      </c>
    </row>
    <row r="1597" spans="49:49" ht="15" customHeight="1">
      <c r="AW1597" s="125">
        <v>1297</v>
      </c>
    </row>
    <row r="1598" spans="49:49" ht="15" customHeight="1">
      <c r="AW1598" s="125">
        <v>1298</v>
      </c>
    </row>
    <row r="1599" spans="49:49" ht="15" customHeight="1">
      <c r="AW1599" s="125">
        <v>1299</v>
      </c>
    </row>
    <row r="1600" spans="49:49" ht="15" customHeight="1">
      <c r="AW1600" s="125">
        <v>1300</v>
      </c>
    </row>
    <row r="1601" spans="49:49" ht="15" customHeight="1">
      <c r="AW1601" s="125">
        <v>1301</v>
      </c>
    </row>
    <row r="1602" spans="49:49" ht="15" customHeight="1">
      <c r="AW1602" s="125">
        <v>1302</v>
      </c>
    </row>
    <row r="1603" spans="49:49" ht="15" customHeight="1">
      <c r="AW1603" s="125">
        <v>1303</v>
      </c>
    </row>
    <row r="1604" spans="49:49" ht="15" customHeight="1">
      <c r="AW1604" s="125">
        <v>1304</v>
      </c>
    </row>
    <row r="1605" spans="49:49" ht="15" customHeight="1">
      <c r="AW1605" s="125">
        <v>1305</v>
      </c>
    </row>
    <row r="1606" spans="49:49" ht="15" customHeight="1">
      <c r="AW1606" s="125">
        <v>1306</v>
      </c>
    </row>
    <row r="1607" spans="49:49" ht="15" customHeight="1">
      <c r="AW1607" s="125">
        <v>1307</v>
      </c>
    </row>
    <row r="1608" spans="49:49" ht="15" customHeight="1">
      <c r="AW1608" s="125">
        <v>1308</v>
      </c>
    </row>
    <row r="1609" spans="49:49" ht="15" customHeight="1">
      <c r="AW1609" s="125">
        <v>1309</v>
      </c>
    </row>
    <row r="1610" spans="49:49" ht="15" customHeight="1">
      <c r="AW1610" s="125">
        <v>1310</v>
      </c>
    </row>
    <row r="1611" spans="49:49" ht="15" customHeight="1">
      <c r="AW1611" s="125">
        <v>1311</v>
      </c>
    </row>
    <row r="1612" spans="49:49" ht="15" customHeight="1">
      <c r="AW1612" s="125">
        <v>1312</v>
      </c>
    </row>
    <row r="1613" spans="49:49" ht="15" customHeight="1">
      <c r="AW1613" s="125">
        <v>1313</v>
      </c>
    </row>
    <row r="1614" spans="49:49" ht="15" customHeight="1">
      <c r="AW1614" s="125">
        <v>1314</v>
      </c>
    </row>
    <row r="1615" spans="49:49" ht="15" customHeight="1">
      <c r="AW1615" s="125">
        <v>1315</v>
      </c>
    </row>
    <row r="1616" spans="49:49" ht="15" customHeight="1">
      <c r="AW1616" s="125">
        <v>1316</v>
      </c>
    </row>
    <row r="1617" spans="49:49" ht="15" customHeight="1">
      <c r="AW1617" s="125">
        <v>1317</v>
      </c>
    </row>
    <row r="1618" spans="49:49" ht="15" customHeight="1">
      <c r="AW1618" s="125">
        <v>1318</v>
      </c>
    </row>
    <row r="1619" spans="49:49" ht="15" customHeight="1">
      <c r="AW1619" s="125">
        <v>1319</v>
      </c>
    </row>
    <row r="1620" spans="49:49" ht="15" customHeight="1">
      <c r="AW1620" s="125">
        <v>1320</v>
      </c>
    </row>
    <row r="1621" spans="49:49" ht="15" customHeight="1">
      <c r="AW1621" s="125">
        <v>1321</v>
      </c>
    </row>
    <row r="1622" spans="49:49" ht="15" customHeight="1">
      <c r="AW1622" s="125">
        <v>1322</v>
      </c>
    </row>
    <row r="1623" spans="49:49" ht="15" customHeight="1">
      <c r="AW1623" s="125">
        <v>1323</v>
      </c>
    </row>
    <row r="1624" spans="49:49" ht="15" customHeight="1">
      <c r="AW1624" s="125">
        <v>1324</v>
      </c>
    </row>
    <row r="1625" spans="49:49" ht="15" customHeight="1">
      <c r="AW1625" s="125">
        <v>1325</v>
      </c>
    </row>
    <row r="1626" spans="49:49" ht="15" customHeight="1">
      <c r="AW1626" s="125">
        <v>1326</v>
      </c>
    </row>
    <row r="1627" spans="49:49" ht="15" customHeight="1">
      <c r="AW1627" s="125">
        <v>1327</v>
      </c>
    </row>
    <row r="1628" spans="49:49" ht="15" customHeight="1">
      <c r="AW1628" s="125">
        <v>1328</v>
      </c>
    </row>
    <row r="1629" spans="49:49" ht="15" customHeight="1">
      <c r="AW1629" s="125">
        <v>1329</v>
      </c>
    </row>
    <row r="1630" spans="49:49" ht="15" customHeight="1">
      <c r="AW1630" s="125">
        <v>1330</v>
      </c>
    </row>
    <row r="1631" spans="49:49" ht="15" customHeight="1">
      <c r="AW1631" s="125">
        <v>1331</v>
      </c>
    </row>
    <row r="1632" spans="49:49" ht="15" customHeight="1">
      <c r="AW1632" s="125">
        <v>1332</v>
      </c>
    </row>
    <row r="1633" spans="49:49" ht="15" customHeight="1">
      <c r="AW1633" s="125">
        <v>1333</v>
      </c>
    </row>
    <row r="1634" spans="49:49" ht="15" customHeight="1">
      <c r="AW1634" s="125">
        <v>1334</v>
      </c>
    </row>
    <row r="1635" spans="49:49" ht="15" customHeight="1">
      <c r="AW1635" s="125">
        <v>1335</v>
      </c>
    </row>
    <row r="1636" spans="49:49" ht="15" customHeight="1">
      <c r="AW1636" s="125">
        <v>1336</v>
      </c>
    </row>
    <row r="1637" spans="49:49" ht="15" customHeight="1">
      <c r="AW1637" s="125">
        <v>1337</v>
      </c>
    </row>
    <row r="1638" spans="49:49" ht="15" customHeight="1">
      <c r="AW1638" s="125">
        <v>1338</v>
      </c>
    </row>
    <row r="1639" spans="49:49" ht="15" customHeight="1">
      <c r="AW1639" s="125">
        <v>1339</v>
      </c>
    </row>
    <row r="1640" spans="49:49" ht="15" customHeight="1">
      <c r="AW1640" s="125">
        <v>1340</v>
      </c>
    </row>
    <row r="1641" spans="49:49" ht="15" customHeight="1">
      <c r="AW1641" s="125">
        <v>1341</v>
      </c>
    </row>
    <row r="1642" spans="49:49" ht="15" customHeight="1">
      <c r="AW1642" s="125">
        <v>1342</v>
      </c>
    </row>
    <row r="1643" spans="49:49" ht="15" customHeight="1">
      <c r="AW1643" s="125">
        <v>1343</v>
      </c>
    </row>
    <row r="1644" spans="49:49" ht="15" customHeight="1">
      <c r="AW1644" s="125">
        <v>1344</v>
      </c>
    </row>
    <row r="1645" spans="49:49" ht="15" customHeight="1">
      <c r="AW1645" s="125">
        <v>1345</v>
      </c>
    </row>
    <row r="1646" spans="49:49" ht="15" customHeight="1">
      <c r="AW1646" s="125">
        <v>1346</v>
      </c>
    </row>
    <row r="1647" spans="49:49" ht="15" customHeight="1">
      <c r="AW1647" s="125">
        <v>1347</v>
      </c>
    </row>
    <row r="1648" spans="49:49" ht="15" customHeight="1">
      <c r="AW1648" s="125">
        <v>1348</v>
      </c>
    </row>
    <row r="1649" spans="49:49" ht="15" customHeight="1">
      <c r="AW1649" s="125">
        <v>1349</v>
      </c>
    </row>
    <row r="1650" spans="49:49" ht="15" customHeight="1">
      <c r="AW1650" s="125">
        <v>1350</v>
      </c>
    </row>
    <row r="1651" spans="49:49" ht="15" customHeight="1">
      <c r="AW1651" s="125">
        <v>1351</v>
      </c>
    </row>
    <row r="1652" spans="49:49" ht="15" customHeight="1">
      <c r="AW1652" s="125">
        <v>1352</v>
      </c>
    </row>
    <row r="1653" spans="49:49" ht="15" customHeight="1">
      <c r="AW1653" s="125">
        <v>1353</v>
      </c>
    </row>
    <row r="1654" spans="49:49" ht="15" customHeight="1">
      <c r="AW1654" s="125">
        <v>1354</v>
      </c>
    </row>
    <row r="1655" spans="49:49" ht="15" customHeight="1">
      <c r="AW1655" s="125">
        <v>1355</v>
      </c>
    </row>
    <row r="1656" spans="49:49" ht="15" customHeight="1">
      <c r="AW1656" s="125">
        <v>1356</v>
      </c>
    </row>
    <row r="1657" spans="49:49" ht="15" customHeight="1">
      <c r="AW1657" s="125">
        <v>1357</v>
      </c>
    </row>
    <row r="1658" spans="49:49" ht="15" customHeight="1">
      <c r="AW1658" s="125">
        <v>1358</v>
      </c>
    </row>
    <row r="1659" spans="49:49" ht="15" customHeight="1">
      <c r="AW1659" s="125">
        <v>1359</v>
      </c>
    </row>
    <row r="1660" spans="49:49" ht="15" customHeight="1">
      <c r="AW1660" s="125">
        <v>1360</v>
      </c>
    </row>
    <row r="1661" spans="49:49" ht="15" customHeight="1">
      <c r="AW1661" s="125">
        <v>1361</v>
      </c>
    </row>
    <row r="1662" spans="49:49" ht="15" customHeight="1">
      <c r="AW1662" s="125">
        <v>1362</v>
      </c>
    </row>
    <row r="1663" spans="49:49" ht="15" customHeight="1">
      <c r="AW1663" s="125">
        <v>1363</v>
      </c>
    </row>
    <row r="1664" spans="49:49" ht="15" customHeight="1">
      <c r="AW1664" s="125">
        <v>1364</v>
      </c>
    </row>
    <row r="1665" spans="49:49" ht="15" customHeight="1">
      <c r="AW1665" s="125">
        <v>1365</v>
      </c>
    </row>
    <row r="1666" spans="49:49" ht="15" customHeight="1">
      <c r="AW1666" s="125">
        <v>1366</v>
      </c>
    </row>
    <row r="1667" spans="49:49" ht="15" customHeight="1">
      <c r="AW1667" s="125">
        <v>1367</v>
      </c>
    </row>
    <row r="1668" spans="49:49" ht="15" customHeight="1">
      <c r="AW1668" s="125">
        <v>1368</v>
      </c>
    </row>
    <row r="1669" spans="49:49" ht="15" customHeight="1">
      <c r="AW1669" s="125">
        <v>1369</v>
      </c>
    </row>
    <row r="1670" spans="49:49" ht="15" customHeight="1">
      <c r="AW1670" s="125">
        <v>1370</v>
      </c>
    </row>
    <row r="1671" spans="49:49" ht="15" customHeight="1">
      <c r="AW1671" s="125">
        <v>1371</v>
      </c>
    </row>
    <row r="1672" spans="49:49" ht="15" customHeight="1">
      <c r="AW1672" s="125">
        <v>1372</v>
      </c>
    </row>
    <row r="1673" spans="49:49" ht="15" customHeight="1">
      <c r="AW1673" s="125">
        <v>1373</v>
      </c>
    </row>
    <row r="1674" spans="49:49" ht="15" customHeight="1">
      <c r="AW1674" s="125">
        <v>1374</v>
      </c>
    </row>
    <row r="1675" spans="49:49" ht="15" customHeight="1">
      <c r="AW1675" s="125">
        <v>1375</v>
      </c>
    </row>
    <row r="1676" spans="49:49" ht="15" customHeight="1">
      <c r="AW1676" s="125">
        <v>1376</v>
      </c>
    </row>
    <row r="1677" spans="49:49" ht="15" customHeight="1">
      <c r="AW1677" s="125">
        <v>1377</v>
      </c>
    </row>
    <row r="1678" spans="49:49" ht="15" customHeight="1">
      <c r="AW1678" s="125">
        <v>1378</v>
      </c>
    </row>
    <row r="1679" spans="49:49" ht="15" customHeight="1">
      <c r="AW1679" s="125">
        <v>1379</v>
      </c>
    </row>
    <row r="1680" spans="49:49" ht="15" customHeight="1">
      <c r="AW1680" s="125">
        <v>1380</v>
      </c>
    </row>
    <row r="1681" spans="49:49" ht="15" customHeight="1">
      <c r="AW1681" s="125">
        <v>1381</v>
      </c>
    </row>
    <row r="1682" spans="49:49" ht="15" customHeight="1">
      <c r="AW1682" s="125">
        <v>1382</v>
      </c>
    </row>
    <row r="1683" spans="49:49" ht="15" customHeight="1">
      <c r="AW1683" s="125">
        <v>1383</v>
      </c>
    </row>
    <row r="1684" spans="49:49" ht="15" customHeight="1">
      <c r="AW1684" s="125">
        <v>1384</v>
      </c>
    </row>
    <row r="1685" spans="49:49" ht="15" customHeight="1">
      <c r="AW1685" s="125">
        <v>1385</v>
      </c>
    </row>
    <row r="1686" spans="49:49" ht="15" customHeight="1">
      <c r="AW1686" s="125">
        <v>1386</v>
      </c>
    </row>
    <row r="1687" spans="49:49" ht="15" customHeight="1">
      <c r="AW1687" s="125">
        <v>1387</v>
      </c>
    </row>
    <row r="1688" spans="49:49" ht="15" customHeight="1">
      <c r="AW1688" s="125">
        <v>1388</v>
      </c>
    </row>
    <row r="1689" spans="49:49" ht="15" customHeight="1">
      <c r="AW1689" s="125">
        <v>1389</v>
      </c>
    </row>
    <row r="1690" spans="49:49" ht="15" customHeight="1">
      <c r="AW1690" s="125">
        <v>1390</v>
      </c>
    </row>
    <row r="1691" spans="49:49" ht="15" customHeight="1">
      <c r="AW1691" s="125">
        <v>1391</v>
      </c>
    </row>
    <row r="1692" spans="49:49" ht="15" customHeight="1">
      <c r="AW1692" s="125">
        <v>1392</v>
      </c>
    </row>
    <row r="1693" spans="49:49" ht="15" customHeight="1">
      <c r="AW1693" s="125">
        <v>1393</v>
      </c>
    </row>
    <row r="1694" spans="49:49" ht="15" customHeight="1">
      <c r="AW1694" s="125">
        <v>1394</v>
      </c>
    </row>
    <row r="1695" spans="49:49" ht="15" customHeight="1">
      <c r="AW1695" s="125">
        <v>1395</v>
      </c>
    </row>
    <row r="1696" spans="49:49" ht="15" customHeight="1">
      <c r="AW1696" s="125">
        <v>1396</v>
      </c>
    </row>
    <row r="1697" spans="49:49" ht="15" customHeight="1">
      <c r="AW1697" s="125">
        <v>1397</v>
      </c>
    </row>
    <row r="1698" spans="49:49" ht="15" customHeight="1">
      <c r="AW1698" s="125">
        <v>1398</v>
      </c>
    </row>
    <row r="1699" spans="49:49" ht="15" customHeight="1">
      <c r="AW1699" s="125">
        <v>1399</v>
      </c>
    </row>
    <row r="1700" spans="49:49" ht="15" customHeight="1">
      <c r="AW1700" s="125">
        <v>1400</v>
      </c>
    </row>
    <row r="1701" spans="49:49" ht="15" customHeight="1">
      <c r="AW1701" s="125">
        <v>1401</v>
      </c>
    </row>
    <row r="1702" spans="49:49" ht="15" customHeight="1">
      <c r="AW1702" s="125">
        <v>1402</v>
      </c>
    </row>
    <row r="1703" spans="49:49" ht="15" customHeight="1">
      <c r="AW1703" s="125">
        <v>1403</v>
      </c>
    </row>
    <row r="1704" spans="49:49" ht="15" customHeight="1">
      <c r="AW1704" s="125">
        <v>1404</v>
      </c>
    </row>
    <row r="1705" spans="49:49" ht="15" customHeight="1">
      <c r="AW1705" s="125">
        <v>1405</v>
      </c>
    </row>
    <row r="1706" spans="49:49" ht="15" customHeight="1">
      <c r="AW1706" s="125">
        <v>1406</v>
      </c>
    </row>
    <row r="1707" spans="49:49" ht="15" customHeight="1">
      <c r="AW1707" s="125">
        <v>1407</v>
      </c>
    </row>
    <row r="1708" spans="49:49" ht="15" customHeight="1">
      <c r="AW1708" s="125">
        <v>1408</v>
      </c>
    </row>
    <row r="1709" spans="49:49" ht="15" customHeight="1">
      <c r="AW1709" s="125">
        <v>1409</v>
      </c>
    </row>
    <row r="1710" spans="49:49" ht="15" customHeight="1">
      <c r="AW1710" s="125">
        <v>1410</v>
      </c>
    </row>
    <row r="1711" spans="49:49" ht="15" customHeight="1">
      <c r="AW1711" s="125">
        <v>1411</v>
      </c>
    </row>
    <row r="1712" spans="49:49" ht="15" customHeight="1">
      <c r="AW1712" s="125">
        <v>1412</v>
      </c>
    </row>
    <row r="1713" spans="49:49" ht="15" customHeight="1">
      <c r="AW1713" s="125">
        <v>1413</v>
      </c>
    </row>
    <row r="1714" spans="49:49" ht="15" customHeight="1">
      <c r="AW1714" s="125">
        <v>1414</v>
      </c>
    </row>
    <row r="1715" spans="49:49" ht="15" customHeight="1">
      <c r="AW1715" s="125">
        <v>1415</v>
      </c>
    </row>
    <row r="1716" spans="49:49" ht="15" customHeight="1">
      <c r="AW1716" s="125">
        <v>1416</v>
      </c>
    </row>
    <row r="1717" spans="49:49" ht="15" customHeight="1">
      <c r="AW1717" s="125">
        <v>1417</v>
      </c>
    </row>
    <row r="1718" spans="49:49" ht="15" customHeight="1">
      <c r="AW1718" s="125">
        <v>1418</v>
      </c>
    </row>
    <row r="1719" spans="49:49" ht="15" customHeight="1">
      <c r="AW1719" s="125">
        <v>1419</v>
      </c>
    </row>
    <row r="1720" spans="49:49" ht="15" customHeight="1">
      <c r="AW1720" s="125">
        <v>1420</v>
      </c>
    </row>
    <row r="1721" spans="49:49" ht="15" customHeight="1">
      <c r="AW1721" s="125">
        <v>1421</v>
      </c>
    </row>
    <row r="1722" spans="49:49" ht="15" customHeight="1">
      <c r="AW1722" s="125">
        <v>1422</v>
      </c>
    </row>
    <row r="1723" spans="49:49" ht="15" customHeight="1">
      <c r="AW1723" s="125">
        <v>1423</v>
      </c>
    </row>
    <row r="1724" spans="49:49" ht="15" customHeight="1">
      <c r="AW1724" s="125">
        <v>1424</v>
      </c>
    </row>
    <row r="1725" spans="49:49" ht="15" customHeight="1">
      <c r="AW1725" s="125">
        <v>1425</v>
      </c>
    </row>
    <row r="1726" spans="49:49" ht="15" customHeight="1">
      <c r="AW1726" s="125">
        <v>1426</v>
      </c>
    </row>
    <row r="1727" spans="49:49" ht="15" customHeight="1">
      <c r="AW1727" s="125">
        <v>1427</v>
      </c>
    </row>
    <row r="1728" spans="49:49" ht="15" customHeight="1">
      <c r="AW1728" s="125">
        <v>1428</v>
      </c>
    </row>
    <row r="1729" spans="49:49" ht="15" customHeight="1">
      <c r="AW1729" s="125">
        <v>1429</v>
      </c>
    </row>
    <row r="1730" spans="49:49" ht="15" customHeight="1">
      <c r="AW1730" s="125">
        <v>1430</v>
      </c>
    </row>
    <row r="1731" spans="49:49" ht="15" customHeight="1">
      <c r="AW1731" s="125">
        <v>1431</v>
      </c>
    </row>
    <row r="1732" spans="49:49" ht="15" customHeight="1">
      <c r="AW1732" s="125">
        <v>1432</v>
      </c>
    </row>
    <row r="1733" spans="49:49" ht="15" customHeight="1">
      <c r="AW1733" s="125">
        <v>1433</v>
      </c>
    </row>
    <row r="1734" spans="49:49" ht="15" customHeight="1">
      <c r="AW1734" s="125">
        <v>1434</v>
      </c>
    </row>
    <row r="1735" spans="49:49" ht="15" customHeight="1">
      <c r="AW1735" s="125">
        <v>1435</v>
      </c>
    </row>
    <row r="1736" spans="49:49" ht="15" customHeight="1">
      <c r="AW1736" s="125">
        <v>1436</v>
      </c>
    </row>
    <row r="1737" spans="49:49" ht="15" customHeight="1">
      <c r="AW1737" s="125">
        <v>1437</v>
      </c>
    </row>
    <row r="1738" spans="49:49" ht="15" customHeight="1">
      <c r="AW1738" s="125">
        <v>1438</v>
      </c>
    </row>
    <row r="1739" spans="49:49" ht="15" customHeight="1">
      <c r="AW1739" s="125">
        <v>1439</v>
      </c>
    </row>
    <row r="1740" spans="49:49" ht="15" customHeight="1">
      <c r="AW1740" s="125">
        <v>1440</v>
      </c>
    </row>
    <row r="1741" spans="49:49" ht="15" customHeight="1">
      <c r="AW1741" s="125">
        <v>1441</v>
      </c>
    </row>
    <row r="1742" spans="49:49" ht="15" customHeight="1">
      <c r="AW1742" s="125">
        <v>1442</v>
      </c>
    </row>
    <row r="1743" spans="49:49" ht="15" customHeight="1">
      <c r="AW1743" s="125">
        <v>1443</v>
      </c>
    </row>
    <row r="1744" spans="49:49" ht="15" customHeight="1">
      <c r="AW1744" s="125">
        <v>1444</v>
      </c>
    </row>
    <row r="1745" spans="49:49" ht="15" customHeight="1">
      <c r="AW1745" s="125">
        <v>1445</v>
      </c>
    </row>
    <row r="1746" spans="49:49" ht="15" customHeight="1">
      <c r="AW1746" s="125">
        <v>1446</v>
      </c>
    </row>
    <row r="1747" spans="49:49" ht="15" customHeight="1">
      <c r="AW1747" s="125">
        <v>1447</v>
      </c>
    </row>
    <row r="1748" spans="49:49" ht="15" customHeight="1">
      <c r="AW1748" s="125">
        <v>1448</v>
      </c>
    </row>
    <row r="1749" spans="49:49" ht="15" customHeight="1">
      <c r="AW1749" s="125">
        <v>1449</v>
      </c>
    </row>
    <row r="1750" spans="49:49" ht="15" customHeight="1">
      <c r="AW1750" s="125">
        <v>1450</v>
      </c>
    </row>
    <row r="1751" spans="49:49" ht="15" customHeight="1">
      <c r="AW1751" s="125">
        <v>1451</v>
      </c>
    </row>
    <row r="1752" spans="49:49" ht="15" customHeight="1">
      <c r="AW1752" s="125">
        <v>1452</v>
      </c>
    </row>
    <row r="1753" spans="49:49" ht="15" customHeight="1">
      <c r="AW1753" s="125">
        <v>1453</v>
      </c>
    </row>
    <row r="1754" spans="49:49" ht="15" customHeight="1">
      <c r="AW1754" s="125">
        <v>1454</v>
      </c>
    </row>
    <row r="1755" spans="49:49" ht="15" customHeight="1">
      <c r="AW1755" s="125">
        <v>1455</v>
      </c>
    </row>
    <row r="1756" spans="49:49" ht="15" customHeight="1">
      <c r="AW1756" s="125">
        <v>1456</v>
      </c>
    </row>
    <row r="1757" spans="49:49" ht="15" customHeight="1">
      <c r="AW1757" s="125">
        <v>1457</v>
      </c>
    </row>
    <row r="1758" spans="49:49" ht="15" customHeight="1">
      <c r="AW1758" s="125">
        <v>1458</v>
      </c>
    </row>
    <row r="1759" spans="49:49" ht="15" customHeight="1">
      <c r="AW1759" s="125">
        <v>1459</v>
      </c>
    </row>
    <row r="1760" spans="49:49" ht="15" customHeight="1">
      <c r="AW1760" s="125">
        <v>1460</v>
      </c>
    </row>
    <row r="1761" spans="49:49" ht="15" customHeight="1">
      <c r="AW1761" s="125">
        <v>1461</v>
      </c>
    </row>
    <row r="1762" spans="49:49" ht="15" customHeight="1">
      <c r="AW1762" s="125">
        <v>1462</v>
      </c>
    </row>
    <row r="1763" spans="49:49" ht="15" customHeight="1">
      <c r="AW1763" s="125">
        <v>1463</v>
      </c>
    </row>
    <row r="1764" spans="49:49" ht="15" customHeight="1">
      <c r="AW1764" s="125">
        <v>1464</v>
      </c>
    </row>
    <row r="1765" spans="49:49" ht="15" customHeight="1">
      <c r="AW1765" s="125">
        <v>1465</v>
      </c>
    </row>
    <row r="1766" spans="49:49" ht="15" customHeight="1">
      <c r="AW1766" s="125">
        <v>1466</v>
      </c>
    </row>
    <row r="1767" spans="49:49" ht="15" customHeight="1">
      <c r="AW1767" s="125">
        <v>1467</v>
      </c>
    </row>
    <row r="1768" spans="49:49" ht="15" customHeight="1">
      <c r="AW1768" s="125">
        <v>1468</v>
      </c>
    </row>
    <row r="1769" spans="49:49" ht="15" customHeight="1">
      <c r="AW1769" s="125">
        <v>1469</v>
      </c>
    </row>
    <row r="1770" spans="49:49" ht="15" customHeight="1">
      <c r="AW1770" s="125">
        <v>1470</v>
      </c>
    </row>
    <row r="1771" spans="49:49" ht="15" customHeight="1">
      <c r="AW1771" s="125">
        <v>1471</v>
      </c>
    </row>
    <row r="1772" spans="49:49" ht="15" customHeight="1">
      <c r="AW1772" s="125">
        <v>1472</v>
      </c>
    </row>
    <row r="1773" spans="49:49" ht="15" customHeight="1">
      <c r="AW1773" s="125">
        <v>1473</v>
      </c>
    </row>
    <row r="1774" spans="49:49" ht="15" customHeight="1">
      <c r="AW1774" s="125">
        <v>1474</v>
      </c>
    </row>
    <row r="1775" spans="49:49" ht="15" customHeight="1">
      <c r="AW1775" s="125">
        <v>1475</v>
      </c>
    </row>
    <row r="1776" spans="49:49" ht="15" customHeight="1">
      <c r="AW1776" s="125">
        <v>1476</v>
      </c>
    </row>
    <row r="1777" spans="49:49" ht="15" customHeight="1">
      <c r="AW1777" s="125">
        <v>1477</v>
      </c>
    </row>
    <row r="1778" spans="49:49" ht="15" customHeight="1">
      <c r="AW1778" s="125">
        <v>1478</v>
      </c>
    </row>
    <row r="1779" spans="49:49" ht="15" customHeight="1">
      <c r="AW1779" s="125">
        <v>1479</v>
      </c>
    </row>
    <row r="1780" spans="49:49" ht="15" customHeight="1">
      <c r="AW1780" s="125">
        <v>1480</v>
      </c>
    </row>
    <row r="1781" spans="49:49" ht="15" customHeight="1">
      <c r="AW1781" s="125">
        <v>1481</v>
      </c>
    </row>
    <row r="1782" spans="49:49" ht="15" customHeight="1">
      <c r="AW1782" s="125">
        <v>1482</v>
      </c>
    </row>
    <row r="1783" spans="49:49" ht="15" customHeight="1">
      <c r="AW1783" s="125">
        <v>1483</v>
      </c>
    </row>
    <row r="1784" spans="49:49" ht="15" customHeight="1">
      <c r="AW1784" s="125">
        <v>1484</v>
      </c>
    </row>
    <row r="1785" spans="49:49" ht="15" customHeight="1">
      <c r="AW1785" s="125">
        <v>1485</v>
      </c>
    </row>
    <row r="1786" spans="49:49" ht="15" customHeight="1">
      <c r="AW1786" s="125">
        <v>1486</v>
      </c>
    </row>
    <row r="1787" spans="49:49" ht="15" customHeight="1">
      <c r="AW1787" s="125">
        <v>1487</v>
      </c>
    </row>
    <row r="1788" spans="49:49" ht="15" customHeight="1">
      <c r="AW1788" s="125">
        <v>1488</v>
      </c>
    </row>
    <row r="1789" spans="49:49" ht="15" customHeight="1">
      <c r="AW1789" s="125">
        <v>1489</v>
      </c>
    </row>
    <row r="1790" spans="49:49" ht="15" customHeight="1">
      <c r="AW1790" s="125">
        <v>1490</v>
      </c>
    </row>
    <row r="1791" spans="49:49" ht="15" customHeight="1">
      <c r="AW1791" s="125">
        <v>1491</v>
      </c>
    </row>
    <row r="1792" spans="49:49" ht="15" customHeight="1">
      <c r="AW1792" s="125">
        <v>1492</v>
      </c>
    </row>
  </sheetData>
  <mergeCells count="14">
    <mergeCell ref="B298:C298"/>
    <mergeCell ref="D298:N298"/>
    <mergeCell ref="C28:F28"/>
    <mergeCell ref="B291:G291"/>
    <mergeCell ref="B292:G292"/>
    <mergeCell ref="B293:C293"/>
    <mergeCell ref="D293:N293"/>
    <mergeCell ref="B294:C294"/>
    <mergeCell ref="D294:N294"/>
    <mergeCell ref="B295:C295"/>
    <mergeCell ref="D295:O295"/>
    <mergeCell ref="B296:C296"/>
    <mergeCell ref="D296:O296"/>
    <mergeCell ref="D297:N297"/>
  </mergeCells>
  <conditionalFormatting sqref="AO292:AS296">
    <cfRule type="colorScale" priority="1">
      <colorScale>
        <cfvo type="formula" val="$Q$228*0.5"/>
        <cfvo type="num" val="0"/>
        <cfvo type="formula" val="$AR$295"/>
        <color rgb="FFF8696B"/>
        <color rgb="FFFCFCFF"/>
        <color rgb="FF63BE7B"/>
      </colorScale>
    </cfRule>
  </conditionalFormatting>
  <conditionalFormatting sqref="AP304:AT308">
    <cfRule type="colorScale" priority="2">
      <colorScale>
        <cfvo type="formula" val="$Q$228*0.5"/>
        <cfvo type="num" val="0"/>
        <cfvo type="formula" val="$AT$308"/>
        <color rgb="FFF8696B"/>
        <color rgb="FFFCFCFF"/>
        <color rgb="FF63BE7B"/>
      </colorScale>
    </cfRule>
  </conditionalFormatting>
  <conditionalFormatting sqref="AP317:AT318 AP314:AR316 AS312:AT316">
    <cfRule type="colorScale" priority="3">
      <colorScale>
        <cfvo type="formula" val="$Q$228*0.5"/>
        <cfvo type="num" val="$Q$2+$Q$228"/>
        <cfvo type="formula" val="$AR$314"/>
        <color rgb="FFF8696B"/>
        <color rgb="FFFCFCFF"/>
        <color rgb="FF63BE7B"/>
      </colorScale>
    </cfRule>
  </conditionalFormatting>
  <hyperlinks>
    <hyperlink ref="B18" r:id="rId1" xr:uid="{F7FFB675-7B81-4BD3-AACD-8B23B127A374}"/>
    <hyperlink ref="B20" r:id="rId2" xr:uid="{B612FC7D-7535-432F-A025-FE594BD050C1}"/>
    <hyperlink ref="B28" r:id="rId3" xr:uid="{A062BE7B-9405-4B6E-A6E1-00E32135862C}"/>
    <hyperlink ref="B30" r:id="rId4" xr:uid="{C4270107-2EF2-41E5-8BB5-319EC77B6738}"/>
  </hyperlinks>
  <pageMargins left="0.7" right="0.7" top="0.75" bottom="0.75" header="0.3" footer="0.3"/>
  <pageSetup paperSize="9" orientation="portrait" r:id="rId5"/>
  <legacyDrawing r:id="rId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499984740745262"/>
  </sheetPr>
  <dimension ref="A2:BG1791"/>
  <sheetViews>
    <sheetView showGridLines="0" topLeftCell="B24" zoomScale="50" zoomScaleNormal="70" workbookViewId="0">
      <selection activeCell="M20" sqref="M20"/>
    </sheetView>
  </sheetViews>
  <sheetFormatPr defaultColWidth="9" defaultRowHeight="15" customHeight="1"/>
  <cols>
    <col min="1" max="1" width="2.375" style="125" customWidth="1"/>
    <col min="2" max="2" width="45" style="125" customWidth="1"/>
    <col min="3" max="3" width="14" style="125" customWidth="1"/>
    <col min="4" max="4" width="3.5" style="125" customWidth="1"/>
    <col min="5" max="7" width="13.375" style="125" customWidth="1"/>
    <col min="8" max="17" width="12.875" style="125" customWidth="1"/>
    <col min="18" max="18" width="11.625" style="125" customWidth="1"/>
    <col min="19" max="19" width="29.125" style="125" customWidth="1"/>
    <col min="20" max="20" width="16.625" style="125" customWidth="1"/>
    <col min="21" max="21" width="32.125" style="125" hidden="1" customWidth="1"/>
    <col min="22" max="22" width="11.125" style="125" hidden="1" customWidth="1"/>
    <col min="23" max="35" width="9" style="125" hidden="1" customWidth="1"/>
    <col min="36" max="36" width="14.25" style="125" customWidth="1"/>
    <col min="37" max="37" width="9" style="125" customWidth="1"/>
    <col min="38" max="38" width="8.625" style="125" customWidth="1"/>
    <col min="39" max="39" width="9.25" style="125" customWidth="1"/>
    <col min="40" max="43" width="9" style="125"/>
    <col min="44" max="44" width="10.75" style="125" bestFit="1" customWidth="1"/>
    <col min="45" max="16384" width="9" style="125"/>
  </cols>
  <sheetData>
    <row r="2" spans="1:36" s="41" customFormat="1" ht="20.100000000000001" customHeight="1">
      <c r="B2" s="40" t="s">
        <v>512</v>
      </c>
    </row>
    <row r="4" spans="1:36" ht="15.6">
      <c r="A4" s="125" t="s">
        <v>472</v>
      </c>
      <c r="B4" s="51" t="s">
        <v>513</v>
      </c>
      <c r="C4" s="55"/>
      <c r="D4" s="55"/>
      <c r="E4" s="55"/>
      <c r="F4" s="55"/>
      <c r="G4" s="55"/>
      <c r="H4" s="55"/>
      <c r="I4" s="55"/>
      <c r="J4" s="55"/>
      <c r="K4" s="55"/>
      <c r="L4" s="55"/>
      <c r="M4" s="55"/>
      <c r="N4" s="55"/>
      <c r="O4" s="55"/>
      <c r="P4" s="55"/>
      <c r="Q4" s="55"/>
      <c r="R4" s="125" t="e" vm="2">
        <v>#VALUE!</v>
      </c>
      <c r="S4" s="400"/>
      <c r="T4" s="126"/>
      <c r="U4" s="126"/>
    </row>
    <row r="5" spans="1:36" ht="3.95" customHeight="1">
      <c r="B5" s="127"/>
      <c r="C5" s="128"/>
      <c r="D5" s="128"/>
      <c r="E5" s="128"/>
      <c r="F5" s="128"/>
      <c r="G5" s="128"/>
      <c r="H5" s="128"/>
      <c r="I5" s="128"/>
      <c r="J5" s="128"/>
      <c r="K5" s="128"/>
      <c r="L5" s="128"/>
      <c r="M5" s="128"/>
      <c r="N5" s="128"/>
      <c r="O5" s="128"/>
      <c r="P5" s="128"/>
      <c r="Q5" s="128"/>
      <c r="S5" s="126"/>
      <c r="T5" s="126"/>
      <c r="U5" s="126"/>
    </row>
    <row r="6" spans="1:36" ht="15.6">
      <c r="B6" s="129" t="s">
        <v>514</v>
      </c>
      <c r="C6" s="130"/>
      <c r="D6" s="130"/>
      <c r="E6" s="129" t="s">
        <v>515</v>
      </c>
      <c r="F6" s="130"/>
      <c r="G6" s="130"/>
      <c r="H6" s="129" t="s">
        <v>516</v>
      </c>
      <c r="J6" s="130"/>
      <c r="K6" s="129" t="s">
        <v>517</v>
      </c>
      <c r="L6" s="130"/>
      <c r="P6" s="130"/>
      <c r="Q6" s="130"/>
      <c r="X6" s="125" t="s">
        <v>29</v>
      </c>
      <c r="Y6" s="125" t="s">
        <v>518</v>
      </c>
      <c r="Z6" s="125" t="s">
        <v>519</v>
      </c>
      <c r="AA6" s="125" t="s">
        <v>520</v>
      </c>
      <c r="AB6" s="125" t="s">
        <v>521</v>
      </c>
      <c r="AC6" s="125" t="s">
        <v>326</v>
      </c>
      <c r="AD6" s="125" t="s">
        <v>522</v>
      </c>
      <c r="AE6" s="125" t="s">
        <v>317</v>
      </c>
      <c r="AF6" s="125" t="s">
        <v>523</v>
      </c>
      <c r="AG6" s="125" t="s">
        <v>322</v>
      </c>
      <c r="AH6" s="125" t="s">
        <v>319</v>
      </c>
      <c r="AI6" s="125" t="s">
        <v>315</v>
      </c>
    </row>
    <row r="7" spans="1:36" ht="15.6">
      <c r="B7" s="130" t="s">
        <v>244</v>
      </c>
      <c r="C7" s="566">
        <v>2</v>
      </c>
      <c r="D7" s="130"/>
      <c r="E7" s="125" t="s">
        <v>244</v>
      </c>
      <c r="F7" s="570">
        <v>-0.06</v>
      </c>
      <c r="H7" s="125" t="s">
        <v>244</v>
      </c>
      <c r="K7" s="125" t="s">
        <v>244</v>
      </c>
      <c r="L7" s="570">
        <v>0.04</v>
      </c>
      <c r="P7" s="130"/>
      <c r="S7" s="125" t="s">
        <v>524</v>
      </c>
      <c r="T7" s="351"/>
      <c r="W7" s="125">
        <v>2022</v>
      </c>
      <c r="X7" s="166">
        <f>+E210</f>
        <v>7.4733333333331622</v>
      </c>
      <c r="Y7" s="166">
        <f>+E262</f>
        <v>101.49999999999997</v>
      </c>
      <c r="Z7" s="166">
        <f ca="1">+H234</f>
        <v>0.68221376549638846</v>
      </c>
      <c r="AA7" s="166">
        <f>+E275</f>
        <v>1.7</v>
      </c>
      <c r="AB7" s="166">
        <f>+E200</f>
        <v>7.9733333333331586</v>
      </c>
      <c r="AC7" s="205">
        <f>+E260</f>
        <v>80.099999999999994</v>
      </c>
      <c r="AD7" s="166">
        <f>+E106</f>
        <v>43.4</v>
      </c>
      <c r="AH7" s="166"/>
    </row>
    <row r="8" spans="1:36" ht="15.6">
      <c r="B8" s="130" t="s">
        <v>525</v>
      </c>
      <c r="C8" s="566">
        <v>2</v>
      </c>
      <c r="D8" s="130"/>
      <c r="E8" s="125" t="s">
        <v>525</v>
      </c>
      <c r="F8" s="570">
        <v>-0.04</v>
      </c>
      <c r="H8" s="125" t="s">
        <v>525</v>
      </c>
      <c r="I8" s="207"/>
      <c r="K8" s="125" t="s">
        <v>525</v>
      </c>
      <c r="L8" s="570">
        <v>0.03</v>
      </c>
      <c r="P8" s="130"/>
      <c r="S8" s="125" t="s">
        <v>526</v>
      </c>
      <c r="T8" s="352"/>
      <c r="W8" s="125">
        <f t="shared" ref="W8:W14" si="0">+W7+1</f>
        <v>2023</v>
      </c>
      <c r="X8" s="166">
        <f>+F210</f>
        <v>91.954784688995176</v>
      </c>
      <c r="Y8" s="166">
        <f>+F262</f>
        <v>140.29999999999995</v>
      </c>
      <c r="Z8" s="166">
        <f ca="1">+I234</f>
        <v>0.71676496784670329</v>
      </c>
      <c r="AA8" s="166">
        <f>+F275</f>
        <v>8.1</v>
      </c>
      <c r="AB8" s="166">
        <f>+F200</f>
        <v>43.154784688995178</v>
      </c>
      <c r="AC8" s="205">
        <f>+F260</f>
        <v>30</v>
      </c>
      <c r="AD8" s="166">
        <f>+F106</f>
        <v>120.8</v>
      </c>
    </row>
    <row r="9" spans="1:36" ht="15.6">
      <c r="B9" s="130" t="s">
        <v>527</v>
      </c>
      <c r="C9" s="566">
        <v>2</v>
      </c>
      <c r="D9" s="130"/>
      <c r="E9" s="130" t="s">
        <v>527</v>
      </c>
      <c r="F9" s="568">
        <f ca="1">IFERROR(+I9+0.5%,"")</f>
        <v>8.2706587953122135E-2</v>
      </c>
      <c r="H9" s="130" t="s">
        <v>527</v>
      </c>
      <c r="I9" s="569">
        <f ca="1">WACC!G25</f>
        <v>7.770658795312213E-2</v>
      </c>
      <c r="J9" s="130"/>
      <c r="K9" s="130" t="s">
        <v>527</v>
      </c>
      <c r="L9" s="571">
        <f ca="1">IFERROR(I9-0.5%,"")</f>
        <v>7.2706587953122126E-2</v>
      </c>
      <c r="M9" s="130"/>
      <c r="P9" s="130"/>
      <c r="Q9" s="130"/>
      <c r="S9" s="125" t="s">
        <v>528</v>
      </c>
      <c r="T9" s="352"/>
      <c r="W9" s="125">
        <f t="shared" si="0"/>
        <v>2024</v>
      </c>
      <c r="X9" s="166">
        <f>+G210</f>
        <v>49.699048525214003</v>
      </c>
      <c r="Y9" s="166">
        <f>+G262</f>
        <v>290.39999999999992</v>
      </c>
      <c r="Z9" s="166">
        <f ca="1">+J234</f>
        <v>0.47778106606077714</v>
      </c>
      <c r="AA9" s="166">
        <f>+G275</f>
        <v>5.6</v>
      </c>
      <c r="AB9" s="166">
        <f>+G200</f>
        <v>99.399048525213999</v>
      </c>
      <c r="AC9" s="205">
        <f>+G260</f>
        <v>212.4</v>
      </c>
      <c r="AD9" s="166">
        <f>+G106</f>
        <v>108.2</v>
      </c>
      <c r="AE9" s="205">
        <f>Inputs!Q48</f>
        <v>1129.3000000000002</v>
      </c>
      <c r="AF9" s="205">
        <f>+Inputs!Q60</f>
        <v>486.70000000000005</v>
      </c>
      <c r="AG9" s="205">
        <f>+AE9-AF9</f>
        <v>642.60000000000014</v>
      </c>
      <c r="AH9" s="205">
        <f>+Inputs!Q54</f>
        <v>299.10000000000002</v>
      </c>
      <c r="AI9" s="205">
        <f>+Inputs!Q38</f>
        <v>477.1</v>
      </c>
    </row>
    <row r="10" spans="1:36" ht="15.6">
      <c r="B10" s="130" t="s">
        <v>529</v>
      </c>
      <c r="C10" s="566">
        <v>2</v>
      </c>
      <c r="D10" s="130"/>
      <c r="E10" s="130" t="s">
        <v>529</v>
      </c>
      <c r="F10" s="568">
        <f>+I10-0.5%</f>
        <v>1.4999999999999999E-2</v>
      </c>
      <c r="H10" s="130" t="s">
        <v>529</v>
      </c>
      <c r="I10" s="570">
        <v>0.02</v>
      </c>
      <c r="J10" s="130"/>
      <c r="K10" s="130" t="s">
        <v>529</v>
      </c>
      <c r="L10" s="568">
        <f>+I10+0.5%</f>
        <v>2.5000000000000001E-2</v>
      </c>
      <c r="M10" s="130"/>
      <c r="P10" s="130"/>
      <c r="S10" s="125" t="s">
        <v>530</v>
      </c>
      <c r="T10" s="352">
        <v>45755</v>
      </c>
      <c r="W10" s="125">
        <f t="shared" si="0"/>
        <v>2025</v>
      </c>
      <c r="X10" s="166">
        <f ca="1">+H210</f>
        <v>8.5855594800104029</v>
      </c>
      <c r="Y10" s="166">
        <f>+H262</f>
        <v>-15.514242844435355</v>
      </c>
      <c r="Z10" s="166">
        <f ca="1">+K234</f>
        <v>0.27635362351617637</v>
      </c>
      <c r="AA10" s="166">
        <f>+H275</f>
        <v>-33.514118930638688</v>
      </c>
      <c r="AB10" s="166">
        <f ca="1">+H200</f>
        <v>71.642985529332208</v>
      </c>
      <c r="AC10" s="205">
        <f>+H260</f>
        <v>-14.519999999999996</v>
      </c>
      <c r="AD10" s="166">
        <f>+H106</f>
        <v>79.248239695884365</v>
      </c>
      <c r="AE10" s="205">
        <f>Inputs!Q48+DCF!H106+DCF!H108+DCF!H111+DCF!H114+DCF!H117+DCF!H123-DCF!G106-DCF!G108-DCF!G111-DCF!G114-DCF!G117-DCF!G123</f>
        <v>1202.4438220966013</v>
      </c>
      <c r="AF10" s="205">
        <f>+Inputs!Q60+(DCF!H128+DCF!H131+DCF!H134+DCF!H136*DCF!G128*DCF!G131*DCF!G134*DCF!G136)</f>
        <v>3823933700.5702572</v>
      </c>
      <c r="AG10" s="205">
        <f>+AE10-AF10</f>
        <v>-3823932498.1264353</v>
      </c>
      <c r="AH10" s="166">
        <f>+AH9+H128+H131-G128-G131</f>
        <v>233.03012136817014</v>
      </c>
      <c r="AI10" s="166">
        <f>+H106+H108+H111+H114</f>
        <v>534.73919388022932</v>
      </c>
    </row>
    <row r="11" spans="1:36" ht="9.9499999999999993" customHeight="1">
      <c r="B11" s="130"/>
      <c r="C11" s="130"/>
      <c r="D11" s="130"/>
      <c r="E11" s="130"/>
      <c r="G11" s="130"/>
      <c r="K11" s="130"/>
      <c r="M11" s="130"/>
      <c r="P11" s="130"/>
      <c r="W11" s="125">
        <f t="shared" si="0"/>
        <v>2026</v>
      </c>
      <c r="X11" s="166">
        <f ca="1">+I210</f>
        <v>216.49659843796945</v>
      </c>
      <c r="Y11" s="166">
        <f>+I262</f>
        <v>221.90412312482854</v>
      </c>
      <c r="Z11" s="166">
        <f ca="1">+L234</f>
        <v>0.11241255974204674</v>
      </c>
      <c r="AA11" s="166">
        <f>+I275</f>
        <v>-38.319781883546895</v>
      </c>
      <c r="AB11" s="166">
        <f ca="1">+I200</f>
        <v>119.59180925342454</v>
      </c>
      <c r="AC11" s="205">
        <f>+I260</f>
        <v>15.514242844435355</v>
      </c>
      <c r="AD11" s="166">
        <f>+I106</f>
        <v>251.41274462863629</v>
      </c>
      <c r="AE11" s="205">
        <f>AE10+DCF!I106+DCF!I108+DCF!I111+DCF!I114+DCF!I117+DCF!I123-DCF!H106-DCF!H108-DCF!H111-DCF!H114-DCF!H117-DCF!H123</f>
        <v>1422.4508627268096</v>
      </c>
      <c r="AF11" s="205">
        <f>AF10+(DCF!I128+DCF!I131+DCF!I134+DCF!I136*DCF!H128*DCF!H131*DCF!H134*DCF!H136)</f>
        <v>7842401096.1030407</v>
      </c>
      <c r="AG11" s="205">
        <f>+AE11-AF11</f>
        <v>-7842399673.6521778</v>
      </c>
      <c r="AH11" s="166">
        <f>+AH10+I128+I131-H128-H131</f>
        <v>269.63202930267835</v>
      </c>
      <c r="AI11" s="166">
        <f>+I106+I108+I111+I114</f>
        <v>743.66861223787339</v>
      </c>
      <c r="AJ11" s="166"/>
    </row>
    <row r="12" spans="1:36" ht="13.5" customHeight="1">
      <c r="B12" s="130" t="s">
        <v>527</v>
      </c>
      <c r="C12" s="567">
        <f ca="1">CHOOSE(C9,F9,I9,L9)</f>
        <v>7.770658795312213E-2</v>
      </c>
      <c r="D12" s="130"/>
      <c r="E12" s="130"/>
      <c r="G12" s="130"/>
      <c r="K12" s="130"/>
      <c r="P12" s="130"/>
      <c r="S12" s="131"/>
      <c r="T12" s="132"/>
      <c r="W12" s="125">
        <f t="shared" si="0"/>
        <v>2027</v>
      </c>
      <c r="X12" s="166">
        <f ca="1">+J210</f>
        <v>236.39082657132468</v>
      </c>
      <c r="Y12" s="166">
        <f>+J262</f>
        <v>179.95538049067773</v>
      </c>
      <c r="Z12" s="166">
        <f ca="1">+M234</f>
        <v>6.7941165508940887E-2</v>
      </c>
      <c r="AA12" s="166">
        <f>+J275</f>
        <v>-74.28950307455851</v>
      </c>
      <c r="AB12" s="166">
        <f ca="1">+J200</f>
        <v>156.19554514230168</v>
      </c>
      <c r="AC12" s="205">
        <f>+J260</f>
        <v>-48.818907087462279</v>
      </c>
      <c r="AD12" s="166">
        <f>+J106</f>
        <v>441.7622962523385</v>
      </c>
    </row>
    <row r="13" spans="1:36" ht="15.6">
      <c r="B13" s="130" t="s">
        <v>529</v>
      </c>
      <c r="C13" s="567">
        <f>CHOOSE(C10,F10,I10,L10)</f>
        <v>0.02</v>
      </c>
      <c r="D13" s="130"/>
      <c r="E13" s="130"/>
      <c r="G13" s="133"/>
      <c r="H13" s="130"/>
      <c r="I13" s="130"/>
      <c r="J13" s="130"/>
      <c r="K13" s="130"/>
      <c r="L13" s="130"/>
      <c r="M13" s="130"/>
      <c r="O13" s="130"/>
      <c r="P13" s="130"/>
      <c r="Q13" s="130"/>
      <c r="R13" s="130"/>
      <c r="W13" s="125">
        <f t="shared" si="0"/>
        <v>2028</v>
      </c>
      <c r="X13" s="166">
        <f ca="1">+K210</f>
        <v>256.05524438544359</v>
      </c>
      <c r="Y13" s="166">
        <f>+K262</f>
        <v>214.41650591444062</v>
      </c>
      <c r="Z13" s="166">
        <f ca="1">+N234</f>
        <v>6.2333339332986813E-2</v>
      </c>
      <c r="AA13" s="166">
        <f>+K275</f>
        <v>-90.078039248305046</v>
      </c>
      <c r="AB13" s="166">
        <f ca="1">+K200</f>
        <v>185.80374086947748</v>
      </c>
      <c r="AC13" s="205">
        <f>+K260</f>
        <v>-35.991076098135544</v>
      </c>
      <c r="AD13" s="166">
        <f>+K106</f>
        <v>627.0934079858763</v>
      </c>
    </row>
    <row r="14" spans="1:36" ht="15.6">
      <c r="B14" s="130"/>
      <c r="C14" s="134"/>
      <c r="D14" s="130"/>
      <c r="E14" s="135"/>
      <c r="F14" s="135"/>
      <c r="G14" s="135"/>
      <c r="H14" s="130"/>
      <c r="I14" s="130"/>
      <c r="J14" s="130"/>
      <c r="K14" s="130"/>
      <c r="L14" s="130"/>
      <c r="M14" s="130"/>
      <c r="O14" s="130"/>
      <c r="P14" s="130"/>
      <c r="Q14" s="130"/>
      <c r="R14" s="130"/>
      <c r="W14" s="125">
        <f t="shared" si="0"/>
        <v>2029</v>
      </c>
      <c r="X14" s="166">
        <f ca="1">+L210</f>
        <v>309.19978191749311</v>
      </c>
      <c r="Y14" s="166">
        <f>+L262</f>
        <v>262.40057759256422</v>
      </c>
      <c r="Z14" s="166">
        <f ca="1">+O234</f>
        <v>5.7570819030957732E-2</v>
      </c>
      <c r="AA14" s="166">
        <f>+L275</f>
        <v>-103.86398753483101</v>
      </c>
      <c r="AB14" s="166">
        <f ca="1">+L200</f>
        <v>211.64387821170277</v>
      </c>
      <c r="AC14" s="205">
        <f>+L260</f>
        <v>-42.883301182888125</v>
      </c>
      <c r="AD14" s="166">
        <f>+L106</f>
        <v>859.59782753071408</v>
      </c>
    </row>
    <row r="15" spans="1:36" ht="15.6">
      <c r="A15" s="125" t="s">
        <v>472</v>
      </c>
      <c r="B15" s="51" t="s">
        <v>531</v>
      </c>
      <c r="C15" s="55"/>
      <c r="D15" s="55"/>
      <c r="E15" s="136">
        <v>2022</v>
      </c>
      <c r="F15" s="136">
        <f>+E15+1</f>
        <v>2023</v>
      </c>
      <c r="G15" s="137">
        <f>+F15+1</f>
        <v>2024</v>
      </c>
      <c r="H15" s="99">
        <f t="shared" ref="H15:J15" si="1">+G15+1</f>
        <v>2025</v>
      </c>
      <c r="I15" s="99">
        <f t="shared" si="1"/>
        <v>2026</v>
      </c>
      <c r="J15" s="99">
        <f t="shared" si="1"/>
        <v>2027</v>
      </c>
      <c r="K15" s="99">
        <f>+J15+1</f>
        <v>2028</v>
      </c>
      <c r="L15" s="99">
        <f t="shared" ref="L15:Q15" si="2">+K15+1</f>
        <v>2029</v>
      </c>
      <c r="M15" s="99">
        <f t="shared" si="2"/>
        <v>2030</v>
      </c>
      <c r="N15" s="99">
        <f t="shared" si="2"/>
        <v>2031</v>
      </c>
      <c r="O15" s="99">
        <f t="shared" si="2"/>
        <v>2032</v>
      </c>
      <c r="P15" s="99">
        <f t="shared" si="2"/>
        <v>2033</v>
      </c>
      <c r="Q15" s="99">
        <f t="shared" si="2"/>
        <v>2034</v>
      </c>
      <c r="R15" s="130"/>
    </row>
    <row r="16" spans="1:36" ht="3.75" customHeight="1">
      <c r="B16" s="68"/>
      <c r="C16" s="68"/>
      <c r="D16" s="68"/>
      <c r="E16" s="68"/>
      <c r="F16" s="68"/>
      <c r="G16" s="138"/>
      <c r="H16" s="68"/>
      <c r="I16" s="68"/>
      <c r="J16" s="68"/>
      <c r="K16" s="68"/>
      <c r="L16" s="68"/>
      <c r="M16" s="68"/>
      <c r="N16" s="68"/>
      <c r="O16" s="68"/>
      <c r="P16" s="68"/>
      <c r="Q16" s="68"/>
      <c r="R16" s="130"/>
    </row>
    <row r="17" spans="2:59" ht="15.6">
      <c r="B17" s="130" t="s">
        <v>532</v>
      </c>
      <c r="C17" s="134"/>
      <c r="D17" s="130"/>
      <c r="E17" s="139"/>
      <c r="F17" s="139"/>
      <c r="G17" s="139"/>
      <c r="H17" s="765"/>
      <c r="P17" s="140"/>
      <c r="Q17" s="140"/>
      <c r="R17" s="130"/>
    </row>
    <row r="18" spans="2:59" ht="15.6">
      <c r="B18" s="60" t="s">
        <v>533</v>
      </c>
      <c r="C18" s="134"/>
      <c r="D18" s="130"/>
      <c r="E18" s="805"/>
      <c r="F18" s="805"/>
      <c r="G18" s="768">
        <v>335950</v>
      </c>
      <c r="H18" s="763">
        <v>354680</v>
      </c>
      <c r="I18" s="140">
        <f t="shared" ref="I18:N18" si="3">J18-J18*I19</f>
        <v>368301.80808956246</v>
      </c>
      <c r="J18" s="140">
        <f t="shared" si="3"/>
        <v>394496.36684828886</v>
      </c>
      <c r="K18" s="140">
        <f t="shared" si="3"/>
        <v>422553.94906629057</v>
      </c>
      <c r="L18" s="140">
        <f t="shared" si="3"/>
        <v>452607.05769739777</v>
      </c>
      <c r="M18" s="140">
        <f t="shared" si="3"/>
        <v>484797.6196416</v>
      </c>
      <c r="N18" s="140">
        <f t="shared" si="3"/>
        <v>519277.65600000002</v>
      </c>
      <c r="O18" s="140">
        <v>556210</v>
      </c>
      <c r="P18" s="140">
        <f>O18+O18*P19</f>
        <v>593142.34400000004</v>
      </c>
      <c r="Q18" s="140">
        <f>P18+P18*Q19</f>
        <v>632526.99564159999</v>
      </c>
      <c r="R18" s="130"/>
      <c r="AE18" s="205"/>
      <c r="AF18" s="205"/>
      <c r="AG18" s="205"/>
      <c r="AH18" s="205"/>
    </row>
    <row r="19" spans="2:59" ht="15.6">
      <c r="B19" s="130" t="s">
        <v>534</v>
      </c>
      <c r="C19" s="134"/>
      <c r="D19" s="130"/>
      <c r="E19" s="785"/>
      <c r="F19" s="785"/>
      <c r="G19" s="141"/>
      <c r="H19" s="770">
        <f>(H18-G18)/G18</f>
        <v>5.5752344098824229E-2</v>
      </c>
      <c r="I19" s="771">
        <v>6.6400000000000001E-2</v>
      </c>
      <c r="J19" s="771">
        <v>6.6400000000000001E-2</v>
      </c>
      <c r="K19" s="771">
        <v>6.6400000000000001E-2</v>
      </c>
      <c r="L19" s="771">
        <v>6.6400000000000001E-2</v>
      </c>
      <c r="M19" s="771">
        <v>6.6400000000000001E-2</v>
      </c>
      <c r="N19" s="771">
        <v>6.6400000000000001E-2</v>
      </c>
      <c r="O19" s="771">
        <f>(O18-N18)/N18</f>
        <v>7.1122536418166196E-2</v>
      </c>
      <c r="P19" s="771">
        <v>6.6400000000000001E-2</v>
      </c>
      <c r="Q19" s="771">
        <v>6.6400000000000001E-2</v>
      </c>
      <c r="R19" s="130"/>
      <c r="AD19" s="166"/>
      <c r="AE19" s="166"/>
      <c r="AF19" s="166"/>
      <c r="AG19" s="166"/>
    </row>
    <row r="20" spans="2:59" ht="15.6">
      <c r="B20" s="772" t="s">
        <v>535</v>
      </c>
      <c r="C20" s="134"/>
      <c r="D20" s="130"/>
      <c r="E20" s="786">
        <v>247000</v>
      </c>
      <c r="F20" s="786">
        <v>252500</v>
      </c>
      <c r="G20" s="769">
        <v>257540</v>
      </c>
      <c r="H20" s="776">
        <f t="shared" ref="H20:Q20" si="4">G20*(1+H21)</f>
        <v>271962.23999999999</v>
      </c>
      <c r="I20" s="594">
        <f t="shared" si="4"/>
        <v>287192.12544000003</v>
      </c>
      <c r="J20" s="594">
        <f t="shared" si="4"/>
        <v>303274.88446464005</v>
      </c>
      <c r="K20" s="594">
        <f t="shared" si="4"/>
        <v>320258.2779946599</v>
      </c>
      <c r="L20" s="594">
        <f t="shared" si="4"/>
        <v>338192.7415623609</v>
      </c>
      <c r="M20" s="594">
        <f t="shared" si="4"/>
        <v>357131.5350898531</v>
      </c>
      <c r="N20" s="198">
        <f t="shared" si="4"/>
        <v>377130.90105488489</v>
      </c>
      <c r="O20" s="777">
        <f t="shared" si="4"/>
        <v>398250.23151395848</v>
      </c>
      <c r="P20" s="777">
        <f t="shared" si="4"/>
        <v>420552.24447874021</v>
      </c>
      <c r="Q20" s="777">
        <f t="shared" si="4"/>
        <v>444103.1701695497</v>
      </c>
      <c r="R20" s="130"/>
      <c r="S20" s="32"/>
      <c r="T20" s="92"/>
      <c r="U20" s="92"/>
      <c r="V20" s="92"/>
      <c r="W20" s="92"/>
      <c r="X20" s="92"/>
    </row>
    <row r="21" spans="2:59" ht="15.6">
      <c r="B21" s="580" t="s">
        <v>536</v>
      </c>
      <c r="C21" s="134"/>
      <c r="D21" s="130"/>
      <c r="E21" s="788"/>
      <c r="F21" s="789">
        <f>F20/E20-1</f>
        <v>2.2267206477732726E-2</v>
      </c>
      <c r="G21" s="789">
        <f>G20/F20-1</f>
        <v>1.9960396039603978E-2</v>
      </c>
      <c r="H21" s="770">
        <v>5.6000000000000001E-2</v>
      </c>
      <c r="I21" s="771">
        <v>5.6000000000000001E-2</v>
      </c>
      <c r="J21" s="771">
        <v>5.6000000000000001E-2</v>
      </c>
      <c r="K21" s="771">
        <v>5.6000000000000001E-2</v>
      </c>
      <c r="L21" s="771">
        <v>5.6000000000000001E-2</v>
      </c>
      <c r="M21" s="771">
        <v>5.6000000000000001E-2</v>
      </c>
      <c r="N21" s="771">
        <v>5.6000000000000001E-2</v>
      </c>
      <c r="O21" s="771">
        <v>5.6000000000000001E-2</v>
      </c>
      <c r="P21" s="771">
        <v>5.6000000000000001E-2</v>
      </c>
      <c r="Q21" s="771">
        <v>5.6000000000000001E-2</v>
      </c>
      <c r="R21" s="130"/>
      <c r="S21" s="92"/>
      <c r="T21"/>
      <c r="U21"/>
      <c r="V21"/>
      <c r="W21"/>
      <c r="X21"/>
    </row>
    <row r="22" spans="2:59" ht="15.6">
      <c r="B22" s="130" t="s">
        <v>235</v>
      </c>
      <c r="C22" s="134"/>
      <c r="D22" s="130"/>
      <c r="E22" s="139">
        <f>AVERAGE(E18,E20)</f>
        <v>247000</v>
      </c>
      <c r="F22" s="139">
        <f>AVERAGE(F18,F20)</f>
        <v>252500</v>
      </c>
      <c r="G22" s="139">
        <f>AVERAGE(G18,G20)</f>
        <v>296745</v>
      </c>
      <c r="H22" s="764">
        <f>AVERAGE(H18,H20)</f>
        <v>313321.12</v>
      </c>
      <c r="I22" s="761">
        <f t="shared" ref="I22:Q22" si="5">AVERAGE(I18,I20)</f>
        <v>327746.96676478127</v>
      </c>
      <c r="J22" s="761">
        <f t="shared" si="5"/>
        <v>348885.62565646449</v>
      </c>
      <c r="K22" s="761">
        <f t="shared" si="5"/>
        <v>371406.11353047524</v>
      </c>
      <c r="L22" s="761">
        <f t="shared" si="5"/>
        <v>395399.89962987934</v>
      </c>
      <c r="M22" s="761">
        <f t="shared" si="5"/>
        <v>420964.57736572658</v>
      </c>
      <c r="N22" s="761">
        <f t="shared" si="5"/>
        <v>448204.27852744248</v>
      </c>
      <c r="O22" s="761">
        <f t="shared" si="5"/>
        <v>477230.11575697921</v>
      </c>
      <c r="P22" s="761">
        <f t="shared" si="5"/>
        <v>506847.29423937015</v>
      </c>
      <c r="Q22" s="761">
        <f t="shared" si="5"/>
        <v>538315.08290557482</v>
      </c>
      <c r="R22" s="130"/>
      <c r="S22" s="92"/>
      <c r="T22"/>
      <c r="U22"/>
      <c r="V22"/>
      <c r="W22"/>
      <c r="X22"/>
    </row>
    <row r="23" spans="2:59" ht="15.6">
      <c r="B23" s="130" t="s">
        <v>537</v>
      </c>
      <c r="C23" s="134"/>
      <c r="D23" s="130"/>
      <c r="E23" s="139"/>
      <c r="F23" s="139"/>
      <c r="G23" s="139"/>
      <c r="H23" s="779">
        <f>AVERAGE(H19,H21)</f>
        <v>5.5876172049412115E-2</v>
      </c>
      <c r="I23" s="780">
        <f t="shared" ref="I23:Q23" si="6">AVERAGE(I19,I21)</f>
        <v>6.1200000000000004E-2</v>
      </c>
      <c r="J23" s="780">
        <f t="shared" si="6"/>
        <v>6.1200000000000004E-2</v>
      </c>
      <c r="K23" s="780">
        <f t="shared" si="6"/>
        <v>6.1200000000000004E-2</v>
      </c>
      <c r="L23" s="780">
        <f t="shared" si="6"/>
        <v>6.1200000000000004E-2</v>
      </c>
      <c r="M23" s="780">
        <f t="shared" si="6"/>
        <v>6.1200000000000004E-2</v>
      </c>
      <c r="N23" s="780">
        <f t="shared" si="6"/>
        <v>6.1200000000000004E-2</v>
      </c>
      <c r="O23" s="780">
        <f t="shared" si="6"/>
        <v>6.3561268209083102E-2</v>
      </c>
      <c r="P23" s="780">
        <f t="shared" si="6"/>
        <v>6.1200000000000004E-2</v>
      </c>
      <c r="Q23" s="780">
        <f t="shared" si="6"/>
        <v>6.1200000000000004E-2</v>
      </c>
      <c r="R23" s="130"/>
      <c r="S23" s="92"/>
      <c r="T23"/>
      <c r="U23"/>
      <c r="V23"/>
      <c r="W23"/>
      <c r="X23"/>
    </row>
    <row r="24" spans="2:59" ht="15.6">
      <c r="B24" s="130" t="s">
        <v>538</v>
      </c>
      <c r="C24" s="134"/>
      <c r="D24" s="130"/>
      <c r="E24" s="773">
        <f t="shared" ref="E24:F24" si="7">E48/E22</f>
        <v>1.5878542510121456E-3</v>
      </c>
      <c r="F24" s="773">
        <f t="shared" si="7"/>
        <v>2.2922772277227722E-3</v>
      </c>
      <c r="G24" s="773">
        <f>G48/G22</f>
        <v>3.4504372440984682E-3</v>
      </c>
      <c r="H24" s="774">
        <f>H48/H22</f>
        <v>4.1775032592759791E-3</v>
      </c>
      <c r="I24" s="775">
        <f>I42/I22</f>
        <v>4.5658614687637995E-3</v>
      </c>
      <c r="J24" s="775">
        <f t="shared" ref="J24:O24" si="8">J42/J22</f>
        <v>4.8252371010102336E-3</v>
      </c>
      <c r="K24" s="775">
        <f t="shared" si="8"/>
        <v>5.0288491332773589E-3</v>
      </c>
      <c r="L24" s="775">
        <f t="shared" si="8"/>
        <v>5.1878861241672443E-3</v>
      </c>
      <c r="M24" s="775">
        <f t="shared" si="8"/>
        <v>5.3112885092899461E-3</v>
      </c>
      <c r="N24" s="775">
        <f t="shared" si="8"/>
        <v>5.4062003377584218E-3</v>
      </c>
      <c r="O24" s="775">
        <f t="shared" si="8"/>
        <v>5.4783302566695433E-3</v>
      </c>
      <c r="P24" s="775">
        <f>P42/P22</f>
        <v>5.5419095635058447E-3</v>
      </c>
      <c r="Q24" s="775">
        <f>Q42/Q22</f>
        <v>5.8197265111706023E-3</v>
      </c>
      <c r="R24" s="130"/>
      <c r="S24" s="92"/>
      <c r="T24"/>
      <c r="U24"/>
      <c r="V24"/>
      <c r="W24"/>
      <c r="X24"/>
      <c r="BG24" s="140"/>
    </row>
    <row r="25" spans="2:59" ht="15.6">
      <c r="B25" s="60"/>
      <c r="C25" s="134"/>
      <c r="D25" s="130"/>
      <c r="E25" s="139"/>
      <c r="F25" s="139"/>
      <c r="G25" s="139"/>
      <c r="H25" s="764"/>
      <c r="I25" s="761" t="s">
        <v>539</v>
      </c>
      <c r="J25" s="761"/>
      <c r="K25" s="761"/>
      <c r="L25" s="761"/>
      <c r="M25" s="242"/>
      <c r="N25" s="761"/>
      <c r="O25" s="761"/>
      <c r="P25" s="761"/>
      <c r="Q25" s="761"/>
      <c r="R25" s="130"/>
      <c r="S25" s="92"/>
      <c r="T25"/>
      <c r="U25"/>
      <c r="V25"/>
      <c r="W25"/>
      <c r="X25"/>
      <c r="BG25" s="140"/>
    </row>
    <row r="26" spans="2:59" ht="15.6">
      <c r="B26" s="60"/>
      <c r="C26" s="134"/>
      <c r="D26" s="130"/>
      <c r="E26" s="139"/>
      <c r="F26" s="139"/>
      <c r="G26" s="139"/>
      <c r="H26" s="764"/>
      <c r="I26" s="761"/>
      <c r="J26" s="761"/>
      <c r="K26" s="761"/>
      <c r="L26" s="761"/>
      <c r="M26" s="242"/>
      <c r="N26" s="761"/>
      <c r="O26" s="761"/>
      <c r="P26" s="761"/>
      <c r="Q26" s="761"/>
      <c r="R26" s="130"/>
      <c r="S26" s="92"/>
      <c r="T26"/>
      <c r="U26"/>
      <c r="V26"/>
      <c r="W26"/>
      <c r="X26"/>
      <c r="BG26" s="140"/>
    </row>
    <row r="27" spans="2:59" ht="15.6">
      <c r="B27" s="130" t="s">
        <v>540</v>
      </c>
      <c r="C27" s="134"/>
      <c r="D27" s="130"/>
      <c r="E27" s="139"/>
      <c r="F27" s="139"/>
      <c r="G27" s="139"/>
      <c r="H27" s="764"/>
      <c r="I27" s="761"/>
      <c r="J27" s="761"/>
      <c r="K27" s="761"/>
      <c r="L27" s="761"/>
      <c r="M27" s="242"/>
      <c r="N27" s="761"/>
      <c r="O27" s="761"/>
      <c r="P27" s="761"/>
      <c r="Q27" s="761"/>
      <c r="R27" s="130"/>
      <c r="S27" s="92"/>
      <c r="T27"/>
      <c r="U27"/>
      <c r="V27"/>
      <c r="W27"/>
      <c r="X27"/>
      <c r="BG27" s="140"/>
    </row>
    <row r="28" spans="2:59" ht="15.6">
      <c r="B28" s="60" t="s">
        <v>533</v>
      </c>
      <c r="C28" s="1076" t="s">
        <v>541</v>
      </c>
      <c r="D28" s="1076"/>
      <c r="E28" s="1076"/>
      <c r="F28" s="1076"/>
      <c r="G28" s="139"/>
      <c r="H28" s="778" t="s">
        <v>309</v>
      </c>
      <c r="I28" s="241" t="s">
        <v>309</v>
      </c>
      <c r="J28" s="241" t="s">
        <v>309</v>
      </c>
      <c r="K28" s="241" t="s">
        <v>309</v>
      </c>
      <c r="L28" s="241" t="s">
        <v>309</v>
      </c>
      <c r="M28" s="241" t="s">
        <v>309</v>
      </c>
      <c r="N28" s="241" t="s">
        <v>309</v>
      </c>
      <c r="O28" s="241" t="s">
        <v>309</v>
      </c>
      <c r="P28" s="241" t="s">
        <v>309</v>
      </c>
      <c r="Q28" s="241" t="s">
        <v>309</v>
      </c>
      <c r="R28" s="130"/>
      <c r="S28" s="92"/>
      <c r="T28"/>
      <c r="U28"/>
      <c r="V28"/>
      <c r="W28"/>
      <c r="X28"/>
      <c r="BG28" s="140"/>
    </row>
    <row r="29" spans="2:59" ht="15.6">
      <c r="B29" s="130" t="s">
        <v>534</v>
      </c>
      <c r="C29" s="787"/>
      <c r="D29" s="787"/>
      <c r="E29" s="787"/>
      <c r="F29" s="139"/>
      <c r="G29" s="139"/>
      <c r="H29" s="770"/>
      <c r="I29" s="771">
        <v>6.0100000000000001E-2</v>
      </c>
      <c r="J29" s="771">
        <v>6.0100000000000001E-2</v>
      </c>
      <c r="K29" s="771">
        <v>6.0100000000000001E-2</v>
      </c>
      <c r="L29" s="771">
        <v>6.0100000000000001E-2</v>
      </c>
      <c r="M29" s="771">
        <v>6.0100000000000001E-2</v>
      </c>
      <c r="N29" s="771">
        <v>6.0100000000000001E-2</v>
      </c>
      <c r="O29" s="771">
        <v>6.0100000000000001E-2</v>
      </c>
      <c r="P29" s="771">
        <v>6.0100000000000001E-2</v>
      </c>
      <c r="Q29" s="771">
        <v>6.0100000000000001E-2</v>
      </c>
      <c r="R29" s="130"/>
      <c r="S29" s="92"/>
      <c r="T29"/>
      <c r="U29"/>
      <c r="V29"/>
      <c r="W29"/>
      <c r="X29"/>
      <c r="BG29" s="140"/>
    </row>
    <row r="30" spans="2:59" ht="15.6">
      <c r="B30" s="60" t="s">
        <v>535</v>
      </c>
      <c r="C30" s="134"/>
      <c r="D30" s="130"/>
      <c r="E30" s="140">
        <v>56000</v>
      </c>
      <c r="F30" s="140">
        <v>61000</v>
      </c>
      <c r="G30" s="140">
        <v>66000</v>
      </c>
      <c r="H30" s="764">
        <v>67730</v>
      </c>
      <c r="I30" s="761">
        <f>H30+H30*I31</f>
        <v>71780.254000000001</v>
      </c>
      <c r="J30" s="761">
        <f t="shared" ref="J30:L30" si="9">I30+I30*J31</f>
        <v>76072.713189200003</v>
      </c>
      <c r="K30" s="761">
        <f t="shared" si="9"/>
        <v>80621.861437914165</v>
      </c>
      <c r="L30" s="761">
        <f t="shared" si="9"/>
        <v>85443.048751901428</v>
      </c>
      <c r="M30" s="198">
        <f>L30+L30*M31</f>
        <v>90552.543067265127</v>
      </c>
      <c r="N30" s="198">
        <f t="shared" ref="N30:Q30" si="10">M30+M30*N31</f>
        <v>95967.585142687574</v>
      </c>
      <c r="O30" s="198">
        <f t="shared" si="10"/>
        <v>101706.44673422028</v>
      </c>
      <c r="P30" s="198">
        <f t="shared" si="10"/>
        <v>107788.49224892666</v>
      </c>
      <c r="Q30" s="198">
        <f t="shared" si="10"/>
        <v>114234.24408541247</v>
      </c>
      <c r="R30" s="130"/>
      <c r="S30" s="92"/>
      <c r="T30"/>
      <c r="U30"/>
      <c r="V30"/>
      <c r="W30"/>
      <c r="X30"/>
      <c r="BG30" s="140"/>
    </row>
    <row r="31" spans="2:59" ht="15.6">
      <c r="B31" s="580" t="s">
        <v>536</v>
      </c>
      <c r="C31" s="134"/>
      <c r="D31" s="130"/>
      <c r="E31" s="139"/>
      <c r="F31" s="771">
        <f>F30/E30-1</f>
        <v>8.9285714285714191E-2</v>
      </c>
      <c r="G31" s="771">
        <f>G30/F30-1</f>
        <v>8.1967213114754189E-2</v>
      </c>
      <c r="H31" s="770">
        <f>H30/G30-1</f>
        <v>2.6212121212121131E-2</v>
      </c>
      <c r="I31" s="771">
        <v>5.9799999999999999E-2</v>
      </c>
      <c r="J31" s="771">
        <v>5.9799999999999999E-2</v>
      </c>
      <c r="K31" s="771">
        <v>5.9799999999999999E-2</v>
      </c>
      <c r="L31" s="771">
        <v>5.9799999999999999E-2</v>
      </c>
      <c r="M31" s="771">
        <v>5.9799999999999999E-2</v>
      </c>
      <c r="N31" s="771">
        <v>5.9799999999999999E-2</v>
      </c>
      <c r="O31" s="771">
        <v>5.9799999999999999E-2</v>
      </c>
      <c r="P31" s="771">
        <v>5.9799999999999999E-2</v>
      </c>
      <c r="Q31" s="771">
        <v>5.9799999999999999E-2</v>
      </c>
      <c r="R31" s="130"/>
      <c r="S31" s="92"/>
      <c r="T31"/>
      <c r="U31"/>
      <c r="V31"/>
      <c r="W31"/>
      <c r="X31"/>
      <c r="BG31" s="140"/>
    </row>
    <row r="32" spans="2:59" ht="15.6">
      <c r="B32" s="130" t="s">
        <v>235</v>
      </c>
      <c r="C32" s="134"/>
      <c r="D32" s="130"/>
      <c r="E32" s="139"/>
      <c r="F32" s="139"/>
      <c r="G32" s="139"/>
      <c r="H32" s="764">
        <f>AVERAGE(H28,H30)</f>
        <v>67730</v>
      </c>
      <c r="I32" s="761">
        <f t="shared" ref="I32:Q32" si="11">AVERAGE(I28,I30)</f>
        <v>71780.254000000001</v>
      </c>
      <c r="J32" s="761">
        <f t="shared" si="11"/>
        <v>76072.713189200003</v>
      </c>
      <c r="K32" s="761">
        <f t="shared" si="11"/>
        <v>80621.861437914165</v>
      </c>
      <c r="L32" s="761">
        <f t="shared" si="11"/>
        <v>85443.048751901428</v>
      </c>
      <c r="M32" s="761">
        <f t="shared" si="11"/>
        <v>90552.543067265127</v>
      </c>
      <c r="N32" s="761">
        <f t="shared" si="11"/>
        <v>95967.585142687574</v>
      </c>
      <c r="O32" s="761">
        <f t="shared" si="11"/>
        <v>101706.44673422028</v>
      </c>
      <c r="P32" s="761">
        <f t="shared" si="11"/>
        <v>107788.49224892666</v>
      </c>
      <c r="Q32" s="761">
        <f t="shared" si="11"/>
        <v>114234.24408541247</v>
      </c>
      <c r="R32" s="130"/>
      <c r="S32" s="92"/>
      <c r="T32"/>
      <c r="U32"/>
      <c r="V32"/>
      <c r="W32"/>
      <c r="X32"/>
      <c r="BG32" s="140"/>
    </row>
    <row r="33" spans="1:59" ht="15.6">
      <c r="B33" s="130" t="s">
        <v>537</v>
      </c>
      <c r="C33" s="134"/>
      <c r="D33" s="130"/>
      <c r="E33" s="139"/>
      <c r="F33" s="139"/>
      <c r="G33" s="139"/>
      <c r="H33" s="766"/>
      <c r="I33" s="767">
        <f t="shared" ref="I33:Q33" si="12">AVERAGE(I29,I31)</f>
        <v>5.9950000000000003E-2</v>
      </c>
      <c r="J33" s="767">
        <f t="shared" si="12"/>
        <v>5.9950000000000003E-2</v>
      </c>
      <c r="K33" s="767">
        <f t="shared" si="12"/>
        <v>5.9950000000000003E-2</v>
      </c>
      <c r="L33" s="767">
        <f t="shared" si="12"/>
        <v>5.9950000000000003E-2</v>
      </c>
      <c r="M33" s="767">
        <f t="shared" si="12"/>
        <v>5.9950000000000003E-2</v>
      </c>
      <c r="N33" s="767">
        <f t="shared" si="12"/>
        <v>5.9950000000000003E-2</v>
      </c>
      <c r="O33" s="767">
        <f t="shared" si="12"/>
        <v>5.9950000000000003E-2</v>
      </c>
      <c r="P33" s="767">
        <f t="shared" si="12"/>
        <v>5.9950000000000003E-2</v>
      </c>
      <c r="Q33" s="767">
        <f t="shared" si="12"/>
        <v>5.9950000000000003E-2</v>
      </c>
      <c r="R33" s="130"/>
      <c r="S33" s="92"/>
      <c r="T33"/>
      <c r="U33"/>
      <c r="V33"/>
      <c r="W33"/>
      <c r="X33"/>
      <c r="BG33" s="140"/>
    </row>
    <row r="34" spans="1:59" ht="15.6">
      <c r="B34" s="130" t="s">
        <v>542</v>
      </c>
      <c r="C34" s="134"/>
      <c r="D34" s="130"/>
      <c r="E34" s="773">
        <f t="shared" ref="E34:F34" si="13">E48*E43/E30</f>
        <v>6.2053571428571427E-3</v>
      </c>
      <c r="F34" s="773">
        <f t="shared" si="13"/>
        <v>8.3067615517275553E-3</v>
      </c>
      <c r="G34" s="773">
        <f>G48*G43/G30</f>
        <v>1.3151745827414772E-2</v>
      </c>
      <c r="H34" s="774">
        <f>H48*$G$43/H32</f>
        <v>1.6383066409133694E-2</v>
      </c>
      <c r="I34" s="775">
        <f>H34+($Q$34-H34)/5</f>
        <v>1.7106453127306954E-2</v>
      </c>
      <c r="J34" s="775">
        <f t="shared" ref="J34:P34" si="14">I34+($Q$34-I34)/5</f>
        <v>1.7685162501845562E-2</v>
      </c>
      <c r="K34" s="775">
        <f t="shared" si="14"/>
        <v>1.8148130001476449E-2</v>
      </c>
      <c r="L34" s="775">
        <f t="shared" si="14"/>
        <v>1.8518504001181161E-2</v>
      </c>
      <c r="M34" s="775">
        <f t="shared" si="14"/>
        <v>1.8814803200944929E-2</v>
      </c>
      <c r="N34" s="775">
        <f t="shared" si="14"/>
        <v>1.9051842560755945E-2</v>
      </c>
      <c r="O34" s="775">
        <f t="shared" si="14"/>
        <v>1.9241474048604757E-2</v>
      </c>
      <c r="P34" s="775">
        <f t="shared" si="14"/>
        <v>1.9393179238883805E-2</v>
      </c>
      <c r="Q34" s="791">
        <v>0.02</v>
      </c>
      <c r="R34" s="130"/>
      <c r="S34" s="92"/>
      <c r="T34"/>
      <c r="U34"/>
      <c r="V34"/>
      <c r="W34"/>
      <c r="X34"/>
      <c r="BG34" s="140"/>
    </row>
    <row r="35" spans="1:59" ht="15.6">
      <c r="B35" s="130"/>
      <c r="C35" s="134"/>
      <c r="D35" s="130"/>
      <c r="E35" s="139"/>
      <c r="F35" s="139"/>
      <c r="G35" s="139"/>
      <c r="H35" s="764"/>
      <c r="I35" s="761" t="s">
        <v>543</v>
      </c>
      <c r="J35" s="761"/>
      <c r="K35" s="761"/>
      <c r="L35" s="761"/>
      <c r="M35" s="242"/>
      <c r="N35" s="761"/>
      <c r="O35" s="761"/>
      <c r="P35" s="761"/>
      <c r="Q35" s="761"/>
      <c r="R35" s="130"/>
      <c r="S35" s="92"/>
      <c r="T35"/>
      <c r="U35"/>
      <c r="V35"/>
      <c r="W35"/>
      <c r="X35"/>
      <c r="BG35" s="140"/>
    </row>
    <row r="36" spans="1:59" ht="15.6">
      <c r="B36" s="125" t="s">
        <v>544</v>
      </c>
      <c r="C36" s="134"/>
      <c r="D36" s="130"/>
      <c r="E36" s="139"/>
      <c r="F36" s="139"/>
      <c r="G36" s="139"/>
      <c r="H36" s="764"/>
      <c r="I36" s="761"/>
      <c r="J36" s="761"/>
      <c r="K36" s="761"/>
      <c r="L36" s="761"/>
      <c r="M36" s="242"/>
      <c r="N36" s="761"/>
      <c r="O36" s="761"/>
      <c r="P36" s="761"/>
      <c r="Q36" s="761"/>
      <c r="R36" s="130"/>
      <c r="S36" s="92"/>
      <c r="T36"/>
      <c r="U36"/>
      <c r="V36"/>
      <c r="W36"/>
      <c r="X36"/>
      <c r="BG36" s="758"/>
    </row>
    <row r="37" spans="1:59" ht="15.6">
      <c r="B37" s="130" t="s">
        <v>545</v>
      </c>
      <c r="C37" s="134"/>
      <c r="D37" s="130"/>
      <c r="E37" s="768">
        <f t="shared" ref="E37:F37" si="15">E20-E30</f>
        <v>191000</v>
      </c>
      <c r="F37" s="768">
        <f t="shared" si="15"/>
        <v>191500</v>
      </c>
      <c r="G37" s="768">
        <f>G20-G30</f>
        <v>191540</v>
      </c>
      <c r="H37" s="763">
        <f>H22-H32</f>
        <v>245591.12</v>
      </c>
      <c r="I37" s="140">
        <f>I22-I32</f>
        <v>255966.71276478126</v>
      </c>
      <c r="J37" s="140">
        <f t="shared" ref="J37:Q37" si="16">J22-J32</f>
        <v>272812.91246726445</v>
      </c>
      <c r="K37" s="140">
        <f t="shared" si="16"/>
        <v>290784.2520925611</v>
      </c>
      <c r="L37" s="140">
        <f t="shared" si="16"/>
        <v>309956.85087797791</v>
      </c>
      <c r="M37" s="140">
        <f t="shared" si="16"/>
        <v>330412.03429846145</v>
      </c>
      <c r="N37" s="140">
        <f t="shared" si="16"/>
        <v>352236.69338475494</v>
      </c>
      <c r="O37" s="140">
        <f t="shared" si="16"/>
        <v>375523.66902275896</v>
      </c>
      <c r="P37" s="140">
        <f t="shared" si="16"/>
        <v>399058.80199044349</v>
      </c>
      <c r="Q37" s="140">
        <f t="shared" si="16"/>
        <v>424080.83882016235</v>
      </c>
      <c r="R37" s="130"/>
      <c r="S37" s="92"/>
      <c r="T37"/>
      <c r="U37"/>
      <c r="V37"/>
      <c r="W37"/>
      <c r="X37"/>
      <c r="BG37" s="759"/>
    </row>
    <row r="38" spans="1:59" ht="15.6">
      <c r="B38" s="130" t="s">
        <v>534</v>
      </c>
      <c r="C38" s="134"/>
      <c r="D38" s="130"/>
      <c r="E38" s="290"/>
      <c r="F38" s="767">
        <f t="shared" ref="F38:H38" si="17">(F37-E37)/E37</f>
        <v>2.617801047120419E-3</v>
      </c>
      <c r="G38" s="767">
        <f t="shared" si="17"/>
        <v>2.0887728459530026E-4</v>
      </c>
      <c r="H38" s="766">
        <f t="shared" si="17"/>
        <v>0.28219233580453168</v>
      </c>
      <c r="I38" s="767">
        <f>(I37-H37)/H37</f>
        <v>4.2247426392213468E-2</v>
      </c>
      <c r="J38" s="767">
        <f t="shared" ref="J38:Q38" si="18">(J37-I37)/I37</f>
        <v>6.5814025271183935E-2</v>
      </c>
      <c r="K38" s="767">
        <f t="shared" si="18"/>
        <v>6.5874226636736186E-2</v>
      </c>
      <c r="L38" s="767">
        <f t="shared" si="18"/>
        <v>6.5934102852701501E-2</v>
      </c>
      <c r="M38" s="767">
        <f t="shared" si="18"/>
        <v>6.5993648349899611E-2</v>
      </c>
      <c r="N38" s="767">
        <f t="shared" si="18"/>
        <v>6.6052857707292981E-2</v>
      </c>
      <c r="O38" s="767">
        <f t="shared" si="18"/>
        <v>6.6111725653088635E-2</v>
      </c>
      <c r="P38" s="767">
        <f t="shared" si="18"/>
        <v>6.2672835054394846E-2</v>
      </c>
      <c r="Q38" s="767">
        <f t="shared" si="18"/>
        <v>6.270263105315009E-2</v>
      </c>
      <c r="R38" s="130"/>
      <c r="S38" s="92"/>
      <c r="T38"/>
      <c r="U38"/>
      <c r="V38"/>
      <c r="W38"/>
      <c r="X38"/>
      <c r="BG38" s="760"/>
    </row>
    <row r="39" spans="1:59" ht="15.6">
      <c r="B39" s="130" t="s">
        <v>546</v>
      </c>
      <c r="C39" s="134"/>
      <c r="D39" s="130"/>
      <c r="E39" s="773">
        <f>E48*E44/E37</f>
        <v>2.340314136125655E-4</v>
      </c>
      <c r="F39" s="773">
        <f t="shared" ref="F39:G39" si="19">F48*F44/F37</f>
        <v>3.7643626811811529E-4</v>
      </c>
      <c r="G39" s="773">
        <f t="shared" si="19"/>
        <v>8.1384972011394477E-4</v>
      </c>
      <c r="H39" s="774">
        <f>(H48*G44)/H37</f>
        <v>8.1140927289787587E-4</v>
      </c>
      <c r="I39" s="775">
        <f>H39+($Q$39-H39)/5</f>
        <v>1.0491274183183007E-3</v>
      </c>
      <c r="J39" s="775">
        <f t="shared" ref="J39:P39" si="20">I39+($Q$39-I39)/5</f>
        <v>1.2393019346546405E-3</v>
      </c>
      <c r="K39" s="775">
        <f t="shared" si="20"/>
        <v>1.3914415477237125E-3</v>
      </c>
      <c r="L39" s="775">
        <f t="shared" si="20"/>
        <v>1.51315323817897E-3</v>
      </c>
      <c r="M39" s="775">
        <f t="shared" si="20"/>
        <v>1.6105225905431761E-3</v>
      </c>
      <c r="N39" s="775">
        <f t="shared" si="20"/>
        <v>1.6884180724345409E-3</v>
      </c>
      <c r="O39" s="775">
        <f t="shared" si="20"/>
        <v>1.7507344579476328E-3</v>
      </c>
      <c r="P39" s="775">
        <f t="shared" si="20"/>
        <v>1.8005875663581062E-3</v>
      </c>
      <c r="Q39" s="791">
        <v>2E-3</v>
      </c>
      <c r="R39" s="130"/>
      <c r="S39" s="92"/>
      <c r="T39"/>
      <c r="U39"/>
      <c r="V39"/>
      <c r="W39"/>
      <c r="X39"/>
      <c r="BG39" s="760"/>
    </row>
    <row r="40" spans="1:59" ht="15.6">
      <c r="H40" s="765"/>
      <c r="I40" s="761" t="s">
        <v>543</v>
      </c>
      <c r="R40" s="130"/>
      <c r="S40" s="92"/>
      <c r="T40"/>
      <c r="U40"/>
      <c r="V40"/>
      <c r="W40"/>
      <c r="X40"/>
    </row>
    <row r="41" spans="1:59" ht="15.95" thickBot="1">
      <c r="H41" s="765"/>
      <c r="P41" s="762"/>
      <c r="Q41" s="762"/>
      <c r="R41" s="130"/>
      <c r="S41" s="92"/>
      <c r="T41"/>
      <c r="U41"/>
      <c r="V41"/>
      <c r="W41"/>
      <c r="X41"/>
    </row>
    <row r="42" spans="1:59" ht="15.95" thickBot="1">
      <c r="B42" s="130" t="s">
        <v>547</v>
      </c>
      <c r="C42" s="134"/>
      <c r="D42" s="130"/>
      <c r="E42" s="579"/>
      <c r="F42" s="579"/>
      <c r="G42" s="579"/>
      <c r="H42" s="782">
        <f>H32*H34+H37*H39</f>
        <v>1308.9000000000001</v>
      </c>
      <c r="I42" s="783">
        <f>I32*I34+I37*I39</f>
        <v>1496.4472470555245</v>
      </c>
      <c r="J42" s="783">
        <f t="shared" ref="J42:Q42" si="21">J32*J34+J37*J39</f>
        <v>1683.4558649267403</v>
      </c>
      <c r="K42" s="783">
        <f t="shared" si="21"/>
        <v>1867.7453121216429</v>
      </c>
      <c r="L42" s="783">
        <f t="shared" si="21"/>
        <v>2051.2896527869721</v>
      </c>
      <c r="M42" s="783">
        <f t="shared" si="21"/>
        <v>2235.8643225806823</v>
      </c>
      <c r="N42" s="783">
        <f t="shared" si="21"/>
        <v>2423.0821219598292</v>
      </c>
      <c r="O42" s="783">
        <f t="shared" si="21"/>
        <v>2614.4241825453678</v>
      </c>
      <c r="P42" s="783">
        <f t="shared" si="21"/>
        <v>2808.9018671822264</v>
      </c>
      <c r="Q42" s="783">
        <f t="shared" si="21"/>
        <v>3132.8465593485744</v>
      </c>
      <c r="R42" s="798" t="s">
        <v>548</v>
      </c>
      <c r="S42" s="92"/>
      <c r="T42"/>
      <c r="U42"/>
      <c r="V42"/>
      <c r="W42"/>
      <c r="X42"/>
    </row>
    <row r="43" spans="1:59" ht="15.95" customHeight="1">
      <c r="B43" s="130" t="s">
        <v>549</v>
      </c>
      <c r="C43" s="781" t="s">
        <v>550</v>
      </c>
      <c r="E43" s="132">
        <f>Segments!G6/Segments!G13</f>
        <v>0.88602753697093317</v>
      </c>
      <c r="F43" s="784">
        <f>Segments!H6/Segments!H13</f>
        <v>0.87545344619105203</v>
      </c>
      <c r="G43" s="132">
        <f>Segments!D6</f>
        <v>0.84775390625000002</v>
      </c>
      <c r="H43" s="763">
        <f>H34*H32</f>
        <v>1109.6250878906251</v>
      </c>
      <c r="I43" s="140">
        <f>I34*I32</f>
        <v>1227.9055505171875</v>
      </c>
      <c r="J43" s="140">
        <f t="shared" ref="J43:P43" si="22">J34*J32</f>
        <v>1345.3582947072923</v>
      </c>
      <c r="K43" s="140">
        <f t="shared" si="22"/>
        <v>1463.1360223362874</v>
      </c>
      <c r="L43" s="140">
        <f t="shared" si="22"/>
        <v>1582.2774401852037</v>
      </c>
      <c r="M43" s="140">
        <f t="shared" si="22"/>
        <v>1703.7282771556834</v>
      </c>
      <c r="N43" s="140">
        <f t="shared" si="22"/>
        <v>1828.359323074425</v>
      </c>
      <c r="O43" s="140">
        <f t="shared" si="22"/>
        <v>1956.9819554123017</v>
      </c>
      <c r="P43" s="140">
        <f t="shared" si="22"/>
        <v>2090.3615500724723</v>
      </c>
      <c r="Q43" s="140">
        <f>Q34*Q32</f>
        <v>2284.6848817082496</v>
      </c>
      <c r="R43" s="799">
        <f>Q43/Q42</f>
        <v>0.72926804375102028</v>
      </c>
      <c r="S43" s="92"/>
      <c r="T43"/>
      <c r="U43"/>
      <c r="V43"/>
      <c r="W43"/>
      <c r="X43"/>
    </row>
    <row r="44" spans="1:59" ht="15.95" customHeight="1">
      <c r="B44" s="130"/>
      <c r="C44" s="781" t="s">
        <v>551</v>
      </c>
      <c r="E44" s="132">
        <f>1-E43</f>
        <v>0.11397246302906683</v>
      </c>
      <c r="F44" s="784">
        <f>1-F43</f>
        <v>0.12454655380894797</v>
      </c>
      <c r="G44" s="784">
        <f>1-G43</f>
        <v>0.15224609374999998</v>
      </c>
      <c r="H44" s="763">
        <f>H39*H37</f>
        <v>199.27491210937498</v>
      </c>
      <c r="I44" s="140">
        <f t="shared" ref="I44:P44" si="23">I39*I37</f>
        <v>268.54169653833702</v>
      </c>
      <c r="J44" s="140">
        <f t="shared" si="23"/>
        <v>338.09757021944796</v>
      </c>
      <c r="K44" s="140">
        <f t="shared" si="23"/>
        <v>404.60928978535543</v>
      </c>
      <c r="L44" s="140">
        <f t="shared" si="23"/>
        <v>469.0122126017684</v>
      </c>
      <c r="M44" s="140">
        <f t="shared" si="23"/>
        <v>532.13604542499888</v>
      </c>
      <c r="N44" s="140">
        <f t="shared" si="23"/>
        <v>594.72279888540436</v>
      </c>
      <c r="O44" s="140">
        <f t="shared" si="23"/>
        <v>657.44222713306613</v>
      </c>
      <c r="P44" s="140">
        <f t="shared" si="23"/>
        <v>718.54031710975403</v>
      </c>
      <c r="Q44" s="140">
        <f>Q39*Q37</f>
        <v>848.16167764032468</v>
      </c>
      <c r="R44" s="800">
        <f>Q44/Q42</f>
        <v>0.27073195624897967</v>
      </c>
      <c r="S44" s="92"/>
      <c r="T44"/>
      <c r="U44"/>
      <c r="V44"/>
      <c r="W44"/>
      <c r="X44"/>
    </row>
    <row r="45" spans="1:59" ht="15.6">
      <c r="B45" s="144" t="s">
        <v>552</v>
      </c>
      <c r="H45" s="790"/>
      <c r="S45" s="92"/>
    </row>
    <row r="46" spans="1:59" ht="15.6">
      <c r="A46" s="125" t="s">
        <v>472</v>
      </c>
      <c r="B46" s="51" t="s">
        <v>293</v>
      </c>
      <c r="C46" s="55"/>
      <c r="D46" s="55"/>
      <c r="E46" s="136">
        <v>2022</v>
      </c>
      <c r="F46" s="136">
        <f>+E46+1</f>
        <v>2023</v>
      </c>
      <c r="G46" s="137">
        <f>+F46+1</f>
        <v>2024</v>
      </c>
      <c r="H46" s="99">
        <f t="shared" ref="H46:Q46" si="24">+G46+1</f>
        <v>2025</v>
      </c>
      <c r="I46" s="99">
        <f t="shared" si="24"/>
        <v>2026</v>
      </c>
      <c r="J46" s="99">
        <f t="shared" si="24"/>
        <v>2027</v>
      </c>
      <c r="K46" s="99">
        <f>+J46+1</f>
        <v>2028</v>
      </c>
      <c r="L46" s="99">
        <f t="shared" si="24"/>
        <v>2029</v>
      </c>
      <c r="M46" s="99">
        <f t="shared" si="24"/>
        <v>2030</v>
      </c>
      <c r="N46" s="99">
        <f t="shared" si="24"/>
        <v>2031</v>
      </c>
      <c r="O46" s="99">
        <f t="shared" si="24"/>
        <v>2032</v>
      </c>
      <c r="P46" s="99">
        <f t="shared" si="24"/>
        <v>2033</v>
      </c>
      <c r="Q46" s="99">
        <f t="shared" si="24"/>
        <v>2034</v>
      </c>
      <c r="R46" s="146"/>
      <c r="S46" s="126"/>
      <c r="T46" s="126"/>
      <c r="U46" s="126"/>
    </row>
    <row r="47" spans="1:59" ht="3.95" customHeight="1">
      <c r="B47" s="68"/>
      <c r="C47" s="68"/>
      <c r="D47" s="68"/>
      <c r="E47" s="68"/>
      <c r="F47" s="68"/>
      <c r="G47" s="138"/>
      <c r="H47" s="68"/>
      <c r="I47" s="68"/>
      <c r="J47" s="68"/>
      <c r="K47" s="68"/>
      <c r="L47" s="68"/>
      <c r="M47" s="68"/>
      <c r="N47" s="68"/>
      <c r="O47" s="68"/>
      <c r="P47" s="68"/>
      <c r="Q47" s="68"/>
    </row>
    <row r="48" spans="1:59" ht="15.6">
      <c r="B48" s="125" t="s">
        <v>553</v>
      </c>
      <c r="D48" s="303">
        <f>+_xlfn.XLOOKUP($B48,Inputs!$B:$B,Inputs!N:N)</f>
        <v>318.10000000000002</v>
      </c>
      <c r="E48" s="148">
        <f>+_xlfn.XLOOKUP($B48,Inputs!$B:$B,Inputs!O:O)</f>
        <v>392.2</v>
      </c>
      <c r="F48" s="148">
        <f>+_xlfn.XLOOKUP($B48,Inputs!$B:$B,Inputs!P:P)</f>
        <v>578.79999999999995</v>
      </c>
      <c r="G48" s="268">
        <f>+_xlfn.XLOOKUP($B48,Inputs!$B:$B,Inputs!Q:Q)</f>
        <v>1023.9</v>
      </c>
      <c r="H48" s="149">
        <v>1308.9000000000001</v>
      </c>
      <c r="I48" s="149">
        <f>I42</f>
        <v>1496.4472470555245</v>
      </c>
      <c r="J48" s="149">
        <f t="shared" ref="J48:P48" si="25">J42</f>
        <v>1683.4558649267403</v>
      </c>
      <c r="K48" s="149">
        <f t="shared" si="25"/>
        <v>1867.7453121216429</v>
      </c>
      <c r="L48" s="149">
        <f t="shared" si="25"/>
        <v>2051.2896527869721</v>
      </c>
      <c r="M48" s="149">
        <f t="shared" si="25"/>
        <v>2235.8643225806823</v>
      </c>
      <c r="N48" s="149">
        <f t="shared" si="25"/>
        <v>2423.0821219598292</v>
      </c>
      <c r="O48" s="149">
        <f t="shared" si="25"/>
        <v>2614.4241825453678</v>
      </c>
      <c r="P48" s="149">
        <f t="shared" si="25"/>
        <v>2808.9018671822264</v>
      </c>
      <c r="Q48" s="149">
        <f>+Q43+Q44</f>
        <v>3132.8465593485744</v>
      </c>
    </row>
    <row r="49" spans="2:17" s="276" customFormat="1" ht="14.45">
      <c r="B49" s="277" t="s">
        <v>554</v>
      </c>
      <c r="E49" s="279">
        <f>IFERROR((E48-D48)/D48,"")</f>
        <v>0.23294561458660787</v>
      </c>
      <c r="F49" s="279">
        <f>IFERROR((F48-E48)/E48,"")</f>
        <v>0.47577766445690967</v>
      </c>
      <c r="G49" s="280">
        <f>IFERROR((G48-F48)/F48,"")</f>
        <v>0.76900483759502425</v>
      </c>
      <c r="H49" s="281">
        <f>IFERROR(H48/G48-1,"")</f>
        <v>0.27834749487254618</v>
      </c>
      <c r="I49" s="281">
        <f t="shared" ref="I49:Q49" si="26">IFERROR(I48/H48-1,"")</f>
        <v>0.14328615406488221</v>
      </c>
      <c r="J49" s="281">
        <f t="shared" si="26"/>
        <v>0.12496839981441532</v>
      </c>
      <c r="K49" s="281">
        <f t="shared" si="26"/>
        <v>0.10947091101964967</v>
      </c>
      <c r="L49" s="281">
        <f t="shared" si="26"/>
        <v>9.8270540139562268E-2</v>
      </c>
      <c r="M49" s="281">
        <f t="shared" si="26"/>
        <v>8.9979818083194107E-2</v>
      </c>
      <c r="N49" s="281">
        <f t="shared" si="26"/>
        <v>8.3733971461674495E-2</v>
      </c>
      <c r="O49" s="281">
        <f t="shared" si="26"/>
        <v>7.8966395258109445E-2</v>
      </c>
      <c r="P49" s="281">
        <f t="shared" si="26"/>
        <v>7.4386431220781368E-2</v>
      </c>
      <c r="Q49" s="281">
        <f t="shared" si="26"/>
        <v>0.11532787811178169</v>
      </c>
    </row>
    <row r="50" spans="2:17" ht="3.75" customHeight="1">
      <c r="B50" s="150"/>
      <c r="E50" s="152"/>
      <c r="F50" s="152"/>
      <c r="G50" s="153"/>
      <c r="H50" s="151"/>
      <c r="I50" s="151"/>
      <c r="J50" s="151"/>
      <c r="K50" s="151"/>
      <c r="L50" s="151"/>
      <c r="O50" s="154"/>
      <c r="P50" s="154"/>
      <c r="Q50" s="154"/>
    </row>
    <row r="51" spans="2:17" ht="15.6">
      <c r="B51" s="275" t="s">
        <v>300</v>
      </c>
      <c r="E51" s="148">
        <f>+_xlfn.XLOOKUP($B51,Inputs!$B:$B,Inputs!O:O)</f>
        <v>140.4</v>
      </c>
      <c r="F51" s="148">
        <f>+_xlfn.XLOOKUP($B51,Inputs!$B:$B,Inputs!P:P)</f>
        <v>188.4</v>
      </c>
      <c r="G51" s="268">
        <f>+_xlfn.XLOOKUP($B51,Inputs!$B:$B,Inputs!Q:Q)</f>
        <v>299.8</v>
      </c>
      <c r="H51" s="155">
        <f t="shared" ref="H51:Q51" si="27">H52*H$48</f>
        <v>458.11500000000001</v>
      </c>
      <c r="I51" s="155">
        <f>I52*I$48</f>
        <v>486.34535529304537</v>
      </c>
      <c r="J51" s="155">
        <f t="shared" si="27"/>
        <v>526.0799577896064</v>
      </c>
      <c r="K51" s="155">
        <f t="shared" si="27"/>
        <v>571.99700183725315</v>
      </c>
      <c r="L51" s="155">
        <f t="shared" si="27"/>
        <v>621.79717600105084</v>
      </c>
      <c r="M51" s="155">
        <f t="shared" si="27"/>
        <v>674.25283477823689</v>
      </c>
      <c r="N51" s="155">
        <f t="shared" si="27"/>
        <v>728.81766949572989</v>
      </c>
      <c r="O51" s="155">
        <f t="shared" si="27"/>
        <v>785.3485142099172</v>
      </c>
      <c r="P51" s="155">
        <f t="shared" si="27"/>
        <v>843.21917380060188</v>
      </c>
      <c r="Q51" s="155">
        <f t="shared" si="27"/>
        <v>939.85396780457222</v>
      </c>
    </row>
    <row r="52" spans="2:17" s="276" customFormat="1" ht="14.45">
      <c r="B52" s="285" t="s">
        <v>555</v>
      </c>
      <c r="E52" s="278">
        <f>IFERROR(E51/E$48,"")</f>
        <v>0.35798062213156556</v>
      </c>
      <c r="F52" s="278">
        <f t="shared" ref="F52:G52" si="28">IFERROR(F51/F$48,"")</f>
        <v>0.32550103662750524</v>
      </c>
      <c r="G52" s="282">
        <f t="shared" si="28"/>
        <v>0.29280203144838363</v>
      </c>
      <c r="H52" s="304">
        <v>0.35</v>
      </c>
      <c r="I52" s="304">
        <f>(H52+($Q$52-H52)/2)</f>
        <v>0.32499999999999996</v>
      </c>
      <c r="J52" s="304">
        <f t="shared" ref="J52:P52" si="29">(I52+($Q$52-I52)/2)</f>
        <v>0.3125</v>
      </c>
      <c r="K52" s="304">
        <f t="shared" si="29"/>
        <v>0.30625000000000002</v>
      </c>
      <c r="L52" s="304">
        <f t="shared" si="29"/>
        <v>0.30312499999999998</v>
      </c>
      <c r="M52" s="304">
        <f t="shared" si="29"/>
        <v>0.30156249999999996</v>
      </c>
      <c r="N52" s="304">
        <f t="shared" si="29"/>
        <v>0.30078125</v>
      </c>
      <c r="O52" s="304">
        <f t="shared" si="29"/>
        <v>0.30039062500000002</v>
      </c>
      <c r="P52" s="304">
        <f t="shared" si="29"/>
        <v>0.30019531249999998</v>
      </c>
      <c r="Q52" s="304">
        <v>0.3</v>
      </c>
    </row>
    <row r="53" spans="2:17" ht="5.25" customHeight="1">
      <c r="B53" s="150"/>
      <c r="E53" s="152"/>
      <c r="F53" s="152"/>
      <c r="G53" s="153"/>
      <c r="H53" s="158"/>
      <c r="I53" s="158"/>
      <c r="J53" s="158"/>
      <c r="K53" s="158"/>
      <c r="L53" s="158"/>
      <c r="M53" s="158"/>
      <c r="N53" s="158"/>
      <c r="O53" s="158"/>
      <c r="P53" s="158"/>
      <c r="Q53" s="158"/>
    </row>
    <row r="54" spans="2:17" ht="15.6">
      <c r="B54" s="125" t="s">
        <v>301</v>
      </c>
      <c r="E54" s="148">
        <f>+_xlfn.XLOOKUP($B54,Inputs!$B:$B,Inputs!O:O)</f>
        <v>251.79999999999998</v>
      </c>
      <c r="F54" s="148">
        <f>+_xlfn.XLOOKUP($B54,Inputs!$B:$B,Inputs!P:P)</f>
        <v>390.4</v>
      </c>
      <c r="G54" s="268">
        <f>+_xlfn.XLOOKUP($B54,Inputs!$B:$B,Inputs!Q:Q)</f>
        <v>724.09999999999991</v>
      </c>
      <c r="H54" s="155">
        <f>+H48-H51</f>
        <v>850.78500000000008</v>
      </c>
      <c r="I54" s="155">
        <f>+I48-I51</f>
        <v>1010.1018917624791</v>
      </c>
      <c r="J54" s="155">
        <f t="shared" ref="J54:Q54" si="30">+J48-J51</f>
        <v>1157.3759071371339</v>
      </c>
      <c r="K54" s="155">
        <f t="shared" si="30"/>
        <v>1295.7483102843898</v>
      </c>
      <c r="L54" s="155">
        <f t="shared" si="30"/>
        <v>1429.4924767859211</v>
      </c>
      <c r="M54" s="155">
        <f t="shared" si="30"/>
        <v>1561.6114878024455</v>
      </c>
      <c r="N54" s="155">
        <f t="shared" si="30"/>
        <v>1694.2644524640993</v>
      </c>
      <c r="O54" s="155">
        <f t="shared" si="30"/>
        <v>1829.0756683354507</v>
      </c>
      <c r="P54" s="155">
        <f t="shared" si="30"/>
        <v>1965.6826933816246</v>
      </c>
      <c r="Q54" s="155">
        <f t="shared" si="30"/>
        <v>2192.9925915440022</v>
      </c>
    </row>
    <row r="55" spans="2:17" s="276" customFormat="1" ht="14.45">
      <c r="B55" s="276" t="s">
        <v>41</v>
      </c>
      <c r="E55" s="278">
        <f>IFERROR(E54/E$48,"")</f>
        <v>0.64201937786843444</v>
      </c>
      <c r="F55" s="278">
        <f t="shared" ref="F55:Q55" si="31">IFERROR(F54/F$48,"")</f>
        <v>0.67449896337249482</v>
      </c>
      <c r="G55" s="282">
        <f t="shared" ref="G55" si="32">IFERROR(G54/G$48,"")</f>
        <v>0.70719796855161632</v>
      </c>
      <c r="H55" s="278">
        <f>IFERROR(H54/H$48,"")</f>
        <v>0.65</v>
      </c>
      <c r="I55" s="278">
        <f>IFERROR(I54/I$48,"")</f>
        <v>0.67500000000000004</v>
      </c>
      <c r="J55" s="278">
        <f t="shared" si="31"/>
        <v>0.6875</v>
      </c>
      <c r="K55" s="278">
        <f t="shared" si="31"/>
        <v>0.69375000000000009</v>
      </c>
      <c r="L55" s="278">
        <f t="shared" si="31"/>
        <v>0.69687500000000002</v>
      </c>
      <c r="M55" s="278">
        <f t="shared" si="31"/>
        <v>0.69843750000000004</v>
      </c>
      <c r="N55" s="278">
        <f t="shared" si="31"/>
        <v>0.69921875</v>
      </c>
      <c r="O55" s="278">
        <f t="shared" si="31"/>
        <v>0.69960937499999998</v>
      </c>
      <c r="P55" s="278">
        <f t="shared" si="31"/>
        <v>0.69980468750000002</v>
      </c>
      <c r="Q55" s="278">
        <f t="shared" si="31"/>
        <v>0.70000000000000007</v>
      </c>
    </row>
    <row r="56" spans="2:17" ht="3.75" customHeight="1">
      <c r="G56" s="156"/>
      <c r="H56" s="130"/>
      <c r="I56" s="130"/>
      <c r="J56" s="130"/>
      <c r="K56" s="130"/>
      <c r="L56" s="130"/>
      <c r="O56" s="130"/>
      <c r="P56" s="130"/>
      <c r="Q56" s="130"/>
    </row>
    <row r="57" spans="2:17" ht="14.25" customHeight="1">
      <c r="B57" s="275" t="s">
        <v>556</v>
      </c>
      <c r="E57" s="148">
        <f>+_xlfn.XLOOKUP($B57,Inputs!$B:$B,Inputs!O:O)</f>
        <v>221.9</v>
      </c>
      <c r="F57" s="148">
        <f>+_xlfn.XLOOKUP($B57,Inputs!$B:$B,Inputs!P:P)</f>
        <v>322.3</v>
      </c>
      <c r="G57" s="268">
        <f>+_xlfn.XLOOKUP($B57,Inputs!$B:$B,Inputs!Q:Q)</f>
        <v>574.4</v>
      </c>
      <c r="H57" s="155">
        <f>IFERROR(G57*(1+H49),"")</f>
        <v>734.28280105479053</v>
      </c>
      <c r="I57" s="155">
        <f t="shared" ref="I57:Q57" si="33">IFERROR(H57*(1+I49),"")</f>
        <v>839.49535961392053</v>
      </c>
      <c r="J57" s="155">
        <f t="shared" si="33"/>
        <v>944.40575135649931</v>
      </c>
      <c r="K57" s="155">
        <f t="shared" si="33"/>
        <v>1047.7907093296919</v>
      </c>
      <c r="L57" s="155">
        <f t="shared" si="33"/>
        <v>1150.7576682887359</v>
      </c>
      <c r="M57" s="155">
        <f t="shared" si="33"/>
        <v>1254.302633939197</v>
      </c>
      <c r="N57" s="155">
        <f t="shared" si="33"/>
        <v>1359.3303748937649</v>
      </c>
      <c r="O57" s="155">
        <f t="shared" si="33"/>
        <v>1466.67179456398</v>
      </c>
      <c r="P57" s="155">
        <f t="shared" si="33"/>
        <v>1575.7722751337735</v>
      </c>
      <c r="Q57" s="155">
        <f t="shared" si="33"/>
        <v>1757.5027480123263</v>
      </c>
    </row>
    <row r="58" spans="2:17" s="276" customFormat="1" ht="14.45">
      <c r="B58" s="285" t="s">
        <v>43</v>
      </c>
      <c r="E58" s="278">
        <f>IFERROR(E57/E$48,"")</f>
        <v>0.56578276389597149</v>
      </c>
      <c r="F58" s="278">
        <f t="shared" ref="F58:G58" si="34">IFERROR(F57/F$48,"")</f>
        <v>0.55684174153420873</v>
      </c>
      <c r="G58" s="283">
        <f t="shared" si="34"/>
        <v>0.56099228440277371</v>
      </c>
      <c r="H58" s="304">
        <f>IFERROR(AVERAGE(E58:G58),"")</f>
        <v>0.56120559661098468</v>
      </c>
      <c r="I58" s="304">
        <f t="shared" ref="I58:P58" si="35">IFERROR(AVERAGE(F58:H58),"")</f>
        <v>0.55967987418265575</v>
      </c>
      <c r="J58" s="304">
        <f t="shared" si="35"/>
        <v>0.5606259183988046</v>
      </c>
      <c r="K58" s="304">
        <f t="shared" si="35"/>
        <v>0.5605037963974816</v>
      </c>
      <c r="L58" s="304">
        <f t="shared" si="35"/>
        <v>0.56026986299298065</v>
      </c>
      <c r="M58" s="304">
        <f t="shared" si="35"/>
        <v>0.56046652592975565</v>
      </c>
      <c r="N58" s="304">
        <f t="shared" si="35"/>
        <v>0.56041339510673926</v>
      </c>
      <c r="O58" s="304">
        <f t="shared" si="35"/>
        <v>0.56038326134315852</v>
      </c>
      <c r="P58" s="304">
        <f t="shared" si="35"/>
        <v>0.56042106079321785</v>
      </c>
      <c r="Q58" s="304">
        <f>IFERROR(AVERAGE(N58:P58),"")</f>
        <v>0.56040590574770521</v>
      </c>
    </row>
    <row r="59" spans="2:17" ht="3.75" customHeight="1">
      <c r="B59" s="150"/>
      <c r="E59" s="152"/>
      <c r="F59" s="152"/>
      <c r="G59" s="153"/>
      <c r="H59" s="151"/>
      <c r="I59" s="151"/>
      <c r="J59" s="151"/>
      <c r="K59" s="151"/>
      <c r="L59" s="151"/>
      <c r="O59" s="130"/>
      <c r="P59" s="130"/>
      <c r="Q59" s="130"/>
    </row>
    <row r="60" spans="2:17" ht="15.6">
      <c r="B60" s="275" t="s">
        <v>308</v>
      </c>
      <c r="E60" s="148">
        <f>+_xlfn.XLOOKUP($B60,Inputs!$B:$B,Inputs!O:O)</f>
        <v>0</v>
      </c>
      <c r="F60" s="148">
        <f>+_xlfn.XLOOKUP($B60,Inputs!$B:$B,Inputs!P:P)</f>
        <v>0</v>
      </c>
      <c r="G60" s="268">
        <f>+_xlfn.XLOOKUP($B60,Inputs!$B:$B,Inputs!Q:Q)</f>
        <v>0</v>
      </c>
      <c r="H60" s="155">
        <f>H61*H$48</f>
        <v>0</v>
      </c>
      <c r="I60" s="155">
        <f t="shared" ref="I60:Q60" si="36">I61*I$48</f>
        <v>0</v>
      </c>
      <c r="J60" s="155">
        <f t="shared" si="36"/>
        <v>0</v>
      </c>
      <c r="K60" s="155">
        <f t="shared" si="36"/>
        <v>0</v>
      </c>
      <c r="L60" s="155">
        <f t="shared" si="36"/>
        <v>0</v>
      </c>
      <c r="M60" s="155">
        <f t="shared" si="36"/>
        <v>0</v>
      </c>
      <c r="N60" s="155">
        <f t="shared" si="36"/>
        <v>0</v>
      </c>
      <c r="O60" s="155">
        <f t="shared" si="36"/>
        <v>0</v>
      </c>
      <c r="P60" s="155">
        <f t="shared" si="36"/>
        <v>0</v>
      </c>
      <c r="Q60" s="155">
        <f t="shared" si="36"/>
        <v>0</v>
      </c>
    </row>
    <row r="61" spans="2:17" s="276" customFormat="1" ht="14.45">
      <c r="B61" s="285" t="s">
        <v>555</v>
      </c>
      <c r="E61" s="278">
        <f>IFERROR(E60/E48,"")</f>
        <v>0</v>
      </c>
      <c r="F61" s="278">
        <f>IFERROR(F60/F48,"")</f>
        <v>0</v>
      </c>
      <c r="G61" s="283">
        <f>IFERROR(G60/G48,"")</f>
        <v>0</v>
      </c>
      <c r="H61" s="304">
        <v>0</v>
      </c>
      <c r="I61" s="304">
        <v>0</v>
      </c>
      <c r="J61" s="304">
        <v>0</v>
      </c>
      <c r="K61" s="304">
        <v>0</v>
      </c>
      <c r="L61" s="304">
        <v>0</v>
      </c>
      <c r="M61" s="304">
        <v>0</v>
      </c>
      <c r="N61" s="304">
        <v>0</v>
      </c>
      <c r="O61" s="304">
        <v>0</v>
      </c>
      <c r="P61" s="304">
        <v>0</v>
      </c>
      <c r="Q61" s="304">
        <v>0</v>
      </c>
    </row>
    <row r="62" spans="2:17" s="242" customFormat="1" ht="5.25" customHeight="1">
      <c r="B62" s="269"/>
      <c r="E62" s="270"/>
      <c r="F62" s="270"/>
      <c r="G62" s="271"/>
      <c r="H62" s="272"/>
      <c r="I62" s="272"/>
      <c r="J62" s="272"/>
      <c r="K62" s="272"/>
      <c r="L62" s="272"/>
      <c r="O62" s="273"/>
      <c r="P62" s="273"/>
      <c r="Q62" s="273"/>
    </row>
    <row r="63" spans="2:17" ht="15.6">
      <c r="B63" s="474" t="s">
        <v>557</v>
      </c>
      <c r="E63" s="148">
        <f>+_xlfn.XLOOKUP($B63,Inputs!$B:$B,Inputs!O:O)</f>
        <v>0.5</v>
      </c>
      <c r="F63" s="148">
        <f>+_xlfn.XLOOKUP($B63,Inputs!$B:$B,Inputs!P:P)</f>
        <v>0</v>
      </c>
      <c r="G63" s="268">
        <f>+_xlfn.XLOOKUP($B63,Inputs!$B:$B,Inputs!Q:Q)</f>
        <v>0</v>
      </c>
      <c r="H63" s="155">
        <f>IFERROR(AVERAGE(E63:G63)*(1+H49),"")</f>
        <v>0.21305791581209102</v>
      </c>
      <c r="I63" s="155">
        <f t="shared" ref="I63:Q63" si="37">IFERROR(AVERAGE(F63:H63)*(1+I49),"")</f>
        <v>8.1195388387295009E-2</v>
      </c>
      <c r="J63" s="155">
        <f t="shared" si="37"/>
        <v>0.11034188958842922</v>
      </c>
      <c r="K63" s="155">
        <f>IFERROR(AVERAGE(H63:J63)*(1+K49),"")</f>
        <v>0.1496288660819797</v>
      </c>
      <c r="L63" s="155">
        <f t="shared" si="37"/>
        <v>0.12489757510386207</v>
      </c>
      <c r="M63" s="155">
        <f t="shared" si="37"/>
        <v>0.13983290438777415</v>
      </c>
      <c r="N63" s="155">
        <f t="shared" si="37"/>
        <v>0.14968509973025176</v>
      </c>
      <c r="O63" s="155">
        <f t="shared" si="37"/>
        <v>0.1490468278839473</v>
      </c>
      <c r="P63" s="155">
        <f t="shared" si="37"/>
        <v>0.15706270157118049</v>
      </c>
      <c r="Q63" s="155">
        <f t="shared" si="37"/>
        <v>0.16945348554135861</v>
      </c>
    </row>
    <row r="64" spans="2:17" ht="5.25" customHeight="1">
      <c r="B64" s="196"/>
      <c r="E64" s="148"/>
      <c r="F64" s="148"/>
      <c r="G64" s="268"/>
      <c r="H64" s="158"/>
      <c r="I64" s="158"/>
      <c r="J64" s="158"/>
      <c r="K64" s="158"/>
      <c r="L64" s="158"/>
      <c r="O64" s="157"/>
      <c r="P64" s="157"/>
      <c r="Q64" s="157"/>
    </row>
    <row r="65" spans="1:17" ht="15.6">
      <c r="B65" s="196" t="s">
        <v>245</v>
      </c>
      <c r="E65" s="148">
        <f>+_xlfn.XLOOKUP($B65,Inputs!$B:$B,Inputs!O:O)</f>
        <v>29.399999999999977</v>
      </c>
      <c r="F65" s="148">
        <f>+_xlfn.XLOOKUP($B65,Inputs!$B:$B,Inputs!P:P)</f>
        <v>68.099999999999966</v>
      </c>
      <c r="G65" s="268">
        <f>+_xlfn.XLOOKUP($B65,Inputs!$B:$B,Inputs!Q:Q)</f>
        <v>149.69999999999993</v>
      </c>
      <c r="H65" s="155">
        <f>IFERROR(H54-H57-H60-H63,"")</f>
        <v>116.28914102939747</v>
      </c>
      <c r="I65" s="155">
        <f t="shared" ref="I65:Q65" si="38">IFERROR(I54-I57-I60-I63,"")</f>
        <v>170.52533676017129</v>
      </c>
      <c r="J65" s="155">
        <f t="shared" si="38"/>
        <v>212.8598138910462</v>
      </c>
      <c r="K65" s="155">
        <f t="shared" si="38"/>
        <v>247.80797208861594</v>
      </c>
      <c r="L65" s="155">
        <f t="shared" si="38"/>
        <v>278.60991092208133</v>
      </c>
      <c r="M65" s="155">
        <f t="shared" si="38"/>
        <v>307.1690209588607</v>
      </c>
      <c r="N65" s="155">
        <f t="shared" si="38"/>
        <v>334.78439247060419</v>
      </c>
      <c r="O65" s="155">
        <f t="shared" si="38"/>
        <v>362.25482694358675</v>
      </c>
      <c r="P65" s="155">
        <f t="shared" si="38"/>
        <v>389.75335554627992</v>
      </c>
      <c r="Q65" s="155">
        <f t="shared" si="38"/>
        <v>435.32039004613455</v>
      </c>
    </row>
    <row r="66" spans="1:17" s="276" customFormat="1" ht="14.45">
      <c r="B66" s="276" t="s">
        <v>39</v>
      </c>
      <c r="E66" s="278">
        <f>IFERROR(E65/E$48,"")</f>
        <v>7.4961754207037171E-2</v>
      </c>
      <c r="F66" s="278">
        <f t="shared" ref="F66:Q66" si="39">IFERROR(F65/F$48,"")</f>
        <v>0.11765722183828606</v>
      </c>
      <c r="G66" s="282">
        <f t="shared" si="39"/>
        <v>0.14620568414884261</v>
      </c>
      <c r="H66" s="278">
        <f>IFERROR(H65/H$48,"")</f>
        <v>8.8844939284435376E-2</v>
      </c>
      <c r="I66" s="278">
        <f t="shared" si="39"/>
        <v>0.11395345682629605</v>
      </c>
      <c r="J66" s="278">
        <f t="shared" si="39"/>
        <v>0.12644217073092637</v>
      </c>
      <c r="K66" s="278">
        <f t="shared" si="39"/>
        <v>0.13267760356850875</v>
      </c>
      <c r="L66" s="278">
        <f t="shared" si="39"/>
        <v>0.13582182825499542</v>
      </c>
      <c r="M66" s="278">
        <f t="shared" si="39"/>
        <v>0.13738267472523541</v>
      </c>
      <c r="N66" s="278">
        <f t="shared" si="39"/>
        <v>0.13816469092670494</v>
      </c>
      <c r="O66" s="278">
        <f t="shared" si="39"/>
        <v>0.13856008116896332</v>
      </c>
      <c r="P66" s="278">
        <f t="shared" si="39"/>
        <v>0.13875648704568819</v>
      </c>
      <c r="Q66" s="278">
        <f t="shared" si="39"/>
        <v>0.13895362629462851</v>
      </c>
    </row>
    <row r="67" spans="1:17" ht="3.75" customHeight="1">
      <c r="B67" s="150"/>
      <c r="E67" s="152"/>
      <c r="F67" s="152"/>
      <c r="G67" s="160"/>
      <c r="H67" s="152"/>
      <c r="I67" s="152"/>
      <c r="J67" s="152"/>
      <c r="K67" s="152"/>
      <c r="L67" s="152"/>
      <c r="O67" s="157"/>
      <c r="P67" s="157"/>
      <c r="Q67" s="157"/>
    </row>
    <row r="68" spans="1:17" ht="13.5" customHeight="1">
      <c r="B68" s="275" t="s">
        <v>558</v>
      </c>
      <c r="E68" s="148">
        <f>+_xlfn.XLOOKUP($B68,Inputs!$B:$B,Inputs!O:O)</f>
        <v>27.1</v>
      </c>
      <c r="F68" s="148">
        <f>+_xlfn.XLOOKUP($B68,Inputs!$B:$B,Inputs!P:P)</f>
        <v>22.2</v>
      </c>
      <c r="G68" s="268">
        <f>+_xlfn.XLOOKUP($B68,Inputs!$B:$B,Inputs!Q:Q)</f>
        <v>35.9</v>
      </c>
      <c r="H68" s="172">
        <f>H69*(H117+H123)</f>
        <v>37.284731668128309</v>
      </c>
      <c r="I68" s="172">
        <f>I69*(I117+I123)</f>
        <v>38.129056062583771</v>
      </c>
      <c r="J68" s="172">
        <f t="shared" ref="J68:Q68" si="40">J69*(J117+J123)</f>
        <v>39.336933070693604</v>
      </c>
      <c r="K68" s="172">
        <f t="shared" si="40"/>
        <v>40.749709577367838</v>
      </c>
      <c r="L68" s="172">
        <f t="shared" si="40"/>
        <v>42.10108010696797</v>
      </c>
      <c r="M68" s="172">
        <f>M69*(M117+M123)</f>
        <v>71.817938077715354</v>
      </c>
      <c r="N68" s="172">
        <f t="shared" si="40"/>
        <v>73.494068962843755</v>
      </c>
      <c r="O68" s="172">
        <f t="shared" si="40"/>
        <v>75.224393162067273</v>
      </c>
      <c r="P68" s="172">
        <f t="shared" si="40"/>
        <v>77.050746050651227</v>
      </c>
      <c r="Q68" s="172">
        <f t="shared" si="40"/>
        <v>78.207964430244374</v>
      </c>
    </row>
    <row r="69" spans="1:17" ht="13.5" customHeight="1">
      <c r="B69" s="285" t="s">
        <v>559</v>
      </c>
      <c r="E69" s="296">
        <f>IFERROR(E68/AVERAGE(Inputs!O39+Inputs!O42+Inputs!O44,Inputs!N39+Inputs!N42+Inputs!N44),"")</f>
        <v>0.12966879431945416</v>
      </c>
      <c r="F69" s="296">
        <f>IFERROR(F68/AVERAGE(Inputs!P39+Inputs!P42+Inputs!P44,Inputs!O39+Inputs!O42+Inputs!O44),"")</f>
        <v>0.11057070922144772</v>
      </c>
      <c r="G69" s="282">
        <f>IFERROR(G68/AVERAGE(Inputs!Q39+Inputs!Q42+Inputs!Q44,Inputs!P39+Inputs!P42+Inputs!P44),"")</f>
        <v>0.12301682486379054</v>
      </c>
      <c r="H69" s="152">
        <v>0.13</v>
      </c>
      <c r="I69" s="152">
        <f t="shared" ref="I69:P69" si="41">H69+($Q$69-H69)/5</f>
        <v>0.128</v>
      </c>
      <c r="J69" s="152">
        <f t="shared" si="41"/>
        <v>0.12640000000000001</v>
      </c>
      <c r="K69" s="152">
        <f t="shared" si="41"/>
        <v>0.12512000000000001</v>
      </c>
      <c r="L69" s="152">
        <f t="shared" si="41"/>
        <v>0.12409600000000001</v>
      </c>
      <c r="M69" s="152">
        <f t="shared" si="41"/>
        <v>0.12327680000000001</v>
      </c>
      <c r="N69" s="152">
        <f t="shared" si="41"/>
        <v>0.12262144</v>
      </c>
      <c r="O69" s="152">
        <f t="shared" si="41"/>
        <v>0.122097152</v>
      </c>
      <c r="P69" s="152">
        <f t="shared" si="41"/>
        <v>0.1216777216</v>
      </c>
      <c r="Q69" s="152">
        <v>0.12</v>
      </c>
    </row>
    <row r="70" spans="1:17" ht="5.25" customHeight="1">
      <c r="B70" s="150"/>
      <c r="E70" s="152"/>
      <c r="F70" s="152"/>
      <c r="G70" s="160"/>
      <c r="H70" s="152"/>
      <c r="I70" s="152"/>
      <c r="J70" s="152"/>
      <c r="K70" s="152"/>
      <c r="L70" s="152"/>
      <c r="O70" s="157"/>
      <c r="P70" s="157"/>
      <c r="Q70" s="157"/>
    </row>
    <row r="71" spans="1:17" s="150" customFormat="1" ht="15.6" hidden="1">
      <c r="A71" s="755"/>
      <c r="B71" s="299" t="s">
        <v>560</v>
      </c>
      <c r="E71" s="300">
        <f>+_xlfn.XLOOKUP($B71,Inputs!$B:$B,Inputs!O:O)</f>
        <v>0</v>
      </c>
      <c r="F71" s="300">
        <f>+_xlfn.XLOOKUP($B71,Inputs!$B:$B,Inputs!P:P)</f>
        <v>0</v>
      </c>
      <c r="G71" s="301">
        <f>+_xlfn.XLOOKUP($B71,Inputs!$B:$B,Inputs!Q:Q)</f>
        <v>0</v>
      </c>
      <c r="H71" s="302">
        <f>IFERROR(H72*(G118+G119),"")</f>
        <v>0</v>
      </c>
      <c r="I71" s="302">
        <f>IFERROR(I72*(H118+H119),"")</f>
        <v>0</v>
      </c>
      <c r="J71" s="302">
        <f t="shared" ref="J71:Q71" si="42">IFERROR(J72*(I118+I119),"")</f>
        <v>0</v>
      </c>
      <c r="K71" s="302">
        <f t="shared" si="42"/>
        <v>0</v>
      </c>
      <c r="L71" s="302">
        <f t="shared" si="42"/>
        <v>0</v>
      </c>
      <c r="M71" s="302">
        <f t="shared" si="42"/>
        <v>0</v>
      </c>
      <c r="N71" s="302">
        <f t="shared" si="42"/>
        <v>0</v>
      </c>
      <c r="O71" s="302">
        <f t="shared" si="42"/>
        <v>0</v>
      </c>
      <c r="P71" s="302">
        <f t="shared" si="42"/>
        <v>0</v>
      </c>
      <c r="Q71" s="302">
        <f t="shared" si="42"/>
        <v>0</v>
      </c>
    </row>
    <row r="72" spans="1:17" s="276" customFormat="1" ht="14.45" hidden="1">
      <c r="A72" s="756"/>
      <c r="B72" s="298" t="s">
        <v>561</v>
      </c>
      <c r="E72" s="296">
        <f>IFERROR(E71/AVERAGE(Inputs!O40+Inputs!O42,Inputs!N40+Inputs!N42),"")</f>
        <v>0</v>
      </c>
      <c r="F72" s="296">
        <f>IFERROR(F71/AVERAGE(Inputs!P40+Inputs!P42,Inputs!O40+Inputs!O42),"")</f>
        <v>0</v>
      </c>
      <c r="G72" s="282">
        <f>IFERROR(G71/AVERAGE(Inputs!Q40+Inputs!Q42,Inputs!P40+Inputs!P42),"")</f>
        <v>0</v>
      </c>
      <c r="H72" s="304">
        <f>IFERROR(AVERAGE(E72:G72),"")</f>
        <v>0</v>
      </c>
      <c r="I72" s="304">
        <f>IFERROR(AVERAGE(F72:H72),"")</f>
        <v>0</v>
      </c>
      <c r="J72" s="304">
        <f t="shared" ref="J72:Q72" si="43">IFERROR(AVERAGE(G72:I72),"")</f>
        <v>0</v>
      </c>
      <c r="K72" s="304">
        <f t="shared" si="43"/>
        <v>0</v>
      </c>
      <c r="L72" s="304">
        <f t="shared" si="43"/>
        <v>0</v>
      </c>
      <c r="M72" s="304">
        <f t="shared" si="43"/>
        <v>0</v>
      </c>
      <c r="N72" s="304">
        <f t="shared" si="43"/>
        <v>0</v>
      </c>
      <c r="O72" s="304">
        <f t="shared" si="43"/>
        <v>0</v>
      </c>
      <c r="P72" s="304">
        <f t="shared" si="43"/>
        <v>0</v>
      </c>
      <c r="Q72" s="304">
        <f t="shared" si="43"/>
        <v>0</v>
      </c>
    </row>
    <row r="73" spans="1:17" ht="3.75" hidden="1" customHeight="1">
      <c r="A73" s="757"/>
      <c r="B73" s="150"/>
      <c r="E73" s="152"/>
      <c r="F73" s="152"/>
      <c r="G73" s="160"/>
      <c r="H73" s="158"/>
      <c r="I73" s="158"/>
      <c r="J73" s="158"/>
      <c r="K73" s="158"/>
      <c r="L73" s="158"/>
      <c r="M73" s="158"/>
      <c r="N73" s="158"/>
      <c r="O73" s="158"/>
      <c r="P73" s="158"/>
      <c r="Q73" s="158"/>
    </row>
    <row r="74" spans="1:17" s="150" customFormat="1" ht="15.6" hidden="1">
      <c r="A74" s="755"/>
      <c r="B74" s="299" t="s">
        <v>562</v>
      </c>
      <c r="E74" s="300">
        <f>+_xlfn.XLOOKUP($B74,Inputs!$B:$B,Inputs!O:O)</f>
        <v>0</v>
      </c>
      <c r="F74" s="300">
        <f>+_xlfn.XLOOKUP($B74,Inputs!$B:$B,Inputs!P:P)</f>
        <v>0</v>
      </c>
      <c r="G74" s="301">
        <f>+_xlfn.XLOOKUP($B74,Inputs!$B:$B,Inputs!Q:Q)</f>
        <v>0</v>
      </c>
      <c r="H74" s="172">
        <f t="shared" ref="H74:Q74" si="44">+H75*G123</f>
        <v>0</v>
      </c>
      <c r="I74" s="172">
        <f t="shared" si="44"/>
        <v>0</v>
      </c>
      <c r="J74" s="172">
        <f t="shared" si="44"/>
        <v>0</v>
      </c>
      <c r="K74" s="172">
        <f t="shared" si="44"/>
        <v>0</v>
      </c>
      <c r="L74" s="172">
        <f t="shared" si="44"/>
        <v>0</v>
      </c>
      <c r="M74" s="172">
        <f t="shared" si="44"/>
        <v>0</v>
      </c>
      <c r="N74" s="172">
        <f t="shared" si="44"/>
        <v>0</v>
      </c>
      <c r="O74" s="172">
        <f t="shared" si="44"/>
        <v>0</v>
      </c>
      <c r="P74" s="172">
        <f t="shared" si="44"/>
        <v>0</v>
      </c>
      <c r="Q74" s="172">
        <f t="shared" si="44"/>
        <v>0</v>
      </c>
    </row>
    <row r="75" spans="1:17" s="276" customFormat="1" ht="14.45" hidden="1">
      <c r="A75" s="756"/>
      <c r="B75" s="298" t="s">
        <v>563</v>
      </c>
      <c r="E75" s="278">
        <f>IFERROR(E74/AVERAGE(Inputs!N45:O45),"")</f>
        <v>0</v>
      </c>
      <c r="F75" s="278">
        <f>IFERROR(F74/AVERAGE(Inputs!O45:P45),"")</f>
        <v>0</v>
      </c>
      <c r="G75" s="282">
        <f>IFERROR(G74/AVERAGE(Inputs!P45:Q45),"")</f>
        <v>0</v>
      </c>
      <c r="H75" s="304">
        <v>0</v>
      </c>
      <c r="I75" s="304">
        <v>0</v>
      </c>
      <c r="J75" s="304">
        <v>0</v>
      </c>
      <c r="K75" s="304">
        <v>0</v>
      </c>
      <c r="L75" s="304">
        <v>0</v>
      </c>
      <c r="M75" s="304">
        <v>0</v>
      </c>
      <c r="N75" s="304">
        <v>0</v>
      </c>
      <c r="O75" s="304">
        <v>0</v>
      </c>
      <c r="P75" s="304">
        <v>0</v>
      </c>
      <c r="Q75" s="304">
        <v>0</v>
      </c>
    </row>
    <row r="76" spans="1:17" ht="3.95" customHeight="1">
      <c r="G76" s="156"/>
    </row>
    <row r="77" spans="1:17" ht="15.6">
      <c r="B77" s="125" t="s">
        <v>302</v>
      </c>
      <c r="E77" s="148">
        <f>+_xlfn.XLOOKUP($B77,Inputs!$B:$B,Inputs!O:O)</f>
        <v>2.2999999999999758</v>
      </c>
      <c r="F77" s="148">
        <f>+_xlfn.XLOOKUP($B77,Inputs!$B:$B,Inputs!P:P)</f>
        <v>45.899999999999963</v>
      </c>
      <c r="G77" s="268">
        <f>+_xlfn.XLOOKUP($B77,Inputs!$B:$B,Inputs!Q:Q)</f>
        <v>113.79999999999993</v>
      </c>
      <c r="H77" s="159">
        <f>+IFERROR(H65-H68,"")</f>
        <v>79.004409361269154</v>
      </c>
      <c r="I77" s="159">
        <f>+IFERROR(I65-I68,"")</f>
        <v>132.39628069758751</v>
      </c>
      <c r="J77" s="159">
        <f t="shared" ref="J77:Q77" si="45">+IFERROR(J65-J68,"")</f>
        <v>173.52288082035261</v>
      </c>
      <c r="K77" s="159">
        <f t="shared" si="45"/>
        <v>207.0582625112481</v>
      </c>
      <c r="L77" s="159">
        <f t="shared" si="45"/>
        <v>236.50883081511336</v>
      </c>
      <c r="M77" s="159">
        <f t="shared" si="45"/>
        <v>235.35108288114535</v>
      </c>
      <c r="N77" s="159">
        <f t="shared" si="45"/>
        <v>261.29032350776043</v>
      </c>
      <c r="O77" s="159">
        <f t="shared" si="45"/>
        <v>287.03043378151949</v>
      </c>
      <c r="P77" s="159">
        <f t="shared" si="45"/>
        <v>312.70260949562868</v>
      </c>
      <c r="Q77" s="159">
        <f t="shared" si="45"/>
        <v>357.11242561589017</v>
      </c>
    </row>
    <row r="78" spans="1:17" s="286" customFormat="1" ht="14.45">
      <c r="B78" s="276" t="s">
        <v>256</v>
      </c>
      <c r="E78" s="278">
        <f>IFERROR(E77/E$48,"")</f>
        <v>5.8643549209586327E-3</v>
      </c>
      <c r="F78" s="278">
        <f t="shared" ref="F78" si="46">IFERROR(F77/F$48,"")</f>
        <v>7.9302004146509966E-2</v>
      </c>
      <c r="G78" s="282">
        <f t="shared" ref="G78" si="47">IFERROR(G77/G$48,"")</f>
        <v>0.11114366637366924</v>
      </c>
      <c r="H78" s="278">
        <f t="shared" ref="H78:Q78" si="48">IFERROR(H77/H48,"")</f>
        <v>6.0359392895766785E-2</v>
      </c>
      <c r="I78" s="278">
        <f t="shared" si="48"/>
        <v>8.8473737352316478E-2</v>
      </c>
      <c r="J78" s="278">
        <f t="shared" si="48"/>
        <v>0.10307539653135123</v>
      </c>
      <c r="K78" s="278">
        <f t="shared" si="48"/>
        <v>0.11086000921402006</v>
      </c>
      <c r="L78" s="278">
        <f t="shared" si="48"/>
        <v>0.11529762776006894</v>
      </c>
      <c r="M78" s="278">
        <f t="shared" si="48"/>
        <v>0.10526179093438823</v>
      </c>
      <c r="N78" s="278">
        <f t="shared" si="48"/>
        <v>0.10783387039991219</v>
      </c>
      <c r="O78" s="278">
        <f t="shared" si="48"/>
        <v>0.10978724711078466</v>
      </c>
      <c r="P78" s="278">
        <f t="shared" si="48"/>
        <v>0.11132557286855982</v>
      </c>
      <c r="Q78" s="278">
        <f t="shared" si="48"/>
        <v>0.11398975942509805</v>
      </c>
    </row>
    <row r="79" spans="1:17" customFormat="1" ht="3.75" customHeight="1">
      <c r="B79" s="125"/>
      <c r="E79" s="278"/>
      <c r="F79" s="278"/>
      <c r="G79" s="283"/>
      <c r="H79" s="103"/>
      <c r="I79" s="103"/>
      <c r="J79" s="103"/>
      <c r="K79" s="103"/>
      <c r="L79" s="103"/>
      <c r="M79" s="103"/>
      <c r="N79" s="103"/>
      <c r="O79" s="103"/>
      <c r="P79" s="103"/>
      <c r="Q79" s="103"/>
    </row>
    <row r="80" spans="1:17" customFormat="1" ht="13.5" customHeight="1">
      <c r="B80" s="275" t="s">
        <v>303</v>
      </c>
      <c r="E80" s="148">
        <f>+_xlfn.XLOOKUP($B80,Inputs!$B:$B,Inputs!O:O)</f>
        <v>2.4</v>
      </c>
      <c r="F80" s="148">
        <f>+_xlfn.XLOOKUP($B80,Inputs!$B:$B,Inputs!P:P)</f>
        <v>2</v>
      </c>
      <c r="G80" s="268">
        <f>+_xlfn.XLOOKUP($B80,Inputs!$B:$B,Inputs!Q:Q)</f>
        <v>7</v>
      </c>
      <c r="H80" s="159">
        <f t="shared" ref="H80:Q80" si="49">H83-H86</f>
        <v>7.3640000000000017</v>
      </c>
      <c r="I80" s="159">
        <f t="shared" si="49"/>
        <v>7.8141236565328986</v>
      </c>
      <c r="J80" s="159">
        <f t="shared" si="49"/>
        <v>5.2884555791235526</v>
      </c>
      <c r="K80" s="159">
        <f t="shared" si="49"/>
        <v>3.1193703863535029</v>
      </c>
      <c r="L80" s="159">
        <f t="shared" si="49"/>
        <v>1.2987354636101296</v>
      </c>
      <c r="M80" s="159">
        <f t="shared" si="49"/>
        <v>0.80593546395622839</v>
      </c>
      <c r="N80" s="159">
        <f t="shared" si="49"/>
        <v>0.76121303358640302</v>
      </c>
      <c r="O80" s="159">
        <f t="shared" si="49"/>
        <v>0.72543508929054279</v>
      </c>
      <c r="P80" s="159">
        <f t="shared" si="49"/>
        <v>0.69681273385385456</v>
      </c>
      <c r="Q80" s="159">
        <f t="shared" si="49"/>
        <v>0.58232331210710153</v>
      </c>
    </row>
    <row r="81" spans="2:17" customFormat="1" ht="13.5" customHeight="1">
      <c r="B81" s="298" t="s">
        <v>564</v>
      </c>
      <c r="E81" s="296">
        <f>IFERROR(E80/AVERAGE(Inputs!N115:O115),"")</f>
        <v>3.2967032967032961E-2</v>
      </c>
      <c r="F81" s="296">
        <f>IFERROR(F80/AVERAGE(Inputs!O115:P115),"")</f>
        <v>0.16949152542372875</v>
      </c>
      <c r="G81" s="282">
        <f>IFERROR(G80/AVERAGE(Inputs!P115:Q115),"")</f>
        <v>0.37037037037037024</v>
      </c>
      <c r="H81" s="296">
        <f>IFERROR(H80/AVERAGE(G134+G136,H134+H136),"")</f>
        <v>3.8151485132608964E-2</v>
      </c>
      <c r="I81" s="296">
        <f t="shared" ref="I81:Q81" si="50">IFERROR(I80/AVERAGE(H134+H136,I134+I136),"")</f>
        <v>3.8594548010142143E-2</v>
      </c>
      <c r="J81" s="296">
        <f t="shared" si="50"/>
        <v>2.8058136121651589E-2</v>
      </c>
      <c r="K81" s="296">
        <f t="shared" si="50"/>
        <v>2.0255439462605645E-2</v>
      </c>
      <c r="L81" s="296">
        <f t="shared" si="50"/>
        <v>1.0770128433299459E-2</v>
      </c>
      <c r="M81" s="296">
        <f t="shared" si="50"/>
        <v>8.1900038034623743E-3</v>
      </c>
      <c r="N81" s="296">
        <f t="shared" si="50"/>
        <v>7.6803658850249402E-3</v>
      </c>
      <c r="O81" s="296">
        <f t="shared" si="50"/>
        <v>6.8976973405408823E-3</v>
      </c>
      <c r="P81" s="296">
        <f t="shared" si="50"/>
        <v>6.2619713710801951E-3</v>
      </c>
      <c r="Q81" s="296">
        <f t="shared" si="50"/>
        <v>4.8588568623636579E-3</v>
      </c>
    </row>
    <row r="82" spans="2:17" customFormat="1" ht="3.75" customHeight="1">
      <c r="B82" s="125"/>
      <c r="E82" s="278"/>
      <c r="F82" s="278"/>
      <c r="G82" s="282"/>
      <c r="H82" s="103"/>
      <c r="I82" s="103"/>
      <c r="J82" s="103"/>
      <c r="K82" s="103"/>
      <c r="L82" s="103"/>
      <c r="M82" s="103"/>
      <c r="N82" s="103"/>
      <c r="O82" s="103"/>
      <c r="P82" s="103"/>
      <c r="Q82" s="103"/>
    </row>
    <row r="83" spans="2:17" customFormat="1" ht="15.6">
      <c r="B83" s="297" t="s">
        <v>565</v>
      </c>
      <c r="E83" s="148">
        <f>+_xlfn.XLOOKUP($B83,Inputs!$B:$B,Inputs!O:O)</f>
        <v>2.4</v>
      </c>
      <c r="F83" s="148">
        <f>+_xlfn.XLOOKUP($B83,Inputs!$B:$B,Inputs!P:P)</f>
        <v>2</v>
      </c>
      <c r="G83" s="268">
        <f>+_xlfn.XLOOKUP($B83,Inputs!$B:$B,Inputs!Q:Q)</f>
        <v>7</v>
      </c>
      <c r="H83" s="159">
        <f>H134*H84</f>
        <v>7.3640000000000017</v>
      </c>
      <c r="I83" s="159">
        <f t="shared" ref="I83:Q83" si="51">I134*I84</f>
        <v>7.8141236565328986</v>
      </c>
      <c r="J83" s="159">
        <f t="shared" si="51"/>
        <v>5.2884555791235526</v>
      </c>
      <c r="K83" s="159">
        <f>K134*K84</f>
        <v>3.1193703863535029</v>
      </c>
      <c r="L83" s="159">
        <f t="shared" si="51"/>
        <v>1.2987354636101296</v>
      </c>
      <c r="M83" s="159">
        <f t="shared" si="51"/>
        <v>0.80593546395622839</v>
      </c>
      <c r="N83" s="159">
        <f t="shared" si="51"/>
        <v>0.76121303358640302</v>
      </c>
      <c r="O83" s="159">
        <f t="shared" si="51"/>
        <v>0.72543508929054279</v>
      </c>
      <c r="P83" s="159">
        <f t="shared" si="51"/>
        <v>0.69681273385385456</v>
      </c>
      <c r="Q83" s="159">
        <f t="shared" si="51"/>
        <v>0.58232331210710153</v>
      </c>
    </row>
    <row r="84" spans="2:17" s="286" customFormat="1" ht="14.45">
      <c r="B84" s="298" t="s">
        <v>566</v>
      </c>
      <c r="E84" s="296">
        <f>+IFERROR(E83/AVERAGE(Inputs!N112:O112),"")</f>
        <v>1.9448946515397081E-2</v>
      </c>
      <c r="F84" s="296">
        <f>+IFERROR(F83/AVERAGE(Inputs!O112:P112),"")</f>
        <v>2.1299254526091587E-2</v>
      </c>
      <c r="G84" s="282">
        <f>+IFERROR(G83/AVERAGE(Inputs!P112:Q112),"")</f>
        <v>5.2473763118440778E-2</v>
      </c>
      <c r="H84" s="306">
        <v>0.05</v>
      </c>
      <c r="I84" s="306">
        <f>H84+(K84-H84)/5</f>
        <v>4.8000000000000001E-2</v>
      </c>
      <c r="J84" s="306">
        <f>I84+(K84-I84)/5</f>
        <v>4.6400000000000004E-2</v>
      </c>
      <c r="K84" s="306">
        <v>0.04</v>
      </c>
      <c r="L84" s="306">
        <f>K84+($Q$84-K84)/5</f>
        <v>3.6999999999999998E-2</v>
      </c>
      <c r="M84" s="306">
        <f t="shared" ref="M84:P84" si="52">L84+($Q$84-L84)/5</f>
        <v>3.4599999999999999E-2</v>
      </c>
      <c r="N84" s="306">
        <f t="shared" si="52"/>
        <v>3.2680000000000001E-2</v>
      </c>
      <c r="O84" s="306">
        <f t="shared" si="52"/>
        <v>3.1144000000000002E-2</v>
      </c>
      <c r="P84" s="306">
        <f t="shared" si="52"/>
        <v>2.9915200000000003E-2</v>
      </c>
      <c r="Q84" s="306">
        <v>2.5000000000000001E-2</v>
      </c>
    </row>
    <row r="85" spans="2:17" customFormat="1" ht="3.75" customHeight="1">
      <c r="B85" s="257"/>
      <c r="E85" s="278"/>
      <c r="F85" s="278"/>
      <c r="G85" s="283"/>
      <c r="H85" s="103"/>
      <c r="I85" s="103"/>
      <c r="J85" s="103"/>
      <c r="K85" s="103"/>
      <c r="L85" s="103"/>
      <c r="M85" s="103"/>
      <c r="N85" s="103"/>
      <c r="O85" s="103"/>
      <c r="P85" s="103"/>
      <c r="Q85" s="103"/>
    </row>
    <row r="86" spans="2:17" customFormat="1" ht="15.6">
      <c r="B86" s="297" t="s">
        <v>567</v>
      </c>
      <c r="E86" s="148">
        <f>+_xlfn.XLOOKUP($B86,Inputs!$B:$B,Inputs!O:O)</f>
        <v>0</v>
      </c>
      <c r="F86" s="148">
        <f>+_xlfn.XLOOKUP($B86,Inputs!$B:$B,Inputs!P:P)</f>
        <v>0</v>
      </c>
      <c r="G86" s="268">
        <f>+_xlfn.XLOOKUP($B86,Inputs!$B:$B,Inputs!Q:Q)</f>
        <v>0</v>
      </c>
      <c r="H86" s="159">
        <v>0</v>
      </c>
      <c r="I86" s="159">
        <v>0</v>
      </c>
      <c r="J86" s="159">
        <v>0</v>
      </c>
      <c r="K86" s="159">
        <v>0</v>
      </c>
      <c r="L86" s="159">
        <v>0</v>
      </c>
      <c r="M86" s="159">
        <v>0</v>
      </c>
      <c r="N86" s="159">
        <v>0</v>
      </c>
      <c r="O86" s="159">
        <v>0</v>
      </c>
      <c r="P86" s="159">
        <v>0</v>
      </c>
      <c r="Q86" s="159">
        <v>0</v>
      </c>
    </row>
    <row r="87" spans="2:17" s="286" customFormat="1" ht="14.45">
      <c r="B87" s="298" t="s">
        <v>568</v>
      </c>
      <c r="E87" s="278">
        <f>IFERROR(E86/+AVERAGE(Inputs!N32:O32),"")</f>
        <v>0</v>
      </c>
      <c r="F87" s="278">
        <f>IFERROR(F86/+AVERAGE(Inputs!O32:P32),"")</f>
        <v>0</v>
      </c>
      <c r="G87" s="282">
        <f>IFERROR(G86/+AVERAGE(Inputs!P32:Q32),"")</f>
        <v>0</v>
      </c>
      <c r="H87" s="306">
        <v>0</v>
      </c>
      <c r="I87" s="306">
        <v>0</v>
      </c>
      <c r="J87" s="306">
        <v>0</v>
      </c>
      <c r="K87" s="306">
        <v>0</v>
      </c>
      <c r="L87" s="306">
        <v>0</v>
      </c>
      <c r="M87" s="306">
        <v>0</v>
      </c>
      <c r="N87" s="306">
        <v>0</v>
      </c>
      <c r="O87" s="306">
        <v>0</v>
      </c>
      <c r="P87" s="306">
        <v>0</v>
      </c>
      <c r="Q87" s="306">
        <v>0</v>
      </c>
    </row>
    <row r="88" spans="2:17" s="286" customFormat="1" ht="3.75" customHeight="1">
      <c r="B88" s="285"/>
      <c r="E88" s="278"/>
      <c r="F88" s="278"/>
      <c r="G88" s="282"/>
      <c r="H88" s="284"/>
      <c r="I88" s="284"/>
      <c r="J88" s="284"/>
      <c r="K88" s="284"/>
      <c r="L88" s="284"/>
      <c r="M88" s="284"/>
      <c r="N88" s="284"/>
      <c r="O88" s="284"/>
      <c r="P88" s="284"/>
      <c r="Q88" s="284"/>
    </row>
    <row r="89" spans="2:17" s="286" customFormat="1" ht="15.6">
      <c r="B89" s="275" t="s">
        <v>569</v>
      </c>
      <c r="E89" s="293">
        <f>+_xlfn.XLOOKUP($B89,Inputs!$B:$B,Inputs!O:O)</f>
        <v>0</v>
      </c>
      <c r="F89" s="293">
        <f>+_xlfn.XLOOKUP($B89,Inputs!$B:$B,Inputs!P:P)</f>
        <v>0</v>
      </c>
      <c r="G89" s="294">
        <f>+_xlfn.XLOOKUP($B89,Inputs!$B:$B,Inputs!Q:Q)</f>
        <v>0</v>
      </c>
      <c r="H89" s="159">
        <f t="shared" ref="H89:O89" si="53">+H90*H$18</f>
        <v>0</v>
      </c>
      <c r="I89" s="159">
        <f t="shared" si="53"/>
        <v>0</v>
      </c>
      <c r="J89" s="159">
        <f t="shared" si="53"/>
        <v>0</v>
      </c>
      <c r="K89" s="159">
        <f t="shared" si="53"/>
        <v>0</v>
      </c>
      <c r="L89" s="159">
        <f t="shared" si="53"/>
        <v>0</v>
      </c>
      <c r="M89" s="159">
        <f t="shared" si="53"/>
        <v>0</v>
      </c>
      <c r="N89" s="159">
        <f t="shared" si="53"/>
        <v>0</v>
      </c>
      <c r="O89" s="159">
        <f t="shared" si="53"/>
        <v>0</v>
      </c>
      <c r="P89" s="159">
        <f>+P90*P$17</f>
        <v>0</v>
      </c>
      <c r="Q89" s="159">
        <f>+Q90*Q$17</f>
        <v>0</v>
      </c>
    </row>
    <row r="90" spans="2:17" s="286" customFormat="1" ht="14.45">
      <c r="B90" s="298" t="s">
        <v>555</v>
      </c>
      <c r="E90" s="278"/>
      <c r="F90" s="278"/>
      <c r="G90" s="282"/>
      <c r="H90" s="306">
        <v>0</v>
      </c>
      <c r="I90" s="306">
        <v>0</v>
      </c>
      <c r="J90" s="306">
        <v>0</v>
      </c>
      <c r="K90" s="306">
        <v>0</v>
      </c>
      <c r="L90" s="306">
        <v>0</v>
      </c>
      <c r="M90" s="306">
        <v>0</v>
      </c>
      <c r="N90" s="306">
        <v>0</v>
      </c>
      <c r="O90" s="306">
        <v>0</v>
      </c>
      <c r="P90" s="306">
        <v>0</v>
      </c>
      <c r="Q90" s="306">
        <v>0</v>
      </c>
    </row>
    <row r="91" spans="2:17" s="286" customFormat="1" ht="5.25" customHeight="1">
      <c r="B91" s="298"/>
      <c r="E91" s="278"/>
      <c r="F91" s="278"/>
      <c r="G91" s="282"/>
      <c r="H91" s="284"/>
      <c r="I91" s="284"/>
      <c r="J91" s="284"/>
      <c r="K91" s="284"/>
      <c r="L91" s="284"/>
      <c r="M91" s="284"/>
      <c r="N91" s="284"/>
      <c r="O91" s="284"/>
      <c r="P91" s="284"/>
      <c r="Q91" s="284"/>
    </row>
    <row r="92" spans="2:17" s="286" customFormat="1" ht="15.6">
      <c r="B92" s="275" t="s">
        <v>570</v>
      </c>
      <c r="E92" s="293">
        <f>+_xlfn.XLOOKUP($B92,Inputs!$B:$B,Inputs!O:O)</f>
        <v>1.4</v>
      </c>
      <c r="F92" s="293">
        <f>+_xlfn.XLOOKUP($B92,Inputs!$B:$B,Inputs!P:P)</f>
        <v>2.1</v>
      </c>
      <c r="G92" s="294">
        <f>+_xlfn.XLOOKUP($B92,Inputs!$B:$B,Inputs!Q:Q)</f>
        <v>1.7</v>
      </c>
      <c r="H92" s="305">
        <f t="shared" ref="H92:Q92" si="54">IFERROR(AVERAGE(E92:G92)*(1+H49),"")</f>
        <v>2.2158023244457468</v>
      </c>
      <c r="I92" s="305">
        <f t="shared" si="54"/>
        <v>2.2925945010433852</v>
      </c>
      <c r="J92" s="305">
        <f t="shared" si="54"/>
        <v>2.3280834140611351</v>
      </c>
      <c r="K92" s="305">
        <f t="shared" si="54"/>
        <v>2.5282919865138895</v>
      </c>
      <c r="L92" s="305">
        <f t="shared" si="54"/>
        <v>2.6171676784306417</v>
      </c>
      <c r="M92" s="305">
        <f t="shared" si="54"/>
        <v>2.7153370418971701</v>
      </c>
      <c r="N92" s="305">
        <f t="shared" si="54"/>
        <v>2.8396708113194697</v>
      </c>
      <c r="O92" s="305">
        <f t="shared" si="54"/>
        <v>2.9391675915993307</v>
      </c>
      <c r="P92" s="305">
        <f t="shared" si="54"/>
        <v>3.0420089474396748</v>
      </c>
      <c r="Q92" s="305">
        <f t="shared" si="54"/>
        <v>3.2793789861410834</v>
      </c>
    </row>
    <row r="93" spans="2:17" ht="3.75" customHeight="1">
      <c r="B93" s="150"/>
      <c r="G93" s="145"/>
      <c r="H93" s="130"/>
      <c r="I93" s="130"/>
      <c r="J93" s="130"/>
      <c r="K93" s="130"/>
      <c r="L93" s="130"/>
      <c r="O93" s="130"/>
      <c r="P93" s="130"/>
      <c r="Q93" s="130"/>
    </row>
    <row r="94" spans="2:17" ht="13.5" customHeight="1">
      <c r="B94" s="196" t="s">
        <v>304</v>
      </c>
      <c r="E94" s="293">
        <f>+_xlfn.XLOOKUP($B94,Inputs!$B:$B,Inputs!O:O)</f>
        <v>-1.500000000000024</v>
      </c>
      <c r="F94" s="293">
        <f>+_xlfn.XLOOKUP($B94,Inputs!$B:$B,Inputs!P:P)</f>
        <v>41.799999999999962</v>
      </c>
      <c r="G94" s="294">
        <f>+_xlfn.XLOOKUP($B94,Inputs!$B:$B,Inputs!Q:Q)</f>
        <v>105.09999999999992</v>
      </c>
      <c r="H94" s="155">
        <f>IFERROR(+H77-H80-H89-H92,"")</f>
        <v>69.424607036823403</v>
      </c>
      <c r="I94" s="155">
        <f t="shared" ref="I94:Q94" si="55">IFERROR(+I77-I80-I89-I92,"")</f>
        <v>122.28956254001123</v>
      </c>
      <c r="J94" s="155">
        <f t="shared" si="55"/>
        <v>165.90634182716792</v>
      </c>
      <c r="K94" s="155">
        <f t="shared" si="55"/>
        <v>201.41060013838072</v>
      </c>
      <c r="L94" s="155">
        <f t="shared" si="55"/>
        <v>232.59292767307258</v>
      </c>
      <c r="M94" s="155">
        <f t="shared" si="55"/>
        <v>231.82981037529197</v>
      </c>
      <c r="N94" s="155">
        <f t="shared" si="55"/>
        <v>257.68943966285457</v>
      </c>
      <c r="O94" s="155">
        <f t="shared" si="55"/>
        <v>283.36583110062958</v>
      </c>
      <c r="P94" s="155">
        <f t="shared" si="55"/>
        <v>308.96378781433515</v>
      </c>
      <c r="Q94" s="155">
        <f t="shared" si="55"/>
        <v>353.25072331764198</v>
      </c>
    </row>
    <row r="95" spans="2:17" ht="5.25" customHeight="1">
      <c r="G95" s="145"/>
      <c r="H95" s="130"/>
      <c r="I95" s="130"/>
      <c r="J95" s="130"/>
      <c r="K95" s="130"/>
      <c r="L95" s="130"/>
      <c r="O95" s="130"/>
      <c r="P95" s="130"/>
      <c r="Q95" s="130"/>
    </row>
    <row r="96" spans="2:17" ht="15.6">
      <c r="B96" s="125" t="s">
        <v>305</v>
      </c>
      <c r="E96" s="148">
        <f>+_xlfn.XLOOKUP($B96,Inputs!$B:$B,Inputs!O:O)</f>
        <v>3.7</v>
      </c>
      <c r="F96" s="148">
        <f>+_xlfn.XLOOKUP($B96,Inputs!$B:$B,Inputs!P:P)</f>
        <v>2.5</v>
      </c>
      <c r="G96" s="268">
        <f>+_xlfn.XLOOKUP($B96,Inputs!$B:$B,Inputs!Q:Q)</f>
        <v>13.3</v>
      </c>
      <c r="H96" s="155">
        <f>IFERROR(H97*H$77,"")</f>
        <v>7.3614238319369454</v>
      </c>
      <c r="I96" s="155">
        <f t="shared" ref="I96:Q96" si="56">IFERROR(I97*I$77,"")</f>
        <v>12.80447144416296</v>
      </c>
      <c r="J96" s="155">
        <f t="shared" si="56"/>
        <v>17.327335678050911</v>
      </c>
      <c r="K96" s="155">
        <f t="shared" si="56"/>
        <v>21.254521641770619</v>
      </c>
      <c r="L96" s="155">
        <f t="shared" si="56"/>
        <v>24.864952603410572</v>
      </c>
      <c r="M96" s="155">
        <f t="shared" si="56"/>
        <v>25.262751483312726</v>
      </c>
      <c r="N96" s="155">
        <f t="shared" si="56"/>
        <v>28.559777066572302</v>
      </c>
      <c r="O96" s="155">
        <f t="shared" si="56"/>
        <v>31.873862230733881</v>
      </c>
      <c r="P96" s="155">
        <f t="shared" si="56"/>
        <v>35.209473806874094</v>
      </c>
      <c r="Q96" s="155">
        <f t="shared" si="56"/>
        <v>44.639053201986272</v>
      </c>
    </row>
    <row r="97" spans="1:17" s="276" customFormat="1" ht="14.45">
      <c r="B97" s="276" t="s">
        <v>571</v>
      </c>
      <c r="E97" s="278">
        <f>IFERROR(E96/E94,"")</f>
        <v>-2.4666666666666273</v>
      </c>
      <c r="F97" s="278">
        <f t="shared" ref="F97:G97" si="57">IFERROR(F96/F94,"")</f>
        <v>5.9808612440191443E-2</v>
      </c>
      <c r="G97" s="282">
        <f t="shared" si="57"/>
        <v>0.12654614652711713</v>
      </c>
      <c r="H97" s="304">
        <f>IFERROR(AVERAGE(F97:G97),"")</f>
        <v>9.3177379483654288E-2</v>
      </c>
      <c r="I97" s="304">
        <f t="shared" ref="I97:P97" si="58">H97+($Q$97-H97)/9</f>
        <v>9.6713226207692696E-2</v>
      </c>
      <c r="J97" s="304">
        <f t="shared" si="58"/>
        <v>9.9856201073504625E-2</v>
      </c>
      <c r="K97" s="304">
        <f t="shared" si="58"/>
        <v>0.10264995650978188</v>
      </c>
      <c r="L97" s="304">
        <f t="shared" si="58"/>
        <v>0.10513329467536167</v>
      </c>
      <c r="M97" s="304">
        <f t="shared" si="58"/>
        <v>0.10734070637809927</v>
      </c>
      <c r="N97" s="304">
        <f t="shared" si="58"/>
        <v>0.10930285011386602</v>
      </c>
      <c r="O97" s="304">
        <f t="shared" si="58"/>
        <v>0.11104697787899202</v>
      </c>
      <c r="P97" s="304">
        <f t="shared" si="58"/>
        <v>0.11259731367021514</v>
      </c>
      <c r="Q97" s="304">
        <v>0.125</v>
      </c>
    </row>
    <row r="98" spans="1:17" s="276" customFormat="1" ht="3.75" customHeight="1">
      <c r="E98" s="278"/>
      <c r="F98" s="278"/>
      <c r="G98" s="282"/>
      <c r="H98" s="296"/>
      <c r="I98" s="296"/>
      <c r="J98" s="296"/>
      <c r="K98" s="296"/>
      <c r="L98" s="296"/>
      <c r="M98" s="296"/>
      <c r="N98" s="296"/>
      <c r="O98" s="296"/>
      <c r="P98" s="296"/>
      <c r="Q98" s="296"/>
    </row>
    <row r="99" spans="1:17" s="276" customFormat="1" ht="15.6">
      <c r="B99" s="125" t="s">
        <v>306</v>
      </c>
      <c r="E99" s="148">
        <f>+_xlfn.XLOOKUP($B99,Inputs!$B:$B,Inputs!O:O)</f>
        <v>21.899999999999977</v>
      </c>
      <c r="F99" s="148">
        <f>+_xlfn.XLOOKUP($B99,Inputs!$B:$B,Inputs!P:P)</f>
        <v>61.499999999999957</v>
      </c>
      <c r="G99" s="268">
        <f>+_xlfn.XLOOKUP($B99,Inputs!$B:$B,Inputs!Q:Q)</f>
        <v>127.69999999999993</v>
      </c>
      <c r="H99" s="155">
        <f>IFERROR(+H94-H96,"")</f>
        <v>62.063183204886457</v>
      </c>
      <c r="I99" s="155">
        <f t="shared" ref="I99:Q99" si="59">IFERROR(+I94-I96,"")</f>
        <v>109.48509109584828</v>
      </c>
      <c r="J99" s="155">
        <f t="shared" si="59"/>
        <v>148.57900614911702</v>
      </c>
      <c r="K99" s="155">
        <f t="shared" si="59"/>
        <v>180.15607849661009</v>
      </c>
      <c r="L99" s="155">
        <f t="shared" si="59"/>
        <v>207.72797506966202</v>
      </c>
      <c r="M99" s="155">
        <f t="shared" si="59"/>
        <v>206.56705889197923</v>
      </c>
      <c r="N99" s="155">
        <f t="shared" si="59"/>
        <v>229.12966259628226</v>
      </c>
      <c r="O99" s="155">
        <f t="shared" si="59"/>
        <v>251.49196886989569</v>
      </c>
      <c r="P99" s="155">
        <f t="shared" si="59"/>
        <v>273.75431400746106</v>
      </c>
      <c r="Q99" s="155">
        <f t="shared" si="59"/>
        <v>308.61167011565573</v>
      </c>
    </row>
    <row r="100" spans="1:17" s="276" customFormat="1" ht="14.45">
      <c r="B100" s="276" t="s">
        <v>45</v>
      </c>
      <c r="E100" s="278">
        <f>IFERROR(E99/E$48,"")</f>
        <v>5.5838857725650122E-2</v>
      </c>
      <c r="F100" s="278">
        <f t="shared" ref="F100:Q100" si="60">IFERROR(F99/F$48,"")</f>
        <v>0.10625431928127153</v>
      </c>
      <c r="G100" s="282">
        <f t="shared" ref="G100" si="61">IFERROR(G99/G$48,"")</f>
        <v>0.12471921086043553</v>
      </c>
      <c r="H100" s="278">
        <f t="shared" si="60"/>
        <v>4.7416290935049621E-2</v>
      </c>
      <c r="I100" s="278">
        <f t="shared" si="60"/>
        <v>7.3163348264548553E-2</v>
      </c>
      <c r="J100" s="278">
        <f t="shared" si="60"/>
        <v>8.825833171194114E-2</v>
      </c>
      <c r="K100" s="278">
        <f t="shared" si="60"/>
        <v>9.6456447957545113E-2</v>
      </c>
      <c r="L100" s="278">
        <f t="shared" si="60"/>
        <v>0.1012670125778842</v>
      </c>
      <c r="M100" s="278">
        <f t="shared" si="60"/>
        <v>9.2388011564831951E-2</v>
      </c>
      <c r="N100" s="278">
        <f t="shared" si="60"/>
        <v>9.456124516776937E-2</v>
      </c>
      <c r="O100" s="278">
        <f t="shared" si="60"/>
        <v>9.6194018762879765E-2</v>
      </c>
      <c r="P100" s="278">
        <f t="shared" si="60"/>
        <v>9.7459550725451302E-2</v>
      </c>
      <c r="Q100" s="278">
        <f t="shared" si="60"/>
        <v>9.8508389820351303E-2</v>
      </c>
    </row>
    <row r="101" spans="1:17" ht="3.75" customHeight="1">
      <c r="B101" s="150"/>
      <c r="G101" s="145"/>
    </row>
    <row r="102" spans="1:17" ht="15.6">
      <c r="A102" s="125" t="s">
        <v>472</v>
      </c>
      <c r="B102" s="51" t="s">
        <v>310</v>
      </c>
      <c r="C102" s="55"/>
      <c r="D102" s="55"/>
      <c r="E102" s="136">
        <f t="shared" ref="E102:Q102" si="62">E46</f>
        <v>2022</v>
      </c>
      <c r="F102" s="136">
        <f t="shared" si="62"/>
        <v>2023</v>
      </c>
      <c r="G102" s="137">
        <f t="shared" si="62"/>
        <v>2024</v>
      </c>
      <c r="H102" s="99">
        <f t="shared" si="62"/>
        <v>2025</v>
      </c>
      <c r="I102" s="99">
        <f t="shared" si="62"/>
        <v>2026</v>
      </c>
      <c r="J102" s="99">
        <f t="shared" si="62"/>
        <v>2027</v>
      </c>
      <c r="K102" s="99">
        <f t="shared" si="62"/>
        <v>2028</v>
      </c>
      <c r="L102" s="99">
        <f t="shared" si="62"/>
        <v>2029</v>
      </c>
      <c r="M102" s="99">
        <f t="shared" si="62"/>
        <v>2030</v>
      </c>
      <c r="N102" s="99">
        <f t="shared" si="62"/>
        <v>2031</v>
      </c>
      <c r="O102" s="99">
        <f t="shared" si="62"/>
        <v>2032</v>
      </c>
      <c r="P102" s="99">
        <f t="shared" si="62"/>
        <v>2033</v>
      </c>
      <c r="Q102" s="99">
        <f t="shared" si="62"/>
        <v>2034</v>
      </c>
    </row>
    <row r="103" spans="1:17" ht="3.95" customHeight="1">
      <c r="B103" s="162"/>
      <c r="C103" s="52"/>
      <c r="D103" s="52"/>
      <c r="E103" s="52"/>
      <c r="F103" s="52"/>
      <c r="G103" s="163"/>
      <c r="H103" s="52"/>
      <c r="I103" s="52"/>
      <c r="J103" s="52"/>
      <c r="K103" s="52"/>
      <c r="L103" s="52"/>
      <c r="M103" s="52"/>
      <c r="N103" s="52"/>
      <c r="O103" s="52"/>
      <c r="P103" s="52"/>
      <c r="Q103" s="52"/>
    </row>
    <row r="104" spans="1:17" ht="13.5" customHeight="1">
      <c r="B104" s="147" t="s">
        <v>572</v>
      </c>
      <c r="G104" s="156"/>
    </row>
    <row r="105" spans="1:17" ht="5.25" customHeight="1">
      <c r="B105" s="150"/>
      <c r="G105" s="156"/>
    </row>
    <row r="106" spans="1:17" ht="13.5" customHeight="1">
      <c r="B106" s="125" t="s">
        <v>573</v>
      </c>
      <c r="E106" s="148">
        <f>+_xlfn.XLOOKUP($B106,Inputs!$B:$B,Inputs!O:O)</f>
        <v>43.4</v>
      </c>
      <c r="F106" s="148">
        <f>+_xlfn.XLOOKUP($B106,Inputs!$B:$B,Inputs!P:P)</f>
        <v>120.8</v>
      </c>
      <c r="G106" s="268">
        <f>+_xlfn.XLOOKUP($B106,Inputs!$B:$B,Inputs!Q:Q)</f>
        <v>108.2</v>
      </c>
      <c r="H106" s="166">
        <f>IFERROR(G106+H183,"")</f>
        <v>79.248239695884365</v>
      </c>
      <c r="I106" s="166">
        <f t="shared" ref="I106:Q106" si="63">IFERROR(H106+I183,"")</f>
        <v>251.41274462863629</v>
      </c>
      <c r="J106" s="166">
        <f t="shared" si="63"/>
        <v>441.7622962523385</v>
      </c>
      <c r="K106" s="166">
        <f t="shared" si="63"/>
        <v>627.0934079858763</v>
      </c>
      <c r="L106" s="166">
        <f t="shared" si="63"/>
        <v>859.59782753071408</v>
      </c>
      <c r="M106" s="166">
        <f t="shared" si="63"/>
        <v>788.80745450295467</v>
      </c>
      <c r="N106" s="166">
        <f>IFERROR(M106+N183,"")</f>
        <v>1025.8685661288937</v>
      </c>
      <c r="O106" s="166">
        <f t="shared" si="63"/>
        <v>1286.5221811623317</v>
      </c>
      <c r="P106" s="166">
        <f t="shared" si="63"/>
        <v>1565.843955830383</v>
      </c>
      <c r="Q106" s="166">
        <f t="shared" si="63"/>
        <v>1855.4444566994284</v>
      </c>
    </row>
    <row r="107" spans="1:17" ht="3.75" customHeight="1">
      <c r="E107" s="148"/>
      <c r="F107" s="148"/>
      <c r="G107" s="268"/>
    </row>
    <row r="108" spans="1:17" ht="15.6">
      <c r="B108" s="125" t="s">
        <v>312</v>
      </c>
      <c r="E108" s="148">
        <f>+_xlfn.XLOOKUP($B108,Inputs!$B:$B,Inputs!O:O)</f>
        <v>45.6</v>
      </c>
      <c r="F108" s="148">
        <f>+_xlfn.XLOOKUP($B108,Inputs!$B:$B,Inputs!P:P)</f>
        <v>67.900000000000006</v>
      </c>
      <c r="G108" s="268">
        <f>+_xlfn.XLOOKUP($B108,Inputs!$B:$B,Inputs!Q:Q)</f>
        <v>123.8</v>
      </c>
      <c r="H108" s="166">
        <f t="shared" ref="H108:Q108" si="64">IFERROR(H109*H48/365,"")</f>
        <v>154.80813878793737</v>
      </c>
      <c r="I108" s="166">
        <f t="shared" si="64"/>
        <v>177.9907530719311</v>
      </c>
      <c r="J108" s="166">
        <f t="shared" si="64"/>
        <v>201.14895201894592</v>
      </c>
      <c r="K108" s="166">
        <f t="shared" si="64"/>
        <v>222.07579652013118</v>
      </c>
      <c r="L108" s="166">
        <f t="shared" si="64"/>
        <v>244.32802810874603</v>
      </c>
      <c r="M108" s="166">
        <f t="shared" si="64"/>
        <v>266.43727308578372</v>
      </c>
      <c r="N108" s="166">
        <f t="shared" si="64"/>
        <v>288.48825385507138</v>
      </c>
      <c r="O108" s="166">
        <f t="shared" si="64"/>
        <v>311.40675325516042</v>
      </c>
      <c r="P108" s="166">
        <f t="shared" si="64"/>
        <v>334.57264732221995</v>
      </c>
      <c r="Q108" s="166">
        <f t="shared" si="64"/>
        <v>373.10214696441511</v>
      </c>
    </row>
    <row r="109" spans="1:17" ht="15.6">
      <c r="B109" s="150" t="s">
        <v>574</v>
      </c>
      <c r="E109" s="311">
        <f>IFERROR(E108/E48*365,"")</f>
        <v>42.437531871494137</v>
      </c>
      <c r="F109" s="311">
        <f>IFERROR(F108/F48*365,"")</f>
        <v>42.818762957843823</v>
      </c>
      <c r="G109" s="312">
        <f>IFERROR(G108/G48*366,"")</f>
        <v>44.253149721652505</v>
      </c>
      <c r="H109" s="313">
        <f>IFERROR(AVERAGE(E109:G109),"")</f>
        <v>43.169814850330148</v>
      </c>
      <c r="I109" s="313">
        <f t="shared" ref="I109:Q109" si="65">IFERROR(AVERAGE(F109:H109),"")</f>
        <v>43.413909176608826</v>
      </c>
      <c r="J109" s="313">
        <f t="shared" si="65"/>
        <v>43.612291249530493</v>
      </c>
      <c r="K109" s="313">
        <f t="shared" si="65"/>
        <v>43.398671758823156</v>
      </c>
      <c r="L109" s="313">
        <f t="shared" si="65"/>
        <v>43.474957394987491</v>
      </c>
      <c r="M109" s="313">
        <f t="shared" si="65"/>
        <v>43.495306801113713</v>
      </c>
      <c r="N109" s="313">
        <f t="shared" si="65"/>
        <v>43.456311984974782</v>
      </c>
      <c r="O109" s="313">
        <f t="shared" si="65"/>
        <v>43.475525393691989</v>
      </c>
      <c r="P109" s="313">
        <f t="shared" si="65"/>
        <v>43.475714726593488</v>
      </c>
      <c r="Q109" s="313">
        <f t="shared" si="65"/>
        <v>43.469184035086755</v>
      </c>
    </row>
    <row r="110" spans="1:17" ht="3.75" customHeight="1">
      <c r="E110" s="167"/>
      <c r="F110" s="167"/>
      <c r="G110" s="168"/>
      <c r="H110" s="166"/>
      <c r="I110" s="166"/>
      <c r="J110" s="166"/>
      <c r="K110" s="166"/>
      <c r="L110" s="166"/>
      <c r="O110" s="166"/>
      <c r="P110" s="166"/>
      <c r="Q110" s="166"/>
    </row>
    <row r="111" spans="1:17" ht="15.6">
      <c r="B111" s="125" t="s">
        <v>575</v>
      </c>
      <c r="E111" s="148">
        <f>+_xlfn.XLOOKUP($B111,Inputs!$B:$B,Inputs!O:O)</f>
        <v>84.5</v>
      </c>
      <c r="F111" s="148">
        <f>+_xlfn.XLOOKUP($B111,Inputs!$B:$B,Inputs!P:P)</f>
        <v>81.3</v>
      </c>
      <c r="G111" s="268">
        <f>+_xlfn.XLOOKUP($B111,Inputs!$B:$B,Inputs!Q:Q)</f>
        <v>191.5</v>
      </c>
      <c r="H111" s="166">
        <f t="shared" ref="H111:Q111" si="66">+IFERROR(H112*H51/365,"")</f>
        <v>255.34409091159458</v>
      </c>
      <c r="I111" s="166">
        <f t="shared" si="66"/>
        <v>263.86954695907679</v>
      </c>
      <c r="J111" s="166">
        <f t="shared" si="66"/>
        <v>304.89752701207203</v>
      </c>
      <c r="K111" s="166">
        <f t="shared" si="66"/>
        <v>320.22314051822821</v>
      </c>
      <c r="L111" s="166">
        <f t="shared" si="66"/>
        <v>348.61152001147428</v>
      </c>
      <c r="M111" s="166">
        <f t="shared" si="66"/>
        <v>382.08786493679276</v>
      </c>
      <c r="N111" s="166">
        <f t="shared" si="66"/>
        <v>409.8793962566931</v>
      </c>
      <c r="O111" s="166">
        <f t="shared" si="66"/>
        <v>442.3408368971788</v>
      </c>
      <c r="P111" s="166">
        <f t="shared" si="66"/>
        <v>475.66395644768579</v>
      </c>
      <c r="Q111" s="166">
        <f t="shared" si="66"/>
        <v>529.36826980061142</v>
      </c>
    </row>
    <row r="112" spans="1:17" ht="15.6">
      <c r="B112" s="150" t="s">
        <v>576</v>
      </c>
      <c r="E112" s="311">
        <f>IFERROR(E111/E51*365,"")</f>
        <v>219.67592592592592</v>
      </c>
      <c r="F112" s="311">
        <f>IFERROR(F111/F51*365,"")</f>
        <v>157.50796178343947</v>
      </c>
      <c r="G112" s="312">
        <f>IFERROR(G111/G51*365,"")</f>
        <v>233.14709806537692</v>
      </c>
      <c r="H112" s="313">
        <f>IFERROR(AVERAGE(E112:G112),"")</f>
        <v>203.4436619249141</v>
      </c>
      <c r="I112" s="313">
        <f t="shared" ref="I112:Q112" si="67">IFERROR(AVERAGE(F112:H112),"")</f>
        <v>198.03290725791018</v>
      </c>
      <c r="J112" s="313">
        <f t="shared" si="67"/>
        <v>211.54122241606706</v>
      </c>
      <c r="K112" s="313">
        <f t="shared" si="67"/>
        <v>204.3392638662971</v>
      </c>
      <c r="L112" s="313">
        <f t="shared" si="67"/>
        <v>204.6377978467581</v>
      </c>
      <c r="M112" s="313">
        <f t="shared" si="67"/>
        <v>206.83942804304073</v>
      </c>
      <c r="N112" s="313">
        <f t="shared" si="67"/>
        <v>205.27216325203199</v>
      </c>
      <c r="O112" s="313">
        <f t="shared" si="67"/>
        <v>205.58312971394358</v>
      </c>
      <c r="P112" s="313">
        <f t="shared" si="67"/>
        <v>205.89824033633874</v>
      </c>
      <c r="Q112" s="313">
        <f t="shared" si="67"/>
        <v>205.58451110077144</v>
      </c>
    </row>
    <row r="113" spans="2:17" ht="3.95" customHeight="1">
      <c r="G113" s="156"/>
    </row>
    <row r="114" spans="2:17" ht="15.6">
      <c r="B114" s="125" t="s">
        <v>577</v>
      </c>
      <c r="E114" s="148">
        <f>+_xlfn.XLOOKUP($B114,Inputs!$B:$B,Inputs!O:O)</f>
        <v>19.5</v>
      </c>
      <c r="F114" s="148">
        <f>+_xlfn.XLOOKUP($B114,Inputs!$B:$B,Inputs!P:P)</f>
        <v>33.299999999999997</v>
      </c>
      <c r="G114" s="268">
        <f>+_xlfn.XLOOKUP($B114,Inputs!$B:$B,Inputs!Q:Q)</f>
        <v>53.600000000000023</v>
      </c>
      <c r="H114" s="166">
        <f t="shared" ref="H114:Q114" si="68">IFERROR(AVERAGE(E114:G114)*(1+H49),"")</f>
        <v>45.338724484812985</v>
      </c>
      <c r="I114" s="166">
        <f t="shared" si="68"/>
        <v>50.395567578229148</v>
      </c>
      <c r="J114" s="166">
        <f t="shared" si="68"/>
        <v>55.998786526526352</v>
      </c>
      <c r="K114" s="166">
        <f t="shared" si="68"/>
        <v>56.114478978194889</v>
      </c>
      <c r="L114" s="166">
        <f t="shared" si="68"/>
        <v>59.492887962487295</v>
      </c>
      <c r="M114" s="166">
        <f t="shared" si="68"/>
        <v>62.34908131271488</v>
      </c>
      <c r="N114" s="166">
        <f t="shared" si="68"/>
        <v>64.28581613762266</v>
      </c>
      <c r="O114" s="166">
        <f t="shared" si="68"/>
        <v>66.941875228083518</v>
      </c>
      <c r="P114" s="166">
        <f t="shared" si="68"/>
        <v>69.325419321735083</v>
      </c>
      <c r="Q114" s="166">
        <f t="shared" si="68"/>
        <v>74.560825130580383</v>
      </c>
    </row>
    <row r="115" spans="2:17" s="276" customFormat="1" ht="14.45">
      <c r="B115" s="276" t="s">
        <v>555</v>
      </c>
      <c r="E115" s="308">
        <f>IFERROR(E114/E$48,"")</f>
        <v>4.9719530851606325E-2</v>
      </c>
      <c r="F115" s="308">
        <f t="shared" ref="F115:G115" si="69">IFERROR(F114/F$48,"")</f>
        <v>5.7532826537664131E-2</v>
      </c>
      <c r="G115" s="309">
        <f t="shared" si="69"/>
        <v>5.2348862193573611E-2</v>
      </c>
      <c r="H115" s="308">
        <f>IFERROR(AVERAGE(E115:G115),"")</f>
        <v>5.3200406527614687E-2</v>
      </c>
      <c r="I115" s="308">
        <f t="shared" ref="I115:Q115" si="70">IFERROR(AVERAGE(F115:H115),"")</f>
        <v>5.4360698419617472E-2</v>
      </c>
      <c r="J115" s="308">
        <f t="shared" si="70"/>
        <v>5.3303322380268588E-2</v>
      </c>
      <c r="K115" s="308">
        <f t="shared" si="70"/>
        <v>5.3621475775833587E-2</v>
      </c>
      <c r="L115" s="308">
        <f t="shared" si="70"/>
        <v>5.3761832191906549E-2</v>
      </c>
      <c r="M115" s="308">
        <f t="shared" si="70"/>
        <v>5.3562210116002908E-2</v>
      </c>
      <c r="N115" s="308">
        <f t="shared" si="70"/>
        <v>5.364850602791435E-2</v>
      </c>
      <c r="O115" s="308">
        <f t="shared" si="70"/>
        <v>5.3657516111941271E-2</v>
      </c>
      <c r="P115" s="308">
        <f t="shared" si="70"/>
        <v>5.3622744085286174E-2</v>
      </c>
      <c r="Q115" s="308">
        <f t="shared" si="70"/>
        <v>5.3642922075047263E-2</v>
      </c>
    </row>
    <row r="116" spans="2:17" ht="3.75" customHeight="1">
      <c r="E116" s="167"/>
      <c r="F116" s="167"/>
      <c r="G116" s="168"/>
      <c r="H116" s="166"/>
      <c r="I116" s="166"/>
      <c r="J116" s="166"/>
      <c r="K116" s="166"/>
      <c r="L116" s="166"/>
      <c r="O116" s="166"/>
      <c r="P116" s="166"/>
      <c r="Q116" s="166"/>
    </row>
    <row r="117" spans="2:17" ht="15.6">
      <c r="B117" s="125" t="s">
        <v>578</v>
      </c>
      <c r="E117" s="148">
        <f>+E118+E119-E121</f>
        <v>33.093999999999994</v>
      </c>
      <c r="F117" s="148">
        <f t="shared" ref="F117:G117" si="71">+F118+F119-F121</f>
        <v>25.259</v>
      </c>
      <c r="G117" s="268">
        <f t="shared" si="71"/>
        <v>46.201000000000001</v>
      </c>
      <c r="H117" s="166">
        <f>IFERROR(H118+H119-H121,"")</f>
        <v>59.454628216371567</v>
      </c>
      <c r="I117" s="166">
        <f t="shared" ref="I117:Q117" si="72">IFERROR(I118+I119-I121,"")</f>
        <v>68.258740488935672</v>
      </c>
      <c r="J117" s="166">
        <f t="shared" si="72"/>
        <v>79.289158433968339</v>
      </c>
      <c r="K117" s="166">
        <f t="shared" si="72"/>
        <v>91.445056349702014</v>
      </c>
      <c r="L117" s="166">
        <f t="shared" si="72"/>
        <v>102.67982269999101</v>
      </c>
      <c r="M117" s="166">
        <f>IFERROR(M118+M119-M121,"")</f>
        <v>145.99228337938047</v>
      </c>
      <c r="N117" s="166">
        <f t="shared" si="72"/>
        <v>158.40922633401718</v>
      </c>
      <c r="O117" s="166">
        <f t="shared" si="72"/>
        <v>170.74509901177706</v>
      </c>
      <c r="P117" s="166">
        <f t="shared" si="72"/>
        <v>183.4250213106464</v>
      </c>
      <c r="Q117" s="166">
        <f t="shared" si="72"/>
        <v>197.42368003745361</v>
      </c>
    </row>
    <row r="118" spans="2:17" ht="15.6">
      <c r="B118" s="275" t="s">
        <v>579</v>
      </c>
      <c r="E118" s="316">
        <f>+_xlfn.XLOOKUP("Gross PP&amp;E (Property, Plant and Equipment)",Inputs!$B:$B,Inputs!O:O)</f>
        <v>53.3</v>
      </c>
      <c r="F118" s="316">
        <f>+_xlfn.XLOOKUP("Gross PP&amp;E (Property, Plant and Equipment)",Inputs!$B:$B,Inputs!P:P)</f>
        <v>45.9</v>
      </c>
      <c r="G118" s="323">
        <f>+_xlfn.XLOOKUP("Gross PP&amp;E (Property, Plant and Equipment)",Inputs!$B:$B,Inputs!Q:Q)</f>
        <v>66.3</v>
      </c>
      <c r="H118" s="321">
        <f>+IFERROR(G118-H152,"")</f>
        <v>75</v>
      </c>
      <c r="I118" s="321">
        <f>+IFERROR(H118-I152,"")</f>
        <v>84.36</v>
      </c>
      <c r="J118" s="321">
        <f>+IFERROR(I118-J152,"")</f>
        <v>94.248000000000005</v>
      </c>
      <c r="K118" s="321">
        <f>+IFERROR(J118-K152,"")</f>
        <v>104.55840000000001</v>
      </c>
      <c r="L118" s="321">
        <f>+IFERROR(K118-L152,"")</f>
        <v>115.20672</v>
      </c>
      <c r="M118" s="321">
        <f>+IFERROR(L118-M152-M163*1/10,"")</f>
        <v>157.29248387416851</v>
      </c>
      <c r="N118" s="321">
        <f t="shared" ref="N118:Q118" si="73">+IFERROR(M118-N152,"")</f>
        <v>168.4274086741685</v>
      </c>
      <c r="O118" s="321">
        <f t="shared" si="73"/>
        <v>179.73534851416849</v>
      </c>
      <c r="P118" s="321">
        <f t="shared" si="73"/>
        <v>191.1817003861685</v>
      </c>
      <c r="Q118" s="321">
        <f t="shared" si="73"/>
        <v>203.1817003861685</v>
      </c>
    </row>
    <row r="119" spans="2:17" ht="15.6">
      <c r="B119" s="314" t="s">
        <v>580</v>
      </c>
      <c r="C119" s="150"/>
      <c r="D119" s="150"/>
      <c r="E119" s="316">
        <f>+_xlfn.XLOOKUP("Right-of-Use Assets",Inputs!$B:$B,Inputs!O:O)</f>
        <v>4.2939999999999996</v>
      </c>
      <c r="F119" s="316">
        <f>+_xlfn.XLOOKUP("Right-of-Use Assets",Inputs!$B:$B,Inputs!P:P)</f>
        <v>3.359</v>
      </c>
      <c r="G119" s="323">
        <f>+_xlfn.XLOOKUP("Right-of-Use Assets",Inputs!$B:$B,Inputs!Q:Q)</f>
        <v>4.8010000000000002</v>
      </c>
      <c r="H119" s="321">
        <f>IFERROR(H120*H$48,"")</f>
        <v>9.3546282163715624</v>
      </c>
      <c r="I119" s="321">
        <f t="shared" ref="I119:Q119" si="74">IFERROR(I120*I$48,"")</f>
        <v>8.7987404889356657</v>
      </c>
      <c r="J119" s="321">
        <f t="shared" si="74"/>
        <v>9.9411584339683419</v>
      </c>
      <c r="K119" s="321">
        <f t="shared" si="74"/>
        <v>11.786656349702</v>
      </c>
      <c r="L119" s="321">
        <f t="shared" si="74"/>
        <v>12.373102699991003</v>
      </c>
      <c r="M119" s="321">
        <f t="shared" si="74"/>
        <v>13.599799505211967</v>
      </c>
      <c r="N119" s="321">
        <f t="shared" si="74"/>
        <v>14.881817659848675</v>
      </c>
      <c r="O119" s="321">
        <f t="shared" si="74"/>
        <v>15.909750497608581</v>
      </c>
      <c r="P119" s="321">
        <f t="shared" si="74"/>
        <v>17.143320924477909</v>
      </c>
      <c r="Q119" s="321">
        <f t="shared" si="74"/>
        <v>19.141979651285105</v>
      </c>
    </row>
    <row r="120" spans="2:17" ht="15.6">
      <c r="B120" s="324" t="s">
        <v>555</v>
      </c>
      <c r="E120" s="308">
        <f>IFERROR(E119/E$48,"")</f>
        <v>1.0948495665476796E-2</v>
      </c>
      <c r="F120" s="308">
        <f t="shared" ref="F120:G120" si="75">IFERROR(F119/F$48,"")</f>
        <v>5.8033863165169322E-3</v>
      </c>
      <c r="G120" s="309">
        <f t="shared" si="75"/>
        <v>4.6889344662564706E-3</v>
      </c>
      <c r="H120" s="307">
        <f>IFERROR(AVERAGE(E120:G120),"")</f>
        <v>7.1469388160833999E-3</v>
      </c>
      <c r="I120" s="307">
        <f t="shared" ref="I120:Q120" si="76">IFERROR(AVERAGE(F120:H120),"")</f>
        <v>5.8797531996189339E-3</v>
      </c>
      <c r="J120" s="307">
        <f t="shared" si="76"/>
        <v>5.9052088273196012E-3</v>
      </c>
      <c r="K120" s="307">
        <f t="shared" si="76"/>
        <v>6.3106336143406447E-3</v>
      </c>
      <c r="L120" s="307">
        <f t="shared" si="76"/>
        <v>6.031865213759726E-3</v>
      </c>
      <c r="M120" s="307">
        <f t="shared" si="76"/>
        <v>6.0825692184733231E-3</v>
      </c>
      <c r="N120" s="307">
        <f t="shared" si="76"/>
        <v>6.1416893488578971E-3</v>
      </c>
      <c r="O120" s="307">
        <f t="shared" si="76"/>
        <v>6.0853745936969815E-3</v>
      </c>
      <c r="P120" s="307">
        <f t="shared" si="76"/>
        <v>6.1032110536760678E-3</v>
      </c>
      <c r="Q120" s="307">
        <f t="shared" si="76"/>
        <v>6.1100916654103152E-3</v>
      </c>
    </row>
    <row r="121" spans="2:17" ht="15.6">
      <c r="B121" s="275" t="s">
        <v>581</v>
      </c>
      <c r="E121" s="316">
        <f>+_xlfn.XLOOKUP($B121,Inputs!$B:$B,Inputs!O:O)</f>
        <v>24.5</v>
      </c>
      <c r="F121" s="316">
        <f>+_xlfn.XLOOKUP($B121,Inputs!$B:$B,Inputs!P:P)</f>
        <v>24</v>
      </c>
      <c r="G121" s="317">
        <f>+_xlfn.XLOOKUP($B121,Inputs!$B:$B,Inputs!Q:Q)</f>
        <v>24.9</v>
      </c>
      <c r="H121" s="318">
        <f>+IFERROR(G121+H71,"")</f>
        <v>24.9</v>
      </c>
      <c r="I121" s="318">
        <f t="shared" ref="I121:Q121" si="77">+IFERROR(H121+I71,"")</f>
        <v>24.9</v>
      </c>
      <c r="J121" s="318">
        <f t="shared" si="77"/>
        <v>24.9</v>
      </c>
      <c r="K121" s="318">
        <f t="shared" si="77"/>
        <v>24.9</v>
      </c>
      <c r="L121" s="318">
        <f t="shared" si="77"/>
        <v>24.9</v>
      </c>
      <c r="M121" s="318">
        <f t="shared" si="77"/>
        <v>24.9</v>
      </c>
      <c r="N121" s="318">
        <f t="shared" si="77"/>
        <v>24.9</v>
      </c>
      <c r="O121" s="318">
        <f t="shared" si="77"/>
        <v>24.9</v>
      </c>
      <c r="P121" s="318">
        <f t="shared" si="77"/>
        <v>24.9</v>
      </c>
      <c r="Q121" s="318">
        <f t="shared" si="77"/>
        <v>24.9</v>
      </c>
    </row>
    <row r="122" spans="2:17" ht="5.25" customHeight="1">
      <c r="E122" s="164"/>
      <c r="F122" s="164"/>
      <c r="G122" s="165"/>
      <c r="H122" s="166"/>
      <c r="I122" s="166"/>
      <c r="J122" s="166"/>
      <c r="K122" s="166"/>
      <c r="L122" s="166"/>
      <c r="M122" s="166"/>
      <c r="N122" s="166"/>
      <c r="O122" s="166"/>
      <c r="P122" s="166"/>
      <c r="Q122" s="166"/>
    </row>
    <row r="123" spans="2:17" ht="15.6">
      <c r="B123" s="125" t="s">
        <v>582</v>
      </c>
      <c r="E123" s="148">
        <f>+_xlfn.XLOOKUP($B123,Inputs!$B:$B,Inputs!O:O)</f>
        <v>86.200000000000017</v>
      </c>
      <c r="F123" s="148">
        <f>+_xlfn.XLOOKUP($B123,Inputs!$B:$B,Inputs!P:P)</f>
        <v>78.099999999999994</v>
      </c>
      <c r="G123" s="268">
        <f>+_xlfn.XLOOKUP($B123,Inputs!$B:$B,Inputs!Q:Q)</f>
        <v>225.10000000000002</v>
      </c>
      <c r="H123" s="166">
        <f t="shared" ref="H123:Q123" si="78">IF(H159=0, +G123+H124*G123, G123-H159*2/3)</f>
        <v>227.35100000000003</v>
      </c>
      <c r="I123" s="166">
        <f t="shared" si="78"/>
        <v>229.62451000000001</v>
      </c>
      <c r="J123" s="166">
        <f t="shared" si="78"/>
        <v>231.92075510000001</v>
      </c>
      <c r="K123" s="166">
        <f t="shared" si="78"/>
        <v>234.23996265100001</v>
      </c>
      <c r="L123" s="166">
        <f t="shared" si="78"/>
        <v>236.58236227751001</v>
      </c>
      <c r="M123" s="166">
        <f t="shared" si="78"/>
        <v>436.58236227751001</v>
      </c>
      <c r="N123" s="166">
        <f t="shared" si="78"/>
        <v>440.94818590028513</v>
      </c>
      <c r="O123" s="166">
        <f t="shared" si="78"/>
        <v>445.35766775928795</v>
      </c>
      <c r="P123" s="166">
        <f t="shared" si="78"/>
        <v>449.81124443688083</v>
      </c>
      <c r="Q123" s="166">
        <f t="shared" si="78"/>
        <v>454.30935688124964</v>
      </c>
    </row>
    <row r="124" spans="2:17" s="83" customFormat="1" ht="14.45">
      <c r="B124" s="83" t="s">
        <v>583</v>
      </c>
      <c r="E124" s="368" t="str">
        <f>IFERROR((E123-Inputs!N45)/E60,"")</f>
        <v/>
      </c>
      <c r="F124" s="368" t="str">
        <f>IFERROR((F123-E123)/F60,"")</f>
        <v/>
      </c>
      <c r="G124" s="369" t="str">
        <f>IFERROR((G123-F123)/G60,"")</f>
        <v/>
      </c>
      <c r="H124" s="307">
        <v>0.01</v>
      </c>
      <c r="I124" s="307">
        <v>0.01</v>
      </c>
      <c r="J124" s="307">
        <v>0.01</v>
      </c>
      <c r="K124" s="307">
        <v>0.01</v>
      </c>
      <c r="L124" s="307">
        <v>0.01</v>
      </c>
      <c r="M124" s="307">
        <f>(M123-L123)/L123</f>
        <v>0.84537155718058532</v>
      </c>
      <c r="N124" s="307">
        <v>0.01</v>
      </c>
      <c r="O124" s="307">
        <v>0.01</v>
      </c>
      <c r="P124" s="307">
        <v>0.01</v>
      </c>
      <c r="Q124" s="307">
        <v>0.01</v>
      </c>
    </row>
    <row r="125" spans="2:17" s="83" customFormat="1" ht="3.75" customHeight="1">
      <c r="E125" s="370"/>
      <c r="F125" s="370"/>
      <c r="G125" s="371"/>
      <c r="H125" s="333"/>
      <c r="I125" s="333"/>
      <c r="J125" s="333"/>
      <c r="K125" s="333"/>
      <c r="L125" s="333"/>
      <c r="M125" s="333"/>
      <c r="N125" s="333"/>
      <c r="O125" s="333"/>
      <c r="P125" s="333"/>
      <c r="Q125" s="333"/>
    </row>
    <row r="126" spans="2:17" ht="13.5" customHeight="1">
      <c r="B126" s="147" t="s">
        <v>584</v>
      </c>
      <c r="E126" s="289"/>
      <c r="F126" s="289"/>
      <c r="G126" s="288"/>
      <c r="H126" s="166"/>
      <c r="I126" s="166"/>
      <c r="J126" s="166"/>
      <c r="K126" s="166"/>
      <c r="L126" s="166"/>
      <c r="M126" s="166"/>
      <c r="N126" s="166"/>
      <c r="O126" s="166"/>
      <c r="P126" s="166"/>
      <c r="Q126" s="166"/>
    </row>
    <row r="127" spans="2:17" ht="5.25" customHeight="1">
      <c r="E127" s="289"/>
      <c r="F127" s="289"/>
      <c r="G127" s="288"/>
      <c r="H127" s="166"/>
      <c r="I127" s="166"/>
      <c r="J127" s="166"/>
      <c r="K127" s="166"/>
      <c r="L127" s="166"/>
      <c r="M127" s="166"/>
      <c r="N127" s="166"/>
      <c r="O127" s="166"/>
      <c r="P127" s="166"/>
      <c r="Q127" s="166"/>
    </row>
    <row r="128" spans="2:17" ht="15.6">
      <c r="B128" s="125" t="s">
        <v>318</v>
      </c>
      <c r="E128" s="148">
        <f>+_xlfn.XLOOKUP($B128,Inputs!$B:$B,Inputs!O:O)</f>
        <v>19.2</v>
      </c>
      <c r="F128" s="148">
        <f>+_xlfn.XLOOKUP($B128,Inputs!$B:$B,Inputs!P:P)</f>
        <v>31.4</v>
      </c>
      <c r="G128" s="268">
        <f>+_xlfn.XLOOKUP($B128,Inputs!$B:$B,Inputs!Q:Q)</f>
        <v>81.099999999999994</v>
      </c>
      <c r="H128" s="166">
        <f t="shared" ref="H128:Q128" si="79">+IFERROR(H129*H51/365,"")</f>
        <v>87.755534006123099</v>
      </c>
      <c r="I128" s="166">
        <f t="shared" si="79"/>
        <v>102.04811883406784</v>
      </c>
      <c r="J128" s="166">
        <f t="shared" si="79"/>
        <v>117.95398817685856</v>
      </c>
      <c r="K128" s="166">
        <f t="shared" si="79"/>
        <v>119.27993860766207</v>
      </c>
      <c r="L128" s="166">
        <f t="shared" si="79"/>
        <v>133.18314048390573</v>
      </c>
      <c r="M128" s="166">
        <f t="shared" si="79"/>
        <v>145.39951009548395</v>
      </c>
      <c r="N128" s="166">
        <f t="shared" si="79"/>
        <v>155.08474381270449</v>
      </c>
      <c r="O128" s="166">
        <f t="shared" si="79"/>
        <v>168.22833391332338</v>
      </c>
      <c r="P128" s="166">
        <f t="shared" si="79"/>
        <v>180.62974151406934</v>
      </c>
      <c r="Q128" s="166">
        <f t="shared" si="79"/>
        <v>200.88202658100752</v>
      </c>
    </row>
    <row r="129" spans="1:17" ht="15.6">
      <c r="B129" s="150" t="s">
        <v>585</v>
      </c>
      <c r="E129" s="311">
        <f>IFERROR(E128/E$51*365,"")</f>
        <v>49.914529914529908</v>
      </c>
      <c r="F129" s="311">
        <f t="shared" ref="F129" si="80">IFERROR(F128/F$51*365,"")</f>
        <v>60.833333333333329</v>
      </c>
      <c r="G129" s="312">
        <f>IFERROR(G128/G$51*366,"")</f>
        <v>99.008005336891244</v>
      </c>
      <c r="H129" s="310">
        <f>IFERROR(AVERAGE(E129:G129),"")</f>
        <v>69.918622861584822</v>
      </c>
      <c r="I129" s="310">
        <f t="shared" ref="I129:Q129" si="81">IFERROR(AVERAGE(F129:H129),"")</f>
        <v>76.58665384393646</v>
      </c>
      <c r="J129" s="310">
        <f t="shared" si="81"/>
        <v>81.83776068080418</v>
      </c>
      <c r="K129" s="310">
        <f t="shared" si="81"/>
        <v>76.114345795441821</v>
      </c>
      <c r="L129" s="310">
        <f t="shared" si="81"/>
        <v>78.179586773394149</v>
      </c>
      <c r="M129" s="310">
        <f t="shared" si="81"/>
        <v>78.710564416546717</v>
      </c>
      <c r="N129" s="310">
        <f t="shared" si="81"/>
        <v>77.66816566179422</v>
      </c>
      <c r="O129" s="310">
        <f t="shared" si="81"/>
        <v>78.186105617245019</v>
      </c>
      <c r="P129" s="310">
        <f t="shared" si="81"/>
        <v>78.188278565195318</v>
      </c>
      <c r="Q129" s="310">
        <f t="shared" si="81"/>
        <v>78.014183281411519</v>
      </c>
    </row>
    <row r="130" spans="1:17" ht="3.75" customHeight="1">
      <c r="E130" s="167"/>
      <c r="F130" s="167"/>
      <c r="G130" s="168"/>
      <c r="H130" s="166"/>
      <c r="I130" s="166"/>
      <c r="J130" s="166"/>
      <c r="K130" s="166"/>
      <c r="L130" s="166"/>
      <c r="O130" s="166"/>
      <c r="P130" s="166"/>
      <c r="Q130" s="166"/>
    </row>
    <row r="131" spans="1:17" ht="15.6">
      <c r="B131" s="125" t="s">
        <v>586</v>
      </c>
      <c r="E131" s="148">
        <f>+_xlfn.XLOOKUP($B131,Inputs!$B:$B,Inputs!O:O)</f>
        <v>41.4</v>
      </c>
      <c r="F131" s="148">
        <f>+_xlfn.XLOOKUP($B131,Inputs!$B:$B,Inputs!P:P)</f>
        <v>72.099999999999994</v>
      </c>
      <c r="G131" s="268">
        <f>+_xlfn.XLOOKUP($B131,Inputs!$B:$B,Inputs!Q:Q)</f>
        <v>211.00000000000003</v>
      </c>
      <c r="H131" s="166">
        <f t="shared" ref="H131:Q131" si="82">IFERROR(AVERAGE(E131:G131)*(1+H49),"")</f>
        <v>138.27458736204707</v>
      </c>
      <c r="I131" s="166">
        <f t="shared" si="82"/>
        <v>160.58391046861053</v>
      </c>
      <c r="J131" s="166">
        <f t="shared" si="82"/>
        <v>191.19156614544548</v>
      </c>
      <c r="K131" s="166">
        <f t="shared" si="82"/>
        <v>181.2320969749349</v>
      </c>
      <c r="L131" s="166">
        <f t="shared" si="82"/>
        <v>195.12883858135285</v>
      </c>
      <c r="M131" s="166">
        <f t="shared" si="82"/>
        <v>206.206924185839</v>
      </c>
      <c r="N131" s="166">
        <f t="shared" si="82"/>
        <v>210.44952676142091</v>
      </c>
      <c r="O131" s="166">
        <f t="shared" si="82"/>
        <v>220.03192283820874</v>
      </c>
      <c r="P131" s="166">
        <f t="shared" si="82"/>
        <v>228.01644990371085</v>
      </c>
      <c r="Q131" s="166">
        <f t="shared" si="82"/>
        <v>244.81368833137532</v>
      </c>
    </row>
    <row r="132" spans="1:17" s="329" customFormat="1" ht="15.6">
      <c r="B132" s="276" t="s">
        <v>587</v>
      </c>
      <c r="E132" s="308">
        <f>IFERROR(E131/E$48,"")</f>
        <v>0.1055583885772565</v>
      </c>
      <c r="F132" s="308">
        <f t="shared" ref="F132:Q132" si="83">IFERROR(F131/F$48,"")</f>
        <v>0.12456807187284036</v>
      </c>
      <c r="G132" s="309">
        <f t="shared" si="83"/>
        <v>0.20607481199335875</v>
      </c>
      <c r="H132" s="308">
        <f>IFERROR(H131/H$48,"")</f>
        <v>0.10564182700133476</v>
      </c>
      <c r="I132" s="308">
        <f t="shared" si="83"/>
        <v>0.10731010450557646</v>
      </c>
      <c r="J132" s="308">
        <f t="shared" si="83"/>
        <v>0.11357088126201968</v>
      </c>
      <c r="K132" s="308">
        <f t="shared" si="83"/>
        <v>9.7032553527903909E-2</v>
      </c>
      <c r="L132" s="308">
        <f t="shared" si="83"/>
        <v>9.5124956300658106E-2</v>
      </c>
      <c r="M132" s="308">
        <f t="shared" si="83"/>
        <v>9.2226939758057666E-2</v>
      </c>
      <c r="N132" s="308">
        <f t="shared" si="83"/>
        <v>8.6851999300463584E-2</v>
      </c>
      <c r="O132" s="308">
        <f t="shared" si="83"/>
        <v>8.4160758727372484E-2</v>
      </c>
      <c r="P132" s="308">
        <f t="shared" si="83"/>
        <v>8.1176367379629202E-2</v>
      </c>
      <c r="Q132" s="308">
        <f t="shared" si="83"/>
        <v>7.8144168153029631E-2</v>
      </c>
    </row>
    <row r="133" spans="1:17" s="242" customFormat="1" ht="5.25" customHeight="1">
      <c r="B133" s="269"/>
      <c r="E133" s="325"/>
      <c r="F133" s="325"/>
      <c r="G133" s="326"/>
      <c r="H133" s="327"/>
      <c r="I133" s="327"/>
      <c r="J133" s="327"/>
      <c r="K133" s="327"/>
      <c r="L133" s="327"/>
      <c r="M133" s="327"/>
      <c r="N133" s="327"/>
      <c r="O133" s="327"/>
      <c r="P133" s="327"/>
      <c r="Q133" s="327"/>
    </row>
    <row r="134" spans="1:17" ht="15.6">
      <c r="B134" s="125" t="s">
        <v>588</v>
      </c>
      <c r="E134" s="293">
        <f>+_xlfn.XLOOKUP($B134,Inputs!$B:$B,Inputs!O:O)</f>
        <v>89.7</v>
      </c>
      <c r="F134" s="293">
        <f>+_xlfn.XLOOKUP($B134,Inputs!$B:$B,Inputs!P:P)</f>
        <v>60.2</v>
      </c>
      <c r="G134" s="294">
        <f>+_xlfn.XLOOKUP($B134,Inputs!$B:$B,Inputs!Q:Q)</f>
        <v>161.80000000000001</v>
      </c>
      <c r="H134" s="166">
        <f>IFERROR(G134+H174-H176,"")</f>
        <v>147.28000000000003</v>
      </c>
      <c r="I134" s="166">
        <f>IFERROR(H134+I174-I176,"")</f>
        <v>162.79424284443539</v>
      </c>
      <c r="J134" s="166">
        <f t="shared" ref="J134:Q134" si="84">IFERROR(I134+J174-J176,"")</f>
        <v>113.97533575697311</v>
      </c>
      <c r="K134" s="166">
        <f t="shared" si="84"/>
        <v>77.984259658837573</v>
      </c>
      <c r="L134" s="166">
        <f t="shared" si="84"/>
        <v>35.100958475949447</v>
      </c>
      <c r="M134" s="166">
        <f t="shared" si="84"/>
        <v>23.292932484284059</v>
      </c>
      <c r="N134" s="166">
        <f t="shared" si="84"/>
        <v>23.292932484284059</v>
      </c>
      <c r="O134" s="166">
        <f t="shared" si="84"/>
        <v>23.292932484284059</v>
      </c>
      <c r="P134" s="166">
        <f t="shared" si="84"/>
        <v>23.292932484284059</v>
      </c>
      <c r="Q134" s="166">
        <f t="shared" si="84"/>
        <v>23.292932484284059</v>
      </c>
    </row>
    <row r="135" spans="1:17" ht="3.75" customHeight="1">
      <c r="B135" s="150"/>
      <c r="E135" s="169"/>
      <c r="F135" s="169"/>
      <c r="G135" s="328"/>
      <c r="H135" s="295"/>
      <c r="I135" s="295"/>
      <c r="J135" s="295"/>
      <c r="K135" s="295"/>
      <c r="L135" s="295"/>
      <c r="M135" s="295"/>
      <c r="N135" s="295"/>
      <c r="O135" s="295"/>
      <c r="P135" s="295"/>
      <c r="Q135" s="295"/>
    </row>
    <row r="136" spans="1:17" ht="15.6">
      <c r="B136" s="125" t="s">
        <v>589</v>
      </c>
      <c r="E136" s="293">
        <f>+_xlfn.XLOOKUP($B136,Inputs!$B:$B,Inputs!O:O)</f>
        <v>21.6</v>
      </c>
      <c r="F136" s="293">
        <f>+_xlfn.XLOOKUP($B136,Inputs!$B:$B,Inputs!P:P)</f>
        <v>16.3</v>
      </c>
      <c r="G136" s="294">
        <f>+_xlfn.XLOOKUP($B136,Inputs!$B:$B,Inputs!Q:Q)</f>
        <v>28.5</v>
      </c>
      <c r="H136" s="166">
        <f t="shared" ref="H136:Q136" si="85">+IFERROR(H137*H48,"")</f>
        <v>48.460017808156984</v>
      </c>
      <c r="I136" s="166">
        <f t="shared" si="85"/>
        <v>46.399806950917217</v>
      </c>
      <c r="J136" s="166">
        <f t="shared" si="85"/>
        <v>53.794754631071314</v>
      </c>
      <c r="K136" s="166">
        <f t="shared" si="85"/>
        <v>62.248879615184251</v>
      </c>
      <c r="L136" s="166">
        <f t="shared" si="85"/>
        <v>65.839528294199951</v>
      </c>
      <c r="M136" s="166">
        <f t="shared" si="85"/>
        <v>72.576126454327792</v>
      </c>
      <c r="N136" s="166">
        <f t="shared" si="85"/>
        <v>79.061125804007176</v>
      </c>
      <c r="O136" s="166">
        <f t="shared" si="85"/>
        <v>84.694244418140642</v>
      </c>
      <c r="P136" s="166">
        <f t="shared" si="85"/>
        <v>91.27368160376453</v>
      </c>
      <c r="Q136" s="166">
        <f t="shared" si="85"/>
        <v>101.83605615996201</v>
      </c>
    </row>
    <row r="137" spans="1:17" ht="15.6">
      <c r="B137" s="150" t="s">
        <v>590</v>
      </c>
      <c r="E137" s="291">
        <f>IFERROR(E136/E$48,"")</f>
        <v>5.50739418663947E-2</v>
      </c>
      <c r="F137" s="291">
        <f>IFERROR(F136/F$48,"")</f>
        <v>2.8161713890808574E-2</v>
      </c>
      <c r="G137" s="292">
        <f>IFERROR(G136/G$48,"")</f>
        <v>2.7834749487254614E-2</v>
      </c>
      <c r="H137" s="142">
        <f>+IFERROR(AVERAGE(E137:G137),"")</f>
        <v>3.7023468414819301E-2</v>
      </c>
      <c r="I137" s="142">
        <f t="shared" ref="I137:Q137" si="86">+IFERROR(AVERAGE(F137:H137),"")</f>
        <v>3.1006643930960826E-2</v>
      </c>
      <c r="J137" s="142">
        <f t="shared" si="86"/>
        <v>3.1954953944344909E-2</v>
      </c>
      <c r="K137" s="142">
        <f t="shared" si="86"/>
        <v>3.332835543004168E-2</v>
      </c>
      <c r="L137" s="142">
        <f t="shared" si="86"/>
        <v>3.2096651101782475E-2</v>
      </c>
      <c r="M137" s="142">
        <f t="shared" si="86"/>
        <v>3.245998682538969E-2</v>
      </c>
      <c r="N137" s="142">
        <f t="shared" si="86"/>
        <v>3.2628331119071284E-2</v>
      </c>
      <c r="O137" s="142">
        <f t="shared" si="86"/>
        <v>3.2394989682081154E-2</v>
      </c>
      <c r="P137" s="142">
        <f t="shared" si="86"/>
        <v>3.2494435875514045E-2</v>
      </c>
      <c r="Q137" s="142">
        <f t="shared" si="86"/>
        <v>3.2505918892222159E-2</v>
      </c>
    </row>
    <row r="138" spans="1:17" ht="3.75" customHeight="1">
      <c r="G138" s="156"/>
    </row>
    <row r="139" spans="1:17" ht="15.6">
      <c r="A139" s="125" t="s">
        <v>472</v>
      </c>
      <c r="B139" s="51" t="s">
        <v>273</v>
      </c>
      <c r="C139" s="51"/>
      <c r="D139" s="51"/>
      <c r="E139" s="136">
        <f t="shared" ref="E139:Q139" si="87">E46</f>
        <v>2022</v>
      </c>
      <c r="F139" s="136">
        <f t="shared" si="87"/>
        <v>2023</v>
      </c>
      <c r="G139" s="161">
        <f t="shared" si="87"/>
        <v>2024</v>
      </c>
      <c r="H139" s="99">
        <f t="shared" si="87"/>
        <v>2025</v>
      </c>
      <c r="I139" s="99">
        <f t="shared" si="87"/>
        <v>2026</v>
      </c>
      <c r="J139" s="99">
        <f t="shared" si="87"/>
        <v>2027</v>
      </c>
      <c r="K139" s="99">
        <f t="shared" si="87"/>
        <v>2028</v>
      </c>
      <c r="L139" s="99">
        <f t="shared" si="87"/>
        <v>2029</v>
      </c>
      <c r="M139" s="99">
        <f t="shared" si="87"/>
        <v>2030</v>
      </c>
      <c r="N139" s="99">
        <f t="shared" si="87"/>
        <v>2031</v>
      </c>
      <c r="O139" s="99">
        <f t="shared" si="87"/>
        <v>2032</v>
      </c>
      <c r="P139" s="99">
        <f t="shared" si="87"/>
        <v>2033</v>
      </c>
      <c r="Q139" s="99">
        <f t="shared" si="87"/>
        <v>2034</v>
      </c>
    </row>
    <row r="140" spans="1:17" ht="3.95" customHeight="1">
      <c r="B140" s="52"/>
      <c r="C140" s="52"/>
      <c r="D140" s="52"/>
      <c r="E140" s="170"/>
      <c r="F140" s="170"/>
      <c r="G140" s="171"/>
      <c r="H140" s="52"/>
      <c r="I140" s="52"/>
      <c r="J140" s="52"/>
      <c r="K140" s="52"/>
      <c r="L140" s="52"/>
      <c r="M140" s="52"/>
      <c r="N140" s="52"/>
      <c r="O140" s="52"/>
      <c r="P140" s="52"/>
      <c r="Q140" s="52"/>
    </row>
    <row r="141" spans="1:17" ht="15.6">
      <c r="B141" s="125" t="s">
        <v>558</v>
      </c>
      <c r="E141" s="164">
        <f>+E68</f>
        <v>27.1</v>
      </c>
      <c r="F141" s="164">
        <f t="shared" ref="F141:Q141" si="88">+F68</f>
        <v>22.2</v>
      </c>
      <c r="G141" s="165">
        <f t="shared" si="88"/>
        <v>35.9</v>
      </c>
      <c r="H141" s="166">
        <f>+H68</f>
        <v>37.284731668128309</v>
      </c>
      <c r="I141" s="166">
        <f>+I68</f>
        <v>38.129056062583771</v>
      </c>
      <c r="J141" s="166">
        <f t="shared" si="88"/>
        <v>39.336933070693604</v>
      </c>
      <c r="K141" s="166">
        <f t="shared" si="88"/>
        <v>40.749709577367838</v>
      </c>
      <c r="L141" s="166">
        <f t="shared" si="88"/>
        <v>42.10108010696797</v>
      </c>
      <c r="M141" s="166">
        <f>+M68</f>
        <v>71.817938077715354</v>
      </c>
      <c r="N141" s="166">
        <f t="shared" si="88"/>
        <v>73.494068962843755</v>
      </c>
      <c r="O141" s="166">
        <f t="shared" si="88"/>
        <v>75.224393162067273</v>
      </c>
      <c r="P141" s="166">
        <f t="shared" si="88"/>
        <v>77.050746050651227</v>
      </c>
      <c r="Q141" s="166">
        <f t="shared" si="88"/>
        <v>78.207964430244374</v>
      </c>
    </row>
    <row r="142" spans="1:17" ht="3.95" customHeight="1">
      <c r="G142" s="145"/>
    </row>
    <row r="143" spans="1:17" ht="13.5" customHeight="1">
      <c r="B143" s="125" t="s">
        <v>591</v>
      </c>
      <c r="E143" s="293">
        <f>+_xlfn.XLOOKUP($B143,Inputs!$B:$B,Inputs!O:O)</f>
        <v>19.600000000000001</v>
      </c>
      <c r="F143" s="293">
        <f>+_xlfn.XLOOKUP($B143,Inputs!$B:$B,Inputs!P:P)</f>
        <v>29.1</v>
      </c>
      <c r="G143" s="294">
        <f>+_xlfn.XLOOKUP($B143,Inputs!$B:$B,Inputs!Q:Q)</f>
        <v>40.6</v>
      </c>
      <c r="H143" s="166">
        <f t="shared" ref="H143:Q143" si="89">IFERROR(H144*H57,"")</f>
        <v>61.018675098724614</v>
      </c>
      <c r="I143" s="166">
        <f t="shared" si="89"/>
        <v>68.298738612345062</v>
      </c>
      <c r="J143" s="166">
        <f t="shared" si="89"/>
        <v>74.022221287011035</v>
      </c>
      <c r="K143" s="166">
        <f t="shared" si="89"/>
        <v>84.813863137315252</v>
      </c>
      <c r="L143" s="166">
        <f t="shared" si="89"/>
        <v>92.322220182314084</v>
      </c>
      <c r="M143" s="166">
        <f t="shared" si="89"/>
        <v>100.15708506177909</v>
      </c>
      <c r="N143" s="166">
        <f t="shared" si="89"/>
        <v>109.21022048071663</v>
      </c>
      <c r="O143" s="166">
        <f t="shared" si="89"/>
        <v>117.538753839846</v>
      </c>
      <c r="P143" s="166">
        <f t="shared" si="89"/>
        <v>126.236053311101</v>
      </c>
      <c r="Q143" s="166">
        <f t="shared" si="89"/>
        <v>140.94677821767442</v>
      </c>
    </row>
    <row r="144" spans="1:17" ht="13.5" customHeight="1">
      <c r="B144" s="276" t="s">
        <v>592</v>
      </c>
      <c r="E144" s="291">
        <f>+IFERROR(E143/E57,"")</f>
        <v>8.8328075709779186E-2</v>
      </c>
      <c r="F144" s="291">
        <f>+IFERROR(F143/F57,"")</f>
        <v>9.028855103940428E-2</v>
      </c>
      <c r="G144" s="292">
        <f>+IFERROR(G143/G57,"")</f>
        <v>7.0682451253481896E-2</v>
      </c>
      <c r="H144" s="142">
        <f>IFERROR(AVERAGE(E144:G144),"")</f>
        <v>8.3099692667555125E-2</v>
      </c>
      <c r="I144" s="142">
        <f t="shared" ref="I144:Q144" si="90">IFERROR(AVERAGE(F144:H144),"")</f>
        <v>8.13568983201471E-2</v>
      </c>
      <c r="J144" s="142">
        <f t="shared" si="90"/>
        <v>7.8379680747061364E-2</v>
      </c>
      <c r="K144" s="142">
        <f t="shared" si="90"/>
        <v>8.0945423911587863E-2</v>
      </c>
      <c r="L144" s="142">
        <f t="shared" si="90"/>
        <v>8.0227334326265443E-2</v>
      </c>
      <c r="M144" s="142">
        <f t="shared" si="90"/>
        <v>7.9850812994971557E-2</v>
      </c>
      <c r="N144" s="142">
        <f t="shared" si="90"/>
        <v>8.0341190410941621E-2</v>
      </c>
      <c r="O144" s="142">
        <f t="shared" si="90"/>
        <v>8.0139779244059531E-2</v>
      </c>
      <c r="P144" s="142">
        <f t="shared" si="90"/>
        <v>8.011059421665756E-2</v>
      </c>
      <c r="Q144" s="142">
        <f t="shared" si="90"/>
        <v>8.0197187957219571E-2</v>
      </c>
    </row>
    <row r="145" spans="2:17" ht="3.75" customHeight="1">
      <c r="B145" s="276"/>
      <c r="E145" s="291"/>
      <c r="F145" s="291"/>
      <c r="G145" s="292"/>
      <c r="H145" s="142"/>
      <c r="I145" s="142"/>
      <c r="J145" s="142"/>
      <c r="K145" s="142"/>
      <c r="L145" s="142"/>
      <c r="M145" s="142"/>
      <c r="N145" s="142"/>
      <c r="O145" s="142"/>
      <c r="P145" s="142"/>
      <c r="Q145" s="142"/>
    </row>
    <row r="146" spans="2:17" ht="13.5" customHeight="1">
      <c r="B146" s="125" t="s">
        <v>593</v>
      </c>
      <c r="E146" s="293">
        <f>+_xlfn.XLOOKUP($B146,Inputs!$B:$B,Inputs!O:O)</f>
        <v>-42.4</v>
      </c>
      <c r="F146" s="293">
        <f>+_xlfn.XLOOKUP($B146,Inputs!$B:$B,Inputs!P:P)</f>
        <v>-0.80000000000000071</v>
      </c>
      <c r="G146" s="294">
        <f>+_xlfn.XLOOKUP($B146,Inputs!$B:$B,Inputs!Q:Q)</f>
        <v>-117.5</v>
      </c>
      <c r="H146" s="172">
        <f>IFERROR(-((H108+H111+H114-H128-H131)-(G108+G111+G114-G128-G131)),"")</f>
        <v>-152.66083281617472</v>
      </c>
      <c r="I146" s="172">
        <f t="shared" ref="I146:Q146" si="91">IFERROR(-((I108+I111+I114-I128-I131)-(H108+H111+H114-H128-H131)),"")</f>
        <v>-0.16300549038390955</v>
      </c>
      <c r="J146" s="172">
        <f t="shared" si="91"/>
        <v>-23.275872928681622</v>
      </c>
      <c r="K146" s="172">
        <f t="shared" si="91"/>
        <v>-45.001669198716996</v>
      </c>
      <c r="L146" s="172">
        <f t="shared" si="91"/>
        <v>-26.219076583491699</v>
      </c>
      <c r="M146" s="172">
        <f t="shared" si="91"/>
        <v>-35.147328036519468</v>
      </c>
      <c r="N146" s="172">
        <f t="shared" si="91"/>
        <v>-37.851410621293383</v>
      </c>
      <c r="O146" s="172">
        <f t="shared" si="91"/>
        <v>-35.310012953628757</v>
      </c>
      <c r="P146" s="172">
        <f t="shared" si="91"/>
        <v>-38.486623044970088</v>
      </c>
      <c r="Q146" s="172">
        <f t="shared" si="91"/>
        <v>-60.419695309363419</v>
      </c>
    </row>
    <row r="147" spans="2:17" ht="3.75" customHeight="1">
      <c r="G147" s="145"/>
    </row>
    <row r="148" spans="2:17" ht="13.5" customHeight="1">
      <c r="B148" s="383" t="s">
        <v>594</v>
      </c>
      <c r="C148" s="383"/>
      <c r="D148" s="383"/>
      <c r="E148" s="384">
        <f>+_xlfn.XLOOKUP($B148,Inputs!$B:$B,Inputs!O:O)</f>
        <v>-6.6999999999999815</v>
      </c>
      <c r="F148" s="384">
        <f>+_xlfn.XLOOKUP($B148,Inputs!$B:$B,Inputs!P:P)</f>
        <v>-10.099999999999952</v>
      </c>
      <c r="G148" s="385">
        <f>+_xlfn.XLOOKUP($B148,Inputs!$B:$B,Inputs!Q:Q)</f>
        <v>-15.499999999999922</v>
      </c>
      <c r="H148" s="386">
        <f t="shared" ref="H148:Q148" si="92">IFERROR(AVERAGE(E148:G148)*(1+H49),"")</f>
        <v>-13.763541361461018</v>
      </c>
      <c r="I148" s="386">
        <f t="shared" si="92"/>
        <v>-15.001263937839513</v>
      </c>
      <c r="J148" s="386">
        <f t="shared" si="92"/>
        <v>-16.598835728550227</v>
      </c>
      <c r="K148" s="386">
        <f t="shared" si="92"/>
        <v>-16.776546712779314</v>
      </c>
      <c r="L148" s="386">
        <f t="shared" si="92"/>
        <v>-17.710215182996862</v>
      </c>
      <c r="M148" s="386">
        <f t="shared" si="92"/>
        <v>-18.560756801744851</v>
      </c>
      <c r="N148" s="386">
        <f t="shared" si="92"/>
        <v>-19.163132704750634</v>
      </c>
      <c r="O148" s="386">
        <f t="shared" si="92"/>
        <v>-19.937178703727405</v>
      </c>
      <c r="P148" s="386">
        <f t="shared" si="92"/>
        <v>-20.650089764919805</v>
      </c>
      <c r="Q148" s="386">
        <f t="shared" si="92"/>
        <v>-22.213762719017843</v>
      </c>
    </row>
    <row r="149" spans="2:17" ht="5.25" customHeight="1">
      <c r="E149" s="322"/>
      <c r="F149" s="322"/>
      <c r="G149" s="294"/>
      <c r="H149" s="166"/>
      <c r="I149" s="166"/>
      <c r="J149" s="166"/>
      <c r="K149" s="166"/>
      <c r="L149" s="166"/>
      <c r="M149" s="166"/>
      <c r="N149" s="166"/>
      <c r="O149" s="166"/>
      <c r="P149" s="166"/>
      <c r="Q149" s="166"/>
    </row>
    <row r="150" spans="2:17" ht="13.5" customHeight="1">
      <c r="B150" s="400" t="s">
        <v>324</v>
      </c>
      <c r="C150" s="147"/>
      <c r="D150" s="147"/>
      <c r="E150" s="345">
        <f>+_xlfn.XLOOKUP($B150,Inputs!$B:$B,Inputs!O:O)</f>
        <v>19.5</v>
      </c>
      <c r="F150" s="345">
        <f>+_xlfn.XLOOKUP($B150,Inputs!$B:$B,Inputs!P:P)</f>
        <v>101.9</v>
      </c>
      <c r="G150" s="346">
        <f>+_xlfn.XLOOKUP($B150,Inputs!$B:$B,Inputs!Q:Q)</f>
        <v>71.2</v>
      </c>
      <c r="H150" s="475">
        <f>IFERROR(H99+H141+H143+H146+H148,"")</f>
        <v>-6.0577842058963771</v>
      </c>
      <c r="I150" s="475">
        <f t="shared" ref="I150:Q150" si="93">IFERROR(I99+I141+I143+I146+I148,"")</f>
        <v>200.74861634255367</v>
      </c>
      <c r="J150" s="475">
        <f t="shared" si="93"/>
        <v>222.0634518495898</v>
      </c>
      <c r="K150" s="475">
        <f t="shared" si="93"/>
        <v>243.94143529979684</v>
      </c>
      <c r="L150" s="475">
        <f t="shared" si="93"/>
        <v>298.2219835924555</v>
      </c>
      <c r="M150" s="475">
        <f t="shared" si="93"/>
        <v>324.83399719320937</v>
      </c>
      <c r="N150" s="475">
        <f t="shared" si="93"/>
        <v>354.81940871379862</v>
      </c>
      <c r="O150" s="475">
        <f t="shared" si="93"/>
        <v>389.00792421445277</v>
      </c>
      <c r="P150" s="475">
        <f t="shared" si="93"/>
        <v>417.90440055932339</v>
      </c>
      <c r="Q150" s="475">
        <f t="shared" si="93"/>
        <v>445.13295473519327</v>
      </c>
    </row>
    <row r="151" spans="2:17" ht="3.75" customHeight="1">
      <c r="G151" s="145"/>
    </row>
    <row r="152" spans="2:17" ht="13.5" customHeight="1">
      <c r="B152" s="341" t="s">
        <v>595</v>
      </c>
      <c r="C152" s="341"/>
      <c r="D152" s="341"/>
      <c r="E152" s="342">
        <f>+_xlfn.XLOOKUP($B152,Inputs!$B:$B,Inputs!O:O)</f>
        <v>-4.8</v>
      </c>
      <c r="F152" s="342">
        <f>+_xlfn.XLOOKUP($B152,Inputs!$B:$B,Inputs!P:P)</f>
        <v>-1.7</v>
      </c>
      <c r="G152" s="343">
        <f>+_xlfn.XLOOKUP($B152,Inputs!$B:$B,Inputs!Q:Q)</f>
        <v>-8.6999999999999993</v>
      </c>
      <c r="H152" s="344">
        <f>IFERROR(H154+H156,"")</f>
        <v>-8.6999999999999993</v>
      </c>
      <c r="I152" s="344">
        <f t="shared" ref="I152:Q152" si="94">IFERROR(I154+I156,"")</f>
        <v>-9.36</v>
      </c>
      <c r="J152" s="344">
        <f t="shared" si="94"/>
        <v>-9.8879999999999999</v>
      </c>
      <c r="K152" s="344">
        <f t="shared" si="94"/>
        <v>-10.3104</v>
      </c>
      <c r="L152" s="344">
        <f t="shared" si="94"/>
        <v>-10.64832</v>
      </c>
      <c r="M152" s="344">
        <f t="shared" si="94"/>
        <v>-10.918656</v>
      </c>
      <c r="N152" s="344">
        <f t="shared" si="94"/>
        <v>-11.1349248</v>
      </c>
      <c r="O152" s="344">
        <f t="shared" si="94"/>
        <v>-11.30793984</v>
      </c>
      <c r="P152" s="344">
        <f t="shared" si="94"/>
        <v>-11.446351871999999</v>
      </c>
      <c r="Q152" s="344">
        <f t="shared" si="94"/>
        <v>-12</v>
      </c>
    </row>
    <row r="153" spans="2:17" ht="3.75" customHeight="1">
      <c r="B153" s="150"/>
      <c r="E153" s="152"/>
      <c r="F153" s="152"/>
      <c r="G153" s="153"/>
      <c r="H153" s="152"/>
      <c r="I153" s="152"/>
      <c r="J153" s="152"/>
      <c r="K153" s="152"/>
      <c r="L153" s="152"/>
      <c r="M153" s="152"/>
      <c r="N153" s="152"/>
      <c r="O153" s="152"/>
      <c r="P153" s="152"/>
      <c r="Q153" s="152"/>
    </row>
    <row r="154" spans="2:17" s="150" customFormat="1" ht="15.6">
      <c r="B154" s="275" t="s">
        <v>596</v>
      </c>
      <c r="E154" s="319">
        <f>+_xlfn.XLOOKUP($B154,Inputs!$B:$B,Inputs!O:O)</f>
        <v>-4.8</v>
      </c>
      <c r="F154" s="319">
        <f>+_xlfn.XLOOKUP($B154,Inputs!$B:$B,Inputs!P:P)</f>
        <v>-1.7</v>
      </c>
      <c r="G154" s="320">
        <f>+_xlfn.XLOOKUP($B154,Inputs!$B:$B,Inputs!Q:Q)</f>
        <v>-8.6999999999999993</v>
      </c>
      <c r="H154" s="321">
        <f>G154</f>
        <v>-8.6999999999999993</v>
      </c>
      <c r="I154" s="321">
        <f>H154+($Q$154-H154)/5</f>
        <v>-9.36</v>
      </c>
      <c r="J154" s="321">
        <f t="shared" ref="J154:P154" si="95">I154+($Q$154-I154)/5</f>
        <v>-9.8879999999999999</v>
      </c>
      <c r="K154" s="321">
        <f t="shared" si="95"/>
        <v>-10.3104</v>
      </c>
      <c r="L154" s="321">
        <f t="shared" si="95"/>
        <v>-10.64832</v>
      </c>
      <c r="M154" s="321">
        <f t="shared" si="95"/>
        <v>-10.918656</v>
      </c>
      <c r="N154" s="321">
        <f t="shared" si="95"/>
        <v>-11.1349248</v>
      </c>
      <c r="O154" s="321">
        <f t="shared" si="95"/>
        <v>-11.30793984</v>
      </c>
      <c r="P154" s="321">
        <f t="shared" si="95"/>
        <v>-11.446351871999999</v>
      </c>
      <c r="Q154" s="321">
        <v>-12</v>
      </c>
    </row>
    <row r="155" spans="2:17" ht="3.75" customHeight="1">
      <c r="B155" s="275"/>
      <c r="E155" s="152"/>
      <c r="F155" s="152"/>
      <c r="G155" s="153"/>
      <c r="H155" s="152"/>
      <c r="I155" s="152"/>
      <c r="J155" s="152"/>
      <c r="K155" s="152"/>
      <c r="L155" s="152"/>
      <c r="M155" s="152"/>
      <c r="N155" s="152"/>
      <c r="O155" s="152"/>
      <c r="P155" s="152"/>
      <c r="Q155" s="152"/>
    </row>
    <row r="156" spans="2:17" s="150" customFormat="1" ht="15.6">
      <c r="B156" s="275" t="s">
        <v>597</v>
      </c>
      <c r="E156" s="319">
        <f>+_xlfn.XLOOKUP($B156,Inputs!$B:$B,Inputs!O:O)</f>
        <v>0</v>
      </c>
      <c r="F156" s="319">
        <f>+_xlfn.XLOOKUP($B156,Inputs!$B:$B,Inputs!P:P)</f>
        <v>0</v>
      </c>
      <c r="G156" s="320">
        <f>+_xlfn.XLOOKUP($B156,Inputs!$B:$B,Inputs!Q:Q)</f>
        <v>0</v>
      </c>
      <c r="H156" s="321">
        <f>IFERROR(H157*G118,"")</f>
        <v>0</v>
      </c>
      <c r="I156" s="321">
        <f t="shared" ref="I156:Q156" si="96">IFERROR(I157*H118,"")</f>
        <v>0</v>
      </c>
      <c r="J156" s="321">
        <f t="shared" si="96"/>
        <v>0</v>
      </c>
      <c r="K156" s="321">
        <f t="shared" si="96"/>
        <v>0</v>
      </c>
      <c r="L156" s="321">
        <f t="shared" si="96"/>
        <v>0</v>
      </c>
      <c r="M156" s="321">
        <f t="shared" si="96"/>
        <v>0</v>
      </c>
      <c r="N156" s="321">
        <f t="shared" si="96"/>
        <v>0</v>
      </c>
      <c r="O156" s="321">
        <f t="shared" si="96"/>
        <v>0</v>
      </c>
      <c r="P156" s="321">
        <f t="shared" si="96"/>
        <v>0</v>
      </c>
      <c r="Q156" s="321">
        <f t="shared" si="96"/>
        <v>0</v>
      </c>
    </row>
    <row r="157" spans="2:17" customFormat="1" ht="14.45">
      <c r="B157" s="285" t="s">
        <v>598</v>
      </c>
      <c r="E157" s="284">
        <f>IFERROR(E156/E118,"")</f>
        <v>0</v>
      </c>
      <c r="F157" s="284">
        <f t="shared" ref="F157:G157" si="97">IFERROR(F156/F118,"")</f>
        <v>0</v>
      </c>
      <c r="G157" s="315">
        <f t="shared" si="97"/>
        <v>0</v>
      </c>
      <c r="H157" s="307">
        <f>IFERROR(AVERAGE(E157:G157),"")</f>
        <v>0</v>
      </c>
      <c r="I157" s="307">
        <f t="shared" ref="I157:Q157" si="98">IFERROR(AVERAGE(F157:H157),"")</f>
        <v>0</v>
      </c>
      <c r="J157" s="307">
        <f t="shared" si="98"/>
        <v>0</v>
      </c>
      <c r="K157" s="307">
        <f t="shared" si="98"/>
        <v>0</v>
      </c>
      <c r="L157" s="307">
        <f t="shared" si="98"/>
        <v>0</v>
      </c>
      <c r="M157" s="307">
        <f t="shared" si="98"/>
        <v>0</v>
      </c>
      <c r="N157" s="307">
        <f t="shared" si="98"/>
        <v>0</v>
      </c>
      <c r="O157" s="307">
        <f t="shared" si="98"/>
        <v>0</v>
      </c>
      <c r="P157" s="307">
        <f t="shared" si="98"/>
        <v>0</v>
      </c>
      <c r="Q157" s="307">
        <f t="shared" si="98"/>
        <v>0</v>
      </c>
    </row>
    <row r="158" spans="2:17" ht="3.75" customHeight="1">
      <c r="B158" s="150"/>
      <c r="E158" s="152"/>
      <c r="F158" s="152"/>
      <c r="G158" s="153"/>
      <c r="H158" s="152"/>
      <c r="I158" s="152"/>
      <c r="J158" s="152"/>
      <c r="K158" s="152"/>
      <c r="L158" s="152"/>
      <c r="M158" s="152"/>
      <c r="N158" s="152"/>
      <c r="O158" s="152"/>
      <c r="P158" s="152"/>
      <c r="Q158" s="152"/>
    </row>
    <row r="159" spans="2:17" ht="13.5" customHeight="1">
      <c r="B159" s="196" t="s">
        <v>599</v>
      </c>
      <c r="E159" s="319">
        <f>+_xlfn.XLOOKUP($B159,Inputs!$B:$B,Inputs!O:O)</f>
        <v>0</v>
      </c>
      <c r="F159" s="319">
        <f>+_xlfn.XLOOKUP($B159,Inputs!$B:$B,Inputs!P:P)</f>
        <v>0</v>
      </c>
      <c r="G159" s="320">
        <f>+_xlfn.XLOOKUP($B159,Inputs!$B:$B,Inputs!Q:Q)</f>
        <v>-275</v>
      </c>
      <c r="H159" s="335">
        <v>0</v>
      </c>
      <c r="I159" s="335">
        <v>0</v>
      </c>
      <c r="J159" s="335">
        <v>0</v>
      </c>
      <c r="K159" s="335">
        <v>0</v>
      </c>
      <c r="L159" s="335">
        <v>0</v>
      </c>
      <c r="M159" s="335">
        <v>-300</v>
      </c>
      <c r="N159" s="335">
        <v>0</v>
      </c>
      <c r="O159" s="335">
        <v>0</v>
      </c>
      <c r="P159" s="335">
        <v>0</v>
      </c>
      <c r="Q159" s="335">
        <v>0</v>
      </c>
    </row>
    <row r="160" spans="2:17" ht="3.75" customHeight="1">
      <c r="B160" s="150"/>
      <c r="E160" s="152"/>
      <c r="F160" s="152"/>
      <c r="G160" s="160"/>
      <c r="H160" s="152"/>
      <c r="I160" s="152"/>
      <c r="J160" s="152"/>
      <c r="K160" s="152"/>
      <c r="L160" s="152"/>
      <c r="M160" s="152"/>
      <c r="N160" s="152"/>
      <c r="O160" s="152"/>
      <c r="P160" s="152"/>
      <c r="Q160" s="152"/>
    </row>
    <row r="161" spans="2:20" ht="13.5" customHeight="1">
      <c r="B161" s="383" t="s">
        <v>600</v>
      </c>
      <c r="C161" s="383"/>
      <c r="D161" s="383"/>
      <c r="E161" s="384">
        <f>+_xlfn.XLOOKUP($B161,Inputs!$B:$B,Inputs!O:O)</f>
        <v>0</v>
      </c>
      <c r="F161" s="384">
        <f>+_xlfn.XLOOKUP($B161,Inputs!$B:$B,Inputs!P:P)</f>
        <v>0</v>
      </c>
      <c r="G161" s="385">
        <f>+_xlfn.XLOOKUP($B161,Inputs!$B:$B,Inputs!Q:Q)</f>
        <v>-1</v>
      </c>
      <c r="H161" s="386">
        <f t="shared" ref="H161:Q161" si="99">IFERROR(AVERAGE(E161:G161)*(1+H49),"")</f>
        <v>-0.42611583162418204</v>
      </c>
      <c r="I161" s="386">
        <f t="shared" si="99"/>
        <v>-0.54348616146288398</v>
      </c>
      <c r="J161" s="386">
        <f t="shared" si="99"/>
        <v>-0.7385800008114799</v>
      </c>
      <c r="K161" s="386">
        <f t="shared" si="99"/>
        <v>-0.63172607765266042</v>
      </c>
      <c r="L161" s="386">
        <f t="shared" si="99"/>
        <v>-0.70062054568651866</v>
      </c>
      <c r="M161" s="386">
        <f t="shared" si="99"/>
        <v>-0.75242274168512624</v>
      </c>
      <c r="N161" s="386">
        <f t="shared" si="99"/>
        <v>-0.75311179451314136</v>
      </c>
      <c r="O161" s="386">
        <f t="shared" si="99"/>
        <v>-0.79345573202719555</v>
      </c>
      <c r="P161" s="386">
        <f t="shared" si="99"/>
        <v>-0.82333464989668737</v>
      </c>
      <c r="Q161" s="386">
        <f t="shared" si="99"/>
        <v>-0.8810726552593332</v>
      </c>
    </row>
    <row r="162" spans="2:20" ht="5.25" customHeight="1">
      <c r="E162" s="336"/>
      <c r="F162" s="336"/>
      <c r="G162" s="320"/>
      <c r="H162" s="321"/>
      <c r="I162" s="321"/>
      <c r="J162" s="321"/>
      <c r="K162" s="321"/>
      <c r="L162" s="321"/>
      <c r="M162" s="321"/>
      <c r="N162" s="321"/>
      <c r="O162" s="321"/>
      <c r="P162" s="321"/>
      <c r="Q162" s="321"/>
    </row>
    <row r="163" spans="2:20" ht="13.5" customHeight="1">
      <c r="B163" s="147" t="s">
        <v>325</v>
      </c>
      <c r="C163" s="147"/>
      <c r="D163" s="147"/>
      <c r="E163" s="345">
        <f>+_xlfn.XLOOKUP($B163,Inputs!$B:$B,Inputs!O:O)</f>
        <v>-4.8</v>
      </c>
      <c r="F163" s="345">
        <f>+_xlfn.XLOOKUP($B163,Inputs!$B:$B,Inputs!P:P)</f>
        <v>-1.7</v>
      </c>
      <c r="G163" s="346">
        <f>+_xlfn.XLOOKUP($B163,Inputs!$B:$B,Inputs!Q:Q)</f>
        <v>-284.7</v>
      </c>
      <c r="H163" s="350">
        <f>IFERROR(+H152+H159+H161,"")</f>
        <v>-9.1261158316241815</v>
      </c>
      <c r="I163" s="350">
        <f t="shared" ref="I163:Q163" si="100">IFERROR(+I152+I159+I161,"")</f>
        <v>-9.9034861614628831</v>
      </c>
      <c r="J163" s="350">
        <f t="shared" si="100"/>
        <v>-10.626580000811479</v>
      </c>
      <c r="K163" s="350">
        <f t="shared" si="100"/>
        <v>-10.942126077652659</v>
      </c>
      <c r="L163" s="350">
        <f t="shared" si="100"/>
        <v>-11.348940545686519</v>
      </c>
      <c r="M163" s="350">
        <f t="shared" si="100"/>
        <v>-311.67107874168511</v>
      </c>
      <c r="N163" s="350">
        <f t="shared" si="100"/>
        <v>-11.888036594513142</v>
      </c>
      <c r="O163" s="350">
        <f t="shared" si="100"/>
        <v>-12.101395572027196</v>
      </c>
      <c r="P163" s="350">
        <f t="shared" si="100"/>
        <v>-12.269686521896686</v>
      </c>
      <c r="Q163" s="350">
        <f t="shared" si="100"/>
        <v>-12.881072655259333</v>
      </c>
    </row>
    <row r="164" spans="2:20" ht="3.75" customHeight="1">
      <c r="E164" s="336"/>
      <c r="F164" s="336"/>
      <c r="G164" s="320"/>
      <c r="H164" s="321"/>
      <c r="I164" s="321"/>
      <c r="J164" s="321"/>
      <c r="K164" s="321"/>
      <c r="L164" s="321"/>
      <c r="M164" s="321"/>
      <c r="N164" s="321"/>
      <c r="O164" s="321"/>
      <c r="P164" s="321"/>
      <c r="Q164" s="321"/>
    </row>
    <row r="165" spans="2:20" ht="13.5" customHeight="1">
      <c r="B165" s="341" t="s">
        <v>601</v>
      </c>
      <c r="C165" s="341"/>
      <c r="D165" s="341"/>
      <c r="E165" s="342">
        <f>+_xlfn.XLOOKUP($B165,Inputs!$B:$B,Inputs!O:O)</f>
        <v>0</v>
      </c>
      <c r="F165" s="342">
        <f>+_xlfn.XLOOKUP($B165,Inputs!$B:$B,Inputs!P:P)</f>
        <v>0</v>
      </c>
      <c r="G165" s="343">
        <f>+_xlfn.XLOOKUP($B165,Inputs!$B:$B,Inputs!Q:Q)</f>
        <v>0</v>
      </c>
      <c r="H165" s="341">
        <f t="shared" ref="H165:Q165" si="101">+IFERROR(H166*_xlfn.XLOOKUP("Net Income",$B:$B,$H:$H),"")</f>
        <v>0</v>
      </c>
      <c r="I165" s="341">
        <f t="shared" si="101"/>
        <v>0</v>
      </c>
      <c r="J165" s="341">
        <f t="shared" si="101"/>
        <v>0</v>
      </c>
      <c r="K165" s="341">
        <f t="shared" si="101"/>
        <v>0</v>
      </c>
      <c r="L165" s="341">
        <f t="shared" si="101"/>
        <v>0</v>
      </c>
      <c r="M165" s="341">
        <f t="shared" si="101"/>
        <v>0</v>
      </c>
      <c r="N165" s="341">
        <f t="shared" si="101"/>
        <v>0</v>
      </c>
      <c r="O165" s="341">
        <f t="shared" si="101"/>
        <v>0</v>
      </c>
      <c r="P165" s="341">
        <f t="shared" si="101"/>
        <v>0</v>
      </c>
      <c r="Q165" s="341">
        <f t="shared" si="101"/>
        <v>0</v>
      </c>
    </row>
    <row r="166" spans="2:20" ht="13.5" customHeight="1">
      <c r="B166" s="276" t="s">
        <v>602</v>
      </c>
      <c r="E166" s="337">
        <f>IFERROR(-E165/E$99,"")</f>
        <v>0</v>
      </c>
      <c r="F166" s="337">
        <f t="shared" ref="F166:G166" si="102">IFERROR(-F165/F$99,"")</f>
        <v>0</v>
      </c>
      <c r="G166" s="338">
        <f t="shared" si="102"/>
        <v>0</v>
      </c>
      <c r="H166" s="339">
        <v>0</v>
      </c>
      <c r="I166" s="339">
        <v>0</v>
      </c>
      <c r="J166" s="339">
        <v>0</v>
      </c>
      <c r="K166" s="339">
        <v>0</v>
      </c>
      <c r="L166" s="339">
        <v>0</v>
      </c>
      <c r="M166" s="339">
        <v>0</v>
      </c>
      <c r="N166" s="339">
        <v>0</v>
      </c>
      <c r="O166" s="339">
        <v>0</v>
      </c>
      <c r="P166" s="339">
        <v>0</v>
      </c>
      <c r="Q166" s="339">
        <v>0</v>
      </c>
    </row>
    <row r="167" spans="2:20" ht="3.75" customHeight="1">
      <c r="E167" s="336"/>
      <c r="F167" s="336"/>
      <c r="G167" s="320"/>
      <c r="H167" s="321"/>
      <c r="I167" s="321"/>
      <c r="J167" s="321"/>
      <c r="K167" s="321"/>
      <c r="L167" s="321"/>
      <c r="M167" s="321"/>
      <c r="N167" s="321"/>
      <c r="O167" s="321"/>
      <c r="P167" s="321"/>
      <c r="Q167" s="321"/>
    </row>
    <row r="168" spans="2:20" ht="13.5" customHeight="1">
      <c r="B168" s="125" t="s">
        <v>603</v>
      </c>
      <c r="E168" s="293">
        <f>+_xlfn.XLOOKUP($B168,Inputs!$B:$B,Inputs!O:O)</f>
        <v>1.7</v>
      </c>
      <c r="F168" s="293">
        <f>+_xlfn.XLOOKUP($B168,Inputs!$B:$B,Inputs!P:P)</f>
        <v>8.1</v>
      </c>
      <c r="G168" s="294">
        <f>+_xlfn.XLOOKUP($B168,Inputs!$B:$B,Inputs!Q:Q)</f>
        <v>5.6</v>
      </c>
      <c r="H168" s="166">
        <f t="shared" ref="H168:Q168" si="103">IFERROR(-H169*_xlfn.XLOOKUP("Net Income",$B:$B,H:H),"")</f>
        <v>-33.514118930638688</v>
      </c>
      <c r="I168" s="166">
        <f t="shared" si="103"/>
        <v>-38.319781883546895</v>
      </c>
      <c r="J168" s="166">
        <f t="shared" si="103"/>
        <v>-74.28950307455851</v>
      </c>
      <c r="K168" s="166">
        <f t="shared" si="103"/>
        <v>-90.078039248305046</v>
      </c>
      <c r="L168" s="166">
        <f t="shared" si="103"/>
        <v>-103.86398753483101</v>
      </c>
      <c r="M168" s="166">
        <f t="shared" si="103"/>
        <v>-103.28352944598961</v>
      </c>
      <c r="N168" s="166">
        <f t="shared" si="103"/>
        <v>-114.56483129814113</v>
      </c>
      <c r="O168" s="166">
        <f t="shared" si="103"/>
        <v>-125.74598443494784</v>
      </c>
      <c r="P168" s="166">
        <f t="shared" si="103"/>
        <v>-136.87715700373053</v>
      </c>
      <c r="Q168" s="166">
        <f t="shared" si="103"/>
        <v>-154.30583505782786</v>
      </c>
      <c r="R168" s="125" t="s">
        <v>604</v>
      </c>
    </row>
    <row r="169" spans="2:20" ht="13.5" customHeight="1">
      <c r="B169" s="276" t="s">
        <v>605</v>
      </c>
      <c r="E169" s="337">
        <f>IFERROR(-E168/E$99,"")</f>
        <v>-7.7625570776255787E-2</v>
      </c>
      <c r="F169" s="337">
        <f>IFERROR(-F168/F$99,"")</f>
        <v>-0.13170731707317082</v>
      </c>
      <c r="G169" s="338">
        <f>IFERROR(-G168/G$99,"")</f>
        <v>-4.3852779953014898E-2</v>
      </c>
      <c r="H169" s="339">
        <v>0.54</v>
      </c>
      <c r="I169" s="339">
        <v>0.35</v>
      </c>
      <c r="J169" s="339">
        <v>0.5</v>
      </c>
      <c r="K169" s="339">
        <v>0.5</v>
      </c>
      <c r="L169" s="339">
        <v>0.5</v>
      </c>
      <c r="M169" s="339">
        <v>0.5</v>
      </c>
      <c r="N169" s="339">
        <v>0.5</v>
      </c>
      <c r="O169" s="339">
        <v>0.5</v>
      </c>
      <c r="P169" s="339">
        <v>0.5</v>
      </c>
      <c r="Q169" s="339">
        <v>0.5</v>
      </c>
      <c r="R169" s="166">
        <v>500</v>
      </c>
      <c r="S169" s="125" t="s">
        <v>606</v>
      </c>
    </row>
    <row r="170" spans="2:20" ht="3.75" customHeight="1">
      <c r="E170" s="336"/>
      <c r="F170" s="336"/>
      <c r="G170" s="320"/>
      <c r="H170" s="321"/>
      <c r="I170" s="321"/>
      <c r="J170" s="321"/>
      <c r="K170" s="321"/>
      <c r="L170" s="321"/>
      <c r="M170" s="321"/>
      <c r="N170" s="321"/>
      <c r="O170" s="321"/>
      <c r="P170" s="321"/>
      <c r="Q170" s="321"/>
    </row>
    <row r="171" spans="2:20" ht="15.6">
      <c r="B171" s="125" t="s">
        <v>607</v>
      </c>
      <c r="E171" s="293">
        <f>+_xlfn.XLOOKUP($B171,Inputs!$B:$B,Inputs!O:O)</f>
        <v>4.6859999999999999</v>
      </c>
      <c r="F171" s="293">
        <f>+_xlfn.XLOOKUP($B171,Inputs!$B:$B,Inputs!P:P)</f>
        <v>4.6379999999999999</v>
      </c>
      <c r="G171" s="294">
        <f>+_xlfn.XLOOKUP($B171,Inputs!$B:$B,Inputs!Q:Q)</f>
        <v>7.3410000000000002</v>
      </c>
      <c r="H171" s="166">
        <f>+IFERROR(H172*H119,"")</f>
        <v>14.031942324557344</v>
      </c>
      <c r="I171" s="166">
        <f t="shared" ref="I171:Q171" si="104">+IFERROR(I172*I119,"")</f>
        <v>12.846161113846073</v>
      </c>
      <c r="J171" s="166">
        <f t="shared" si="104"/>
        <v>14.195974243706791</v>
      </c>
      <c r="K171" s="166">
        <f t="shared" si="104"/>
        <v>16.529606864822082</v>
      </c>
      <c r="L171" s="166">
        <f t="shared" si="104"/>
        <v>17.098638083171565</v>
      </c>
      <c r="M171" s="166">
        <f t="shared" si="104"/>
        <v>18.571015817149128</v>
      </c>
      <c r="N171" s="166">
        <f t="shared" si="104"/>
        <v>20.126598799527951</v>
      </c>
      <c r="O171" s="166">
        <f t="shared" si="104"/>
        <v>21.349978948402374</v>
      </c>
      <c r="P171" s="166">
        <f t="shared" si="104"/>
        <v>22.861551598035856</v>
      </c>
      <c r="Q171" s="166">
        <f t="shared" si="104"/>
        <v>24.884573546670637</v>
      </c>
      <c r="S171" s="125" t="s">
        <v>608</v>
      </c>
      <c r="T171" s="166"/>
    </row>
    <row r="172" spans="2:20" ht="15.6">
      <c r="B172" s="276" t="s">
        <v>609</v>
      </c>
      <c r="E172" s="278">
        <f>IFERROR(E171/E119,"")</f>
        <v>1.0912901723334887</v>
      </c>
      <c r="F172" s="278">
        <f>IFERROR(F171/F119,"")</f>
        <v>1.3807680857398035</v>
      </c>
      <c r="G172" s="282">
        <f t="shared" ref="G172" si="105">IFERROR(G171/G119,"")</f>
        <v>1.5290564465736305</v>
      </c>
      <c r="H172" s="307">
        <v>1.5</v>
      </c>
      <c r="I172" s="307">
        <f>H172+($Q$172-H172)/5</f>
        <v>1.46</v>
      </c>
      <c r="J172" s="307">
        <f t="shared" ref="J172:P172" si="106">I172+($Q$172-I172)/5</f>
        <v>1.4279999999999999</v>
      </c>
      <c r="K172" s="307">
        <f t="shared" si="106"/>
        <v>1.4023999999999999</v>
      </c>
      <c r="L172" s="307">
        <f t="shared" si="106"/>
        <v>1.3819199999999998</v>
      </c>
      <c r="M172" s="307">
        <f t="shared" si="106"/>
        <v>1.3655359999999999</v>
      </c>
      <c r="N172" s="307">
        <f t="shared" si="106"/>
        <v>1.3524288</v>
      </c>
      <c r="O172" s="307">
        <f t="shared" si="106"/>
        <v>1.3419430400000001</v>
      </c>
      <c r="P172" s="307">
        <f t="shared" si="106"/>
        <v>1.3335544320000001</v>
      </c>
      <c r="Q172" s="307">
        <v>1.3</v>
      </c>
    </row>
    <row r="173" spans="2:20" ht="3.75" customHeight="1">
      <c r="B173" s="276"/>
      <c r="E173" s="278"/>
      <c r="F173" s="278"/>
      <c r="G173" s="282"/>
      <c r="H173" s="333"/>
      <c r="I173" s="333"/>
      <c r="J173" s="333"/>
      <c r="K173" s="333"/>
      <c r="L173" s="333"/>
      <c r="M173" s="333"/>
      <c r="N173" s="333"/>
      <c r="O173" s="333"/>
      <c r="P173" s="333"/>
      <c r="Q173" s="333"/>
    </row>
    <row r="174" spans="2:20" ht="15.6">
      <c r="B174" s="125" t="s">
        <v>326</v>
      </c>
      <c r="E174" s="148">
        <f>+_xlfn.XLOOKUP($B174,Inputs!$B:$B,Inputs!O:O)</f>
        <v>25.6</v>
      </c>
      <c r="F174" s="148">
        <f>+_xlfn.XLOOKUP($B174,Inputs!$B:$B,Inputs!P:P)</f>
        <v>0</v>
      </c>
      <c r="G174" s="268">
        <f>+_xlfn.XLOOKUP($B174,Inputs!$B:$B,Inputs!Q:Q)</f>
        <v>204.5</v>
      </c>
      <c r="H174" s="321">
        <f>IFERROR(MAX(0,-G262),"")</f>
        <v>0</v>
      </c>
      <c r="I174" s="321">
        <f>IFERROR(MAX(0,-H262),"")</f>
        <v>15.514242844435355</v>
      </c>
      <c r="J174" s="321">
        <f t="shared" ref="J174:Q174" si="107">IFERROR(MAX(0,-I262),"")</f>
        <v>0</v>
      </c>
      <c r="K174" s="321">
        <f>IFERROR(MAX(0,-J262),"")</f>
        <v>0</v>
      </c>
      <c r="L174" s="321">
        <f t="shared" si="107"/>
        <v>0</v>
      </c>
      <c r="M174" s="321">
        <f t="shared" si="107"/>
        <v>0</v>
      </c>
      <c r="N174" s="321">
        <f t="shared" si="107"/>
        <v>0</v>
      </c>
      <c r="O174" s="321">
        <f t="shared" si="107"/>
        <v>0</v>
      </c>
      <c r="P174" s="321">
        <f t="shared" si="107"/>
        <v>0</v>
      </c>
      <c r="Q174" s="321">
        <f t="shared" si="107"/>
        <v>0</v>
      </c>
    </row>
    <row r="175" spans="2:20" ht="3.75" customHeight="1">
      <c r="B175" s="276"/>
      <c r="E175" s="278"/>
      <c r="F175" s="278"/>
      <c r="G175" s="282"/>
      <c r="H175" s="333"/>
      <c r="I175" s="333"/>
      <c r="J175" s="333"/>
      <c r="K175" s="333"/>
      <c r="L175" s="333"/>
      <c r="M175" s="333"/>
      <c r="N175" s="333"/>
      <c r="O175" s="333"/>
      <c r="P175" s="333"/>
      <c r="Q175" s="333"/>
    </row>
    <row r="176" spans="2:20" ht="15.6">
      <c r="B176" s="125" t="s">
        <v>327</v>
      </c>
      <c r="E176" s="148">
        <f>+_xlfn.XLOOKUP($B176,Inputs!$B:$B,Inputs!O:O)</f>
        <v>-54.5</v>
      </c>
      <c r="F176" s="148">
        <f>+_xlfn.XLOOKUP($B176,Inputs!$B:$B,Inputs!P:P)</f>
        <v>-30</v>
      </c>
      <c r="G176" s="268">
        <f>+_xlfn.XLOOKUP($B176,Inputs!$B:$B,Inputs!Q:Q)</f>
        <v>-7.9</v>
      </c>
      <c r="H176" s="321">
        <f>IFERROR(MAX(0,H177*G262),"")</f>
        <v>14.519999999999996</v>
      </c>
      <c r="I176" s="321">
        <f>IFERROR(MAX(0,I177*H262),"")</f>
        <v>0</v>
      </c>
      <c r="J176" s="321">
        <f t="shared" ref="J176:Q176" si="108">IFERROR(MAX(0,J177*I262),"")</f>
        <v>48.818907087462279</v>
      </c>
      <c r="K176" s="321">
        <f>IFERROR(MAX(0,K177*J262),"")</f>
        <v>35.991076098135544</v>
      </c>
      <c r="L176" s="321">
        <f t="shared" si="108"/>
        <v>42.883301182888125</v>
      </c>
      <c r="M176" s="321">
        <f t="shared" si="108"/>
        <v>11.808025991665389</v>
      </c>
      <c r="N176" s="321">
        <f t="shared" si="108"/>
        <v>0</v>
      </c>
      <c r="O176" s="321">
        <f t="shared" si="108"/>
        <v>0</v>
      </c>
      <c r="P176" s="321">
        <f t="shared" si="108"/>
        <v>0</v>
      </c>
      <c r="Q176" s="321">
        <f t="shared" si="108"/>
        <v>0</v>
      </c>
      <c r="R176" s="166">
        <f>SUM(H176:Q176)</f>
        <v>154.02131036015135</v>
      </c>
      <c r="S176" s="125" t="s">
        <v>610</v>
      </c>
    </row>
    <row r="177" spans="1:19" ht="15.6">
      <c r="B177" s="276" t="s">
        <v>611</v>
      </c>
      <c r="E177" s="296">
        <f>IFERROR(E176/E262,"")</f>
        <v>-0.53694581280788189</v>
      </c>
      <c r="F177" s="296">
        <f t="shared" ref="F177:G177" si="109">IFERROR(F176/F262,"")</f>
        <v>-0.21382751247327164</v>
      </c>
      <c r="G177" s="282">
        <f t="shared" si="109"/>
        <v>-2.7203856749311302E-2</v>
      </c>
      <c r="H177" s="307">
        <v>0.05</v>
      </c>
      <c r="I177" s="307">
        <v>0.5</v>
      </c>
      <c r="J177" s="307">
        <v>0.22</v>
      </c>
      <c r="K177" s="307">
        <v>0.2</v>
      </c>
      <c r="L177" s="307">
        <v>0.2</v>
      </c>
      <c r="M177" s="307">
        <v>4.4999999999999998E-2</v>
      </c>
      <c r="N177" s="307"/>
      <c r="O177" s="307"/>
      <c r="P177" s="307"/>
      <c r="Q177" s="307"/>
    </row>
    <row r="178" spans="1:19" ht="3.75" customHeight="1">
      <c r="B178" s="276"/>
      <c r="E178" s="296"/>
      <c r="F178" s="296"/>
      <c r="G178" s="282"/>
      <c r="H178" s="333"/>
      <c r="I178" s="333"/>
      <c r="J178" s="333"/>
      <c r="K178" s="333"/>
      <c r="L178" s="333"/>
      <c r="M178" s="333"/>
      <c r="N178" s="333"/>
      <c r="O178" s="333"/>
      <c r="P178" s="333"/>
      <c r="Q178" s="333"/>
    </row>
    <row r="179" spans="1:19" ht="15.6">
      <c r="B179" s="383" t="s">
        <v>612</v>
      </c>
      <c r="C179" s="383"/>
      <c r="D179" s="383"/>
      <c r="E179" s="384">
        <f>+_xlfn.XLOOKUP($B179,Inputs!$B:$B,Inputs!O:O)</f>
        <v>-6.586000000000003</v>
      </c>
      <c r="F179" s="384">
        <f>+_xlfn.XLOOKUP($B179,Inputs!$B:$B,Inputs!P:P)</f>
        <v>-5.4379999999999988</v>
      </c>
      <c r="G179" s="385">
        <f>+_xlfn.XLOOKUP($B179,Inputs!$B:$B,Inputs!Q:Q)</f>
        <v>-8.6409999999999947</v>
      </c>
      <c r="H179" s="387">
        <f t="shared" ref="H179:Q179" si="110">IFERROR(AVERAGE(E179:G179)*(1+H49),"")</f>
        <v>-8.8056836605137203</v>
      </c>
      <c r="I179" s="387">
        <f t="shared" si="110"/>
        <v>-8.721247323073392</v>
      </c>
      <c r="J179" s="387">
        <f t="shared" si="110"/>
        <v>-9.8126984816866827</v>
      </c>
      <c r="K179" s="387">
        <f t="shared" si="110"/>
        <v>-10.110841203258992</v>
      </c>
      <c r="L179" s="387">
        <f t="shared" si="110"/>
        <v>-10.486575233159938</v>
      </c>
      <c r="M179" s="387">
        <f t="shared" si="110"/>
        <v>-11.048803842108594</v>
      </c>
      <c r="N179" s="387">
        <f t="shared" si="110"/>
        <v>-11.432027994733206</v>
      </c>
      <c r="O179" s="387">
        <f t="shared" si="110"/>
        <v>-11.856908122442162</v>
      </c>
      <c r="P179" s="387">
        <f t="shared" si="110"/>
        <v>-12.297333963680773</v>
      </c>
      <c r="Q179" s="387">
        <f t="shared" si="110"/>
        <v>-13.230119699731352</v>
      </c>
      <c r="S179" s="166"/>
    </row>
    <row r="180" spans="1:19" ht="5.25" customHeight="1">
      <c r="E180" s="340"/>
      <c r="F180" s="340"/>
      <c r="G180" s="268"/>
      <c r="H180" s="321"/>
      <c r="I180" s="321"/>
      <c r="J180" s="321"/>
      <c r="K180" s="321"/>
      <c r="L180" s="321"/>
      <c r="M180" s="321"/>
      <c r="N180" s="321"/>
      <c r="O180" s="321"/>
      <c r="P180" s="321"/>
      <c r="Q180" s="321"/>
    </row>
    <row r="181" spans="1:19" ht="15.6">
      <c r="B181" s="147" t="s">
        <v>328</v>
      </c>
      <c r="C181" s="147"/>
      <c r="D181" s="147"/>
      <c r="E181" s="345">
        <f>+_xlfn.XLOOKUP($B181,Inputs!$B:$B,Inputs!O:O)</f>
        <v>-29.1</v>
      </c>
      <c r="F181" s="345">
        <f>+_xlfn.XLOOKUP($B181,Inputs!$B:$B,Inputs!P:P)</f>
        <v>-22.7</v>
      </c>
      <c r="G181" s="346">
        <f>+_xlfn.XLOOKUP($B181,Inputs!$B:$B,Inputs!Q:Q)</f>
        <v>200.9</v>
      </c>
      <c r="H181" s="350">
        <f>IFERROR(+H165+H168+H171+H174+H176+H179,"")</f>
        <v>-13.76786026659507</v>
      </c>
      <c r="I181" s="350">
        <f t="shared" ref="I181:Q181" si="111">IFERROR(+I165+I168+I171+I174+I176+I179,"")</f>
        <v>-18.68062524833886</v>
      </c>
      <c r="J181" s="350">
        <f t="shared" si="111"/>
        <v>-21.08732022507612</v>
      </c>
      <c r="K181" s="350">
        <f t="shared" si="111"/>
        <v>-47.66819748860641</v>
      </c>
      <c r="L181" s="350">
        <f t="shared" si="111"/>
        <v>-54.36862350193126</v>
      </c>
      <c r="M181" s="350">
        <f t="shared" si="111"/>
        <v>-83.953291479283692</v>
      </c>
      <c r="N181" s="350">
        <f t="shared" si="111"/>
        <v>-105.87026049334638</v>
      </c>
      <c r="O181" s="350">
        <f t="shared" si="111"/>
        <v>-116.25291360898764</v>
      </c>
      <c r="P181" s="350">
        <f t="shared" si="111"/>
        <v>-126.31293936937544</v>
      </c>
      <c r="Q181" s="350">
        <f t="shared" si="111"/>
        <v>-142.65138121088859</v>
      </c>
    </row>
    <row r="182" spans="1:19" ht="3.75" customHeight="1">
      <c r="B182" s="276"/>
      <c r="E182" s="296"/>
      <c r="F182" s="296"/>
      <c r="G182" s="282"/>
      <c r="H182" s="333"/>
      <c r="I182" s="333"/>
      <c r="J182" s="333"/>
      <c r="K182" s="333"/>
      <c r="L182" s="333"/>
      <c r="M182" s="333"/>
      <c r="N182" s="333"/>
      <c r="O182" s="333"/>
      <c r="P182" s="333"/>
      <c r="Q182" s="333"/>
    </row>
    <row r="183" spans="1:19" ht="15.6">
      <c r="B183" s="476" t="s">
        <v>329</v>
      </c>
      <c r="C183" s="341"/>
      <c r="D183" s="341"/>
      <c r="E183" s="347">
        <f>+_xlfn.XLOOKUP($B183,Inputs!$B:$B,Inputs!O:O)</f>
        <v>-14.4</v>
      </c>
      <c r="F183" s="347">
        <f>+_xlfn.XLOOKUP($B183,Inputs!$B:$B,Inputs!P:P)</f>
        <v>77.400000000000006</v>
      </c>
      <c r="G183" s="348">
        <f>+_xlfn.XLOOKUP($B183,Inputs!$B:$B,Inputs!Q:Q)</f>
        <v>-12.6</v>
      </c>
      <c r="H183" s="349">
        <f>IFERROR(+H150+H163+H181,"")</f>
        <v>-28.951760304115631</v>
      </c>
      <c r="I183" s="349">
        <f t="shared" ref="I183:Q183" si="112">IFERROR(+I150+I163+I181,"")</f>
        <v>172.16450493275192</v>
      </c>
      <c r="J183" s="349">
        <f t="shared" si="112"/>
        <v>190.34955162370218</v>
      </c>
      <c r="K183" s="349">
        <f t="shared" si="112"/>
        <v>185.33111173353777</v>
      </c>
      <c r="L183" s="349">
        <f t="shared" si="112"/>
        <v>232.50441954483773</v>
      </c>
      <c r="M183" s="349">
        <f t="shared" si="112"/>
        <v>-70.790373027759429</v>
      </c>
      <c r="N183" s="349">
        <f t="shared" si="112"/>
        <v>237.06111162593908</v>
      </c>
      <c r="O183" s="349">
        <f t="shared" si="112"/>
        <v>260.65361503343797</v>
      </c>
      <c r="P183" s="349">
        <f t="shared" si="112"/>
        <v>279.32177466805126</v>
      </c>
      <c r="Q183" s="349">
        <f t="shared" si="112"/>
        <v>289.60050086904533</v>
      </c>
    </row>
    <row r="184" spans="1:19" ht="15.6">
      <c r="B184" s="276"/>
      <c r="E184" s="322"/>
      <c r="F184" s="296"/>
      <c r="G184" s="282"/>
      <c r="H184" s="333"/>
      <c r="I184" s="333"/>
      <c r="J184" s="333"/>
      <c r="K184" s="333"/>
      <c r="L184" s="333"/>
      <c r="M184" s="333"/>
      <c r="N184" s="333"/>
      <c r="O184" s="333"/>
      <c r="P184" s="333"/>
      <c r="Q184" s="333"/>
    </row>
    <row r="185" spans="1:19" ht="3.75" customHeight="1">
      <c r="G185" s="145"/>
      <c r="H185" s="130"/>
      <c r="I185" s="130"/>
      <c r="J185" s="130"/>
      <c r="K185" s="130"/>
      <c r="L185" s="130"/>
      <c r="O185" s="130"/>
      <c r="P185" s="130"/>
      <c r="Q185" s="130"/>
    </row>
    <row r="186" spans="1:19" ht="15.6">
      <c r="A186" s="125" t="s">
        <v>472</v>
      </c>
      <c r="B186" s="51" t="s">
        <v>613</v>
      </c>
      <c r="C186" s="51"/>
      <c r="D186" s="51"/>
      <c r="E186" s="136">
        <f t="shared" ref="E186:Q186" si="113">E46</f>
        <v>2022</v>
      </c>
      <c r="F186" s="136">
        <f t="shared" si="113"/>
        <v>2023</v>
      </c>
      <c r="G186" s="161">
        <f t="shared" si="113"/>
        <v>2024</v>
      </c>
      <c r="H186" s="99">
        <f t="shared" si="113"/>
        <v>2025</v>
      </c>
      <c r="I186" s="99">
        <f t="shared" si="113"/>
        <v>2026</v>
      </c>
      <c r="J186" s="99">
        <f t="shared" si="113"/>
        <v>2027</v>
      </c>
      <c r="K186" s="99">
        <f t="shared" si="113"/>
        <v>2028</v>
      </c>
      <c r="L186" s="99">
        <f t="shared" si="113"/>
        <v>2029</v>
      </c>
      <c r="M186" s="99">
        <f t="shared" si="113"/>
        <v>2030</v>
      </c>
      <c r="N186" s="99">
        <f t="shared" si="113"/>
        <v>2031</v>
      </c>
      <c r="O186" s="99">
        <f t="shared" si="113"/>
        <v>2032</v>
      </c>
      <c r="P186" s="99">
        <f t="shared" si="113"/>
        <v>2033</v>
      </c>
      <c r="Q186" s="99">
        <f t="shared" si="113"/>
        <v>2034</v>
      </c>
    </row>
    <row r="187" spans="1:19" ht="3.95" customHeight="1">
      <c r="B187" s="52"/>
      <c r="C187" s="52"/>
      <c r="D187" s="52"/>
      <c r="E187" s="52"/>
      <c r="F187" s="52"/>
      <c r="G187" s="163"/>
      <c r="H187" s="52"/>
      <c r="I187" s="52"/>
      <c r="J187" s="52"/>
      <c r="K187" s="52"/>
      <c r="L187" s="52"/>
      <c r="M187" s="52"/>
      <c r="N187" s="52"/>
      <c r="O187" s="52"/>
      <c r="P187" s="52"/>
      <c r="Q187" s="52"/>
    </row>
    <row r="188" spans="1:19" ht="15.6">
      <c r="B188" s="125" t="s">
        <v>183</v>
      </c>
      <c r="E188" s="149">
        <f>$E$48</f>
        <v>392.2</v>
      </c>
      <c r="F188" s="149">
        <f>$F$48</f>
        <v>578.79999999999995</v>
      </c>
      <c r="G188" s="173">
        <f>$G$48</f>
        <v>1023.9</v>
      </c>
      <c r="H188" s="149">
        <f ca="1">IFERROR(G188*(1+H189),"")</f>
        <v>1308.9000000000001</v>
      </c>
      <c r="I188" s="149">
        <f t="shared" ref="I188:Q188" ca="1" si="114">IFERROR(H188*(1+I189),"")</f>
        <v>1496.4472470555245</v>
      </c>
      <c r="J188" s="149">
        <f t="shared" ca="1" si="114"/>
        <v>1683.4558649267403</v>
      </c>
      <c r="K188" s="149">
        <f t="shared" ca="1" si="114"/>
        <v>1867.7453121216429</v>
      </c>
      <c r="L188" s="149">
        <f t="shared" ca="1" si="114"/>
        <v>2051.2896527869721</v>
      </c>
      <c r="M188" s="149">
        <f t="shared" ca="1" si="114"/>
        <v>2235.8643225806823</v>
      </c>
      <c r="N188" s="149">
        <f t="shared" ca="1" si="114"/>
        <v>2423.0821219598292</v>
      </c>
      <c r="O188" s="149">
        <f t="shared" ca="1" si="114"/>
        <v>2614.4241825453678</v>
      </c>
      <c r="P188" s="149">
        <f t="shared" ca="1" si="114"/>
        <v>2808.9018671822264</v>
      </c>
      <c r="Q188" s="149">
        <f t="shared" ca="1" si="114"/>
        <v>3132.8465593485744</v>
      </c>
    </row>
    <row r="189" spans="1:19" ht="15.6">
      <c r="B189" s="276" t="s">
        <v>554</v>
      </c>
      <c r="C189" s="276"/>
      <c r="D189" s="276"/>
      <c r="E189" s="308">
        <f>$E$49</f>
        <v>0.23294561458660787</v>
      </c>
      <c r="F189" s="308">
        <f>$F$49</f>
        <v>0.47577766445690967</v>
      </c>
      <c r="G189" s="309">
        <f>$G$49</f>
        <v>0.76900483759502425</v>
      </c>
      <c r="H189" s="308">
        <f ca="1">+OFFSET($H$189,$C$7,0)</f>
        <v>0.27834749487254618</v>
      </c>
      <c r="I189" s="308">
        <f ca="1">+OFFSET($I$189,$C$7,0)</f>
        <v>0.14328615406488221</v>
      </c>
      <c r="J189" s="308">
        <f ca="1">+OFFSET($J$189,$C$7,0)</f>
        <v>0.12496839981441532</v>
      </c>
      <c r="K189" s="308">
        <f ca="1">+OFFSET($K$189,$C$7,0)</f>
        <v>0.10947091101964967</v>
      </c>
      <c r="L189" s="308">
        <f ca="1">+OFFSET($L$189,$C$7,0)</f>
        <v>9.8270540139562268E-2</v>
      </c>
      <c r="M189" s="308">
        <f ca="1">+OFFSET($M$189,$C$7,0)</f>
        <v>8.9979818083194107E-2</v>
      </c>
      <c r="N189" s="308">
        <f ca="1">+OFFSET($N$189,$C$7,0)</f>
        <v>8.3733971461674495E-2</v>
      </c>
      <c r="O189" s="308">
        <f ca="1">+OFFSET($O$189,$C$7,0)</f>
        <v>7.8966395258109445E-2</v>
      </c>
      <c r="P189" s="308">
        <f ca="1">+OFFSET($P$189,$C$7,0)</f>
        <v>7.4386431220781368E-2</v>
      </c>
      <c r="Q189" s="308">
        <f ca="1">+OFFSET($Q$189,$C$7,0)</f>
        <v>0.11532787811178169</v>
      </c>
    </row>
    <row r="190" spans="1:19" ht="15.6">
      <c r="B190" s="275" t="s">
        <v>515</v>
      </c>
      <c r="G190" s="156"/>
      <c r="H190" s="562">
        <f t="shared" ref="H190:Q190" si="115">IFERROR(+H191+$F$7,"")</f>
        <v>0.21834749487254618</v>
      </c>
      <c r="I190" s="562">
        <f t="shared" si="115"/>
        <v>8.3286154064882212E-2</v>
      </c>
      <c r="J190" s="562">
        <f t="shared" si="115"/>
        <v>6.4968399814415323E-2</v>
      </c>
      <c r="K190" s="562">
        <f t="shared" si="115"/>
        <v>4.9470911019649677E-2</v>
      </c>
      <c r="L190" s="562">
        <f t="shared" si="115"/>
        <v>3.827054013956227E-2</v>
      </c>
      <c r="M190" s="562">
        <f t="shared" si="115"/>
        <v>2.997981808319411E-2</v>
      </c>
      <c r="N190" s="562">
        <f t="shared" si="115"/>
        <v>2.3733971461674497E-2</v>
      </c>
      <c r="O190" s="562">
        <f t="shared" si="115"/>
        <v>1.8966395258109447E-2</v>
      </c>
      <c r="P190" s="562">
        <f t="shared" si="115"/>
        <v>1.438643122078137E-2</v>
      </c>
      <c r="Q190" s="562">
        <f t="shared" si="115"/>
        <v>5.5327878111781692E-2</v>
      </c>
    </row>
    <row r="191" spans="1:19" ht="15.6">
      <c r="B191" s="275" t="s">
        <v>516</v>
      </c>
      <c r="G191" s="156"/>
      <c r="H191" s="563">
        <f>$H$49</f>
        <v>0.27834749487254618</v>
      </c>
      <c r="I191" s="563">
        <f>$I$49</f>
        <v>0.14328615406488221</v>
      </c>
      <c r="J191" s="563">
        <f>$J$49</f>
        <v>0.12496839981441532</v>
      </c>
      <c r="K191" s="563">
        <f>$K$49</f>
        <v>0.10947091101964967</v>
      </c>
      <c r="L191" s="563">
        <f>$L$49</f>
        <v>9.8270540139562268E-2</v>
      </c>
      <c r="M191" s="563">
        <f>$M$49</f>
        <v>8.9979818083194107E-2</v>
      </c>
      <c r="N191" s="563">
        <f>$N$49</f>
        <v>8.3733971461674495E-2</v>
      </c>
      <c r="O191" s="564">
        <f>$O$49</f>
        <v>7.8966395258109445E-2</v>
      </c>
      <c r="P191" s="563">
        <f>$P$49</f>
        <v>7.4386431220781368E-2</v>
      </c>
      <c r="Q191" s="563">
        <f>$Q$49</f>
        <v>0.11532787811178169</v>
      </c>
    </row>
    <row r="192" spans="1:19" ht="15.6">
      <c r="B192" s="275" t="s">
        <v>517</v>
      </c>
      <c r="G192" s="156"/>
      <c r="H192" s="565">
        <f t="shared" ref="H192:Q192" si="116">IFERROR(+H191+$L$7,"")</f>
        <v>0.31834749487254616</v>
      </c>
      <c r="I192" s="565">
        <f t="shared" si="116"/>
        <v>0.18328615406488222</v>
      </c>
      <c r="J192" s="565">
        <f t="shared" si="116"/>
        <v>0.16496839981441533</v>
      </c>
      <c r="K192" s="565">
        <f t="shared" si="116"/>
        <v>0.14947091101964968</v>
      </c>
      <c r="L192" s="565">
        <f t="shared" si="116"/>
        <v>0.13827054013956228</v>
      </c>
      <c r="M192" s="565">
        <f t="shared" si="116"/>
        <v>0.12997981808319412</v>
      </c>
      <c r="N192" s="565">
        <f t="shared" si="116"/>
        <v>0.1237339714616745</v>
      </c>
      <c r="O192" s="565">
        <f t="shared" si="116"/>
        <v>0.11896639525810945</v>
      </c>
      <c r="P192" s="565">
        <f t="shared" si="116"/>
        <v>0.11438643122078138</v>
      </c>
      <c r="Q192" s="565">
        <f t="shared" si="116"/>
        <v>0.1553278781117817</v>
      </c>
    </row>
    <row r="193" spans="2:29" ht="3.75" customHeight="1">
      <c r="G193" s="156"/>
    </row>
    <row r="194" spans="2:29" ht="15.6">
      <c r="B194" s="125" t="s">
        <v>525</v>
      </c>
      <c r="E194" s="149">
        <f t="shared" ref="E194:G195" si="117">+E77</f>
        <v>2.2999999999999758</v>
      </c>
      <c r="F194" s="149">
        <f t="shared" si="117"/>
        <v>45.899999999999963</v>
      </c>
      <c r="G194" s="173">
        <f t="shared" si="117"/>
        <v>113.79999999999993</v>
      </c>
      <c r="H194" s="174">
        <f ca="1">IFERROR(H195*H188,"")</f>
        <v>79.004409361269154</v>
      </c>
      <c r="I194" s="174">
        <f t="shared" ref="I194:Q194" ca="1" si="118">IFERROR(I195*I188,"")</f>
        <v>132.39628069758751</v>
      </c>
      <c r="J194" s="174">
        <f t="shared" ca="1" si="118"/>
        <v>173.52288082035261</v>
      </c>
      <c r="K194" s="174">
        <f t="shared" ca="1" si="118"/>
        <v>207.0582625112481</v>
      </c>
      <c r="L194" s="174">
        <f t="shared" ca="1" si="118"/>
        <v>236.50883081511336</v>
      </c>
      <c r="M194" s="174">
        <f t="shared" ca="1" si="118"/>
        <v>235.35108288114535</v>
      </c>
      <c r="N194" s="174">
        <f t="shared" ca="1" si="118"/>
        <v>261.29032350776043</v>
      </c>
      <c r="O194" s="174">
        <f t="shared" ca="1" si="118"/>
        <v>287.03043378151949</v>
      </c>
      <c r="P194" s="174">
        <f t="shared" ca="1" si="118"/>
        <v>312.70260949562868</v>
      </c>
      <c r="Q194" s="174">
        <f t="shared" ca="1" si="118"/>
        <v>357.11242561589017</v>
      </c>
    </row>
    <row r="195" spans="2:29" ht="15.6">
      <c r="B195" s="276" t="s">
        <v>555</v>
      </c>
      <c r="C195" s="276"/>
      <c r="D195" s="276"/>
      <c r="E195" s="308">
        <f t="shared" si="117"/>
        <v>5.8643549209586327E-3</v>
      </c>
      <c r="F195" s="308">
        <f t="shared" si="117"/>
        <v>7.9302004146509966E-2</v>
      </c>
      <c r="G195" s="309">
        <f t="shared" si="117"/>
        <v>0.11114366637366924</v>
      </c>
      <c r="H195" s="308">
        <f ca="1">OFFSET(H195,$C$8,0)</f>
        <v>6.0359392895766785E-2</v>
      </c>
      <c r="I195" s="308">
        <f ca="1">+OFFSET(I195,$C$8,0)</f>
        <v>8.8473737352316478E-2</v>
      </c>
      <c r="J195" s="308">
        <f ca="1">+OFFSET(J195,$C$8,0)</f>
        <v>0.10307539653135123</v>
      </c>
      <c r="K195" s="308">
        <f ca="1">+OFFSET(K195,$C$8,0)</f>
        <v>0.11086000921402006</v>
      </c>
      <c r="L195" s="308">
        <f ca="1">+OFFSET(L195,$C$8,0)</f>
        <v>0.11529762776006894</v>
      </c>
      <c r="M195" s="308">
        <f t="shared" ref="M195:Q195" ca="1" si="119">+OFFSET(M195,$C$8,0)</f>
        <v>0.10526179093438823</v>
      </c>
      <c r="N195" s="308">
        <f t="shared" ca="1" si="119"/>
        <v>0.10783387039991219</v>
      </c>
      <c r="O195" s="308">
        <f t="shared" ca="1" si="119"/>
        <v>0.10978724711078466</v>
      </c>
      <c r="P195" s="308">
        <f t="shared" ca="1" si="119"/>
        <v>0.11132557286855982</v>
      </c>
      <c r="Q195" s="308">
        <f t="shared" ca="1" si="119"/>
        <v>0.11398975942509805</v>
      </c>
    </row>
    <row r="196" spans="2:29" ht="15.6">
      <c r="B196" s="275" t="s">
        <v>515</v>
      </c>
      <c r="G196" s="156"/>
      <c r="H196" s="565">
        <f t="shared" ref="H196:Q196" si="120">IFERROR(H197+$F$8,"")</f>
        <v>2.0359392895766784E-2</v>
      </c>
      <c r="I196" s="565">
        <f t="shared" si="120"/>
        <v>4.8473737352316477E-2</v>
      </c>
      <c r="J196" s="565">
        <f t="shared" si="120"/>
        <v>6.3075396531351219E-2</v>
      </c>
      <c r="K196" s="565">
        <f t="shared" si="120"/>
        <v>7.0860009214020053E-2</v>
      </c>
      <c r="L196" s="565">
        <f t="shared" si="120"/>
        <v>7.529762776006893E-2</v>
      </c>
      <c r="M196" s="565">
        <f t="shared" si="120"/>
        <v>6.526179093438822E-2</v>
      </c>
      <c r="N196" s="565">
        <f t="shared" si="120"/>
        <v>6.7833870399912177E-2</v>
      </c>
      <c r="O196" s="565">
        <f t="shared" si="120"/>
        <v>6.9787247110784656E-2</v>
      </c>
      <c r="P196" s="565">
        <f t="shared" si="120"/>
        <v>7.1325572868559811E-2</v>
      </c>
      <c r="Q196" s="565">
        <f t="shared" si="120"/>
        <v>7.3989759425098056E-2</v>
      </c>
    </row>
    <row r="197" spans="2:29" ht="15.6">
      <c r="B197" s="275" t="s">
        <v>516</v>
      </c>
      <c r="G197" s="156"/>
      <c r="H197" s="563">
        <f t="shared" ref="H197:Q197" si="121">IFERROR(VALUE(H78),"")</f>
        <v>6.0359392895766785E-2</v>
      </c>
      <c r="I197" s="563">
        <f t="shared" si="121"/>
        <v>8.8473737352316478E-2</v>
      </c>
      <c r="J197" s="563">
        <f t="shared" si="121"/>
        <v>0.10307539653135123</v>
      </c>
      <c r="K197" s="563">
        <f t="shared" si="121"/>
        <v>0.11086000921402006</v>
      </c>
      <c r="L197" s="563">
        <f t="shared" si="121"/>
        <v>0.11529762776006894</v>
      </c>
      <c r="M197" s="563">
        <f t="shared" si="121"/>
        <v>0.10526179093438823</v>
      </c>
      <c r="N197" s="563">
        <f t="shared" si="121"/>
        <v>0.10783387039991219</v>
      </c>
      <c r="O197" s="563">
        <f t="shared" si="121"/>
        <v>0.10978724711078466</v>
      </c>
      <c r="P197" s="563">
        <f t="shared" si="121"/>
        <v>0.11132557286855982</v>
      </c>
      <c r="Q197" s="563">
        <f t="shared" si="121"/>
        <v>0.11398975942509805</v>
      </c>
    </row>
    <row r="198" spans="2:29" ht="15.6">
      <c r="B198" s="275" t="s">
        <v>517</v>
      </c>
      <c r="G198" s="156"/>
      <c r="H198" s="565">
        <f t="shared" ref="H198:Q198" si="122">+IFERROR(H197+$L$8,"")</f>
        <v>9.0359392895766777E-2</v>
      </c>
      <c r="I198" s="565">
        <f t="shared" si="122"/>
        <v>0.11847373735231648</v>
      </c>
      <c r="J198" s="565">
        <f t="shared" si="122"/>
        <v>0.13307539653135123</v>
      </c>
      <c r="K198" s="565">
        <f t="shared" si="122"/>
        <v>0.14086000921402006</v>
      </c>
      <c r="L198" s="565">
        <f t="shared" si="122"/>
        <v>0.14529762776006894</v>
      </c>
      <c r="M198" s="565">
        <f t="shared" si="122"/>
        <v>0.13526179093438823</v>
      </c>
      <c r="N198" s="565">
        <f t="shared" si="122"/>
        <v>0.13783387039991218</v>
      </c>
      <c r="O198" s="565">
        <f t="shared" si="122"/>
        <v>0.13978724711078466</v>
      </c>
      <c r="P198" s="565">
        <f t="shared" si="122"/>
        <v>0.14132557286855982</v>
      </c>
      <c r="Q198" s="565">
        <f t="shared" si="122"/>
        <v>0.14398975942509806</v>
      </c>
    </row>
    <row r="199" spans="2:29" ht="3.75" customHeight="1">
      <c r="G199" s="156"/>
    </row>
    <row r="200" spans="2:29" ht="15.6">
      <c r="B200" s="176" t="s">
        <v>521</v>
      </c>
      <c r="C200" s="177"/>
      <c r="D200" s="177"/>
      <c r="E200" s="178">
        <f>+IFERROR(E194*(1-E97),"")</f>
        <v>7.9733333333331586</v>
      </c>
      <c r="F200" s="178">
        <f t="shared" ref="F200:G200" si="123">+IFERROR(F194*(1-F97),"")</f>
        <v>43.154784688995178</v>
      </c>
      <c r="G200" s="331">
        <f t="shared" si="123"/>
        <v>99.399048525213999</v>
      </c>
      <c r="H200" s="178">
        <f ca="1">+IFERROR(H194*(1-H97),"")</f>
        <v>71.642985529332208</v>
      </c>
      <c r="I200" s="178">
        <f t="shared" ref="I200:Q200" ca="1" si="124">+IFERROR(I194*(1-I97),"")</f>
        <v>119.59180925342454</v>
      </c>
      <c r="J200" s="178">
        <f t="shared" ca="1" si="124"/>
        <v>156.19554514230168</v>
      </c>
      <c r="K200" s="178">
        <f t="shared" ca="1" si="124"/>
        <v>185.80374086947748</v>
      </c>
      <c r="L200" s="178">
        <f t="shared" ca="1" si="124"/>
        <v>211.64387821170277</v>
      </c>
      <c r="M200" s="178">
        <f t="shared" ca="1" si="124"/>
        <v>210.08833139783263</v>
      </c>
      <c r="N200" s="178">
        <f t="shared" ca="1" si="124"/>
        <v>232.73054644118815</v>
      </c>
      <c r="O200" s="178">
        <f t="shared" ca="1" si="124"/>
        <v>255.15657155078563</v>
      </c>
      <c r="P200" s="178">
        <f t="shared" ca="1" si="124"/>
        <v>277.49313568875459</v>
      </c>
      <c r="Q200" s="330">
        <f t="shared" ca="1" si="124"/>
        <v>312.47337241390392</v>
      </c>
    </row>
    <row r="201" spans="2:29" ht="3.75" customHeight="1">
      <c r="G201" s="156"/>
    </row>
    <row r="202" spans="2:29" ht="15.6">
      <c r="B202" s="125" t="s">
        <v>614</v>
      </c>
      <c r="E202" s="149">
        <f t="shared" ref="E202:Q202" si="125">+E141</f>
        <v>27.1</v>
      </c>
      <c r="F202" s="149">
        <f t="shared" si="125"/>
        <v>22.2</v>
      </c>
      <c r="G202" s="173">
        <f t="shared" si="125"/>
        <v>35.9</v>
      </c>
      <c r="H202" s="179">
        <f t="shared" si="125"/>
        <v>37.284731668128309</v>
      </c>
      <c r="I202" s="179">
        <f>+I141</f>
        <v>38.129056062583771</v>
      </c>
      <c r="J202" s="179">
        <f t="shared" si="125"/>
        <v>39.336933070693604</v>
      </c>
      <c r="K202" s="179">
        <f t="shared" si="125"/>
        <v>40.749709577367838</v>
      </c>
      <c r="L202" s="179">
        <f t="shared" si="125"/>
        <v>42.10108010696797</v>
      </c>
      <c r="M202" s="179">
        <f t="shared" si="125"/>
        <v>71.817938077715354</v>
      </c>
      <c r="N202" s="179">
        <f t="shared" si="125"/>
        <v>73.494068962843755</v>
      </c>
      <c r="O202" s="179">
        <f t="shared" si="125"/>
        <v>75.224393162067273</v>
      </c>
      <c r="P202" s="179">
        <f t="shared" si="125"/>
        <v>77.050746050651227</v>
      </c>
      <c r="Q202" s="179">
        <f t="shared" si="125"/>
        <v>78.207964430244374</v>
      </c>
      <c r="R202" s="126"/>
      <c r="S202" s="126"/>
      <c r="T202" s="126"/>
      <c r="U202" s="126"/>
      <c r="V202" s="126"/>
      <c r="W202" s="126"/>
      <c r="X202" s="126"/>
      <c r="Y202" s="126"/>
      <c r="Z202" s="126"/>
      <c r="AA202" s="126"/>
      <c r="AB202" s="126"/>
      <c r="AC202" s="126"/>
    </row>
    <row r="203" spans="2:29" ht="3.75" customHeight="1">
      <c r="G203" s="156"/>
      <c r="R203" s="126"/>
      <c r="S203" s="126"/>
      <c r="T203" s="126"/>
      <c r="U203" s="126"/>
      <c r="V203" s="126"/>
      <c r="W203" s="126"/>
      <c r="X203" s="126"/>
      <c r="Y203" s="126"/>
      <c r="Z203" s="126"/>
      <c r="AA203" s="126"/>
      <c r="AB203" s="126"/>
      <c r="AC203" s="126"/>
    </row>
    <row r="204" spans="2:29" ht="15.6">
      <c r="B204" s="125" t="s">
        <v>591</v>
      </c>
      <c r="E204" s="149">
        <f t="shared" ref="E204:Q204" si="126">+E143</f>
        <v>19.600000000000001</v>
      </c>
      <c r="F204" s="149">
        <f t="shared" si="126"/>
        <v>29.1</v>
      </c>
      <c r="G204" s="173">
        <f t="shared" si="126"/>
        <v>40.6</v>
      </c>
      <c r="H204" s="149">
        <f t="shared" si="126"/>
        <v>61.018675098724614</v>
      </c>
      <c r="I204" s="149">
        <f t="shared" si="126"/>
        <v>68.298738612345062</v>
      </c>
      <c r="J204" s="149">
        <f t="shared" si="126"/>
        <v>74.022221287011035</v>
      </c>
      <c r="K204" s="149">
        <f t="shared" si="126"/>
        <v>84.813863137315252</v>
      </c>
      <c r="L204" s="149">
        <f t="shared" si="126"/>
        <v>92.322220182314084</v>
      </c>
      <c r="M204" s="149">
        <f t="shared" si="126"/>
        <v>100.15708506177909</v>
      </c>
      <c r="N204" s="149">
        <f t="shared" si="126"/>
        <v>109.21022048071663</v>
      </c>
      <c r="O204" s="149">
        <f t="shared" si="126"/>
        <v>117.538753839846</v>
      </c>
      <c r="P204" s="149">
        <f t="shared" si="126"/>
        <v>126.236053311101</v>
      </c>
      <c r="Q204" s="149">
        <f t="shared" si="126"/>
        <v>140.94677821767442</v>
      </c>
      <c r="R204" s="126"/>
      <c r="S204" s="126"/>
      <c r="T204" s="126"/>
      <c r="U204" s="126"/>
      <c r="V204" s="126"/>
      <c r="W204" s="126"/>
      <c r="X204" s="126"/>
      <c r="Y204" s="126"/>
      <c r="Z204" s="126"/>
      <c r="AA204" s="126"/>
      <c r="AB204" s="126"/>
      <c r="AC204" s="126"/>
    </row>
    <row r="205" spans="2:29" ht="3.75" customHeight="1">
      <c r="G205" s="145"/>
      <c r="R205" s="126"/>
      <c r="S205" s="126"/>
      <c r="T205" s="126"/>
      <c r="U205" s="126"/>
      <c r="V205" s="126"/>
      <c r="W205" s="126"/>
      <c r="X205" s="126"/>
      <c r="Y205" s="126"/>
      <c r="Z205" s="126"/>
      <c r="AA205" s="126"/>
      <c r="AB205" s="126"/>
      <c r="AC205" s="126"/>
    </row>
    <row r="206" spans="2:29" ht="15.6">
      <c r="B206" s="125" t="s">
        <v>615</v>
      </c>
      <c r="E206" s="149">
        <f t="shared" ref="E206:Q206" si="127">+E146</f>
        <v>-42.4</v>
      </c>
      <c r="F206" s="149">
        <f t="shared" si="127"/>
        <v>-0.80000000000000071</v>
      </c>
      <c r="G206" s="180">
        <f t="shared" si="127"/>
        <v>-117.5</v>
      </c>
      <c r="H206" s="172">
        <f t="shared" si="127"/>
        <v>-152.66083281617472</v>
      </c>
      <c r="I206" s="172">
        <f t="shared" si="127"/>
        <v>-0.16300549038390955</v>
      </c>
      <c r="J206" s="172">
        <f t="shared" si="127"/>
        <v>-23.275872928681622</v>
      </c>
      <c r="K206" s="172">
        <f t="shared" si="127"/>
        <v>-45.001669198716996</v>
      </c>
      <c r="L206" s="172">
        <f t="shared" si="127"/>
        <v>-26.219076583491699</v>
      </c>
      <c r="M206" s="172">
        <f t="shared" si="127"/>
        <v>-35.147328036519468</v>
      </c>
      <c r="N206" s="172">
        <f t="shared" si="127"/>
        <v>-37.851410621293383</v>
      </c>
      <c r="O206" s="172">
        <f t="shared" si="127"/>
        <v>-35.310012953628757</v>
      </c>
      <c r="P206" s="172">
        <f t="shared" si="127"/>
        <v>-38.486623044970088</v>
      </c>
      <c r="Q206" s="172">
        <f t="shared" si="127"/>
        <v>-60.419695309363419</v>
      </c>
      <c r="R206" s="126"/>
      <c r="S206" s="126"/>
      <c r="T206" s="126"/>
      <c r="U206" s="126"/>
      <c r="V206" s="126"/>
      <c r="W206" s="126"/>
      <c r="X206" s="126"/>
      <c r="Y206" s="126"/>
      <c r="Z206" s="126"/>
      <c r="AA206" s="126"/>
      <c r="AB206" s="126"/>
      <c r="AC206" s="126"/>
    </row>
    <row r="207" spans="2:29" ht="3.75" customHeight="1">
      <c r="G207" s="145"/>
      <c r="R207" s="126"/>
      <c r="S207" s="126"/>
      <c r="T207" s="126"/>
      <c r="U207" s="126"/>
      <c r="V207" s="126"/>
      <c r="W207" s="126"/>
      <c r="X207" s="126"/>
      <c r="Y207" s="126"/>
      <c r="Z207" s="126"/>
      <c r="AA207" s="126"/>
      <c r="AB207" s="126"/>
      <c r="AC207" s="126"/>
    </row>
    <row r="208" spans="2:29" ht="13.5" customHeight="1">
      <c r="B208" s="125" t="s">
        <v>595</v>
      </c>
      <c r="E208" s="149">
        <f t="shared" ref="E208:Q208" si="128">+E152</f>
        <v>-4.8</v>
      </c>
      <c r="F208" s="149">
        <f t="shared" si="128"/>
        <v>-1.7</v>
      </c>
      <c r="G208" s="173">
        <f t="shared" si="128"/>
        <v>-8.6999999999999993</v>
      </c>
      <c r="H208" s="149">
        <f>+H152</f>
        <v>-8.6999999999999993</v>
      </c>
      <c r="I208" s="149">
        <f t="shared" si="128"/>
        <v>-9.36</v>
      </c>
      <c r="J208" s="149">
        <f t="shared" si="128"/>
        <v>-9.8879999999999999</v>
      </c>
      <c r="K208" s="149">
        <f t="shared" si="128"/>
        <v>-10.3104</v>
      </c>
      <c r="L208" s="149">
        <f t="shared" si="128"/>
        <v>-10.64832</v>
      </c>
      <c r="M208" s="149">
        <f t="shared" si="128"/>
        <v>-10.918656</v>
      </c>
      <c r="N208" s="149">
        <f t="shared" si="128"/>
        <v>-11.1349248</v>
      </c>
      <c r="O208" s="149">
        <f t="shared" si="128"/>
        <v>-11.30793984</v>
      </c>
      <c r="P208" s="149">
        <f t="shared" si="128"/>
        <v>-11.446351871999999</v>
      </c>
      <c r="Q208" s="149">
        <f t="shared" si="128"/>
        <v>-12</v>
      </c>
      <c r="R208" s="126"/>
      <c r="S208" s="126"/>
      <c r="T208" s="126"/>
      <c r="U208" s="126"/>
      <c r="V208" s="126"/>
      <c r="W208" s="126"/>
      <c r="X208" s="126"/>
      <c r="Y208" s="126"/>
      <c r="Z208" s="126"/>
      <c r="AA208" s="126"/>
      <c r="AB208" s="126"/>
      <c r="AC208" s="126"/>
    </row>
    <row r="209" spans="2:29" ht="3.75" customHeight="1">
      <c r="B209" s="150"/>
      <c r="E209" s="152"/>
      <c r="F209" s="152"/>
      <c r="G209" s="160"/>
      <c r="H209" s="175"/>
      <c r="I209" s="175"/>
      <c r="J209" s="175"/>
      <c r="K209" s="175"/>
      <c r="L209" s="175"/>
      <c r="M209" s="175"/>
      <c r="N209" s="175"/>
      <c r="O209" s="175"/>
      <c r="P209" s="175"/>
      <c r="Q209" s="175"/>
      <c r="R209" s="126"/>
      <c r="S209" s="126"/>
      <c r="T209" s="126"/>
      <c r="U209" s="126"/>
      <c r="V209" s="126"/>
      <c r="W209" s="126"/>
      <c r="X209" s="126"/>
      <c r="Y209" s="126"/>
      <c r="Z209" s="126"/>
      <c r="AA209" s="126"/>
      <c r="AB209" s="126"/>
      <c r="AC209" s="126"/>
    </row>
    <row r="210" spans="2:29" ht="15.6">
      <c r="B210" s="181" t="s">
        <v>29</v>
      </c>
      <c r="C210" s="182"/>
      <c r="D210" s="182"/>
      <c r="E210" s="183">
        <f t="shared" ref="E210:Q210" si="129">IFERROR(E200+E202+E208+E206+E204,"")</f>
        <v>7.4733333333331622</v>
      </c>
      <c r="F210" s="183">
        <f t="shared" si="129"/>
        <v>91.954784688995176</v>
      </c>
      <c r="G210" s="184">
        <f t="shared" si="129"/>
        <v>49.699048525214003</v>
      </c>
      <c r="H210" s="183">
        <f t="shared" ca="1" si="129"/>
        <v>8.5855594800104029</v>
      </c>
      <c r="I210" s="183">
        <f t="shared" ca="1" si="129"/>
        <v>216.49659843796945</v>
      </c>
      <c r="J210" s="183">
        <f t="shared" ca="1" si="129"/>
        <v>236.39082657132468</v>
      </c>
      <c r="K210" s="183">
        <f t="shared" ca="1" si="129"/>
        <v>256.05524438544359</v>
      </c>
      <c r="L210" s="183">
        <f t="shared" ca="1" si="129"/>
        <v>309.19978191749311</v>
      </c>
      <c r="M210" s="183">
        <f t="shared" ca="1" si="129"/>
        <v>335.99737050080762</v>
      </c>
      <c r="N210" s="183">
        <f t="shared" ca="1" si="129"/>
        <v>366.44850046345516</v>
      </c>
      <c r="O210" s="183">
        <f t="shared" ca="1" si="129"/>
        <v>401.30176575907012</v>
      </c>
      <c r="P210" s="183">
        <f t="shared" ca="1" si="129"/>
        <v>430.84696013353675</v>
      </c>
      <c r="Q210" s="332">
        <f t="shared" ca="1" si="129"/>
        <v>459.20841975245929</v>
      </c>
      <c r="R210" s="126"/>
      <c r="S210" s="126" t="s">
        <v>616</v>
      </c>
      <c r="T210" s="126"/>
      <c r="U210" s="126">
        <f ca="1">+J210/(1+$C$12)^(J213-2)</f>
        <v>234.23852858472068</v>
      </c>
      <c r="V210" s="126">
        <f ca="1">+K210/(1+$C$12)^(K213-2)</f>
        <v>235.42948338534745</v>
      </c>
      <c r="W210" s="126">
        <f ca="1">+L210/(1+$C$12)^(L213-2)</f>
        <v>263.79454809410993</v>
      </c>
      <c r="X210" s="126">
        <f ca="1">+M210/(1+$C$12)^(M213-2)</f>
        <v>265.98795939333445</v>
      </c>
      <c r="Y210" s="126">
        <f ca="1">+N210/(1+$C$12)^(N213-2)</f>
        <v>269.17734810400276</v>
      </c>
      <c r="Z210" s="126"/>
      <c r="AA210" s="126">
        <f ca="1">+O210/(1+$C$12)^(O213-2)</f>
        <v>273.52441277536019</v>
      </c>
      <c r="AB210" s="126">
        <f ca="1">+P210/(1+$C$12)^(P213-2)</f>
        <v>272.48808644961019</v>
      </c>
      <c r="AC210" s="126">
        <f ca="1">+Q210/(1+$C$12)^(Q213-2)</f>
        <v>269.48449992547592</v>
      </c>
    </row>
    <row r="211" spans="2:29" ht="15.6">
      <c r="B211" s="185" t="s">
        <v>617</v>
      </c>
      <c r="C211" s="186"/>
      <c r="D211" s="186"/>
      <c r="E211" s="186"/>
      <c r="F211" s="186"/>
      <c r="G211" s="187"/>
      <c r="H211" s="188">
        <f ca="1">IFERROR(H210/(1+$C$12)^H213,"")</f>
        <v>8.5073894314906919</v>
      </c>
      <c r="I211" s="188">
        <f t="shared" ref="I211:P211" ca="1" si="130">IFERROR(I210/(1+$C$12)^I213,"")</f>
        <v>199.05736532469055</v>
      </c>
      <c r="J211" s="188">
        <f t="shared" ca="1" si="130"/>
        <v>201.67741025643895</v>
      </c>
      <c r="K211" s="188">
        <f t="shared" ca="1" si="130"/>
        <v>202.70281235990203</v>
      </c>
      <c r="L211" s="188">
        <f t="shared" ca="1" si="130"/>
        <v>227.1248953826379</v>
      </c>
      <c r="M211" s="188">
        <f t="shared" ca="1" si="130"/>
        <v>229.01340413108153</v>
      </c>
      <c r="N211" s="188">
        <f t="shared" ca="1" si="130"/>
        <v>231.75944108475915</v>
      </c>
      <c r="O211" s="188">
        <f t="shared" ca="1" si="130"/>
        <v>235.50222733958117</v>
      </c>
      <c r="P211" s="188">
        <f t="shared" ca="1" si="130"/>
        <v>234.60995905724243</v>
      </c>
      <c r="Q211" s="189">
        <f ca="1">IFERROR(Q210/(1+$C$12)^Q213,"")</f>
        <v>232.02389622919898</v>
      </c>
      <c r="R211" s="126"/>
      <c r="S211" s="126" t="s">
        <v>618</v>
      </c>
      <c r="T211" s="367">
        <f t="shared" ref="T211:Y211" ca="1" si="131">+I210/(1+$C$12)^(I213-1)</f>
        <v>214.52543399101043</v>
      </c>
      <c r="U211" s="367">
        <f t="shared" ca="1" si="131"/>
        <v>217.34907367468884</v>
      </c>
      <c r="V211" s="367">
        <f t="shared" ca="1" si="131"/>
        <v>218.45415627689201</v>
      </c>
      <c r="W211" s="367">
        <f t="shared" ca="1" si="131"/>
        <v>244.77399604203256</v>
      </c>
      <c r="X211" s="367">
        <f t="shared" ca="1" si="131"/>
        <v>246.80925436163736</v>
      </c>
      <c r="Y211" s="367">
        <f t="shared" ca="1" si="131"/>
        <v>249.76867647737845</v>
      </c>
      <c r="Z211" s="367"/>
      <c r="AA211" s="367">
        <f ca="1">+O210/(1+$C$12)^(O213-1)</f>
        <v>253.80230188150051</v>
      </c>
      <c r="AB211" s="367">
        <f ca="1">+P210/(1+$C$12)^(P213-1)</f>
        <v>252.84069847540246</v>
      </c>
      <c r="AC211" s="367">
        <f ca="1">+Q210/(1+$C$12)^(Q213-1)</f>
        <v>250.05368152875934</v>
      </c>
    </row>
    <row r="212" spans="2:29" ht="3.75" customHeight="1">
      <c r="G212" s="145"/>
      <c r="R212" s="126"/>
      <c r="S212" s="126"/>
      <c r="T212" s="126"/>
      <c r="U212" s="126"/>
      <c r="V212" s="126"/>
      <c r="W212" s="126"/>
      <c r="X212" s="126"/>
      <c r="Y212" s="126"/>
      <c r="Z212" s="126"/>
      <c r="AA212" s="126"/>
      <c r="AB212" s="126"/>
      <c r="AC212" s="126"/>
    </row>
    <row r="213" spans="2:29" ht="15.6">
      <c r="B213" s="125" t="s">
        <v>619</v>
      </c>
      <c r="G213" s="145"/>
      <c r="H213" s="190">
        <f ca="1">+H214/2</f>
        <v>0.12222222222222222</v>
      </c>
      <c r="I213" s="190">
        <f ca="1">+H213+1</f>
        <v>1.1222222222222222</v>
      </c>
      <c r="J213" s="190">
        <f t="shared" ref="J213:P213" ca="1" si="132">+I213+1</f>
        <v>2.1222222222222222</v>
      </c>
      <c r="K213" s="190">
        <f ca="1">+J213+1</f>
        <v>3.1222222222222222</v>
      </c>
      <c r="L213" s="190">
        <f t="shared" ca="1" si="132"/>
        <v>4.1222222222222218</v>
      </c>
      <c r="M213" s="190">
        <f t="shared" ca="1" si="132"/>
        <v>5.1222222222222218</v>
      </c>
      <c r="N213" s="190">
        <f t="shared" ca="1" si="132"/>
        <v>6.1222222222222218</v>
      </c>
      <c r="O213" s="190">
        <f t="shared" ca="1" si="132"/>
        <v>7.1222222222222218</v>
      </c>
      <c r="P213" s="190">
        <f t="shared" ca="1" si="132"/>
        <v>8.1222222222222218</v>
      </c>
      <c r="Q213" s="190">
        <f ca="1">+P213+1</f>
        <v>9.1222222222222218</v>
      </c>
      <c r="R213" s="126"/>
      <c r="S213" s="126"/>
      <c r="T213" s="126"/>
      <c r="U213" s="126"/>
      <c r="V213" s="126"/>
      <c r="W213" s="126"/>
      <c r="X213" s="126"/>
      <c r="Y213" s="126"/>
      <c r="Z213" s="126"/>
      <c r="AA213" s="126"/>
      <c r="AB213" s="126"/>
      <c r="AC213" s="126"/>
    </row>
    <row r="214" spans="2:29" ht="15.6" hidden="1">
      <c r="B214" s="125" t="s">
        <v>620</v>
      </c>
      <c r="G214" s="145"/>
      <c r="H214" s="190">
        <f ca="1">YEARFRAC(P214,P215)</f>
        <v>0.24444444444444444</v>
      </c>
      <c r="P214" s="191">
        <f ca="1">TODAY()</f>
        <v>45933</v>
      </c>
      <c r="R214" s="126"/>
      <c r="S214" s="126"/>
      <c r="T214" s="126"/>
      <c r="U214" s="126"/>
      <c r="V214" s="126"/>
      <c r="W214" s="126"/>
      <c r="X214" s="126"/>
      <c r="Y214" s="126"/>
      <c r="Z214" s="126"/>
      <c r="AA214" s="126"/>
      <c r="AB214" s="126"/>
      <c r="AC214" s="126"/>
    </row>
    <row r="215" spans="2:29" s="126" customFormat="1" ht="3.75" customHeight="1">
      <c r="G215" s="192"/>
      <c r="P215" s="191">
        <v>46022</v>
      </c>
    </row>
    <row r="216" spans="2:29" ht="15.6">
      <c r="B216" s="125" t="s">
        <v>621</v>
      </c>
      <c r="G216" s="145"/>
      <c r="L216" s="193" t="str">
        <f ca="1">IFERROR((#REF!*(1+$C$13))/($C$12-$C$13),"")</f>
        <v/>
      </c>
      <c r="P216" s="194"/>
      <c r="Q216" s="195">
        <f ca="1">IFERROR(+(Q210*(1+$C$13))/($C$12-$C$13),"")</f>
        <v>8116.7957552438656</v>
      </c>
      <c r="R216" s="126">
        <v>2025</v>
      </c>
      <c r="S216" s="126">
        <v>2026</v>
      </c>
      <c r="T216" s="594"/>
      <c r="U216" s="595"/>
      <c r="V216" s="595"/>
      <c r="W216" s="126"/>
      <c r="X216" s="126"/>
      <c r="Y216" s="126"/>
      <c r="Z216" s="126"/>
      <c r="AA216" s="126"/>
      <c r="AB216" s="126"/>
      <c r="AC216" s="126"/>
    </row>
    <row r="217" spans="2:29" ht="15.6">
      <c r="B217" s="125" t="s">
        <v>622</v>
      </c>
      <c r="G217" s="145"/>
      <c r="L217" s="193" t="str">
        <f ca="1">IFERROR(L216/(1+$C$12)^#REF!,"")</f>
        <v/>
      </c>
      <c r="Q217" s="166">
        <f ca="1">IFERROR(Q216/(1+$C$12)^$Q$213,"")</f>
        <v>4101.1673458503037</v>
      </c>
      <c r="R217" s="647">
        <f ca="1">+Q216/(1+$C$12)^$P$213</f>
        <v>4419.8550669210927</v>
      </c>
      <c r="S217" s="126">
        <f ca="1">+Q216/(1+$C$12)^$O$213</f>
        <v>4763.3069234188497</v>
      </c>
      <c r="T217" s="595"/>
      <c r="U217" s="133"/>
      <c r="V217" s="133"/>
      <c r="W217" s="126"/>
      <c r="X217" s="126"/>
      <c r="Y217" s="126"/>
      <c r="Z217" s="126"/>
      <c r="AA217" s="126"/>
      <c r="AB217" s="126"/>
      <c r="AC217" s="126"/>
    </row>
    <row r="218" spans="2:29" ht="15.6">
      <c r="B218" s="125" t="s">
        <v>623</v>
      </c>
      <c r="G218" s="145"/>
      <c r="L218" s="196"/>
      <c r="Q218" s="166">
        <f ca="1">+SUM(H211:Q211,Q217)</f>
        <v>6103.1461464473268</v>
      </c>
      <c r="R218" s="647">
        <f ca="1">+SUM(T211:AC211,R217)</f>
        <v>6568.2323396303946</v>
      </c>
      <c r="S218" s="126">
        <f ca="1">+SUM(S217,U210:AC210)</f>
        <v>6847.4317901308104</v>
      </c>
      <c r="T218" s="595"/>
      <c r="U218" s="133"/>
      <c r="V218" s="133"/>
      <c r="W218" s="126"/>
      <c r="X218" s="126"/>
      <c r="Y218" s="126"/>
      <c r="Z218" s="126"/>
      <c r="AA218" s="126"/>
      <c r="AB218" s="126"/>
      <c r="AC218" s="126"/>
    </row>
    <row r="219" spans="2:29" ht="15.6">
      <c r="B219" s="125" t="s">
        <v>624</v>
      </c>
      <c r="G219" s="145"/>
      <c r="L219" s="196"/>
      <c r="Q219" s="334"/>
      <c r="R219" s="647">
        <f>+H106</f>
        <v>79.248239695884365</v>
      </c>
      <c r="S219" s="647">
        <f>+I106</f>
        <v>251.41274462863629</v>
      </c>
      <c r="T219" s="130"/>
      <c r="U219" s="130"/>
      <c r="V219" s="130"/>
      <c r="W219" s="126"/>
      <c r="X219" s="126"/>
      <c r="Y219" s="126"/>
      <c r="Z219" s="126"/>
      <c r="AA219" s="126"/>
      <c r="AB219" s="126"/>
      <c r="AC219" s="126"/>
    </row>
    <row r="220" spans="2:29" ht="15.6">
      <c r="B220" s="125" t="s">
        <v>625</v>
      </c>
      <c r="G220" s="145"/>
      <c r="L220" s="196"/>
      <c r="Q220" s="334">
        <v>0</v>
      </c>
      <c r="R220" s="647">
        <f>+Q220</f>
        <v>0</v>
      </c>
      <c r="S220" s="647">
        <f>+Q220</f>
        <v>0</v>
      </c>
      <c r="T220" s="130"/>
      <c r="U220" s="130"/>
      <c r="V220" s="130"/>
      <c r="W220" s="126"/>
      <c r="X220" s="126"/>
      <c r="Y220" s="126"/>
      <c r="Z220" s="126"/>
      <c r="AA220" s="126"/>
      <c r="AB220" s="126"/>
      <c r="AC220" s="126"/>
    </row>
    <row r="221" spans="2:29" ht="15.6">
      <c r="B221" s="125" t="s">
        <v>626</v>
      </c>
      <c r="G221" s="145"/>
      <c r="M221" s="197"/>
      <c r="Q221" s="334">
        <v>0</v>
      </c>
      <c r="R221" s="647">
        <f>+Q221</f>
        <v>0</v>
      </c>
      <c r="S221" s="647">
        <f>+Q221</f>
        <v>0</v>
      </c>
      <c r="T221" s="130"/>
      <c r="U221" s="130"/>
      <c r="V221" s="130"/>
      <c r="W221" s="126"/>
      <c r="X221" s="126"/>
      <c r="Y221" s="126"/>
      <c r="Z221" s="126"/>
      <c r="AA221" s="126"/>
      <c r="AB221" s="126"/>
      <c r="AC221" s="126"/>
    </row>
    <row r="222" spans="2:29" ht="15.6">
      <c r="B222" s="125" t="s">
        <v>627</v>
      </c>
      <c r="G222" s="145"/>
      <c r="Q222" s="334">
        <v>0</v>
      </c>
      <c r="R222" s="647">
        <f>+H134</f>
        <v>147.28000000000003</v>
      </c>
      <c r="S222" s="647">
        <f>+I134</f>
        <v>162.79424284443539</v>
      </c>
      <c r="T222" s="130"/>
      <c r="U222" s="130"/>
      <c r="V222" s="130"/>
      <c r="W222" s="126"/>
      <c r="X222" s="126"/>
      <c r="Y222" s="126"/>
      <c r="Z222" s="126"/>
      <c r="AA222" s="126"/>
      <c r="AB222" s="126"/>
      <c r="AC222" s="126"/>
    </row>
    <row r="223" spans="2:29" ht="15.6">
      <c r="B223" s="125" t="s">
        <v>241</v>
      </c>
      <c r="G223" s="145"/>
      <c r="Q223" s="166">
        <f ca="1">Q218+Q219-Q220-Q221-Q222</f>
        <v>6103.1461464473268</v>
      </c>
      <c r="R223" s="647">
        <f ca="1">R218+R219-R220-R221-R222</f>
        <v>6500.2005793262788</v>
      </c>
      <c r="S223" s="647">
        <f ca="1">S218+S219-S220-S221-S222</f>
        <v>6936.0502919150113</v>
      </c>
      <c r="T223" s="130"/>
      <c r="U223" s="130"/>
      <c r="V223" s="130"/>
      <c r="W223" s="126"/>
      <c r="X223" s="126"/>
      <c r="Y223" s="126"/>
      <c r="Z223" s="126"/>
      <c r="AA223" s="126"/>
      <c r="AB223" s="126"/>
      <c r="AC223" s="126"/>
    </row>
    <row r="224" spans="2:29" ht="3.75" customHeight="1">
      <c r="G224" s="145"/>
      <c r="Q224" s="198"/>
      <c r="R224" s="130"/>
      <c r="S224" s="130"/>
      <c r="T224" s="130"/>
      <c r="U224" s="130"/>
      <c r="V224" s="130"/>
      <c r="W224" s="126"/>
      <c r="X224" s="126"/>
      <c r="Y224" s="126"/>
      <c r="Z224" s="126"/>
      <c r="AA224" s="126"/>
      <c r="AB224" s="126"/>
      <c r="AC224" s="126"/>
    </row>
    <row r="225" spans="1:29" ht="15.6">
      <c r="B225" s="125" t="s">
        <v>628</v>
      </c>
      <c r="G225" s="145"/>
      <c r="O225" s="150"/>
      <c r="Q225" s="195" cm="1">
        <f t="array" aca="1" ref="Q225" ca="1">IFERROR(_FV(R4,"Shares outstanding",TRUE)/1000000,"")</f>
        <v>56.734900000000003</v>
      </c>
      <c r="R225" s="130"/>
      <c r="S225" s="130"/>
      <c r="T225" s="130"/>
      <c r="U225" s="130"/>
      <c r="V225" s="130"/>
      <c r="W225" s="126"/>
      <c r="X225" s="126"/>
      <c r="Y225" s="126"/>
      <c r="Z225" s="126"/>
      <c r="AA225" s="126"/>
      <c r="AB225" s="126"/>
      <c r="AC225" s="126"/>
    </row>
    <row r="226" spans="1:29" ht="15.6">
      <c r="B226" s="147" t="s">
        <v>629</v>
      </c>
      <c r="G226" s="145"/>
      <c r="N226" s="199"/>
      <c r="Q226" s="824">
        <f ca="1">IFERROR(Q223/Q$225,"")</f>
        <v>107.5730484489675</v>
      </c>
      <c r="R226" s="130"/>
      <c r="S226" s="130"/>
      <c r="T226" s="130"/>
      <c r="U226" s="130"/>
      <c r="V226" s="130"/>
      <c r="W226" s="126"/>
      <c r="X226" s="126"/>
      <c r="Y226" s="126"/>
      <c r="Z226" s="126"/>
      <c r="AA226" s="126"/>
      <c r="AB226" s="126"/>
      <c r="AC226" s="126"/>
    </row>
    <row r="227" spans="1:29" ht="3.75" customHeight="1">
      <c r="G227" s="145"/>
      <c r="R227" s="130"/>
      <c r="S227" s="130"/>
      <c r="T227" s="130"/>
      <c r="U227" s="130"/>
      <c r="V227" s="130"/>
      <c r="W227" s="126"/>
      <c r="X227" s="126"/>
      <c r="Y227" s="126"/>
      <c r="Z227" s="126"/>
      <c r="AA227" s="126"/>
      <c r="AB227" s="126"/>
      <c r="AC227" s="126"/>
    </row>
    <row r="228" spans="1:29" ht="15.6">
      <c r="B228" s="125" t="s">
        <v>630</v>
      </c>
      <c r="G228" s="145"/>
      <c r="Q228" s="200" cm="1">
        <f t="array" aca="1" ref="Q228" ca="1">IFERROR(_FV(R4,"Price"),"")</f>
        <v>135.91</v>
      </c>
      <c r="R228" s="126"/>
      <c r="S228" s="126"/>
      <c r="T228" s="126"/>
      <c r="U228" s="126"/>
      <c r="V228" s="126"/>
      <c r="W228" s="126"/>
      <c r="X228" s="126"/>
      <c r="Y228" s="126"/>
      <c r="Z228" s="126"/>
      <c r="AA228" s="126"/>
      <c r="AB228" s="126"/>
      <c r="AC228" s="126"/>
    </row>
    <row r="229" spans="1:29" ht="15.6">
      <c r="B229" s="147" t="s">
        <v>631</v>
      </c>
      <c r="C229" s="147"/>
      <c r="D229" s="147"/>
      <c r="E229" s="147"/>
      <c r="F229" s="147"/>
      <c r="G229" s="201"/>
      <c r="H229" s="147"/>
      <c r="I229" s="147"/>
      <c r="J229" s="147"/>
      <c r="K229" s="147"/>
      <c r="L229" s="147"/>
      <c r="M229" s="147"/>
      <c r="N229" s="147"/>
      <c r="O229" s="147"/>
      <c r="P229" s="147"/>
      <c r="Q229" s="202">
        <f ca="1">IFERROR(Q226/Q228-1,"")</f>
        <v>-0.20849791443626298</v>
      </c>
      <c r="R229" s="126"/>
      <c r="S229" s="126"/>
      <c r="T229" s="126"/>
      <c r="U229" s="126"/>
      <c r="V229" s="126"/>
      <c r="W229" s="126"/>
      <c r="X229" s="126"/>
      <c r="Y229" s="126"/>
      <c r="Z229" s="126"/>
      <c r="AA229" s="126"/>
      <c r="AB229" s="126"/>
      <c r="AC229" s="126"/>
    </row>
    <row r="230" spans="1:29" ht="5.25" customHeight="1">
      <c r="B230" s="147"/>
      <c r="C230" s="147"/>
      <c r="D230" s="147"/>
      <c r="E230" s="147"/>
      <c r="F230" s="147"/>
      <c r="G230" s="201"/>
      <c r="H230" s="147"/>
      <c r="I230" s="147"/>
      <c r="J230" s="147"/>
      <c r="K230" s="147"/>
      <c r="L230" s="147"/>
      <c r="M230" s="147"/>
      <c r="N230" s="147"/>
      <c r="O230" s="147"/>
      <c r="P230" s="147"/>
      <c r="Q230" s="202"/>
      <c r="R230" s="126"/>
      <c r="S230" s="126"/>
      <c r="T230" s="126"/>
      <c r="U230" s="126"/>
      <c r="V230" s="126"/>
      <c r="W230" s="126"/>
      <c r="X230" s="126"/>
      <c r="Y230" s="126"/>
      <c r="Z230" s="126"/>
      <c r="AA230" s="126"/>
      <c r="AB230" s="126"/>
      <c r="AC230" s="126"/>
    </row>
    <row r="231" spans="1:29" ht="15.6">
      <c r="A231" s="125" t="s">
        <v>472</v>
      </c>
      <c r="B231" s="51" t="s">
        <v>632</v>
      </c>
      <c r="C231" s="51"/>
      <c r="D231" s="51"/>
      <c r="E231" s="136">
        <f>E186</f>
        <v>2022</v>
      </c>
      <c r="F231" s="136">
        <f t="shared" ref="F231:Q231" si="133">F186</f>
        <v>2023</v>
      </c>
      <c r="G231" s="136">
        <f t="shared" si="133"/>
        <v>2024</v>
      </c>
      <c r="H231" s="136">
        <f t="shared" si="133"/>
        <v>2025</v>
      </c>
      <c r="I231" s="136">
        <f t="shared" si="133"/>
        <v>2026</v>
      </c>
      <c r="J231" s="136">
        <f t="shared" si="133"/>
        <v>2027</v>
      </c>
      <c r="K231" s="136">
        <f t="shared" si="133"/>
        <v>2028</v>
      </c>
      <c r="L231" s="136">
        <f t="shared" si="133"/>
        <v>2029</v>
      </c>
      <c r="M231" s="136">
        <f t="shared" si="133"/>
        <v>2030</v>
      </c>
      <c r="N231" s="136">
        <f t="shared" si="133"/>
        <v>2031</v>
      </c>
      <c r="O231" s="136">
        <f t="shared" si="133"/>
        <v>2032</v>
      </c>
      <c r="P231" s="136">
        <f t="shared" si="133"/>
        <v>2033</v>
      </c>
      <c r="Q231" s="136">
        <f t="shared" si="133"/>
        <v>2034</v>
      </c>
      <c r="R231" s="126"/>
      <c r="S231" s="126"/>
      <c r="T231" s="126"/>
      <c r="U231" s="126"/>
      <c r="V231" s="126"/>
      <c r="W231" s="126"/>
      <c r="X231" s="126"/>
      <c r="Y231" s="126"/>
      <c r="Z231" s="126"/>
      <c r="AA231" s="126"/>
      <c r="AB231" s="126"/>
      <c r="AC231" s="126"/>
    </row>
    <row r="232" spans="1:29" ht="3.75" customHeight="1">
      <c r="B232" s="52"/>
      <c r="C232" s="52"/>
      <c r="D232" s="52"/>
      <c r="E232" s="52"/>
      <c r="F232" s="52"/>
      <c r="G232" s="163"/>
      <c r="H232" s="52"/>
      <c r="I232" s="52"/>
      <c r="J232" s="52"/>
      <c r="K232" s="52"/>
      <c r="L232" s="52"/>
      <c r="M232" s="52"/>
      <c r="N232" s="52"/>
      <c r="O232" s="52"/>
      <c r="P232" s="52"/>
      <c r="Q232" s="52"/>
      <c r="R232" s="126"/>
      <c r="S232" s="126"/>
      <c r="T232" s="126"/>
      <c r="U232" s="126"/>
      <c r="V232" s="126"/>
      <c r="W232" s="126"/>
      <c r="X232" s="126"/>
      <c r="Y232" s="126"/>
      <c r="Z232" s="126"/>
      <c r="AA232" s="126"/>
      <c r="AB232" s="126"/>
      <c r="AC232" s="126"/>
    </row>
    <row r="233" spans="1:29" ht="15.6">
      <c r="B233" s="181" t="s">
        <v>633</v>
      </c>
      <c r="C233" s="182"/>
      <c r="D233" s="182"/>
      <c r="E233" s="183"/>
      <c r="F233" s="183"/>
      <c r="G233" s="184"/>
      <c r="H233" s="183">
        <f ca="1">IFERROR(H210/(1+WACC!$G$16)^H213,"")</f>
        <v>8.5072400856304338</v>
      </c>
      <c r="I233" s="183">
        <f ca="1">IFERROR(I210/(1+WACC!$G$16)^I213,"")</f>
        <v>199.0252824978829</v>
      </c>
      <c r="J233" s="183">
        <f ca="1">IFERROR(J210/(1+WACC!$G$16)^J213,"")</f>
        <v>201.61594461238388</v>
      </c>
      <c r="K233" s="183">
        <f ca="1">IFERROR(K210/(1+WACC!$G$16)^K213,"")</f>
        <v>202.61193060169168</v>
      </c>
      <c r="L233" s="183">
        <f ca="1">IFERROR(L210/(1+WACC!$G$16)^L213,"")</f>
        <v>226.99045860643082</v>
      </c>
      <c r="M233" s="183">
        <f ca="1">IFERROR(M210/(1+WACC!$G$16)^M213,"")</f>
        <v>228.84497776383213</v>
      </c>
      <c r="N233" s="183">
        <f ca="1">IFERROR(N210/(1+WACC!$G$16)^N213,"")</f>
        <v>231.55573401460623</v>
      </c>
      <c r="O233" s="183">
        <f ca="1">IFERROR(O210/(1+WACC!$G$16)^O213,"")</f>
        <v>235.2614370699678</v>
      </c>
      <c r="P233" s="183">
        <f ca="1">IFERROR(P210/(1+WACC!$G$16)^P213,"")</f>
        <v>234.33642051907896</v>
      </c>
      <c r="Q233" s="592">
        <f ca="1">IFERROR(Q210/(1+WACC!$G$16)^Q213,"")</f>
        <v>231.72008809983245</v>
      </c>
      <c r="R233" s="126"/>
      <c r="S233" s="126"/>
      <c r="T233" s="126"/>
      <c r="U233" s="126"/>
      <c r="V233" s="126"/>
      <c r="W233" s="126"/>
      <c r="X233" s="126"/>
      <c r="Y233" s="126"/>
      <c r="Z233" s="126"/>
      <c r="AA233" s="126"/>
      <c r="AB233" s="126"/>
      <c r="AC233" s="126"/>
    </row>
    <row r="234" spans="1:29" ht="15.6">
      <c r="B234" s="185" t="s">
        <v>634</v>
      </c>
      <c r="C234" s="186"/>
      <c r="D234" s="186"/>
      <c r="E234" s="186"/>
      <c r="F234" s="186"/>
      <c r="G234" s="187"/>
      <c r="H234" s="188">
        <f ca="1">IFERROR((H83*H97)/(1+WACC!$G$20)^H213,"")</f>
        <v>0.68221376549638846</v>
      </c>
      <c r="I234" s="188">
        <f ca="1">IFERROR((I83*I97)/(1+WACC!$G$20)^I213,"")</f>
        <v>0.71676496784670329</v>
      </c>
      <c r="J234" s="188">
        <f ca="1">IFERROR((J83*J97)/(1+WACC!$G$20)^J213,"")</f>
        <v>0.47778106606077714</v>
      </c>
      <c r="K234" s="188">
        <f ca="1">IFERROR((K83*K97)/(1+WACC!$G$20)^K213,"")</f>
        <v>0.27635362351617637</v>
      </c>
      <c r="L234" s="188">
        <f ca="1">IFERROR((L83*L97)/(1+WACC!$G$20)^L213,"")</f>
        <v>0.11241255974204674</v>
      </c>
      <c r="M234" s="188">
        <f ca="1">IFERROR((M83*M97)/(1+WACC!$G$20)^M213,"")</f>
        <v>6.7941165508940887E-2</v>
      </c>
      <c r="N234" s="188">
        <f ca="1">IFERROR((N83*N97)/(1+WACC!$G$20)^N213,"")</f>
        <v>6.2333339332986813E-2</v>
      </c>
      <c r="O234" s="188">
        <f ca="1">IFERROR((O83*O97)/(1+WACC!$G$20)^O213,"")</f>
        <v>5.7570819030957732E-2</v>
      </c>
      <c r="P234" s="188">
        <f ca="1">IFERROR((P83*P97)/(1+WACC!$G$20)^P213,"")</f>
        <v>5.3487909898335087E-2</v>
      </c>
      <c r="Q234" s="593">
        <f ca="1">IFERROR((Q83*Q97)/(1+WACC!$G$20)^Q213,"")</f>
        <v>4.7336933802012482E-2</v>
      </c>
      <c r="R234" s="126"/>
      <c r="S234" s="126"/>
      <c r="T234" s="126"/>
      <c r="U234" s="126"/>
      <c r="V234" s="126"/>
      <c r="W234" s="126"/>
      <c r="X234" s="126"/>
      <c r="Y234" s="126"/>
      <c r="Z234" s="126"/>
      <c r="AA234" s="126"/>
      <c r="AB234" s="126"/>
      <c r="AC234" s="126"/>
    </row>
    <row r="235" spans="1:29" ht="3.75" customHeight="1">
      <c r="B235" s="147"/>
      <c r="C235" s="147"/>
      <c r="D235" s="147"/>
      <c r="E235" s="147"/>
      <c r="F235" s="147"/>
      <c r="G235" s="201"/>
      <c r="H235" s="147"/>
      <c r="I235" s="147"/>
      <c r="J235" s="147"/>
      <c r="K235" s="147"/>
      <c r="L235" s="147"/>
      <c r="M235" s="147"/>
      <c r="N235" s="147"/>
      <c r="O235" s="147"/>
      <c r="P235" s="147"/>
      <c r="Q235" s="202"/>
      <c r="R235" s="126"/>
      <c r="S235" s="126"/>
      <c r="T235" s="126"/>
      <c r="U235" s="126"/>
      <c r="V235" s="126"/>
      <c r="W235" s="126"/>
      <c r="X235" s="126"/>
      <c r="Y235" s="126"/>
      <c r="Z235" s="126"/>
      <c r="AA235" s="126"/>
      <c r="AB235" s="126"/>
      <c r="AC235" s="126"/>
    </row>
    <row r="236" spans="1:29" ht="15.6">
      <c r="B236" s="125" t="s">
        <v>635</v>
      </c>
      <c r="C236" s="147"/>
      <c r="D236" s="147"/>
      <c r="E236" s="147"/>
      <c r="F236" s="147"/>
      <c r="G236" s="201"/>
      <c r="H236" s="147"/>
      <c r="I236" s="147"/>
      <c r="J236" s="147"/>
      <c r="K236" s="147"/>
      <c r="L236" s="147"/>
      <c r="M236" s="147"/>
      <c r="N236" s="147"/>
      <c r="O236" s="147"/>
      <c r="P236" s="147"/>
      <c r="Q236" s="166">
        <f ca="1">IFERROR((Q210*(1+$C$13))/(WACC!$G$16-DCF!$C$13),"")</f>
        <v>8095.0798479179557</v>
      </c>
      <c r="R236" s="126"/>
      <c r="S236" s="126"/>
      <c r="T236" s="126"/>
      <c r="U236" s="126"/>
      <c r="V236" s="126"/>
      <c r="W236" s="126"/>
      <c r="X236" s="126"/>
      <c r="Y236" s="126"/>
      <c r="Z236" s="126"/>
      <c r="AA236" s="126"/>
      <c r="AB236" s="126"/>
      <c r="AC236" s="126"/>
    </row>
    <row r="237" spans="1:29" ht="15.6">
      <c r="B237" s="125" t="s">
        <v>636</v>
      </c>
      <c r="C237" s="147"/>
      <c r="D237" s="147"/>
      <c r="E237" s="147"/>
      <c r="F237" s="147"/>
      <c r="G237" s="201"/>
      <c r="H237" s="147"/>
      <c r="I237" s="147"/>
      <c r="J237" s="147"/>
      <c r="K237" s="147"/>
      <c r="L237" s="147"/>
      <c r="M237" s="147"/>
      <c r="N237" s="147"/>
      <c r="O237" s="147"/>
      <c r="P237" s="147"/>
      <c r="Q237" s="166">
        <f ca="1">IFERROR(Q236/(1+WACC!$G$16)^$Q$213,"")</f>
        <v>4084.8393340563985</v>
      </c>
      <c r="R237" s="126"/>
      <c r="S237" s="126"/>
      <c r="T237" s="126"/>
      <c r="U237" s="126"/>
      <c r="V237" s="126"/>
      <c r="W237" s="126"/>
      <c r="X237" s="126"/>
      <c r="Y237" s="126"/>
      <c r="Z237" s="126"/>
      <c r="AA237" s="126"/>
      <c r="AB237" s="126"/>
      <c r="AC237" s="126"/>
    </row>
    <row r="238" spans="1:29" ht="15.6">
      <c r="B238" s="125" t="s">
        <v>637</v>
      </c>
      <c r="C238" s="147"/>
      <c r="D238" s="147"/>
      <c r="E238" s="147"/>
      <c r="F238" s="147"/>
      <c r="G238" s="201"/>
      <c r="H238" s="147"/>
      <c r="I238" s="147"/>
      <c r="J238" s="147"/>
      <c r="K238" s="147"/>
      <c r="L238" s="147"/>
      <c r="M238" s="147"/>
      <c r="N238" s="147"/>
      <c r="O238" s="147"/>
      <c r="P238" s="147"/>
      <c r="Q238" s="166">
        <f ca="1">IFERROR((Q234*(1+$C$13))/(WACC!$G$16-$C$13),"")</f>
        <v>0.83447132587303841</v>
      </c>
      <c r="R238" s="126"/>
      <c r="S238" s="126"/>
      <c r="T238" s="126"/>
      <c r="U238" s="126"/>
      <c r="V238" s="126"/>
      <c r="W238" s="126"/>
      <c r="X238" s="126"/>
      <c r="Y238" s="126"/>
      <c r="Z238" s="126"/>
      <c r="AA238" s="126"/>
      <c r="AB238" s="126"/>
      <c r="AC238" s="126"/>
    </row>
    <row r="239" spans="1:29" ht="15.6">
      <c r="B239" s="125" t="s">
        <v>638</v>
      </c>
      <c r="C239" s="147"/>
      <c r="D239" s="147"/>
      <c r="E239" s="147"/>
      <c r="F239" s="147"/>
      <c r="G239" s="201"/>
      <c r="H239" s="147"/>
      <c r="I239" s="147"/>
      <c r="J239" s="147"/>
      <c r="K239" s="147"/>
      <c r="L239" s="147"/>
      <c r="M239" s="147"/>
      <c r="N239" s="147"/>
      <c r="O239" s="147"/>
      <c r="P239" s="147"/>
      <c r="Q239" s="166">
        <f ca="1">IFERROR(Q238/(1+WACC!$G$18)^$Q$213,"")</f>
        <v>2.7357218131102408E-23</v>
      </c>
      <c r="R239" s="126"/>
      <c r="S239" s="126"/>
      <c r="T239" s="126"/>
      <c r="U239" s="126"/>
      <c r="V239" s="126"/>
      <c r="W239" s="126"/>
      <c r="X239" s="126"/>
      <c r="Y239" s="126"/>
      <c r="Z239" s="126"/>
      <c r="AA239" s="126"/>
      <c r="AB239" s="126"/>
      <c r="AC239" s="126"/>
    </row>
    <row r="240" spans="1:29" ht="15.6">
      <c r="B240" s="125" t="s">
        <v>639</v>
      </c>
      <c r="G240" s="145"/>
      <c r="Q240" s="166">
        <f ca="1">+SUM(H233:Q234,Q237,Q239)</f>
        <v>6087.8630440779716</v>
      </c>
      <c r="R240" s="126"/>
      <c r="S240" s="126"/>
      <c r="T240" s="126"/>
      <c r="U240" s="126"/>
      <c r="V240" s="126"/>
      <c r="W240" s="126"/>
      <c r="X240" s="126"/>
      <c r="Y240" s="126"/>
      <c r="Z240" s="126"/>
      <c r="AA240" s="126"/>
      <c r="AB240" s="126"/>
      <c r="AC240" s="126"/>
    </row>
    <row r="241" spans="1:29" ht="15.6">
      <c r="B241" s="125" t="s">
        <v>241</v>
      </c>
      <c r="G241" s="145"/>
      <c r="Q241" s="166">
        <f ca="1">+Q240-Q219+Q220+Q221+Q222</f>
        <v>6087.8630440779716</v>
      </c>
      <c r="R241" s="126"/>
      <c r="S241" s="126"/>
      <c r="T241" s="126"/>
      <c r="U241" s="126"/>
      <c r="V241" s="126"/>
      <c r="W241" s="126"/>
      <c r="X241" s="126"/>
      <c r="Y241" s="126"/>
      <c r="Z241" s="126"/>
      <c r="AA241" s="126"/>
      <c r="AB241" s="126"/>
      <c r="AC241" s="126"/>
    </row>
    <row r="242" spans="1:29" ht="15.6">
      <c r="B242" s="147" t="s">
        <v>629</v>
      </c>
      <c r="C242" s="147"/>
      <c r="D242" s="147"/>
      <c r="E242" s="147"/>
      <c r="F242" s="147"/>
      <c r="G242" s="201"/>
      <c r="H242" s="147"/>
      <c r="I242" s="147"/>
      <c r="J242" s="147"/>
      <c r="K242" s="147"/>
      <c r="L242" s="147"/>
      <c r="M242" s="147"/>
      <c r="N242" s="147"/>
      <c r="O242" s="147"/>
      <c r="P242" s="147"/>
      <c r="Q242" s="399">
        <f ca="1">IFERROR(Q241/Q225,"")</f>
        <v>107.30367100458398</v>
      </c>
      <c r="R242" s="126"/>
      <c r="S242" s="126"/>
      <c r="T242" s="126"/>
      <c r="U242" s="126"/>
      <c r="V242" s="126"/>
      <c r="W242" s="126"/>
      <c r="X242" s="126"/>
      <c r="Y242" s="126"/>
      <c r="Z242" s="126"/>
      <c r="AA242" s="126"/>
      <c r="AB242" s="126"/>
      <c r="AC242" s="126"/>
    </row>
    <row r="243" spans="1:29" ht="3.75" customHeight="1">
      <c r="B243" s="147"/>
      <c r="C243" s="147"/>
      <c r="D243" s="147"/>
      <c r="E243" s="147"/>
      <c r="F243" s="147"/>
      <c r="G243" s="201"/>
      <c r="H243" s="147"/>
      <c r="I243" s="147"/>
      <c r="J243" s="147"/>
      <c r="K243" s="147"/>
      <c r="L243" s="147"/>
      <c r="M243" s="147"/>
      <c r="N243" s="147"/>
      <c r="O243" s="147"/>
      <c r="P243" s="147"/>
      <c r="Q243" s="399"/>
      <c r="R243" s="126"/>
      <c r="S243" s="126"/>
      <c r="T243" s="126"/>
      <c r="U243" s="126"/>
      <c r="V243" s="126"/>
      <c r="W243" s="126"/>
      <c r="X243" s="126"/>
      <c r="Y243" s="126"/>
      <c r="Z243" s="126"/>
      <c r="AA243" s="126"/>
      <c r="AB243" s="126"/>
      <c r="AC243" s="126"/>
    </row>
    <row r="244" spans="1:29" ht="15.6">
      <c r="B244" s="400" t="s">
        <v>631</v>
      </c>
      <c r="C244" s="147"/>
      <c r="D244" s="147"/>
      <c r="E244" s="147"/>
      <c r="F244" s="147"/>
      <c r="G244" s="201"/>
      <c r="H244" s="147"/>
      <c r="I244" s="147"/>
      <c r="J244" s="147"/>
      <c r="K244" s="147"/>
      <c r="L244" s="147"/>
      <c r="M244" s="147"/>
      <c r="N244" s="147"/>
      <c r="O244" s="147"/>
      <c r="P244" s="147"/>
      <c r="Q244" s="202">
        <f ca="1">IFERROR(Q242/Q228-1,"")</f>
        <v>-0.21047994257535152</v>
      </c>
      <c r="R244" s="126"/>
      <c r="S244" s="126"/>
      <c r="T244" s="126"/>
      <c r="U244" s="126"/>
      <c r="V244" s="126"/>
      <c r="W244" s="126"/>
      <c r="X244" s="126"/>
      <c r="Y244" s="126"/>
      <c r="Z244" s="126"/>
      <c r="AA244" s="126"/>
      <c r="AB244" s="126"/>
      <c r="AC244" s="126"/>
    </row>
    <row r="245" spans="1:29" ht="3.75" customHeight="1">
      <c r="G245" s="145"/>
    </row>
    <row r="246" spans="1:29" ht="15.6">
      <c r="A246" s="125" t="s">
        <v>472</v>
      </c>
      <c r="B246" s="51" t="s">
        <v>640</v>
      </c>
      <c r="C246" s="51"/>
      <c r="D246" s="51"/>
      <c r="E246" s="136">
        <f>E46</f>
        <v>2022</v>
      </c>
      <c r="F246" s="136">
        <f>F46</f>
        <v>2023</v>
      </c>
      <c r="G246" s="137">
        <f>G46</f>
        <v>2024</v>
      </c>
      <c r="H246" s="99">
        <f t="shared" ref="H246:Q246" si="134">1+G246</f>
        <v>2025</v>
      </c>
      <c r="I246" s="99">
        <f t="shared" si="134"/>
        <v>2026</v>
      </c>
      <c r="J246" s="99">
        <f t="shared" si="134"/>
        <v>2027</v>
      </c>
      <c r="K246" s="99">
        <f t="shared" si="134"/>
        <v>2028</v>
      </c>
      <c r="L246" s="99">
        <f t="shared" si="134"/>
        <v>2029</v>
      </c>
      <c r="M246" s="99">
        <f t="shared" si="134"/>
        <v>2030</v>
      </c>
      <c r="N246" s="99">
        <f t="shared" si="134"/>
        <v>2031</v>
      </c>
      <c r="O246" s="99">
        <f t="shared" si="134"/>
        <v>2032</v>
      </c>
      <c r="P246" s="99">
        <f t="shared" si="134"/>
        <v>2033</v>
      </c>
      <c r="Q246" s="99">
        <f t="shared" si="134"/>
        <v>2034</v>
      </c>
    </row>
    <row r="247" spans="1:29" ht="3.75" customHeight="1">
      <c r="B247" s="52"/>
      <c r="C247" s="52"/>
      <c r="D247" s="52"/>
      <c r="E247" s="52"/>
      <c r="F247" s="52"/>
      <c r="G247" s="203"/>
      <c r="H247" s="52"/>
      <c r="I247" s="52"/>
      <c r="J247" s="52"/>
      <c r="K247" s="52"/>
      <c r="L247" s="52"/>
      <c r="M247" s="52"/>
      <c r="N247" s="52"/>
      <c r="O247" s="52"/>
      <c r="P247" s="52"/>
      <c r="Q247" s="52"/>
    </row>
    <row r="248" spans="1:29" ht="15.6">
      <c r="B248" s="125" t="s">
        <v>525</v>
      </c>
      <c r="E248" s="149">
        <f>+E77</f>
        <v>2.2999999999999758</v>
      </c>
      <c r="F248" s="149">
        <f>+F77</f>
        <v>45.899999999999963</v>
      </c>
      <c r="G248" s="180">
        <f>+G77</f>
        <v>113.79999999999993</v>
      </c>
      <c r="H248" s="174">
        <f>+H77</f>
        <v>79.004409361269154</v>
      </c>
      <c r="I248" s="174">
        <f t="shared" ref="I248:Q248" si="135">+I77</f>
        <v>132.39628069758751</v>
      </c>
      <c r="J248" s="174">
        <f t="shared" si="135"/>
        <v>173.52288082035261</v>
      </c>
      <c r="K248" s="174">
        <f t="shared" si="135"/>
        <v>207.0582625112481</v>
      </c>
      <c r="L248" s="174">
        <f t="shared" si="135"/>
        <v>236.50883081511336</v>
      </c>
      <c r="M248" s="174">
        <f t="shared" si="135"/>
        <v>235.35108288114535</v>
      </c>
      <c r="N248" s="174">
        <f t="shared" si="135"/>
        <v>261.29032350776043</v>
      </c>
      <c r="O248" s="174">
        <f t="shared" si="135"/>
        <v>287.03043378151949</v>
      </c>
      <c r="P248" s="174">
        <f t="shared" si="135"/>
        <v>312.70260949562868</v>
      </c>
      <c r="Q248" s="174">
        <f t="shared" si="135"/>
        <v>357.11242561589017</v>
      </c>
    </row>
    <row r="249" spans="1:29" ht="3.75" customHeight="1">
      <c r="G249" s="145"/>
    </row>
    <row r="250" spans="1:29" ht="15" customHeight="1">
      <c r="B250" s="125" t="s">
        <v>306</v>
      </c>
      <c r="E250" s="166">
        <f>+E99</f>
        <v>21.899999999999977</v>
      </c>
      <c r="F250" s="166">
        <f t="shared" ref="F250:Q250" si="136">+F99</f>
        <v>61.499999999999957</v>
      </c>
      <c r="G250" s="204">
        <f t="shared" si="136"/>
        <v>127.69999999999993</v>
      </c>
      <c r="H250" s="166">
        <f t="shared" si="136"/>
        <v>62.063183204886457</v>
      </c>
      <c r="I250" s="166">
        <f t="shared" si="136"/>
        <v>109.48509109584828</v>
      </c>
      <c r="J250" s="166">
        <f t="shared" si="136"/>
        <v>148.57900614911702</v>
      </c>
      <c r="K250" s="166">
        <f t="shared" si="136"/>
        <v>180.15607849661009</v>
      </c>
      <c r="L250" s="166">
        <f t="shared" si="136"/>
        <v>207.72797506966202</v>
      </c>
      <c r="M250" s="166">
        <f t="shared" si="136"/>
        <v>206.56705889197923</v>
      </c>
      <c r="N250" s="166">
        <f t="shared" si="136"/>
        <v>229.12966259628226</v>
      </c>
      <c r="O250" s="166">
        <f t="shared" si="136"/>
        <v>251.49196886989569</v>
      </c>
      <c r="P250" s="166">
        <f t="shared" si="136"/>
        <v>273.75431400746106</v>
      </c>
      <c r="Q250" s="166">
        <f t="shared" si="136"/>
        <v>308.61167011565573</v>
      </c>
    </row>
    <row r="251" spans="1:29" ht="3.75" customHeight="1">
      <c r="G251" s="145"/>
    </row>
    <row r="252" spans="1:29" ht="15" customHeight="1">
      <c r="B252" s="125" t="s">
        <v>558</v>
      </c>
      <c r="E252" s="205">
        <f t="shared" ref="E252:Q252" si="137">+E141</f>
        <v>27.1</v>
      </c>
      <c r="F252" s="205">
        <f t="shared" si="137"/>
        <v>22.2</v>
      </c>
      <c r="G252" s="206">
        <f t="shared" si="137"/>
        <v>35.9</v>
      </c>
      <c r="H252" s="205">
        <f t="shared" si="137"/>
        <v>37.284731668128309</v>
      </c>
      <c r="I252" s="205">
        <f t="shared" si="137"/>
        <v>38.129056062583771</v>
      </c>
      <c r="J252" s="205">
        <f t="shared" si="137"/>
        <v>39.336933070693604</v>
      </c>
      <c r="K252" s="205">
        <f t="shared" si="137"/>
        <v>40.749709577367838</v>
      </c>
      <c r="L252" s="205">
        <f t="shared" si="137"/>
        <v>42.10108010696797</v>
      </c>
      <c r="M252" s="205">
        <f t="shared" si="137"/>
        <v>71.817938077715354</v>
      </c>
      <c r="N252" s="205">
        <f t="shared" si="137"/>
        <v>73.494068962843755</v>
      </c>
      <c r="O252" s="205">
        <f t="shared" si="137"/>
        <v>75.224393162067273</v>
      </c>
      <c r="P252" s="205">
        <f t="shared" si="137"/>
        <v>77.050746050651227</v>
      </c>
      <c r="Q252" s="205">
        <f t="shared" si="137"/>
        <v>78.207964430244374</v>
      </c>
    </row>
    <row r="253" spans="1:29" ht="3.95" customHeight="1">
      <c r="B253" s="150"/>
      <c r="E253" s="207"/>
      <c r="F253" s="207"/>
      <c r="G253" s="208"/>
      <c r="H253" s="209"/>
      <c r="I253" s="209"/>
      <c r="J253" s="209"/>
      <c r="K253" s="209"/>
      <c r="L253" s="209"/>
      <c r="M253" s="209"/>
      <c r="N253" s="209"/>
      <c r="O253" s="209"/>
      <c r="P253" s="209"/>
      <c r="Q253" s="209"/>
    </row>
    <row r="254" spans="1:29" ht="13.5" customHeight="1">
      <c r="B254" s="125" t="s">
        <v>591</v>
      </c>
      <c r="E254" s="166">
        <f>+E143</f>
        <v>19.600000000000001</v>
      </c>
      <c r="F254" s="166">
        <f t="shared" ref="F254:Q254" si="138">+F143</f>
        <v>29.1</v>
      </c>
      <c r="G254" s="204">
        <f t="shared" si="138"/>
        <v>40.6</v>
      </c>
      <c r="H254" s="166">
        <f t="shared" si="138"/>
        <v>61.018675098724614</v>
      </c>
      <c r="I254" s="166">
        <f t="shared" si="138"/>
        <v>68.298738612345062</v>
      </c>
      <c r="J254" s="166">
        <f t="shared" si="138"/>
        <v>74.022221287011035</v>
      </c>
      <c r="K254" s="166">
        <f t="shared" si="138"/>
        <v>84.813863137315252</v>
      </c>
      <c r="L254" s="166">
        <f t="shared" si="138"/>
        <v>92.322220182314084</v>
      </c>
      <c r="M254" s="166">
        <f t="shared" si="138"/>
        <v>100.15708506177909</v>
      </c>
      <c r="N254" s="166">
        <f t="shared" si="138"/>
        <v>109.21022048071663</v>
      </c>
      <c r="O254" s="166">
        <f t="shared" si="138"/>
        <v>117.538753839846</v>
      </c>
      <c r="P254" s="166">
        <f t="shared" si="138"/>
        <v>126.236053311101</v>
      </c>
      <c r="Q254" s="166">
        <f t="shared" si="138"/>
        <v>140.94677821767442</v>
      </c>
    </row>
    <row r="255" spans="1:29" ht="3.95" customHeight="1">
      <c r="B255" s="150"/>
      <c r="E255" s="207"/>
      <c r="F255" s="207"/>
      <c r="G255" s="208"/>
      <c r="H255" s="209"/>
      <c r="I255" s="209"/>
      <c r="J255" s="209"/>
      <c r="K255" s="209"/>
      <c r="L255" s="209"/>
      <c r="M255" s="209"/>
      <c r="N255" s="209"/>
      <c r="O255" s="209"/>
      <c r="P255" s="209"/>
      <c r="Q255" s="209"/>
    </row>
    <row r="256" spans="1:29" ht="15" customHeight="1">
      <c r="B256" s="125" t="s">
        <v>615</v>
      </c>
      <c r="E256" s="166">
        <f t="shared" ref="E256:Q256" si="139">E206</f>
        <v>-42.4</v>
      </c>
      <c r="F256" s="166">
        <f t="shared" si="139"/>
        <v>-0.80000000000000071</v>
      </c>
      <c r="G256" s="204">
        <f t="shared" si="139"/>
        <v>-117.5</v>
      </c>
      <c r="H256" s="166">
        <f t="shared" si="139"/>
        <v>-152.66083281617472</v>
      </c>
      <c r="I256" s="166">
        <f t="shared" si="139"/>
        <v>-0.16300549038390955</v>
      </c>
      <c r="J256" s="166">
        <f t="shared" si="139"/>
        <v>-23.275872928681622</v>
      </c>
      <c r="K256" s="166">
        <f t="shared" si="139"/>
        <v>-45.001669198716996</v>
      </c>
      <c r="L256" s="166">
        <f t="shared" si="139"/>
        <v>-26.219076583491699</v>
      </c>
      <c r="M256" s="166">
        <f t="shared" si="139"/>
        <v>-35.147328036519468</v>
      </c>
      <c r="N256" s="166">
        <f t="shared" si="139"/>
        <v>-37.851410621293383</v>
      </c>
      <c r="O256" s="166">
        <f t="shared" si="139"/>
        <v>-35.310012953628757</v>
      </c>
      <c r="P256" s="166">
        <f t="shared" si="139"/>
        <v>-38.486623044970088</v>
      </c>
      <c r="Q256" s="166">
        <f t="shared" si="139"/>
        <v>-60.419695309363419</v>
      </c>
    </row>
    <row r="257" spans="2:17" ht="3.75" customHeight="1">
      <c r="E257" s="166"/>
      <c r="F257" s="166"/>
      <c r="G257" s="204"/>
      <c r="H257" s="166"/>
      <c r="I257" s="166"/>
      <c r="J257" s="166"/>
      <c r="K257" s="166"/>
      <c r="L257" s="166"/>
      <c r="M257" s="166"/>
      <c r="N257" s="166"/>
      <c r="O257" s="166"/>
      <c r="P257" s="166"/>
      <c r="Q257" s="166"/>
    </row>
    <row r="258" spans="2:17" ht="15" customHeight="1">
      <c r="B258" s="125" t="s">
        <v>30</v>
      </c>
      <c r="E258" s="149">
        <f>E152</f>
        <v>-4.8</v>
      </c>
      <c r="F258" s="149">
        <f t="shared" ref="F258:G258" si="140">F152</f>
        <v>-1.7</v>
      </c>
      <c r="G258" s="180">
        <f t="shared" si="140"/>
        <v>-8.6999999999999993</v>
      </c>
      <c r="H258" s="149">
        <f>H208</f>
        <v>-8.6999999999999993</v>
      </c>
      <c r="I258" s="149">
        <f t="shared" ref="I258:Q258" si="141">I208</f>
        <v>-9.36</v>
      </c>
      <c r="J258" s="149">
        <f t="shared" si="141"/>
        <v>-9.8879999999999999</v>
      </c>
      <c r="K258" s="149">
        <f t="shared" si="141"/>
        <v>-10.3104</v>
      </c>
      <c r="L258" s="149">
        <f t="shared" si="141"/>
        <v>-10.64832</v>
      </c>
      <c r="M258" s="149">
        <f t="shared" si="141"/>
        <v>-10.918656</v>
      </c>
      <c r="N258" s="149">
        <f t="shared" si="141"/>
        <v>-11.1349248</v>
      </c>
      <c r="O258" s="149">
        <f t="shared" si="141"/>
        <v>-11.30793984</v>
      </c>
      <c r="P258" s="149">
        <f t="shared" si="141"/>
        <v>-11.446351871999999</v>
      </c>
      <c r="Q258" s="149">
        <f t="shared" si="141"/>
        <v>-12</v>
      </c>
    </row>
    <row r="259" spans="2:17" ht="3.75" customHeight="1">
      <c r="G259" s="145"/>
    </row>
    <row r="260" spans="2:17" ht="15" customHeight="1">
      <c r="B260" s="125" t="s">
        <v>641</v>
      </c>
      <c r="E260" s="205">
        <f>+E174-E176</f>
        <v>80.099999999999994</v>
      </c>
      <c r="F260" s="205">
        <f t="shared" ref="F260:G260" si="142">+F174-F176</f>
        <v>30</v>
      </c>
      <c r="G260" s="206">
        <f t="shared" si="142"/>
        <v>212.4</v>
      </c>
      <c r="H260" s="205">
        <f>IFERROR(H174-H176,"")</f>
        <v>-14.519999999999996</v>
      </c>
      <c r="I260" s="205">
        <f t="shared" ref="I260:Q260" si="143">IFERROR(I174-I176,"")</f>
        <v>15.514242844435355</v>
      </c>
      <c r="J260" s="205">
        <f t="shared" si="143"/>
        <v>-48.818907087462279</v>
      </c>
      <c r="K260" s="205">
        <f t="shared" si="143"/>
        <v>-35.991076098135544</v>
      </c>
      <c r="L260" s="205">
        <f t="shared" si="143"/>
        <v>-42.883301182888125</v>
      </c>
      <c r="M260" s="205">
        <f t="shared" si="143"/>
        <v>-11.808025991665389</v>
      </c>
      <c r="N260" s="205">
        <f t="shared" si="143"/>
        <v>0</v>
      </c>
      <c r="O260" s="205">
        <f t="shared" si="143"/>
        <v>0</v>
      </c>
      <c r="P260" s="205">
        <f t="shared" si="143"/>
        <v>0</v>
      </c>
      <c r="Q260" s="205">
        <f t="shared" si="143"/>
        <v>0</v>
      </c>
    </row>
    <row r="261" spans="2:17" ht="3.95" customHeight="1">
      <c r="G261" s="145"/>
    </row>
    <row r="262" spans="2:17" ht="15" customHeight="1">
      <c r="B262" s="181" t="s">
        <v>518</v>
      </c>
      <c r="C262" s="182"/>
      <c r="D262" s="182"/>
      <c r="E262" s="183">
        <f t="shared" ref="E262:G262" si="144">+E250+E252+E254+E256+E258+E260</f>
        <v>101.49999999999997</v>
      </c>
      <c r="F262" s="183">
        <f t="shared" si="144"/>
        <v>140.29999999999995</v>
      </c>
      <c r="G262" s="184">
        <f t="shared" si="144"/>
        <v>290.39999999999992</v>
      </c>
      <c r="H262" s="183">
        <f>IFERROR(+H250+H252+H254+H256+H258+H260,"")</f>
        <v>-15.514242844435355</v>
      </c>
      <c r="I262" s="183">
        <f t="shared" ref="I262:Q262" si="145">IFERROR(+I250+I252+I254+I256+I258+I260,"")</f>
        <v>221.90412312482854</v>
      </c>
      <c r="J262" s="183">
        <f t="shared" si="145"/>
        <v>179.95538049067773</v>
      </c>
      <c r="K262" s="183">
        <f t="shared" si="145"/>
        <v>214.41650591444062</v>
      </c>
      <c r="L262" s="183">
        <f t="shared" si="145"/>
        <v>262.40057759256422</v>
      </c>
      <c r="M262" s="183">
        <f t="shared" si="145"/>
        <v>320.66807200328884</v>
      </c>
      <c r="N262" s="183">
        <f t="shared" si="145"/>
        <v>362.84761661854924</v>
      </c>
      <c r="O262" s="183">
        <f t="shared" si="145"/>
        <v>397.63716307818015</v>
      </c>
      <c r="P262" s="183">
        <f t="shared" si="145"/>
        <v>427.10813845224322</v>
      </c>
      <c r="Q262" s="332">
        <f t="shared" si="145"/>
        <v>455.3467174542111</v>
      </c>
    </row>
    <row r="263" spans="2:17" ht="15" customHeight="1">
      <c r="B263" s="185" t="s">
        <v>642</v>
      </c>
      <c r="C263" s="186"/>
      <c r="D263" s="186"/>
      <c r="E263" s="186"/>
      <c r="F263" s="186"/>
      <c r="G263" s="187"/>
      <c r="H263" s="188">
        <f t="shared" ref="H263:Q263" ca="1" si="146">IFERROR(H262/(1+$C$12)^H$213,"")</f>
        <v>-15.372988320636443</v>
      </c>
      <c r="I263" s="188">
        <f t="shared" ca="1" si="146"/>
        <v>204.02930310505621</v>
      </c>
      <c r="J263" s="188">
        <f t="shared" ca="1" si="146"/>
        <v>153.52937178432154</v>
      </c>
      <c r="K263" s="188">
        <f t="shared" ca="1" si="146"/>
        <v>169.74004523732961</v>
      </c>
      <c r="L263" s="188">
        <f t="shared" ca="1" si="146"/>
        <v>192.74820753255887</v>
      </c>
      <c r="M263" s="188">
        <f t="shared" ca="1" si="146"/>
        <v>218.5650639353662</v>
      </c>
      <c r="N263" s="188">
        <f t="shared" ca="1" si="146"/>
        <v>229.48207106891496</v>
      </c>
      <c r="O263" s="188">
        <f t="shared" ca="1" si="146"/>
        <v>233.35167090723712</v>
      </c>
      <c r="P263" s="188">
        <f t="shared" ca="1" si="146"/>
        <v>232.57405099072449</v>
      </c>
      <c r="Q263" s="189">
        <f t="shared" ca="1" si="146"/>
        <v>230.07269678516485</v>
      </c>
    </row>
    <row r="264" spans="2:17" ht="3.75" customHeight="1">
      <c r="G264" s="145"/>
    </row>
    <row r="265" spans="2:17" ht="15" customHeight="1">
      <c r="B265" s="125" t="s">
        <v>621</v>
      </c>
      <c r="G265" s="145"/>
      <c r="Q265" s="166">
        <f ca="1">IFERROR((Q262*(1+$C$13))/(WACC!$G$11-$C$13),"")</f>
        <v>7874.1711014002221</v>
      </c>
    </row>
    <row r="266" spans="2:17" ht="15" customHeight="1">
      <c r="B266" s="125" t="s">
        <v>622</v>
      </c>
      <c r="G266" s="145"/>
      <c r="Q266" s="210">
        <f ca="1">IFERROR(Q265/(1+WACC!$G$11)^$Q$213,"")</f>
        <v>3935.7996776407758</v>
      </c>
    </row>
    <row r="267" spans="2:17" ht="15" customHeight="1">
      <c r="B267" s="125" t="s">
        <v>241</v>
      </c>
      <c r="G267" s="145"/>
      <c r="Q267" s="166">
        <f ca="1">+SUM(Q266,H263:Q263)</f>
        <v>5784.5191706668129</v>
      </c>
    </row>
    <row r="268" spans="2:17" ht="3.75" customHeight="1">
      <c r="G268" s="145"/>
    </row>
    <row r="269" spans="2:17" ht="15" customHeight="1">
      <c r="B269" s="147" t="s">
        <v>629</v>
      </c>
      <c r="G269" s="145"/>
      <c r="N269" s="199"/>
      <c r="Q269" s="200">
        <f ca="1">IFERROR(Q267/Q225,"")</f>
        <v>101.95698186948091</v>
      </c>
    </row>
    <row r="270" spans="2:17" ht="3.75" customHeight="1">
      <c r="G270" s="145"/>
    </row>
    <row r="271" spans="2:17" ht="15" customHeight="1">
      <c r="B271" s="147" t="s">
        <v>631</v>
      </c>
      <c r="C271" s="147"/>
      <c r="D271" s="147"/>
      <c r="E271" s="147"/>
      <c r="F271" s="147"/>
      <c r="G271" s="201"/>
      <c r="H271" s="147"/>
      <c r="I271" s="147"/>
      <c r="J271" s="147"/>
      <c r="K271" s="147"/>
      <c r="L271" s="147"/>
      <c r="M271" s="147"/>
      <c r="N271" s="147"/>
      <c r="O271" s="147"/>
      <c r="P271" s="147"/>
      <c r="Q271" s="202">
        <f ca="1">IFERROR(Q269/Q228-1,"")</f>
        <v>-0.24981986704818693</v>
      </c>
    </row>
    <row r="272" spans="2:17" s="207" customFormat="1" ht="3.75" customHeight="1">
      <c r="G272" s="208"/>
    </row>
    <row r="273" spans="1:17" ht="15" customHeight="1">
      <c r="A273" s="125" t="s">
        <v>472</v>
      </c>
      <c r="B273" s="51" t="s">
        <v>643</v>
      </c>
      <c r="C273" s="51"/>
      <c r="D273" s="51"/>
      <c r="E273" s="136">
        <f>+E246</f>
        <v>2022</v>
      </c>
      <c r="F273" s="136">
        <f>+F246</f>
        <v>2023</v>
      </c>
      <c r="G273" s="137">
        <f>+G246</f>
        <v>2024</v>
      </c>
      <c r="H273" s="99">
        <f t="shared" ref="H273:Q273" si="147">1+G273</f>
        <v>2025</v>
      </c>
      <c r="I273" s="99">
        <f t="shared" si="147"/>
        <v>2026</v>
      </c>
      <c r="J273" s="99">
        <f t="shared" si="147"/>
        <v>2027</v>
      </c>
      <c r="K273" s="99">
        <f t="shared" si="147"/>
        <v>2028</v>
      </c>
      <c r="L273" s="99">
        <f t="shared" si="147"/>
        <v>2029</v>
      </c>
      <c r="M273" s="99">
        <f t="shared" si="147"/>
        <v>2030</v>
      </c>
      <c r="N273" s="99">
        <f t="shared" si="147"/>
        <v>2031</v>
      </c>
      <c r="O273" s="99">
        <f t="shared" si="147"/>
        <v>2032</v>
      </c>
      <c r="P273" s="99">
        <f t="shared" si="147"/>
        <v>2033</v>
      </c>
      <c r="Q273" s="99">
        <f t="shared" si="147"/>
        <v>2034</v>
      </c>
    </row>
    <row r="274" spans="1:17" ht="3.75" customHeight="1">
      <c r="B274" s="52"/>
      <c r="C274" s="52"/>
      <c r="D274" s="52"/>
      <c r="E274" s="52"/>
      <c r="F274" s="52"/>
      <c r="G274" s="203"/>
      <c r="H274" s="52"/>
      <c r="I274" s="52"/>
      <c r="J274" s="52"/>
      <c r="K274" s="52"/>
      <c r="L274" s="52"/>
      <c r="M274" s="52"/>
      <c r="N274" s="52"/>
      <c r="O274" s="52"/>
      <c r="P274" s="52"/>
      <c r="Q274" s="52"/>
    </row>
    <row r="275" spans="1:17" ht="15" customHeight="1">
      <c r="B275" s="125" t="s">
        <v>520</v>
      </c>
      <c r="E275" s="166">
        <f t="shared" ref="E275:G275" si="148">+E168+E165</f>
        <v>1.7</v>
      </c>
      <c r="F275" s="166">
        <f t="shared" si="148"/>
        <v>8.1</v>
      </c>
      <c r="G275" s="204">
        <f t="shared" si="148"/>
        <v>5.6</v>
      </c>
      <c r="H275" s="166">
        <f>IFERROR(H168+H165,"")</f>
        <v>-33.514118930638688</v>
      </c>
      <c r="I275" s="166">
        <f t="shared" ref="I275:P275" si="149">IFERROR(I168+I165,"")</f>
        <v>-38.319781883546895</v>
      </c>
      <c r="J275" s="166">
        <f t="shared" si="149"/>
        <v>-74.28950307455851</v>
      </c>
      <c r="K275" s="166">
        <f t="shared" si="149"/>
        <v>-90.078039248305046</v>
      </c>
      <c r="L275" s="166">
        <f t="shared" si="149"/>
        <v>-103.86398753483101</v>
      </c>
      <c r="M275" s="166">
        <f t="shared" si="149"/>
        <v>-103.28352944598961</v>
      </c>
      <c r="N275" s="166">
        <f t="shared" si="149"/>
        <v>-114.56483129814113</v>
      </c>
      <c r="O275" s="166">
        <f t="shared" si="149"/>
        <v>-125.74598443494784</v>
      </c>
      <c r="P275" s="166">
        <f t="shared" si="149"/>
        <v>-136.87715700373053</v>
      </c>
      <c r="Q275" s="166">
        <f>IFERROR(Q168+Q165,"")</f>
        <v>-154.30583505782786</v>
      </c>
    </row>
    <row r="276" spans="1:17" ht="15" customHeight="1">
      <c r="B276" s="150" t="s">
        <v>644</v>
      </c>
      <c r="E276" s="207">
        <f t="shared" ref="E276:Q276" si="150">IFERROR(_xlfn.XLOOKUP("Repurchase payout",$B:$B,E:E)+_xlfn.XLOOKUP("Dividend payout",$B:$B,E:E),"")</f>
        <v>-7.7625570776255787E-2</v>
      </c>
      <c r="F276" s="207">
        <f t="shared" si="150"/>
        <v>-0.13170731707317082</v>
      </c>
      <c r="G276" s="208">
        <f t="shared" si="150"/>
        <v>-4.3852779953014898E-2</v>
      </c>
      <c r="H276" s="207">
        <f t="shared" si="150"/>
        <v>0.54</v>
      </c>
      <c r="I276" s="207">
        <f t="shared" si="150"/>
        <v>0.35</v>
      </c>
      <c r="J276" s="207">
        <f t="shared" si="150"/>
        <v>0.5</v>
      </c>
      <c r="K276" s="207">
        <f t="shared" si="150"/>
        <v>0.5</v>
      </c>
      <c r="L276" s="207">
        <f t="shared" si="150"/>
        <v>0.5</v>
      </c>
      <c r="M276" s="207">
        <f t="shared" si="150"/>
        <v>0.5</v>
      </c>
      <c r="N276" s="207">
        <f t="shared" si="150"/>
        <v>0.5</v>
      </c>
      <c r="O276" s="207">
        <f t="shared" si="150"/>
        <v>0.5</v>
      </c>
      <c r="P276" s="207">
        <f t="shared" si="150"/>
        <v>0.5</v>
      </c>
      <c r="Q276" s="207">
        <f t="shared" si="150"/>
        <v>0.5</v>
      </c>
    </row>
    <row r="277" spans="1:17" ht="15" customHeight="1">
      <c r="B277" s="125" t="s">
        <v>645</v>
      </c>
      <c r="E277" s="207">
        <f>IFERROR(1-E276,"")</f>
        <v>1.0776255707762559</v>
      </c>
      <c r="F277" s="207">
        <f t="shared" ref="F277:Q277" si="151">IFERROR(1-F276,"")</f>
        <v>1.1317073170731708</v>
      </c>
      <c r="G277" s="208">
        <f t="shared" si="151"/>
        <v>1.0438527799530148</v>
      </c>
      <c r="H277" s="207">
        <f t="shared" si="151"/>
        <v>0.45999999999999996</v>
      </c>
      <c r="I277" s="207">
        <f t="shared" si="151"/>
        <v>0.65</v>
      </c>
      <c r="J277" s="207">
        <f t="shared" si="151"/>
        <v>0.5</v>
      </c>
      <c r="K277" s="207">
        <f t="shared" si="151"/>
        <v>0.5</v>
      </c>
      <c r="L277" s="207">
        <f t="shared" si="151"/>
        <v>0.5</v>
      </c>
      <c r="M277" s="207">
        <f t="shared" si="151"/>
        <v>0.5</v>
      </c>
      <c r="N277" s="207">
        <f t="shared" si="151"/>
        <v>0.5</v>
      </c>
      <c r="O277" s="207">
        <f t="shared" si="151"/>
        <v>0.5</v>
      </c>
      <c r="P277" s="207">
        <f t="shared" si="151"/>
        <v>0.5</v>
      </c>
      <c r="Q277" s="207">
        <f t="shared" si="151"/>
        <v>0.5</v>
      </c>
    </row>
    <row r="278" spans="1:17" ht="3.75" customHeight="1">
      <c r="G278" s="145"/>
    </row>
    <row r="279" spans="1:17" ht="15" customHeight="1">
      <c r="B279" s="211" t="s">
        <v>646</v>
      </c>
      <c r="C279" s="212"/>
      <c r="D279" s="212"/>
      <c r="E279" s="212"/>
      <c r="F279" s="212"/>
      <c r="G279" s="213"/>
      <c r="H279" s="214">
        <f ca="1">IFERROR(-H275/(1+WACC!$G$11)^H$213,"")</f>
        <v>33.20416911360865</v>
      </c>
      <c r="I279" s="214">
        <f ca="1">IFERROR(-I275/(1+WACC!$G$11)^I$213,"")</f>
        <v>35.186223195570719</v>
      </c>
      <c r="J279" s="214">
        <f ca="1">IFERROR(-J275/(1+WACC!$G$11)^J$213,"")</f>
        <v>63.221077344243518</v>
      </c>
      <c r="K279" s="214">
        <f ca="1">IFERROR(-K275/(1+WACC!$G$11)^K$213,"")</f>
        <v>71.045762123034379</v>
      </c>
      <c r="L279" s="214">
        <f ca="1">IFERROR(-L275/(1+WACC!$G$11)^L$213,"")</f>
        <v>75.9222481025691</v>
      </c>
      <c r="M279" s="214">
        <f ca="1">IFERROR(-M275/(1+WACC!$G$11)^M$213,"")</f>
        <v>69.971301478508849</v>
      </c>
      <c r="N279" s="214">
        <f ca="1">IFERROR(-N275/(1+WACC!$G$11)^N$213,"")</f>
        <v>71.932477022119357</v>
      </c>
      <c r="O279" s="214">
        <f ca="1">IFERROR(-O275/(1+WACC!$G$11)^O$213,"")</f>
        <v>73.173298931642492</v>
      </c>
      <c r="P279" s="214">
        <f ca="1">IFERROR(-P275/(1+WACC!$G$11)^P$213,"")</f>
        <v>73.82004408954046</v>
      </c>
      <c r="Q279" s="482">
        <f ca="1">IFERROR(-Q275/(1+WACC!$G$11)^Q$213,"")</f>
        <v>77.127718976121017</v>
      </c>
    </row>
    <row r="280" spans="1:17" ht="3.75" customHeight="1">
      <c r="G280" s="145"/>
    </row>
    <row r="281" spans="1:17" ht="13.5" customHeight="1">
      <c r="B281" s="125" t="s">
        <v>621</v>
      </c>
      <c r="G281" s="145"/>
      <c r="Q281" s="166">
        <f ca="1">IFERROR(+(Q279*(1+$C$13))/(WACC!$G$11-$C$13),"")</f>
        <v>1333.7459843218492</v>
      </c>
    </row>
    <row r="282" spans="1:17" ht="15" customHeight="1">
      <c r="B282" s="125" t="s">
        <v>622</v>
      </c>
      <c r="G282" s="145"/>
      <c r="Q282" s="210">
        <f ca="1">IFERROR(Q281/(1+$C$12)^$Q$213,"")</f>
        <v>673.90084012227283</v>
      </c>
    </row>
    <row r="283" spans="1:17" ht="15" customHeight="1">
      <c r="B283" s="125" t="s">
        <v>241</v>
      </c>
      <c r="G283" s="145"/>
      <c r="Q283" s="166">
        <f ca="1">+SUM(Q282,H279:Q279)</f>
        <v>1318.5051604992314</v>
      </c>
    </row>
    <row r="284" spans="1:17" ht="3.75" customHeight="1">
      <c r="G284" s="145"/>
      <c r="N284" s="199"/>
    </row>
    <row r="285" spans="1:17" ht="15" customHeight="1">
      <c r="B285" s="147" t="s">
        <v>629</v>
      </c>
      <c r="G285" s="145"/>
      <c r="Q285" s="200">
        <f ca="1">IFERROR(Q282/Q$225,"")</f>
        <v>11.878065178968725</v>
      </c>
    </row>
    <row r="286" spans="1:17" ht="3.75" customHeight="1">
      <c r="B286" s="147"/>
      <c r="G286" s="145"/>
    </row>
    <row r="287" spans="1:17" ht="15" customHeight="1">
      <c r="B287" s="147" t="s">
        <v>631</v>
      </c>
      <c r="C287" s="147"/>
      <c r="D287" s="147"/>
      <c r="E287" s="147"/>
      <c r="F287" s="147"/>
      <c r="G287" s="201"/>
      <c r="H287" s="147"/>
      <c r="I287" s="147"/>
      <c r="J287" s="147"/>
      <c r="K287" s="147"/>
      <c r="L287" s="147"/>
      <c r="M287" s="147"/>
      <c r="N287" s="147"/>
      <c r="O287" s="147"/>
      <c r="P287" s="147"/>
      <c r="Q287" s="215">
        <f ca="1">IFERROR(Q285/Q228-1,"")</f>
        <v>-0.91260344949622008</v>
      </c>
    </row>
    <row r="289" spans="1:49" ht="15" customHeight="1">
      <c r="A289" s="125" t="s">
        <v>472</v>
      </c>
      <c r="B289" s="67" t="s">
        <v>145</v>
      </c>
      <c r="C289" s="68"/>
      <c r="D289" s="67"/>
      <c r="E289" s="68"/>
      <c r="F289" s="68"/>
      <c r="G289" s="68"/>
      <c r="H289" s="68"/>
      <c r="I289" s="68"/>
      <c r="J289" s="94"/>
      <c r="K289" s="95"/>
      <c r="L289" s="95"/>
      <c r="M289" s="95"/>
      <c r="N289" s="95"/>
      <c r="O289" s="95"/>
    </row>
    <row r="290" spans="1:49" ht="3.75" customHeight="1">
      <c r="B290" s="69"/>
      <c r="C290" s="69"/>
      <c r="D290" s="69"/>
      <c r="E290" s="69"/>
      <c r="F290" s="69"/>
      <c r="G290" s="69"/>
      <c r="H290" s="69"/>
      <c r="I290" s="69"/>
      <c r="J290" s="96"/>
      <c r="K290" s="96"/>
      <c r="L290" s="96"/>
      <c r="M290" s="96"/>
      <c r="N290" s="96"/>
      <c r="O290" s="96"/>
    </row>
    <row r="291" spans="1:49" ht="75.75" customHeight="1">
      <c r="B291" s="1062" t="s">
        <v>647</v>
      </c>
      <c r="C291" s="1062"/>
      <c r="D291" s="1062"/>
      <c r="E291" s="1062"/>
      <c r="F291" s="1062"/>
      <c r="G291" s="1062"/>
      <c r="H291" s="822"/>
      <c r="I291" s="822"/>
      <c r="J291" s="822"/>
      <c r="K291" s="822"/>
      <c r="L291" s="822"/>
      <c r="M291" s="822"/>
      <c r="N291" s="822"/>
      <c r="O291" s="822"/>
      <c r="AO291" s="202">
        <f ca="1">AP291+0.01</f>
        <v>9.770658795312212E-2</v>
      </c>
      <c r="AP291" s="202">
        <f ca="1">AQ291+0.01</f>
        <v>8.7706587953122125E-2</v>
      </c>
      <c r="AQ291" s="202">
        <f ca="1">WACC!G25</f>
        <v>7.770658795312213E-2</v>
      </c>
      <c r="AR291" s="202">
        <f ca="1">AQ291-0.01</f>
        <v>6.7706587953122135E-2</v>
      </c>
      <c r="AS291" s="202">
        <f ca="1">AR291-0.01</f>
        <v>5.7706587953122133E-2</v>
      </c>
    </row>
    <row r="292" spans="1:49" ht="46.5" customHeight="1">
      <c r="B292" s="1062" t="s">
        <v>648</v>
      </c>
      <c r="C292" s="1062"/>
      <c r="D292" s="1062"/>
      <c r="E292" s="1062"/>
      <c r="F292" s="1062"/>
      <c r="G292" s="1062"/>
      <c r="H292" s="821"/>
      <c r="I292" s="821"/>
      <c r="J292" s="821"/>
      <c r="K292" s="821"/>
      <c r="L292" s="821"/>
      <c r="M292" s="821"/>
      <c r="N292" s="821"/>
      <c r="O292"/>
      <c r="AO292" s="602">
        <v>73.64842392314938</v>
      </c>
      <c r="AP292" s="602">
        <v>85.06052646264807</v>
      </c>
      <c r="AQ292" s="602">
        <v>100.09899730223748</v>
      </c>
      <c r="AR292" s="602">
        <v>120.75856991989281</v>
      </c>
      <c r="AS292" s="602">
        <v>150.81606629510202</v>
      </c>
    </row>
    <row r="293" spans="1:49" ht="39.75" customHeight="1">
      <c r="B293" s="1077"/>
      <c r="C293" s="1077"/>
      <c r="D293" s="1013"/>
      <c r="E293" s="1013"/>
      <c r="F293" s="1013"/>
      <c r="G293" s="1013"/>
      <c r="H293" s="1013"/>
      <c r="I293" s="1013"/>
      <c r="J293" s="1013"/>
      <c r="K293" s="1013"/>
      <c r="L293" s="1013"/>
      <c r="M293" s="1013"/>
      <c r="N293" s="1013"/>
      <c r="O293"/>
      <c r="AO293" s="602">
        <v>79.676273426331136</v>
      </c>
      <c r="AP293" s="602">
        <v>93.576657387108511</v>
      </c>
      <c r="AQ293" s="602">
        <v>112.65728612990976</v>
      </c>
      <c r="AR293" s="602">
        <v>140.39707076214253</v>
      </c>
      <c r="AS293" s="602">
        <v>184.2748550351028</v>
      </c>
    </row>
    <row r="294" spans="1:49" ht="39.75" customHeight="1">
      <c r="B294" s="1077"/>
      <c r="C294" s="1077"/>
      <c r="D294" s="1013"/>
      <c r="E294" s="1013"/>
      <c r="F294" s="1013"/>
      <c r="G294" s="1013"/>
      <c r="H294" s="1013"/>
      <c r="I294" s="1013"/>
      <c r="J294" s="1013"/>
      <c r="K294" s="1013"/>
      <c r="L294" s="1013"/>
      <c r="M294" s="1013"/>
      <c r="N294" s="1013"/>
      <c r="O294"/>
      <c r="AO294" s="602">
        <v>87.56457030703811</v>
      </c>
      <c r="AP294" s="602">
        <v>105.200865291299</v>
      </c>
      <c r="AQ294" s="602">
        <v>130.8219538985071</v>
      </c>
      <c r="AR294" s="602">
        <v>171.32206634131742</v>
      </c>
      <c r="AS294" s="602">
        <v>244.71653792026549</v>
      </c>
    </row>
    <row r="295" spans="1:49" ht="39.75" customHeight="1">
      <c r="B295" s="1077"/>
      <c r="C295" s="1077"/>
      <c r="D295" s="1078"/>
      <c r="E295" s="1078"/>
      <c r="F295" s="1078"/>
      <c r="G295" s="1078"/>
      <c r="H295" s="1078"/>
      <c r="I295" s="1078"/>
      <c r="J295" s="1078"/>
      <c r="K295" s="1078"/>
      <c r="L295" s="1078"/>
      <c r="M295" s="1078"/>
      <c r="N295" s="1078"/>
      <c r="O295" s="1078"/>
      <c r="AO295" s="602">
        <v>98.331807655156425</v>
      </c>
      <c r="AP295" s="602">
        <v>122.01445172414599</v>
      </c>
      <c r="AQ295" s="602">
        <v>159.42608590193061</v>
      </c>
      <c r="AR295" s="602">
        <v>227.186574484343</v>
      </c>
      <c r="AS295" s="602">
        <v>386.83617065024276</v>
      </c>
    </row>
    <row r="296" spans="1:49" ht="39.75" customHeight="1" thickBot="1">
      <c r="B296" s="1077"/>
      <c r="C296" s="1077"/>
      <c r="D296" s="1078"/>
      <c r="E296" s="1078"/>
      <c r="F296" s="1078"/>
      <c r="G296" s="1078"/>
      <c r="H296" s="1078"/>
      <c r="I296" s="1078"/>
      <c r="J296" s="1078"/>
      <c r="K296" s="1078"/>
      <c r="L296" s="1078"/>
      <c r="M296" s="1078"/>
      <c r="N296" s="1078"/>
      <c r="O296" s="1078"/>
      <c r="AO296" s="603">
        <v>113.90584739082752</v>
      </c>
      <c r="AP296" s="603">
        <v>148.49101886552566</v>
      </c>
      <c r="AQ296" s="603">
        <v>211.09806629521165</v>
      </c>
      <c r="AR296" s="603">
        <v>358.54366119902483</v>
      </c>
      <c r="AS296" s="603">
        <v>1121.1209397551254</v>
      </c>
    </row>
    <row r="297" spans="1:49" ht="15" customHeight="1">
      <c r="D297" s="1013"/>
      <c r="E297" s="1013"/>
      <c r="F297" s="1013"/>
      <c r="G297" s="1013"/>
      <c r="H297" s="1013"/>
      <c r="I297" s="1013"/>
      <c r="J297" s="1013"/>
      <c r="K297" s="1013"/>
      <c r="L297" s="1013"/>
      <c r="M297" s="1013"/>
      <c r="N297" s="1013"/>
      <c r="O297"/>
    </row>
    <row r="298" spans="1:49" s="41" customFormat="1" ht="20.100000000000001" customHeight="1">
      <c r="A298" s="125"/>
      <c r="B298" s="1029"/>
      <c r="C298" s="1029"/>
      <c r="D298" s="1013"/>
      <c r="E298" s="1013"/>
      <c r="F298" s="1013"/>
      <c r="G298" s="1013"/>
      <c r="H298" s="1013"/>
      <c r="I298" s="1013"/>
      <c r="J298" s="1013"/>
      <c r="K298" s="1013"/>
      <c r="L298" s="1013"/>
      <c r="M298" s="1013"/>
      <c r="N298" s="1013"/>
      <c r="O298"/>
      <c r="P298" s="125"/>
      <c r="Q298" s="125"/>
      <c r="R298" s="125"/>
      <c r="S298" s="125"/>
      <c r="T298" s="125"/>
      <c r="U298" s="125"/>
      <c r="V298" s="125"/>
      <c r="W298" s="125"/>
      <c r="X298" s="125"/>
      <c r="Y298" s="125"/>
      <c r="Z298" s="125"/>
      <c r="AA298" s="125"/>
      <c r="AB298" s="125"/>
      <c r="AC298" s="125"/>
      <c r="AD298" s="125"/>
      <c r="AE298" s="125"/>
      <c r="AF298" s="125"/>
      <c r="AG298" s="125"/>
      <c r="AH298" s="125"/>
      <c r="AI298" s="125"/>
      <c r="AJ298" s="125"/>
      <c r="AK298" s="125"/>
      <c r="AN298" s="680" t="s">
        <v>649</v>
      </c>
    </row>
    <row r="300" spans="1:49" ht="15" customHeight="1">
      <c r="T300" s="828"/>
      <c r="AN300" s="601" t="str">
        <f>Peers!AM280&amp;" Stock Price - Blended Discount Rate and Terminal Growth Rate"</f>
        <v xml:space="preserve"> Stock Price - Blended Discount Rate and Terminal Growth Rate</v>
      </c>
      <c r="AO300"/>
      <c r="AP300"/>
      <c r="AQ300"/>
      <c r="AR300"/>
      <c r="AS300"/>
      <c r="AT300"/>
      <c r="AW300" s="125">
        <v>1</v>
      </c>
    </row>
    <row r="301" spans="1:49" ht="15" customHeight="1" thickBot="1">
      <c r="AN301" t="s">
        <v>650</v>
      </c>
      <c r="AO301"/>
      <c r="AP301"/>
      <c r="AQ301"/>
      <c r="AR301"/>
      <c r="AS301"/>
      <c r="AT301"/>
      <c r="AW301" s="125">
        <v>2</v>
      </c>
    </row>
    <row r="302" spans="1:49" ht="15" customHeight="1">
      <c r="AN302" s="599"/>
      <c r="AO302" s="600"/>
      <c r="AP302" s="681"/>
      <c r="AQ302" s="599"/>
      <c r="AR302" s="682" t="s">
        <v>527</v>
      </c>
      <c r="AS302" s="599"/>
      <c r="AT302" s="599"/>
      <c r="AW302" s="125">
        <v>3</v>
      </c>
    </row>
    <row r="303" spans="1:49" ht="15" customHeight="1" thickBot="1">
      <c r="AN303" s="591"/>
      <c r="AO303" s="686">
        <f ca="1">Q226</f>
        <v>107.5730484489675</v>
      </c>
      <c r="AP303" s="604">
        <v>0.11</v>
      </c>
      <c r="AQ303" s="604">
        <v>0.1</v>
      </c>
      <c r="AR303" s="604">
        <v>0.09</v>
      </c>
      <c r="AS303" s="604">
        <v>0.08</v>
      </c>
      <c r="AT303" s="604">
        <v>7.0000000000000007E-2</v>
      </c>
      <c r="AW303" s="125">
        <v>4</v>
      </c>
    </row>
    <row r="304" spans="1:49" ht="15" customHeight="1">
      <c r="T304" s="826"/>
      <c r="AN304"/>
      <c r="AO304" s="596">
        <v>0.01</v>
      </c>
      <c r="AP304" s="602">
        <f t="dataTable" ref="AP304:AT308" dt2D="1" dtr="1" r1="I9" r2="I10" ca="1"/>
        <v>61.858415832213311</v>
      </c>
      <c r="AQ304" s="602">
        <v>69.808793409865444</v>
      </c>
      <c r="AR304" s="602">
        <v>79.816561457935279</v>
      </c>
      <c r="AS304" s="602">
        <v>92.769413376845606</v>
      </c>
      <c r="AT304" s="602">
        <v>110.14745966870022</v>
      </c>
      <c r="AW304" s="125">
        <v>5</v>
      </c>
    </row>
    <row r="305" spans="20:49" ht="15" customHeight="1">
      <c r="T305" s="825"/>
      <c r="AN305" s="679"/>
      <c r="AO305" s="596">
        <v>0.02</v>
      </c>
      <c r="AP305" s="602">
        <v>65.71136903130072</v>
      </c>
      <c r="AQ305" s="602">
        <v>74.992333538886697</v>
      </c>
      <c r="AR305" s="602">
        <v>86.994259571476476</v>
      </c>
      <c r="AS305" s="602">
        <v>103.08360245883763</v>
      </c>
      <c r="AT305" s="602">
        <v>125.72061881821266</v>
      </c>
      <c r="AW305" s="125">
        <v>6</v>
      </c>
    </row>
    <row r="306" spans="20:49" ht="15" customHeight="1">
      <c r="AN306" s="24" t="s">
        <v>529</v>
      </c>
      <c r="AO306" s="596">
        <v>0.03</v>
      </c>
      <c r="AP306" s="602">
        <v>70.527560530159974</v>
      </c>
      <c r="AQ306" s="602">
        <v>81.656885133342598</v>
      </c>
      <c r="AR306" s="602">
        <v>96.564523722864692</v>
      </c>
      <c r="AS306" s="602">
        <v>117.52346717362649</v>
      </c>
      <c r="AT306" s="602">
        <v>149.08035754248129</v>
      </c>
      <c r="AW306" s="125">
        <v>7</v>
      </c>
    </row>
    <row r="307" spans="20:49" ht="15" customHeight="1">
      <c r="T307" s="827"/>
      <c r="AN307"/>
      <c r="AO307" s="596">
        <v>0.04</v>
      </c>
      <c r="AP307" s="602">
        <v>76.719806742979017</v>
      </c>
      <c r="AQ307" s="602">
        <v>90.542953925950471</v>
      </c>
      <c r="AR307" s="602">
        <v>109.96289353480823</v>
      </c>
      <c r="AS307" s="602">
        <v>139.18326424580977</v>
      </c>
      <c r="AT307" s="602">
        <v>188.01325541626233</v>
      </c>
      <c r="AW307" s="125">
        <v>8</v>
      </c>
    </row>
    <row r="308" spans="20:49" ht="15" customHeight="1" thickBot="1">
      <c r="T308" s="824"/>
      <c r="AN308" s="591"/>
      <c r="AO308" s="597">
        <v>0.05</v>
      </c>
      <c r="AP308" s="603">
        <v>84.976135026737737</v>
      </c>
      <c r="AQ308" s="603">
        <v>102.98345023560147</v>
      </c>
      <c r="AR308" s="603">
        <v>130.06044825272352</v>
      </c>
      <c r="AS308" s="603">
        <v>175.28292603278192</v>
      </c>
      <c r="AT308" s="603">
        <v>265.87905116382439</v>
      </c>
      <c r="AW308" s="125">
        <v>9</v>
      </c>
    </row>
    <row r="309" spans="20:49" ht="15" customHeight="1">
      <c r="AN309"/>
      <c r="AO309" s="688"/>
      <c r="AP309"/>
      <c r="AQ309"/>
      <c r="AR309"/>
      <c r="AS309"/>
      <c r="AT309"/>
      <c r="AW309" s="125">
        <v>10</v>
      </c>
    </row>
    <row r="310" spans="20:49" ht="15" customHeight="1">
      <c r="AN310" s="601" t="str">
        <f>Peers!AM280&amp;" Stock Price - Blended Revenue Growth and Operating Margin"</f>
        <v xml:space="preserve"> Stock Price - Blended Revenue Growth and Operating Margin</v>
      </c>
      <c r="AO310"/>
      <c r="AP310"/>
      <c r="AQ310"/>
      <c r="AR310"/>
      <c r="AS310"/>
      <c r="AT310"/>
      <c r="AW310" s="125">
        <v>11</v>
      </c>
    </row>
    <row r="311" spans="20:49" ht="15" customHeight="1" thickBot="1">
      <c r="AN311" t="s">
        <v>650</v>
      </c>
      <c r="AO311"/>
      <c r="AP311"/>
      <c r="AQ311"/>
      <c r="AR311"/>
      <c r="AS311"/>
      <c r="AT311"/>
      <c r="AW311" s="125">
        <v>12</v>
      </c>
    </row>
    <row r="312" spans="20:49" ht="15" customHeight="1">
      <c r="AN312" s="599"/>
      <c r="AO312" s="600"/>
      <c r="AP312" s="599"/>
      <c r="AQ312" s="605" t="s">
        <v>244</v>
      </c>
      <c r="AR312" s="599"/>
      <c r="AS312"/>
      <c r="AT312"/>
      <c r="AW312" s="125">
        <v>13</v>
      </c>
    </row>
    <row r="313" spans="20:49" ht="15" customHeight="1" thickBot="1">
      <c r="AN313" s="591"/>
      <c r="AO313" s="686">
        <f ca="1">Q226</f>
        <v>107.5730484489675</v>
      </c>
      <c r="AP313" s="829">
        <v>1</v>
      </c>
      <c r="AQ313" s="829">
        <v>2</v>
      </c>
      <c r="AR313" s="829">
        <v>3</v>
      </c>
      <c r="AS313"/>
      <c r="AT313"/>
      <c r="AW313" s="125">
        <v>14</v>
      </c>
    </row>
    <row r="314" spans="20:49" ht="15" customHeight="1">
      <c r="AN314"/>
      <c r="AO314" s="830">
        <v>1</v>
      </c>
      <c r="AP314">
        <f t="dataTable" ref="AP314:AR316" dt2D="1" dtr="1" r1="C7" r2="C8" ca="1"/>
        <v>63.393345924593554</v>
      </c>
      <c r="AQ314">
        <v>80.992963993521627</v>
      </c>
      <c r="AR314">
        <v>98.015895789373687</v>
      </c>
      <c r="AS314"/>
      <c r="AT314"/>
      <c r="AW314" s="125">
        <v>15</v>
      </c>
    </row>
    <row r="315" spans="20:49" ht="15" customHeight="1">
      <c r="AN315" s="24" t="s">
        <v>525</v>
      </c>
      <c r="AO315" s="831">
        <v>2</v>
      </c>
      <c r="AP315">
        <v>80.288426091122247</v>
      </c>
      <c r="AQ315">
        <v>107.5730484489675</v>
      </c>
      <c r="AR315">
        <v>133.93340928269023</v>
      </c>
      <c r="AS315"/>
      <c r="AT315"/>
      <c r="AW315" s="125">
        <v>16</v>
      </c>
    </row>
    <row r="316" spans="20:49" ht="15" customHeight="1" thickBot="1">
      <c r="AN316" s="591"/>
      <c r="AO316" s="832">
        <v>3</v>
      </c>
      <c r="AP316" s="591">
        <v>92.959736216018797</v>
      </c>
      <c r="AQ316" s="591">
        <v>127.50811179055191</v>
      </c>
      <c r="AR316" s="591">
        <v>160.87154440267761</v>
      </c>
      <c r="AS316"/>
      <c r="AT316"/>
      <c r="AW316" s="125">
        <v>17</v>
      </c>
    </row>
    <row r="317" spans="20:49" ht="15" customHeight="1">
      <c r="AN317"/>
      <c r="AO317" s="683"/>
      <c r="AP317"/>
      <c r="AQ317"/>
      <c r="AR317"/>
      <c r="AS317"/>
      <c r="AT317"/>
      <c r="AW317" s="125">
        <v>18</v>
      </c>
    </row>
    <row r="318" spans="20:49" ht="15" customHeight="1">
      <c r="AN318" s="609" t="s">
        <v>651</v>
      </c>
      <c r="AO318" s="37"/>
      <c r="AP318" s="37"/>
      <c r="AQ318" s="37"/>
      <c r="AR318" s="37"/>
      <c r="AS318" s="37"/>
      <c r="AT318" s="37"/>
      <c r="AW318" s="125">
        <v>19</v>
      </c>
    </row>
    <row r="319" spans="20:49" ht="15" customHeight="1">
      <c r="AW319" s="125">
        <v>20</v>
      </c>
    </row>
    <row r="320" spans="20:49" ht="15" customHeight="1" thickBot="1">
      <c r="AW320" s="125">
        <v>21</v>
      </c>
    </row>
    <row r="321" spans="36:49" ht="15" customHeight="1" thickBot="1">
      <c r="AJ321" s="700" t="s">
        <v>652</v>
      </c>
      <c r="AK321" s="700" t="s">
        <v>235</v>
      </c>
      <c r="AL321" s="700" t="s">
        <v>653</v>
      </c>
      <c r="AM321" s="147" t="s">
        <v>654</v>
      </c>
      <c r="AR321" s="132"/>
      <c r="AS321" s="132"/>
      <c r="AW321" s="125">
        <v>22</v>
      </c>
    </row>
    <row r="322" spans="36:49" ht="15" customHeight="1">
      <c r="AJ322" t="s">
        <v>527</v>
      </c>
      <c r="AK322" s="17">
        <v>0.1009</v>
      </c>
      <c r="AL322" s="17">
        <v>0.01</v>
      </c>
      <c r="AR322" s="132"/>
      <c r="AS322" s="132"/>
      <c r="AW322" s="125">
        <v>23</v>
      </c>
    </row>
    <row r="323" spans="36:49" ht="15" customHeight="1">
      <c r="AJ323" t="s">
        <v>227</v>
      </c>
      <c r="AK323" s="872"/>
      <c r="AL323" s="32"/>
      <c r="AR323" s="175"/>
      <c r="AS323" s="175"/>
      <c r="AW323" s="125">
        <v>24</v>
      </c>
    </row>
    <row r="324" spans="36:49" ht="15" customHeight="1" thickBot="1">
      <c r="AJ324" s="591" t="s">
        <v>28</v>
      </c>
      <c r="AK324" s="873"/>
      <c r="AL324" s="604"/>
      <c r="AW324" s="125">
        <v>25</v>
      </c>
    </row>
    <row r="325" spans="36:49" ht="15" customHeight="1">
      <c r="AN325" s="147"/>
      <c r="AW325" s="125">
        <v>26</v>
      </c>
    </row>
    <row r="326" spans="36:49" ht="15" customHeight="1">
      <c r="AW326" s="125">
        <v>27</v>
      </c>
    </row>
    <row r="327" spans="36:49" ht="15" customHeight="1">
      <c r="AW327" s="125">
        <v>28</v>
      </c>
    </row>
    <row r="328" spans="36:49" ht="15" customHeight="1">
      <c r="AW328" s="125">
        <v>29</v>
      </c>
    </row>
    <row r="329" spans="36:49" ht="15" customHeight="1">
      <c r="AW329" s="125">
        <v>30</v>
      </c>
    </row>
    <row r="330" spans="36:49" ht="15" customHeight="1">
      <c r="AW330" s="125">
        <v>31</v>
      </c>
    </row>
    <row r="331" spans="36:49" ht="15" customHeight="1">
      <c r="AW331" s="125">
        <v>32</v>
      </c>
    </row>
    <row r="332" spans="36:49" ht="15" customHeight="1">
      <c r="AW332" s="125">
        <v>33</v>
      </c>
    </row>
    <row r="333" spans="36:49" ht="15" customHeight="1">
      <c r="AW333" s="125">
        <v>34</v>
      </c>
    </row>
    <row r="334" spans="36:49" ht="15" customHeight="1">
      <c r="AW334" s="125">
        <v>35</v>
      </c>
    </row>
    <row r="335" spans="36:49" ht="15" customHeight="1">
      <c r="AW335" s="125">
        <v>36</v>
      </c>
    </row>
    <row r="336" spans="36:49" ht="15" customHeight="1">
      <c r="AW336" s="125">
        <v>37</v>
      </c>
    </row>
    <row r="337" spans="49:49" ht="15" customHeight="1">
      <c r="AW337" s="125">
        <v>38</v>
      </c>
    </row>
    <row r="338" spans="49:49" ht="15" customHeight="1">
      <c r="AW338" s="125">
        <v>39</v>
      </c>
    </row>
    <row r="339" spans="49:49" ht="15" customHeight="1">
      <c r="AW339" s="125">
        <v>40</v>
      </c>
    </row>
    <row r="340" spans="49:49" ht="15" customHeight="1">
      <c r="AW340" s="125">
        <v>41</v>
      </c>
    </row>
    <row r="341" spans="49:49" ht="15" customHeight="1">
      <c r="AW341" s="125">
        <v>42</v>
      </c>
    </row>
    <row r="342" spans="49:49" ht="15" customHeight="1">
      <c r="AW342" s="125">
        <v>43</v>
      </c>
    </row>
    <row r="343" spans="49:49" ht="15" customHeight="1">
      <c r="AW343" s="125">
        <v>44</v>
      </c>
    </row>
    <row r="344" spans="49:49" ht="15" customHeight="1">
      <c r="AW344" s="125">
        <v>45</v>
      </c>
    </row>
    <row r="345" spans="49:49" ht="15" customHeight="1">
      <c r="AW345" s="125">
        <v>46</v>
      </c>
    </row>
    <row r="346" spans="49:49" ht="15" customHeight="1">
      <c r="AW346" s="125">
        <v>47</v>
      </c>
    </row>
    <row r="347" spans="49:49" ht="15" customHeight="1">
      <c r="AW347" s="125">
        <v>48</v>
      </c>
    </row>
    <row r="348" spans="49:49" ht="15" customHeight="1">
      <c r="AW348" s="125">
        <v>49</v>
      </c>
    </row>
    <row r="349" spans="49:49" ht="15" customHeight="1">
      <c r="AW349" s="125">
        <v>50</v>
      </c>
    </row>
    <row r="350" spans="49:49" ht="15" customHeight="1">
      <c r="AW350" s="125">
        <v>51</v>
      </c>
    </row>
    <row r="351" spans="49:49" ht="15" customHeight="1">
      <c r="AW351" s="125">
        <v>52</v>
      </c>
    </row>
    <row r="352" spans="49:49" ht="15" customHeight="1">
      <c r="AW352" s="125">
        <v>53</v>
      </c>
    </row>
    <row r="353" spans="49:49" ht="15" customHeight="1">
      <c r="AW353" s="125">
        <v>54</v>
      </c>
    </row>
    <row r="354" spans="49:49" ht="15" customHeight="1">
      <c r="AW354" s="125">
        <v>55</v>
      </c>
    </row>
    <row r="355" spans="49:49" ht="15" customHeight="1">
      <c r="AW355" s="125">
        <v>56</v>
      </c>
    </row>
    <row r="356" spans="49:49" ht="15" customHeight="1">
      <c r="AW356" s="125">
        <v>57</v>
      </c>
    </row>
    <row r="357" spans="49:49" ht="15" customHeight="1">
      <c r="AW357" s="125">
        <v>58</v>
      </c>
    </row>
    <row r="358" spans="49:49" ht="15" customHeight="1">
      <c r="AW358" s="125">
        <v>59</v>
      </c>
    </row>
    <row r="359" spans="49:49" ht="15" customHeight="1">
      <c r="AW359" s="125">
        <v>60</v>
      </c>
    </row>
    <row r="360" spans="49:49" ht="15" customHeight="1">
      <c r="AW360" s="125">
        <v>61</v>
      </c>
    </row>
    <row r="361" spans="49:49" ht="15" customHeight="1">
      <c r="AW361" s="125">
        <v>62</v>
      </c>
    </row>
    <row r="362" spans="49:49" ht="15" customHeight="1">
      <c r="AW362" s="125">
        <v>63</v>
      </c>
    </row>
    <row r="363" spans="49:49" ht="15" customHeight="1">
      <c r="AW363" s="125">
        <v>64</v>
      </c>
    </row>
    <row r="364" spans="49:49" ht="15" customHeight="1">
      <c r="AW364" s="125">
        <v>65</v>
      </c>
    </row>
    <row r="365" spans="49:49" ht="15" customHeight="1">
      <c r="AW365" s="125">
        <v>66</v>
      </c>
    </row>
    <row r="366" spans="49:49" ht="15" customHeight="1">
      <c r="AW366" s="125">
        <v>67</v>
      </c>
    </row>
    <row r="367" spans="49:49" ht="15" customHeight="1">
      <c r="AW367" s="125">
        <v>68</v>
      </c>
    </row>
    <row r="368" spans="49:49" ht="15" customHeight="1">
      <c r="AW368" s="125">
        <v>69</v>
      </c>
    </row>
    <row r="369" spans="49:49" ht="15" customHeight="1">
      <c r="AW369" s="125">
        <v>70</v>
      </c>
    </row>
    <row r="370" spans="49:49" ht="15" customHeight="1">
      <c r="AW370" s="125">
        <v>71</v>
      </c>
    </row>
    <row r="371" spans="49:49" ht="15" customHeight="1">
      <c r="AW371" s="125">
        <v>72</v>
      </c>
    </row>
    <row r="372" spans="49:49" ht="15" customHeight="1">
      <c r="AW372" s="125">
        <v>73</v>
      </c>
    </row>
    <row r="373" spans="49:49" ht="15" customHeight="1">
      <c r="AW373" s="125">
        <v>74</v>
      </c>
    </row>
    <row r="374" spans="49:49" ht="15" customHeight="1">
      <c r="AW374" s="125">
        <v>75</v>
      </c>
    </row>
    <row r="375" spans="49:49" ht="15" customHeight="1">
      <c r="AW375" s="125">
        <v>76</v>
      </c>
    </row>
    <row r="376" spans="49:49" ht="15" customHeight="1">
      <c r="AW376" s="125">
        <v>77</v>
      </c>
    </row>
    <row r="377" spans="49:49" ht="15" customHeight="1">
      <c r="AW377" s="125">
        <v>78</v>
      </c>
    </row>
    <row r="378" spans="49:49" ht="15" customHeight="1">
      <c r="AW378" s="125">
        <v>79</v>
      </c>
    </row>
    <row r="379" spans="49:49" ht="15" customHeight="1">
      <c r="AW379" s="125">
        <v>80</v>
      </c>
    </row>
    <row r="380" spans="49:49" ht="15" customHeight="1">
      <c r="AW380" s="125">
        <v>81</v>
      </c>
    </row>
    <row r="381" spans="49:49" ht="15" customHeight="1">
      <c r="AW381" s="125">
        <v>82</v>
      </c>
    </row>
    <row r="382" spans="49:49" ht="15" customHeight="1">
      <c r="AW382" s="125">
        <v>83</v>
      </c>
    </row>
    <row r="383" spans="49:49" ht="15" customHeight="1">
      <c r="AW383" s="125">
        <v>84</v>
      </c>
    </row>
    <row r="384" spans="49:49" ht="15" customHeight="1">
      <c r="AW384" s="125">
        <v>85</v>
      </c>
    </row>
    <row r="385" spans="49:49" ht="15" customHeight="1">
      <c r="AW385" s="125">
        <v>86</v>
      </c>
    </row>
    <row r="386" spans="49:49" ht="15" customHeight="1">
      <c r="AW386" s="125">
        <v>87</v>
      </c>
    </row>
    <row r="387" spans="49:49" ht="15" customHeight="1">
      <c r="AW387" s="125">
        <v>88</v>
      </c>
    </row>
    <row r="388" spans="49:49" ht="15" customHeight="1">
      <c r="AW388" s="125">
        <v>89</v>
      </c>
    </row>
    <row r="389" spans="49:49" ht="15" customHeight="1">
      <c r="AW389" s="125">
        <v>90</v>
      </c>
    </row>
    <row r="390" spans="49:49" ht="15" customHeight="1">
      <c r="AW390" s="125">
        <v>91</v>
      </c>
    </row>
    <row r="391" spans="49:49" ht="15" customHeight="1">
      <c r="AW391" s="125">
        <v>92</v>
      </c>
    </row>
    <row r="392" spans="49:49" ht="15" customHeight="1">
      <c r="AW392" s="125">
        <v>93</v>
      </c>
    </row>
    <row r="393" spans="49:49" ht="15" customHeight="1">
      <c r="AW393" s="125">
        <v>94</v>
      </c>
    </row>
    <row r="394" spans="49:49" ht="15" customHeight="1">
      <c r="AW394" s="125">
        <v>95</v>
      </c>
    </row>
    <row r="395" spans="49:49" ht="15" customHeight="1">
      <c r="AW395" s="125">
        <v>96</v>
      </c>
    </row>
    <row r="396" spans="49:49" ht="15" customHeight="1">
      <c r="AW396" s="125">
        <v>97</v>
      </c>
    </row>
    <row r="397" spans="49:49" ht="15" customHeight="1">
      <c r="AW397" s="125">
        <v>98</v>
      </c>
    </row>
    <row r="398" spans="49:49" ht="15" customHeight="1">
      <c r="AW398" s="125">
        <v>99</v>
      </c>
    </row>
    <row r="399" spans="49:49" ht="15" customHeight="1">
      <c r="AW399" s="125">
        <v>100</v>
      </c>
    </row>
    <row r="400" spans="49:49" ht="15" customHeight="1">
      <c r="AW400" s="125">
        <v>101</v>
      </c>
    </row>
    <row r="401" spans="49:49" ht="15" customHeight="1">
      <c r="AW401" s="125">
        <v>102</v>
      </c>
    </row>
    <row r="402" spans="49:49" ht="15" customHeight="1">
      <c r="AW402" s="125">
        <v>103</v>
      </c>
    </row>
    <row r="403" spans="49:49" ht="15" customHeight="1">
      <c r="AW403" s="125">
        <v>104</v>
      </c>
    </row>
    <row r="404" spans="49:49" ht="15" customHeight="1">
      <c r="AW404" s="125">
        <v>105</v>
      </c>
    </row>
    <row r="405" spans="49:49" ht="15" customHeight="1">
      <c r="AW405" s="125">
        <v>106</v>
      </c>
    </row>
    <row r="406" spans="49:49" ht="15" customHeight="1">
      <c r="AW406" s="125">
        <v>107</v>
      </c>
    </row>
    <row r="407" spans="49:49" ht="15" customHeight="1">
      <c r="AW407" s="125">
        <v>108</v>
      </c>
    </row>
    <row r="408" spans="49:49" ht="15" customHeight="1">
      <c r="AW408" s="125">
        <v>109</v>
      </c>
    </row>
    <row r="409" spans="49:49" ht="15" customHeight="1">
      <c r="AW409" s="125">
        <v>110</v>
      </c>
    </row>
    <row r="410" spans="49:49" ht="15" customHeight="1">
      <c r="AW410" s="125">
        <v>111</v>
      </c>
    </row>
    <row r="411" spans="49:49" ht="15" customHeight="1">
      <c r="AW411" s="125">
        <v>112</v>
      </c>
    </row>
    <row r="412" spans="49:49" ht="15" customHeight="1">
      <c r="AW412" s="125">
        <v>113</v>
      </c>
    </row>
    <row r="413" spans="49:49" ht="15" customHeight="1">
      <c r="AW413" s="125">
        <v>114</v>
      </c>
    </row>
    <row r="414" spans="49:49" ht="15" customHeight="1">
      <c r="AW414" s="125">
        <v>115</v>
      </c>
    </row>
    <row r="415" spans="49:49" ht="15" customHeight="1">
      <c r="AW415" s="125">
        <v>116</v>
      </c>
    </row>
    <row r="416" spans="49:49" ht="15" customHeight="1">
      <c r="AW416" s="125">
        <v>117</v>
      </c>
    </row>
    <row r="417" spans="49:49" ht="15" customHeight="1">
      <c r="AW417" s="125">
        <v>118</v>
      </c>
    </row>
    <row r="418" spans="49:49" ht="15" customHeight="1">
      <c r="AW418" s="125">
        <v>119</v>
      </c>
    </row>
    <row r="419" spans="49:49" ht="15" customHeight="1">
      <c r="AW419" s="125">
        <v>120</v>
      </c>
    </row>
    <row r="420" spans="49:49" ht="15" customHeight="1">
      <c r="AW420" s="125">
        <v>121</v>
      </c>
    </row>
    <row r="421" spans="49:49" ht="15" customHeight="1">
      <c r="AW421" s="125">
        <v>122</v>
      </c>
    </row>
    <row r="422" spans="49:49" ht="15" customHeight="1">
      <c r="AW422" s="125">
        <v>123</v>
      </c>
    </row>
    <row r="423" spans="49:49" ht="15" customHeight="1">
      <c r="AW423" s="125">
        <v>124</v>
      </c>
    </row>
    <row r="424" spans="49:49" ht="15" customHeight="1">
      <c r="AW424" s="125">
        <v>125</v>
      </c>
    </row>
    <row r="425" spans="49:49" ht="15" customHeight="1">
      <c r="AW425" s="125">
        <v>126</v>
      </c>
    </row>
    <row r="426" spans="49:49" ht="15" customHeight="1">
      <c r="AW426" s="125">
        <v>127</v>
      </c>
    </row>
    <row r="427" spans="49:49" ht="15" customHeight="1">
      <c r="AW427" s="125">
        <v>128</v>
      </c>
    </row>
    <row r="428" spans="49:49" ht="15" customHeight="1">
      <c r="AW428" s="125">
        <v>129</v>
      </c>
    </row>
    <row r="429" spans="49:49" ht="15" customHeight="1">
      <c r="AW429" s="125">
        <v>130</v>
      </c>
    </row>
    <row r="430" spans="49:49" ht="15" customHeight="1">
      <c r="AW430" s="125">
        <v>131</v>
      </c>
    </row>
    <row r="431" spans="49:49" ht="15" customHeight="1">
      <c r="AW431" s="125">
        <v>132</v>
      </c>
    </row>
    <row r="432" spans="49:49" ht="15" customHeight="1">
      <c r="AW432" s="125">
        <v>133</v>
      </c>
    </row>
    <row r="433" spans="49:49" ht="15" customHeight="1">
      <c r="AW433" s="125">
        <v>134</v>
      </c>
    </row>
    <row r="434" spans="49:49" ht="15" customHeight="1">
      <c r="AW434" s="125">
        <v>135</v>
      </c>
    </row>
    <row r="435" spans="49:49" ht="15" customHeight="1">
      <c r="AW435" s="125">
        <v>136</v>
      </c>
    </row>
    <row r="436" spans="49:49" ht="15" customHeight="1">
      <c r="AW436" s="125">
        <v>137</v>
      </c>
    </row>
    <row r="437" spans="49:49" ht="15" customHeight="1">
      <c r="AW437" s="125">
        <v>138</v>
      </c>
    </row>
    <row r="438" spans="49:49" ht="15" customHeight="1">
      <c r="AW438" s="125">
        <v>139</v>
      </c>
    </row>
    <row r="439" spans="49:49" ht="15" customHeight="1">
      <c r="AW439" s="125">
        <v>140</v>
      </c>
    </row>
    <row r="440" spans="49:49" ht="15" customHeight="1">
      <c r="AW440" s="125">
        <v>141</v>
      </c>
    </row>
    <row r="441" spans="49:49" ht="15" customHeight="1">
      <c r="AW441" s="125">
        <v>142</v>
      </c>
    </row>
    <row r="442" spans="49:49" ht="15" customHeight="1">
      <c r="AW442" s="125">
        <v>143</v>
      </c>
    </row>
    <row r="443" spans="49:49" ht="15" customHeight="1">
      <c r="AW443" s="125">
        <v>144</v>
      </c>
    </row>
    <row r="444" spans="49:49" ht="15" customHeight="1">
      <c r="AW444" s="125">
        <v>145</v>
      </c>
    </row>
    <row r="445" spans="49:49" ht="15" customHeight="1">
      <c r="AW445" s="125">
        <v>146</v>
      </c>
    </row>
    <row r="446" spans="49:49" ht="15" customHeight="1">
      <c r="AW446" s="125">
        <v>147</v>
      </c>
    </row>
    <row r="447" spans="49:49" ht="15" customHeight="1">
      <c r="AW447" s="125">
        <v>148</v>
      </c>
    </row>
    <row r="448" spans="49:49" ht="15" customHeight="1">
      <c r="AW448" s="125">
        <v>149</v>
      </c>
    </row>
    <row r="449" spans="49:49" ht="15" customHeight="1">
      <c r="AW449" s="125">
        <v>150</v>
      </c>
    </row>
    <row r="450" spans="49:49" ht="15" customHeight="1">
      <c r="AW450" s="125">
        <v>151</v>
      </c>
    </row>
    <row r="451" spans="49:49" ht="15" customHeight="1">
      <c r="AW451" s="125">
        <v>152</v>
      </c>
    </row>
    <row r="452" spans="49:49" ht="15" customHeight="1">
      <c r="AW452" s="125">
        <v>153</v>
      </c>
    </row>
    <row r="453" spans="49:49" ht="15" customHeight="1">
      <c r="AW453" s="125">
        <v>154</v>
      </c>
    </row>
    <row r="454" spans="49:49" ht="15" customHeight="1">
      <c r="AW454" s="125">
        <v>155</v>
      </c>
    </row>
    <row r="455" spans="49:49" ht="15" customHeight="1">
      <c r="AW455" s="125">
        <v>156</v>
      </c>
    </row>
    <row r="456" spans="49:49" ht="15" customHeight="1">
      <c r="AW456" s="125">
        <v>157</v>
      </c>
    </row>
    <row r="457" spans="49:49" ht="15" customHeight="1">
      <c r="AW457" s="125">
        <v>158</v>
      </c>
    </row>
    <row r="458" spans="49:49" ht="15" customHeight="1">
      <c r="AW458" s="125">
        <v>159</v>
      </c>
    </row>
    <row r="459" spans="49:49" ht="15" customHeight="1">
      <c r="AW459" s="125">
        <v>160</v>
      </c>
    </row>
    <row r="460" spans="49:49" ht="15" customHeight="1">
      <c r="AW460" s="125">
        <v>161</v>
      </c>
    </row>
    <row r="461" spans="49:49" ht="15" customHeight="1">
      <c r="AW461" s="125">
        <v>162</v>
      </c>
    </row>
    <row r="462" spans="49:49" ht="15" customHeight="1">
      <c r="AW462" s="125">
        <v>163</v>
      </c>
    </row>
    <row r="463" spans="49:49" ht="15" customHeight="1">
      <c r="AW463" s="125">
        <v>164</v>
      </c>
    </row>
    <row r="464" spans="49:49" ht="15" customHeight="1">
      <c r="AW464" s="125">
        <v>165</v>
      </c>
    </row>
    <row r="465" spans="49:49" ht="15" customHeight="1">
      <c r="AW465" s="125">
        <v>166</v>
      </c>
    </row>
    <row r="466" spans="49:49" ht="15" customHeight="1">
      <c r="AW466" s="125">
        <v>167</v>
      </c>
    </row>
    <row r="467" spans="49:49" ht="15" customHeight="1">
      <c r="AW467" s="125">
        <v>168</v>
      </c>
    </row>
    <row r="468" spans="49:49" ht="15" customHeight="1">
      <c r="AW468" s="125">
        <v>169</v>
      </c>
    </row>
    <row r="469" spans="49:49" ht="15" customHeight="1">
      <c r="AW469" s="125">
        <v>170</v>
      </c>
    </row>
    <row r="470" spans="49:49" ht="15" customHeight="1">
      <c r="AW470" s="125">
        <v>171</v>
      </c>
    </row>
    <row r="471" spans="49:49" ht="15" customHeight="1">
      <c r="AW471" s="125">
        <v>172</v>
      </c>
    </row>
    <row r="472" spans="49:49" ht="15" customHeight="1">
      <c r="AW472" s="125">
        <v>173</v>
      </c>
    </row>
    <row r="473" spans="49:49" ht="15" customHeight="1">
      <c r="AW473" s="125">
        <v>174</v>
      </c>
    </row>
    <row r="474" spans="49:49" ht="15" customHeight="1">
      <c r="AW474" s="125">
        <v>175</v>
      </c>
    </row>
    <row r="475" spans="49:49" ht="15" customHeight="1">
      <c r="AW475" s="125">
        <v>176</v>
      </c>
    </row>
    <row r="476" spans="49:49" ht="15" customHeight="1">
      <c r="AW476" s="125">
        <v>177</v>
      </c>
    </row>
    <row r="477" spans="49:49" ht="15" customHeight="1">
      <c r="AW477" s="125">
        <v>178</v>
      </c>
    </row>
    <row r="478" spans="49:49" ht="15" customHeight="1">
      <c r="AW478" s="125">
        <v>179</v>
      </c>
    </row>
    <row r="479" spans="49:49" ht="15" customHeight="1">
      <c r="AW479" s="125">
        <v>180</v>
      </c>
    </row>
    <row r="480" spans="49:49" ht="15" customHeight="1">
      <c r="AW480" s="125">
        <v>181</v>
      </c>
    </row>
    <row r="481" spans="49:49" ht="15" customHeight="1">
      <c r="AW481" s="125">
        <v>182</v>
      </c>
    </row>
    <row r="482" spans="49:49" ht="15" customHeight="1">
      <c r="AW482" s="125">
        <v>183</v>
      </c>
    </row>
    <row r="483" spans="49:49" ht="15" customHeight="1">
      <c r="AW483" s="125">
        <v>184</v>
      </c>
    </row>
    <row r="484" spans="49:49" ht="15" customHeight="1">
      <c r="AW484" s="125">
        <v>185</v>
      </c>
    </row>
    <row r="485" spans="49:49" ht="15" customHeight="1">
      <c r="AW485" s="125">
        <v>186</v>
      </c>
    </row>
    <row r="486" spans="49:49" ht="15" customHeight="1">
      <c r="AW486" s="125">
        <v>187</v>
      </c>
    </row>
    <row r="487" spans="49:49" ht="15" customHeight="1">
      <c r="AW487" s="125">
        <v>188</v>
      </c>
    </row>
    <row r="488" spans="49:49" ht="15" customHeight="1">
      <c r="AW488" s="125">
        <v>189</v>
      </c>
    </row>
    <row r="489" spans="49:49" ht="15" customHeight="1">
      <c r="AW489" s="125">
        <v>190</v>
      </c>
    </row>
    <row r="490" spans="49:49" ht="15" customHeight="1">
      <c r="AW490" s="125">
        <v>191</v>
      </c>
    </row>
    <row r="491" spans="49:49" ht="15" customHeight="1">
      <c r="AW491" s="125">
        <v>192</v>
      </c>
    </row>
    <row r="492" spans="49:49" ht="15" customHeight="1">
      <c r="AW492" s="125">
        <v>193</v>
      </c>
    </row>
    <row r="493" spans="49:49" ht="15" customHeight="1">
      <c r="AW493" s="125">
        <v>194</v>
      </c>
    </row>
    <row r="494" spans="49:49" ht="15" customHeight="1">
      <c r="AW494" s="125">
        <v>195</v>
      </c>
    </row>
    <row r="495" spans="49:49" ht="15" customHeight="1">
      <c r="AW495" s="125">
        <v>196</v>
      </c>
    </row>
    <row r="496" spans="49:49" ht="15" customHeight="1">
      <c r="AW496" s="125">
        <v>197</v>
      </c>
    </row>
    <row r="497" spans="49:49" ht="15" customHeight="1">
      <c r="AW497" s="125">
        <v>198</v>
      </c>
    </row>
    <row r="498" spans="49:49" ht="15" customHeight="1">
      <c r="AW498" s="125">
        <v>199</v>
      </c>
    </row>
    <row r="499" spans="49:49" ht="15" customHeight="1">
      <c r="AW499" s="125">
        <v>200</v>
      </c>
    </row>
    <row r="500" spans="49:49" ht="15" customHeight="1">
      <c r="AW500" s="125">
        <v>201</v>
      </c>
    </row>
    <row r="501" spans="49:49" ht="15" customHeight="1">
      <c r="AW501" s="125">
        <v>202</v>
      </c>
    </row>
    <row r="502" spans="49:49" ht="15" customHeight="1">
      <c r="AW502" s="125">
        <v>203</v>
      </c>
    </row>
    <row r="503" spans="49:49" ht="15" customHeight="1">
      <c r="AW503" s="125">
        <v>204</v>
      </c>
    </row>
    <row r="504" spans="49:49" ht="15" customHeight="1">
      <c r="AW504" s="125">
        <v>205</v>
      </c>
    </row>
    <row r="505" spans="49:49" ht="15" customHeight="1">
      <c r="AW505" s="125">
        <v>206</v>
      </c>
    </row>
    <row r="506" spans="49:49" ht="15" customHeight="1">
      <c r="AW506" s="125">
        <v>207</v>
      </c>
    </row>
    <row r="507" spans="49:49" ht="15" customHeight="1">
      <c r="AW507" s="125">
        <v>208</v>
      </c>
    </row>
    <row r="508" spans="49:49" ht="15" customHeight="1">
      <c r="AW508" s="125">
        <v>209</v>
      </c>
    </row>
    <row r="509" spans="49:49" ht="15" customHeight="1">
      <c r="AW509" s="125">
        <v>210</v>
      </c>
    </row>
    <row r="510" spans="49:49" ht="15" customHeight="1">
      <c r="AW510" s="125">
        <v>211</v>
      </c>
    </row>
    <row r="511" spans="49:49" ht="15" customHeight="1">
      <c r="AW511" s="125">
        <v>212</v>
      </c>
    </row>
    <row r="512" spans="49:49" ht="15" customHeight="1">
      <c r="AW512" s="125">
        <v>213</v>
      </c>
    </row>
    <row r="513" spans="49:49" ht="15" customHeight="1">
      <c r="AW513" s="125">
        <v>214</v>
      </c>
    </row>
    <row r="514" spans="49:49" ht="15" customHeight="1">
      <c r="AW514" s="125">
        <v>215</v>
      </c>
    </row>
    <row r="515" spans="49:49" ht="15" customHeight="1">
      <c r="AW515" s="125">
        <v>216</v>
      </c>
    </row>
    <row r="516" spans="49:49" ht="15" customHeight="1">
      <c r="AW516" s="125">
        <v>217</v>
      </c>
    </row>
    <row r="517" spans="49:49" ht="15" customHeight="1">
      <c r="AW517" s="125">
        <v>218</v>
      </c>
    </row>
    <row r="518" spans="49:49" ht="15" customHeight="1">
      <c r="AW518" s="125">
        <v>219</v>
      </c>
    </row>
    <row r="519" spans="49:49" ht="15" customHeight="1">
      <c r="AW519" s="125">
        <v>220</v>
      </c>
    </row>
    <row r="520" spans="49:49" ht="15" customHeight="1">
      <c r="AW520" s="125">
        <v>221</v>
      </c>
    </row>
    <row r="521" spans="49:49" ht="15" customHeight="1">
      <c r="AW521" s="125">
        <v>222</v>
      </c>
    </row>
    <row r="522" spans="49:49" ht="15" customHeight="1">
      <c r="AW522" s="125">
        <v>223</v>
      </c>
    </row>
    <row r="523" spans="49:49" ht="15" customHeight="1">
      <c r="AW523" s="125">
        <v>224</v>
      </c>
    </row>
    <row r="524" spans="49:49" ht="15" customHeight="1">
      <c r="AW524" s="125">
        <v>225</v>
      </c>
    </row>
    <row r="525" spans="49:49" ht="15" customHeight="1">
      <c r="AW525" s="125">
        <v>226</v>
      </c>
    </row>
    <row r="526" spans="49:49" ht="15" customHeight="1">
      <c r="AW526" s="125">
        <v>227</v>
      </c>
    </row>
    <row r="527" spans="49:49" ht="15" customHeight="1">
      <c r="AW527" s="125">
        <v>228</v>
      </c>
    </row>
    <row r="528" spans="49:49" ht="15" customHeight="1">
      <c r="AW528" s="125">
        <v>229</v>
      </c>
    </row>
    <row r="529" spans="49:49" ht="15" customHeight="1">
      <c r="AW529" s="125">
        <v>230</v>
      </c>
    </row>
    <row r="530" spans="49:49" ht="15" customHeight="1">
      <c r="AW530" s="125">
        <v>231</v>
      </c>
    </row>
    <row r="531" spans="49:49" ht="15" customHeight="1">
      <c r="AW531" s="125">
        <v>232</v>
      </c>
    </row>
    <row r="532" spans="49:49" ht="15" customHeight="1">
      <c r="AW532" s="125">
        <v>233</v>
      </c>
    </row>
    <row r="533" spans="49:49" ht="15" customHeight="1">
      <c r="AW533" s="125">
        <v>234</v>
      </c>
    </row>
    <row r="534" spans="49:49" ht="15" customHeight="1">
      <c r="AW534" s="125">
        <v>235</v>
      </c>
    </row>
    <row r="535" spans="49:49" ht="15" customHeight="1">
      <c r="AW535" s="125">
        <v>236</v>
      </c>
    </row>
    <row r="536" spans="49:49" ht="15" customHeight="1">
      <c r="AW536" s="125">
        <v>237</v>
      </c>
    </row>
    <row r="537" spans="49:49" ht="15" customHeight="1">
      <c r="AW537" s="125">
        <v>238</v>
      </c>
    </row>
    <row r="538" spans="49:49" ht="15" customHeight="1">
      <c r="AW538" s="125">
        <v>239</v>
      </c>
    </row>
    <row r="539" spans="49:49" ht="15" customHeight="1">
      <c r="AW539" s="125">
        <v>240</v>
      </c>
    </row>
    <row r="540" spans="49:49" ht="15" customHeight="1">
      <c r="AW540" s="125">
        <v>241</v>
      </c>
    </row>
    <row r="541" spans="49:49" ht="15" customHeight="1">
      <c r="AW541" s="125">
        <v>242</v>
      </c>
    </row>
    <row r="542" spans="49:49" ht="15" customHeight="1">
      <c r="AW542" s="125">
        <v>243</v>
      </c>
    </row>
    <row r="543" spans="49:49" ht="15" customHeight="1">
      <c r="AW543" s="125">
        <v>244</v>
      </c>
    </row>
    <row r="544" spans="49:49" ht="15" customHeight="1">
      <c r="AW544" s="125">
        <v>245</v>
      </c>
    </row>
    <row r="545" spans="49:49" ht="15" customHeight="1">
      <c r="AW545" s="125">
        <v>246</v>
      </c>
    </row>
    <row r="546" spans="49:49" ht="15" customHeight="1">
      <c r="AW546" s="125">
        <v>247</v>
      </c>
    </row>
    <row r="547" spans="49:49" ht="15" customHeight="1">
      <c r="AW547" s="125">
        <v>248</v>
      </c>
    </row>
    <row r="548" spans="49:49" ht="15" customHeight="1">
      <c r="AW548" s="125">
        <v>249</v>
      </c>
    </row>
    <row r="549" spans="49:49" ht="15" customHeight="1">
      <c r="AW549" s="125">
        <v>250</v>
      </c>
    </row>
    <row r="550" spans="49:49" ht="15" customHeight="1">
      <c r="AW550" s="125">
        <v>251</v>
      </c>
    </row>
    <row r="551" spans="49:49" ht="15" customHeight="1">
      <c r="AW551" s="125">
        <v>252</v>
      </c>
    </row>
    <row r="552" spans="49:49" ht="15" customHeight="1">
      <c r="AW552" s="125">
        <v>253</v>
      </c>
    </row>
    <row r="553" spans="49:49" ht="15" customHeight="1">
      <c r="AW553" s="125">
        <v>254</v>
      </c>
    </row>
    <row r="554" spans="49:49" ht="15" customHeight="1">
      <c r="AW554" s="125">
        <v>255</v>
      </c>
    </row>
    <row r="555" spans="49:49" ht="15" customHeight="1">
      <c r="AW555" s="125">
        <v>256</v>
      </c>
    </row>
    <row r="556" spans="49:49" ht="15" customHeight="1">
      <c r="AW556" s="125">
        <v>257</v>
      </c>
    </row>
    <row r="557" spans="49:49" ht="15" customHeight="1">
      <c r="AW557" s="125">
        <v>258</v>
      </c>
    </row>
    <row r="558" spans="49:49" ht="15" customHeight="1">
      <c r="AW558" s="125">
        <v>259</v>
      </c>
    </row>
    <row r="559" spans="49:49" ht="15" customHeight="1">
      <c r="AW559" s="125">
        <v>260</v>
      </c>
    </row>
    <row r="560" spans="49:49" ht="15" customHeight="1">
      <c r="AW560" s="125">
        <v>261</v>
      </c>
    </row>
    <row r="561" spans="49:49" ht="15" customHeight="1">
      <c r="AW561" s="125">
        <v>262</v>
      </c>
    </row>
    <row r="562" spans="49:49" ht="15" customHeight="1">
      <c r="AW562" s="125">
        <v>263</v>
      </c>
    </row>
    <row r="563" spans="49:49" ht="15" customHeight="1">
      <c r="AW563" s="125">
        <v>264</v>
      </c>
    </row>
    <row r="564" spans="49:49" ht="15" customHeight="1">
      <c r="AW564" s="125">
        <v>265</v>
      </c>
    </row>
    <row r="565" spans="49:49" ht="15" customHeight="1">
      <c r="AW565" s="125">
        <v>266</v>
      </c>
    </row>
    <row r="566" spans="49:49" ht="15" customHeight="1">
      <c r="AW566" s="125">
        <v>267</v>
      </c>
    </row>
    <row r="567" spans="49:49" ht="15" customHeight="1">
      <c r="AW567" s="125">
        <v>268</v>
      </c>
    </row>
    <row r="568" spans="49:49" ht="15" customHeight="1">
      <c r="AW568" s="125">
        <v>269</v>
      </c>
    </row>
    <row r="569" spans="49:49" ht="15" customHeight="1">
      <c r="AW569" s="125">
        <v>270</v>
      </c>
    </row>
    <row r="570" spans="49:49" ht="15" customHeight="1">
      <c r="AW570" s="125">
        <v>271</v>
      </c>
    </row>
    <row r="571" spans="49:49" ht="15" customHeight="1">
      <c r="AW571" s="125">
        <v>272</v>
      </c>
    </row>
    <row r="572" spans="49:49" ht="15" customHeight="1">
      <c r="AW572" s="125">
        <v>273</v>
      </c>
    </row>
    <row r="573" spans="49:49" ht="15" customHeight="1">
      <c r="AW573" s="125">
        <v>274</v>
      </c>
    </row>
    <row r="574" spans="49:49" ht="15" customHeight="1">
      <c r="AW574" s="125">
        <v>275</v>
      </c>
    </row>
    <row r="575" spans="49:49" ht="15" customHeight="1">
      <c r="AW575" s="125">
        <v>276</v>
      </c>
    </row>
    <row r="576" spans="49:49" ht="15" customHeight="1">
      <c r="AW576" s="125">
        <v>277</v>
      </c>
    </row>
    <row r="577" spans="49:49" ht="15" customHeight="1">
      <c r="AW577" s="125">
        <v>278</v>
      </c>
    </row>
    <row r="578" spans="49:49" ht="15" customHeight="1">
      <c r="AW578" s="125">
        <v>279</v>
      </c>
    </row>
    <row r="579" spans="49:49" ht="15" customHeight="1">
      <c r="AW579" s="125">
        <v>280</v>
      </c>
    </row>
    <row r="580" spans="49:49" ht="15" customHeight="1">
      <c r="AW580" s="125">
        <v>281</v>
      </c>
    </row>
    <row r="581" spans="49:49" ht="15" customHeight="1">
      <c r="AW581" s="125">
        <v>282</v>
      </c>
    </row>
    <row r="582" spans="49:49" ht="15" customHeight="1">
      <c r="AW582" s="125">
        <v>283</v>
      </c>
    </row>
    <row r="583" spans="49:49" ht="15" customHeight="1">
      <c r="AW583" s="125">
        <v>284</v>
      </c>
    </row>
    <row r="584" spans="49:49" ht="15" customHeight="1">
      <c r="AW584" s="125">
        <v>285</v>
      </c>
    </row>
    <row r="585" spans="49:49" ht="15" customHeight="1">
      <c r="AW585" s="125">
        <v>286</v>
      </c>
    </row>
    <row r="586" spans="49:49" ht="15" customHeight="1">
      <c r="AW586" s="125">
        <v>287</v>
      </c>
    </row>
    <row r="587" spans="49:49" ht="15" customHeight="1">
      <c r="AW587" s="125">
        <v>288</v>
      </c>
    </row>
    <row r="588" spans="49:49" ht="15" customHeight="1">
      <c r="AW588" s="125">
        <v>289</v>
      </c>
    </row>
    <row r="589" spans="49:49" ht="15" customHeight="1">
      <c r="AW589" s="125">
        <v>290</v>
      </c>
    </row>
    <row r="590" spans="49:49" ht="15" customHeight="1">
      <c r="AW590" s="125">
        <v>291</v>
      </c>
    </row>
    <row r="591" spans="49:49" ht="15" customHeight="1">
      <c r="AW591" s="125">
        <v>292</v>
      </c>
    </row>
    <row r="592" spans="49:49" ht="15" customHeight="1">
      <c r="AW592" s="125">
        <v>293</v>
      </c>
    </row>
    <row r="593" spans="49:49" ht="15" customHeight="1">
      <c r="AW593" s="125">
        <v>294</v>
      </c>
    </row>
    <row r="594" spans="49:49" ht="15" customHeight="1">
      <c r="AW594" s="125">
        <v>295</v>
      </c>
    </row>
    <row r="595" spans="49:49" ht="15" customHeight="1">
      <c r="AW595" s="125">
        <v>296</v>
      </c>
    </row>
    <row r="596" spans="49:49" ht="15" customHeight="1">
      <c r="AW596" s="125">
        <v>297</v>
      </c>
    </row>
    <row r="597" spans="49:49" ht="15" customHeight="1">
      <c r="AW597" s="125">
        <v>298</v>
      </c>
    </row>
    <row r="598" spans="49:49" ht="15" customHeight="1">
      <c r="AW598" s="125">
        <v>299</v>
      </c>
    </row>
    <row r="599" spans="49:49" ht="15" customHeight="1">
      <c r="AW599" s="125">
        <v>300</v>
      </c>
    </row>
    <row r="600" spans="49:49" ht="15" customHeight="1">
      <c r="AW600" s="125">
        <v>301</v>
      </c>
    </row>
    <row r="601" spans="49:49" ht="15" customHeight="1">
      <c r="AW601" s="125">
        <v>302</v>
      </c>
    </row>
    <row r="602" spans="49:49" ht="15" customHeight="1">
      <c r="AW602" s="125">
        <v>303</v>
      </c>
    </row>
    <row r="603" spans="49:49" ht="15" customHeight="1">
      <c r="AW603" s="125">
        <v>304</v>
      </c>
    </row>
    <row r="604" spans="49:49" ht="15" customHeight="1">
      <c r="AW604" s="125">
        <v>305</v>
      </c>
    </row>
    <row r="605" spans="49:49" ht="15" customHeight="1">
      <c r="AW605" s="125">
        <v>306</v>
      </c>
    </row>
    <row r="606" spans="49:49" ht="15" customHeight="1">
      <c r="AW606" s="125">
        <v>307</v>
      </c>
    </row>
    <row r="607" spans="49:49" ht="15" customHeight="1">
      <c r="AW607" s="125">
        <v>308</v>
      </c>
    </row>
    <row r="608" spans="49:49" ht="15" customHeight="1">
      <c r="AW608" s="125">
        <v>309</v>
      </c>
    </row>
    <row r="609" spans="49:49" ht="15" customHeight="1">
      <c r="AW609" s="125">
        <v>310</v>
      </c>
    </row>
    <row r="610" spans="49:49" ht="15" customHeight="1">
      <c r="AW610" s="125">
        <v>311</v>
      </c>
    </row>
    <row r="611" spans="49:49" ht="15" customHeight="1">
      <c r="AW611" s="125">
        <v>312</v>
      </c>
    </row>
    <row r="612" spans="49:49" ht="15" customHeight="1">
      <c r="AW612" s="125">
        <v>313</v>
      </c>
    </row>
    <row r="613" spans="49:49" ht="15" customHeight="1">
      <c r="AW613" s="125">
        <v>314</v>
      </c>
    </row>
    <row r="614" spans="49:49" ht="15" customHeight="1">
      <c r="AW614" s="125">
        <v>315</v>
      </c>
    </row>
    <row r="615" spans="49:49" ht="15" customHeight="1">
      <c r="AW615" s="125">
        <v>316</v>
      </c>
    </row>
    <row r="616" spans="49:49" ht="15" customHeight="1">
      <c r="AW616" s="125">
        <v>317</v>
      </c>
    </row>
    <row r="617" spans="49:49" ht="15" customHeight="1">
      <c r="AW617" s="125">
        <v>318</v>
      </c>
    </row>
    <row r="618" spans="49:49" ht="15" customHeight="1">
      <c r="AW618" s="125">
        <v>319</v>
      </c>
    </row>
    <row r="619" spans="49:49" ht="15" customHeight="1">
      <c r="AW619" s="125">
        <v>320</v>
      </c>
    </row>
    <row r="620" spans="49:49" ht="15" customHeight="1">
      <c r="AW620" s="125">
        <v>321</v>
      </c>
    </row>
    <row r="621" spans="49:49" ht="15" customHeight="1">
      <c r="AW621" s="125">
        <v>322</v>
      </c>
    </row>
    <row r="622" spans="49:49" ht="15" customHeight="1">
      <c r="AW622" s="125">
        <v>323</v>
      </c>
    </row>
    <row r="623" spans="49:49" ht="15" customHeight="1">
      <c r="AW623" s="125">
        <v>324</v>
      </c>
    </row>
    <row r="624" spans="49:49" ht="15" customHeight="1">
      <c r="AW624" s="125">
        <v>325</v>
      </c>
    </row>
    <row r="625" spans="49:49" ht="15" customHeight="1">
      <c r="AW625" s="125">
        <v>326</v>
      </c>
    </row>
    <row r="626" spans="49:49" ht="15" customHeight="1">
      <c r="AW626" s="125">
        <v>327</v>
      </c>
    </row>
    <row r="627" spans="49:49" ht="15" customHeight="1">
      <c r="AW627" s="125">
        <v>328</v>
      </c>
    </row>
    <row r="628" spans="49:49" ht="15" customHeight="1">
      <c r="AW628" s="125">
        <v>329</v>
      </c>
    </row>
    <row r="629" spans="49:49" ht="15" customHeight="1">
      <c r="AW629" s="125">
        <v>330</v>
      </c>
    </row>
    <row r="630" spans="49:49" ht="15" customHeight="1">
      <c r="AW630" s="125">
        <v>331</v>
      </c>
    </row>
    <row r="631" spans="49:49" ht="15" customHeight="1">
      <c r="AW631" s="125">
        <v>332</v>
      </c>
    </row>
    <row r="632" spans="49:49" ht="15" customHeight="1">
      <c r="AW632" s="125">
        <v>333</v>
      </c>
    </row>
    <row r="633" spans="49:49" ht="15" customHeight="1">
      <c r="AW633" s="125">
        <v>334</v>
      </c>
    </row>
    <row r="634" spans="49:49" ht="15" customHeight="1">
      <c r="AW634" s="125">
        <v>335</v>
      </c>
    </row>
    <row r="635" spans="49:49" ht="15" customHeight="1">
      <c r="AW635" s="125">
        <v>336</v>
      </c>
    </row>
    <row r="636" spans="49:49" ht="15" customHeight="1">
      <c r="AW636" s="125">
        <v>337</v>
      </c>
    </row>
    <row r="637" spans="49:49" ht="15" customHeight="1">
      <c r="AW637" s="125">
        <v>338</v>
      </c>
    </row>
    <row r="638" spans="49:49" ht="15" customHeight="1">
      <c r="AW638" s="125">
        <v>339</v>
      </c>
    </row>
    <row r="639" spans="49:49" ht="15" customHeight="1">
      <c r="AW639" s="125">
        <v>340</v>
      </c>
    </row>
    <row r="640" spans="49:49" ht="15" customHeight="1">
      <c r="AW640" s="125">
        <v>341</v>
      </c>
    </row>
    <row r="641" spans="49:49" ht="15" customHeight="1">
      <c r="AW641" s="125">
        <v>342</v>
      </c>
    </row>
    <row r="642" spans="49:49" ht="15" customHeight="1">
      <c r="AW642" s="125">
        <v>343</v>
      </c>
    </row>
    <row r="643" spans="49:49" ht="15" customHeight="1">
      <c r="AW643" s="125">
        <v>344</v>
      </c>
    </row>
    <row r="644" spans="49:49" ht="15" customHeight="1">
      <c r="AW644" s="125">
        <v>345</v>
      </c>
    </row>
    <row r="645" spans="49:49" ht="15" customHeight="1">
      <c r="AW645" s="125">
        <v>346</v>
      </c>
    </row>
    <row r="646" spans="49:49" ht="15" customHeight="1">
      <c r="AW646" s="125">
        <v>347</v>
      </c>
    </row>
    <row r="647" spans="49:49" ht="15" customHeight="1">
      <c r="AW647" s="125">
        <v>348</v>
      </c>
    </row>
    <row r="648" spans="49:49" ht="15" customHeight="1">
      <c r="AW648" s="125">
        <v>349</v>
      </c>
    </row>
    <row r="649" spans="49:49" ht="15" customHeight="1">
      <c r="AW649" s="125">
        <v>350</v>
      </c>
    </row>
    <row r="650" spans="49:49" ht="15" customHeight="1">
      <c r="AW650" s="125">
        <v>351</v>
      </c>
    </row>
    <row r="651" spans="49:49" ht="15" customHeight="1">
      <c r="AW651" s="125">
        <v>352</v>
      </c>
    </row>
    <row r="652" spans="49:49" ht="15" customHeight="1">
      <c r="AW652" s="125">
        <v>353</v>
      </c>
    </row>
    <row r="653" spans="49:49" ht="15" customHeight="1">
      <c r="AW653" s="125">
        <v>354</v>
      </c>
    </row>
    <row r="654" spans="49:49" ht="15" customHeight="1">
      <c r="AW654" s="125">
        <v>355</v>
      </c>
    </row>
    <row r="655" spans="49:49" ht="15" customHeight="1">
      <c r="AW655" s="125">
        <v>356</v>
      </c>
    </row>
    <row r="656" spans="49:49" ht="15" customHeight="1">
      <c r="AW656" s="125">
        <v>357</v>
      </c>
    </row>
    <row r="657" spans="49:49" ht="15" customHeight="1">
      <c r="AW657" s="125">
        <v>358</v>
      </c>
    </row>
    <row r="658" spans="49:49" ht="15" customHeight="1">
      <c r="AW658" s="125">
        <v>359</v>
      </c>
    </row>
    <row r="659" spans="49:49" ht="15" customHeight="1">
      <c r="AW659" s="125">
        <v>360</v>
      </c>
    </row>
    <row r="660" spans="49:49" ht="15" customHeight="1">
      <c r="AW660" s="125">
        <v>361</v>
      </c>
    </row>
    <row r="661" spans="49:49" ht="15" customHeight="1">
      <c r="AW661" s="125">
        <v>362</v>
      </c>
    </row>
    <row r="662" spans="49:49" ht="15" customHeight="1">
      <c r="AW662" s="125">
        <v>363</v>
      </c>
    </row>
    <row r="663" spans="49:49" ht="15" customHeight="1">
      <c r="AW663" s="125">
        <v>364</v>
      </c>
    </row>
    <row r="664" spans="49:49" ht="15" customHeight="1">
      <c r="AW664" s="125">
        <v>365</v>
      </c>
    </row>
    <row r="665" spans="49:49" ht="15" customHeight="1">
      <c r="AW665" s="125">
        <v>366</v>
      </c>
    </row>
    <row r="666" spans="49:49" ht="15" customHeight="1">
      <c r="AW666" s="125">
        <v>367</v>
      </c>
    </row>
    <row r="667" spans="49:49" ht="15" customHeight="1">
      <c r="AW667" s="125">
        <v>368</v>
      </c>
    </row>
    <row r="668" spans="49:49" ht="15" customHeight="1">
      <c r="AW668" s="125">
        <v>369</v>
      </c>
    </row>
    <row r="669" spans="49:49" ht="15" customHeight="1">
      <c r="AW669" s="125">
        <v>370</v>
      </c>
    </row>
    <row r="670" spans="49:49" ht="15" customHeight="1">
      <c r="AW670" s="125">
        <v>371</v>
      </c>
    </row>
    <row r="671" spans="49:49" ht="15" customHeight="1">
      <c r="AW671" s="125">
        <v>372</v>
      </c>
    </row>
    <row r="672" spans="49:49" ht="15" customHeight="1">
      <c r="AW672" s="125">
        <v>373</v>
      </c>
    </row>
    <row r="673" spans="49:49" ht="15" customHeight="1">
      <c r="AW673" s="125">
        <v>374</v>
      </c>
    </row>
    <row r="674" spans="49:49" ht="15" customHeight="1">
      <c r="AW674" s="125">
        <v>375</v>
      </c>
    </row>
    <row r="675" spans="49:49" ht="15" customHeight="1">
      <c r="AW675" s="125">
        <v>376</v>
      </c>
    </row>
    <row r="676" spans="49:49" ht="15" customHeight="1">
      <c r="AW676" s="125">
        <v>377</v>
      </c>
    </row>
    <row r="677" spans="49:49" ht="15" customHeight="1">
      <c r="AW677" s="125">
        <v>378</v>
      </c>
    </row>
    <row r="678" spans="49:49" ht="15" customHeight="1">
      <c r="AW678" s="125">
        <v>379</v>
      </c>
    </row>
    <row r="679" spans="49:49" ht="15" customHeight="1">
      <c r="AW679" s="125">
        <v>380</v>
      </c>
    </row>
    <row r="680" spans="49:49" ht="15" customHeight="1">
      <c r="AW680" s="125">
        <v>381</v>
      </c>
    </row>
    <row r="681" spans="49:49" ht="15" customHeight="1">
      <c r="AW681" s="125">
        <v>382</v>
      </c>
    </row>
    <row r="682" spans="49:49" ht="15" customHeight="1">
      <c r="AW682" s="125">
        <v>383</v>
      </c>
    </row>
    <row r="683" spans="49:49" ht="15" customHeight="1">
      <c r="AW683" s="125">
        <v>384</v>
      </c>
    </row>
    <row r="684" spans="49:49" ht="15" customHeight="1">
      <c r="AW684" s="125">
        <v>385</v>
      </c>
    </row>
    <row r="685" spans="49:49" ht="15" customHeight="1">
      <c r="AW685" s="125">
        <v>386</v>
      </c>
    </row>
    <row r="686" spans="49:49" ht="15" customHeight="1">
      <c r="AW686" s="125">
        <v>387</v>
      </c>
    </row>
    <row r="687" spans="49:49" ht="15" customHeight="1">
      <c r="AW687" s="125">
        <v>388</v>
      </c>
    </row>
    <row r="688" spans="49:49" ht="15" customHeight="1">
      <c r="AW688" s="125">
        <v>389</v>
      </c>
    </row>
    <row r="689" spans="49:49" ht="15" customHeight="1">
      <c r="AW689" s="125">
        <v>390</v>
      </c>
    </row>
    <row r="690" spans="49:49" ht="15" customHeight="1">
      <c r="AW690" s="125">
        <v>391</v>
      </c>
    </row>
    <row r="691" spans="49:49" ht="15" customHeight="1">
      <c r="AW691" s="125">
        <v>392</v>
      </c>
    </row>
    <row r="692" spans="49:49" ht="15" customHeight="1">
      <c r="AW692" s="125">
        <v>393</v>
      </c>
    </row>
    <row r="693" spans="49:49" ht="15" customHeight="1">
      <c r="AW693" s="125">
        <v>394</v>
      </c>
    </row>
    <row r="694" spans="49:49" ht="15" customHeight="1">
      <c r="AW694" s="125">
        <v>395</v>
      </c>
    </row>
    <row r="695" spans="49:49" ht="15" customHeight="1">
      <c r="AW695" s="125">
        <v>396</v>
      </c>
    </row>
    <row r="696" spans="49:49" ht="15" customHeight="1">
      <c r="AW696" s="125">
        <v>397</v>
      </c>
    </row>
    <row r="697" spans="49:49" ht="15" customHeight="1">
      <c r="AW697" s="125">
        <v>398</v>
      </c>
    </row>
    <row r="698" spans="49:49" ht="15" customHeight="1">
      <c r="AW698" s="125">
        <v>399</v>
      </c>
    </row>
    <row r="699" spans="49:49" ht="15" customHeight="1">
      <c r="AW699" s="125">
        <v>400</v>
      </c>
    </row>
    <row r="700" spans="49:49" ht="15" customHeight="1">
      <c r="AW700" s="125">
        <v>401</v>
      </c>
    </row>
    <row r="701" spans="49:49" ht="15" customHeight="1">
      <c r="AW701" s="125">
        <v>402</v>
      </c>
    </row>
    <row r="702" spans="49:49" ht="15" customHeight="1">
      <c r="AW702" s="125">
        <v>403</v>
      </c>
    </row>
    <row r="703" spans="49:49" ht="15" customHeight="1">
      <c r="AW703" s="125">
        <v>404</v>
      </c>
    </row>
    <row r="704" spans="49:49" ht="15" customHeight="1">
      <c r="AW704" s="125">
        <v>405</v>
      </c>
    </row>
    <row r="705" spans="49:49" ht="15" customHeight="1">
      <c r="AW705" s="125">
        <v>406</v>
      </c>
    </row>
    <row r="706" spans="49:49" ht="15" customHeight="1">
      <c r="AW706" s="125">
        <v>407</v>
      </c>
    </row>
    <row r="707" spans="49:49" ht="15" customHeight="1">
      <c r="AW707" s="125">
        <v>408</v>
      </c>
    </row>
    <row r="708" spans="49:49" ht="15" customHeight="1">
      <c r="AW708" s="125">
        <v>409</v>
      </c>
    </row>
    <row r="709" spans="49:49" ht="15" customHeight="1">
      <c r="AW709" s="125">
        <v>410</v>
      </c>
    </row>
    <row r="710" spans="49:49" ht="15" customHeight="1">
      <c r="AW710" s="125">
        <v>411</v>
      </c>
    </row>
    <row r="711" spans="49:49" ht="15" customHeight="1">
      <c r="AW711" s="125">
        <v>412</v>
      </c>
    </row>
    <row r="712" spans="49:49" ht="15" customHeight="1">
      <c r="AW712" s="125">
        <v>413</v>
      </c>
    </row>
    <row r="713" spans="49:49" ht="15" customHeight="1">
      <c r="AW713" s="125">
        <v>414</v>
      </c>
    </row>
    <row r="714" spans="49:49" ht="15" customHeight="1">
      <c r="AW714" s="125">
        <v>415</v>
      </c>
    </row>
    <row r="715" spans="49:49" ht="15" customHeight="1">
      <c r="AW715" s="125">
        <v>416</v>
      </c>
    </row>
    <row r="716" spans="49:49" ht="15" customHeight="1">
      <c r="AW716" s="125">
        <v>417</v>
      </c>
    </row>
    <row r="717" spans="49:49" ht="15" customHeight="1">
      <c r="AW717" s="125">
        <v>418</v>
      </c>
    </row>
    <row r="718" spans="49:49" ht="15" customHeight="1">
      <c r="AW718" s="125">
        <v>419</v>
      </c>
    </row>
    <row r="719" spans="49:49" ht="15" customHeight="1">
      <c r="AW719" s="125">
        <v>420</v>
      </c>
    </row>
    <row r="720" spans="49:49" ht="15" customHeight="1">
      <c r="AW720" s="125">
        <v>421</v>
      </c>
    </row>
    <row r="721" spans="49:49" ht="15" customHeight="1">
      <c r="AW721" s="125">
        <v>422</v>
      </c>
    </row>
    <row r="722" spans="49:49" ht="15" customHeight="1">
      <c r="AW722" s="125">
        <v>423</v>
      </c>
    </row>
    <row r="723" spans="49:49" ht="15" customHeight="1">
      <c r="AW723" s="125">
        <v>424</v>
      </c>
    </row>
    <row r="724" spans="49:49" ht="15" customHeight="1">
      <c r="AW724" s="125">
        <v>425</v>
      </c>
    </row>
    <row r="725" spans="49:49" ht="15" customHeight="1">
      <c r="AW725" s="125">
        <v>426</v>
      </c>
    </row>
    <row r="726" spans="49:49" ht="15" customHeight="1">
      <c r="AW726" s="125">
        <v>427</v>
      </c>
    </row>
    <row r="727" spans="49:49" ht="15" customHeight="1">
      <c r="AW727" s="125">
        <v>428</v>
      </c>
    </row>
    <row r="728" spans="49:49" ht="15" customHeight="1">
      <c r="AW728" s="125">
        <v>429</v>
      </c>
    </row>
    <row r="729" spans="49:49" ht="15" customHeight="1">
      <c r="AW729" s="125">
        <v>430</v>
      </c>
    </row>
    <row r="730" spans="49:49" ht="15" customHeight="1">
      <c r="AW730" s="125">
        <v>431</v>
      </c>
    </row>
    <row r="731" spans="49:49" ht="15" customHeight="1">
      <c r="AW731" s="125">
        <v>432</v>
      </c>
    </row>
    <row r="732" spans="49:49" ht="15" customHeight="1">
      <c r="AW732" s="125">
        <v>433</v>
      </c>
    </row>
    <row r="733" spans="49:49" ht="15" customHeight="1">
      <c r="AW733" s="125">
        <v>434</v>
      </c>
    </row>
    <row r="734" spans="49:49" ht="15" customHeight="1">
      <c r="AW734" s="125">
        <v>435</v>
      </c>
    </row>
    <row r="735" spans="49:49" ht="15" customHeight="1">
      <c r="AW735" s="125">
        <v>436</v>
      </c>
    </row>
    <row r="736" spans="49:49" ht="15" customHeight="1">
      <c r="AW736" s="125">
        <v>437</v>
      </c>
    </row>
    <row r="737" spans="49:49" ht="15" customHeight="1">
      <c r="AW737" s="125">
        <v>438</v>
      </c>
    </row>
    <row r="738" spans="49:49" ht="15" customHeight="1">
      <c r="AW738" s="125">
        <v>439</v>
      </c>
    </row>
    <row r="739" spans="49:49" ht="15" customHeight="1">
      <c r="AW739" s="125">
        <v>440</v>
      </c>
    </row>
    <row r="740" spans="49:49" ht="15" customHeight="1">
      <c r="AW740" s="125">
        <v>441</v>
      </c>
    </row>
    <row r="741" spans="49:49" ht="15" customHeight="1">
      <c r="AW741" s="125">
        <v>442</v>
      </c>
    </row>
    <row r="742" spans="49:49" ht="15" customHeight="1">
      <c r="AW742" s="125">
        <v>443</v>
      </c>
    </row>
    <row r="743" spans="49:49" ht="15" customHeight="1">
      <c r="AW743" s="125">
        <v>444</v>
      </c>
    </row>
    <row r="744" spans="49:49" ht="15" customHeight="1">
      <c r="AW744" s="125">
        <v>445</v>
      </c>
    </row>
    <row r="745" spans="49:49" ht="15" customHeight="1">
      <c r="AW745" s="125">
        <v>446</v>
      </c>
    </row>
    <row r="746" spans="49:49" ht="15" customHeight="1">
      <c r="AW746" s="125">
        <v>447</v>
      </c>
    </row>
    <row r="747" spans="49:49" ht="15" customHeight="1">
      <c r="AW747" s="125">
        <v>448</v>
      </c>
    </row>
    <row r="748" spans="49:49" ht="15" customHeight="1">
      <c r="AW748" s="125">
        <v>449</v>
      </c>
    </row>
    <row r="749" spans="49:49" ht="15" customHeight="1">
      <c r="AW749" s="125">
        <v>450</v>
      </c>
    </row>
    <row r="750" spans="49:49" ht="15" customHeight="1">
      <c r="AW750" s="125">
        <v>451</v>
      </c>
    </row>
    <row r="751" spans="49:49" ht="15" customHeight="1">
      <c r="AW751" s="125">
        <v>452</v>
      </c>
    </row>
    <row r="752" spans="49:49" ht="15" customHeight="1">
      <c r="AW752" s="125">
        <v>453</v>
      </c>
    </row>
    <row r="753" spans="49:49" ht="15" customHeight="1">
      <c r="AW753" s="125">
        <v>454</v>
      </c>
    </row>
    <row r="754" spans="49:49" ht="15" customHeight="1">
      <c r="AW754" s="125">
        <v>455</v>
      </c>
    </row>
    <row r="755" spans="49:49" ht="15" customHeight="1">
      <c r="AW755" s="125">
        <v>456</v>
      </c>
    </row>
    <row r="756" spans="49:49" ht="15" customHeight="1">
      <c r="AW756" s="125">
        <v>457</v>
      </c>
    </row>
    <row r="757" spans="49:49" ht="15" customHeight="1">
      <c r="AW757" s="125">
        <v>458</v>
      </c>
    </row>
    <row r="758" spans="49:49" ht="15" customHeight="1">
      <c r="AW758" s="125">
        <v>459</v>
      </c>
    </row>
    <row r="759" spans="49:49" ht="15" customHeight="1">
      <c r="AW759" s="125">
        <v>460</v>
      </c>
    </row>
    <row r="760" spans="49:49" ht="15" customHeight="1">
      <c r="AW760" s="125">
        <v>461</v>
      </c>
    </row>
    <row r="761" spans="49:49" ht="15" customHeight="1">
      <c r="AW761" s="125">
        <v>462</v>
      </c>
    </row>
    <row r="762" spans="49:49" ht="15" customHeight="1">
      <c r="AW762" s="125">
        <v>463</v>
      </c>
    </row>
    <row r="763" spans="49:49" ht="15" customHeight="1">
      <c r="AW763" s="125">
        <v>464</v>
      </c>
    </row>
    <row r="764" spans="49:49" ht="15" customHeight="1">
      <c r="AW764" s="125">
        <v>465</v>
      </c>
    </row>
    <row r="765" spans="49:49" ht="15" customHeight="1">
      <c r="AW765" s="125">
        <v>466</v>
      </c>
    </row>
    <row r="766" spans="49:49" ht="15" customHeight="1">
      <c r="AW766" s="125">
        <v>467</v>
      </c>
    </row>
    <row r="767" spans="49:49" ht="15" customHeight="1">
      <c r="AW767" s="125">
        <v>468</v>
      </c>
    </row>
    <row r="768" spans="49:49" ht="15" customHeight="1">
      <c r="AW768" s="125">
        <v>469</v>
      </c>
    </row>
    <row r="769" spans="49:49" ht="15" customHeight="1">
      <c r="AW769" s="125">
        <v>470</v>
      </c>
    </row>
    <row r="770" spans="49:49" ht="15" customHeight="1">
      <c r="AW770" s="125">
        <v>471</v>
      </c>
    </row>
    <row r="771" spans="49:49" ht="15" customHeight="1">
      <c r="AW771" s="125">
        <v>472</v>
      </c>
    </row>
    <row r="772" spans="49:49" ht="15" customHeight="1">
      <c r="AW772" s="125">
        <v>473</v>
      </c>
    </row>
    <row r="773" spans="49:49" ht="15" customHeight="1">
      <c r="AW773" s="125">
        <v>474</v>
      </c>
    </row>
    <row r="774" spans="49:49" ht="15" customHeight="1">
      <c r="AW774" s="125">
        <v>475</v>
      </c>
    </row>
    <row r="775" spans="49:49" ht="15" customHeight="1">
      <c r="AW775" s="125">
        <v>476</v>
      </c>
    </row>
    <row r="776" spans="49:49" ht="15" customHeight="1">
      <c r="AW776" s="125">
        <v>477</v>
      </c>
    </row>
    <row r="777" spans="49:49" ht="15" customHeight="1">
      <c r="AW777" s="125">
        <v>478</v>
      </c>
    </row>
    <row r="778" spans="49:49" ht="15" customHeight="1">
      <c r="AW778" s="125">
        <v>479</v>
      </c>
    </row>
    <row r="779" spans="49:49" ht="15" customHeight="1">
      <c r="AW779" s="125">
        <v>480</v>
      </c>
    </row>
    <row r="780" spans="49:49" ht="15" customHeight="1">
      <c r="AW780" s="125">
        <v>481</v>
      </c>
    </row>
    <row r="781" spans="49:49" ht="15" customHeight="1">
      <c r="AW781" s="125">
        <v>482</v>
      </c>
    </row>
    <row r="782" spans="49:49" ht="15" customHeight="1">
      <c r="AW782" s="125">
        <v>483</v>
      </c>
    </row>
    <row r="783" spans="49:49" ht="15" customHeight="1">
      <c r="AW783" s="125">
        <v>484</v>
      </c>
    </row>
    <row r="784" spans="49:49" ht="15" customHeight="1">
      <c r="AW784" s="125">
        <v>485</v>
      </c>
    </row>
    <row r="785" spans="49:49" ht="15" customHeight="1">
      <c r="AW785" s="125">
        <v>486</v>
      </c>
    </row>
    <row r="786" spans="49:49" ht="15" customHeight="1">
      <c r="AW786" s="125">
        <v>487</v>
      </c>
    </row>
    <row r="787" spans="49:49" ht="15" customHeight="1">
      <c r="AW787" s="125">
        <v>488</v>
      </c>
    </row>
    <row r="788" spans="49:49" ht="15" customHeight="1">
      <c r="AW788" s="125">
        <v>489</v>
      </c>
    </row>
    <row r="789" spans="49:49" ht="15" customHeight="1">
      <c r="AW789" s="125">
        <v>490</v>
      </c>
    </row>
    <row r="790" spans="49:49" ht="15" customHeight="1">
      <c r="AW790" s="125">
        <v>491</v>
      </c>
    </row>
    <row r="791" spans="49:49" ht="15" customHeight="1">
      <c r="AW791" s="125">
        <v>492</v>
      </c>
    </row>
    <row r="792" spans="49:49" ht="15" customHeight="1">
      <c r="AW792" s="125">
        <v>493</v>
      </c>
    </row>
    <row r="793" spans="49:49" ht="15" customHeight="1">
      <c r="AW793" s="125">
        <v>494</v>
      </c>
    </row>
    <row r="794" spans="49:49" ht="15" customHeight="1">
      <c r="AW794" s="125">
        <v>495</v>
      </c>
    </row>
    <row r="795" spans="49:49" ht="15" customHeight="1">
      <c r="AW795" s="125">
        <v>496</v>
      </c>
    </row>
    <row r="796" spans="49:49" ht="15" customHeight="1">
      <c r="AW796" s="125">
        <v>497</v>
      </c>
    </row>
    <row r="797" spans="49:49" ht="15" customHeight="1">
      <c r="AW797" s="125">
        <v>498</v>
      </c>
    </row>
    <row r="798" spans="49:49" ht="15" customHeight="1">
      <c r="AW798" s="125">
        <v>499</v>
      </c>
    </row>
    <row r="799" spans="49:49" ht="15" customHeight="1">
      <c r="AW799" s="125">
        <v>500</v>
      </c>
    </row>
    <row r="800" spans="49:49" ht="15" customHeight="1">
      <c r="AW800" s="125">
        <v>501</v>
      </c>
    </row>
    <row r="801" spans="49:49" ht="15" customHeight="1">
      <c r="AW801" s="125">
        <v>502</v>
      </c>
    </row>
    <row r="802" spans="49:49" ht="15" customHeight="1">
      <c r="AW802" s="125">
        <v>503</v>
      </c>
    </row>
    <row r="803" spans="49:49" ht="15" customHeight="1">
      <c r="AW803" s="125">
        <v>504</v>
      </c>
    </row>
    <row r="804" spans="49:49" ht="15" customHeight="1">
      <c r="AW804" s="125">
        <v>505</v>
      </c>
    </row>
    <row r="805" spans="49:49" ht="15" customHeight="1">
      <c r="AW805" s="125">
        <v>506</v>
      </c>
    </row>
    <row r="806" spans="49:49" ht="15" customHeight="1">
      <c r="AW806" s="125">
        <v>507</v>
      </c>
    </row>
    <row r="807" spans="49:49" ht="15" customHeight="1">
      <c r="AW807" s="125">
        <v>508</v>
      </c>
    </row>
    <row r="808" spans="49:49" ht="15" customHeight="1">
      <c r="AW808" s="125">
        <v>509</v>
      </c>
    </row>
    <row r="809" spans="49:49" ht="15" customHeight="1">
      <c r="AW809" s="125">
        <v>510</v>
      </c>
    </row>
    <row r="810" spans="49:49" ht="15" customHeight="1">
      <c r="AW810" s="125">
        <v>511</v>
      </c>
    </row>
    <row r="811" spans="49:49" ht="15" customHeight="1">
      <c r="AW811" s="125">
        <v>512</v>
      </c>
    </row>
    <row r="812" spans="49:49" ht="15" customHeight="1">
      <c r="AW812" s="125">
        <v>513</v>
      </c>
    </row>
    <row r="813" spans="49:49" ht="15" customHeight="1">
      <c r="AW813" s="125">
        <v>514</v>
      </c>
    </row>
    <row r="814" spans="49:49" ht="15" customHeight="1">
      <c r="AW814" s="125">
        <v>515</v>
      </c>
    </row>
    <row r="815" spans="49:49" ht="15" customHeight="1">
      <c r="AW815" s="125">
        <v>516</v>
      </c>
    </row>
    <row r="816" spans="49:49" ht="15" customHeight="1">
      <c r="AW816" s="125">
        <v>517</v>
      </c>
    </row>
    <row r="817" spans="49:49" ht="15" customHeight="1">
      <c r="AW817" s="125">
        <v>518</v>
      </c>
    </row>
    <row r="818" spans="49:49" ht="15" customHeight="1">
      <c r="AW818" s="125">
        <v>519</v>
      </c>
    </row>
    <row r="819" spans="49:49" ht="15" customHeight="1">
      <c r="AW819" s="125">
        <v>520</v>
      </c>
    </row>
    <row r="820" spans="49:49" ht="15" customHeight="1">
      <c r="AW820" s="125">
        <v>521</v>
      </c>
    </row>
    <row r="821" spans="49:49" ht="15" customHeight="1">
      <c r="AW821" s="125">
        <v>522</v>
      </c>
    </row>
    <row r="822" spans="49:49" ht="15" customHeight="1">
      <c r="AW822" s="125">
        <v>523</v>
      </c>
    </row>
    <row r="823" spans="49:49" ht="15" customHeight="1">
      <c r="AW823" s="125">
        <v>524</v>
      </c>
    </row>
    <row r="824" spans="49:49" ht="15" customHeight="1">
      <c r="AW824" s="125">
        <v>525</v>
      </c>
    </row>
    <row r="825" spans="49:49" ht="15" customHeight="1">
      <c r="AW825" s="125">
        <v>526</v>
      </c>
    </row>
    <row r="826" spans="49:49" ht="15" customHeight="1">
      <c r="AW826" s="125">
        <v>527</v>
      </c>
    </row>
    <row r="827" spans="49:49" ht="15" customHeight="1">
      <c r="AW827" s="125">
        <v>528</v>
      </c>
    </row>
    <row r="828" spans="49:49" ht="15" customHeight="1">
      <c r="AW828" s="125">
        <v>529</v>
      </c>
    </row>
    <row r="829" spans="49:49" ht="15" customHeight="1">
      <c r="AW829" s="125">
        <v>530</v>
      </c>
    </row>
    <row r="830" spans="49:49" ht="15" customHeight="1">
      <c r="AW830" s="125">
        <v>531</v>
      </c>
    </row>
    <row r="831" spans="49:49" ht="15" customHeight="1">
      <c r="AW831" s="125">
        <v>532</v>
      </c>
    </row>
    <row r="832" spans="49:49" ht="15" customHeight="1">
      <c r="AW832" s="125">
        <v>533</v>
      </c>
    </row>
    <row r="833" spans="49:49" ht="15" customHeight="1">
      <c r="AW833" s="125">
        <v>534</v>
      </c>
    </row>
    <row r="834" spans="49:49" ht="15" customHeight="1">
      <c r="AW834" s="125">
        <v>535</v>
      </c>
    </row>
    <row r="835" spans="49:49" ht="15" customHeight="1">
      <c r="AW835" s="125">
        <v>536</v>
      </c>
    </row>
    <row r="836" spans="49:49" ht="15" customHeight="1">
      <c r="AW836" s="125">
        <v>537</v>
      </c>
    </row>
    <row r="837" spans="49:49" ht="15" customHeight="1">
      <c r="AW837" s="125">
        <v>538</v>
      </c>
    </row>
    <row r="838" spans="49:49" ht="15" customHeight="1">
      <c r="AW838" s="125">
        <v>539</v>
      </c>
    </row>
    <row r="839" spans="49:49" ht="15" customHeight="1">
      <c r="AW839" s="125">
        <v>540</v>
      </c>
    </row>
    <row r="840" spans="49:49" ht="15" customHeight="1">
      <c r="AW840" s="125">
        <v>541</v>
      </c>
    </row>
    <row r="841" spans="49:49" ht="15" customHeight="1">
      <c r="AW841" s="125">
        <v>542</v>
      </c>
    </row>
    <row r="842" spans="49:49" ht="15" customHeight="1">
      <c r="AW842" s="125">
        <v>543</v>
      </c>
    </row>
    <row r="843" spans="49:49" ht="15" customHeight="1">
      <c r="AW843" s="125">
        <v>544</v>
      </c>
    </row>
    <row r="844" spans="49:49" ht="15" customHeight="1">
      <c r="AW844" s="125">
        <v>545</v>
      </c>
    </row>
    <row r="845" spans="49:49" ht="15" customHeight="1">
      <c r="AW845" s="125">
        <v>546</v>
      </c>
    </row>
    <row r="846" spans="49:49" ht="15" customHeight="1">
      <c r="AW846" s="125">
        <v>547</v>
      </c>
    </row>
    <row r="847" spans="49:49" ht="15" customHeight="1">
      <c r="AW847" s="125">
        <v>548</v>
      </c>
    </row>
    <row r="848" spans="49:49" ht="15" customHeight="1">
      <c r="AW848" s="125">
        <v>549</v>
      </c>
    </row>
    <row r="849" spans="49:49" ht="15" customHeight="1">
      <c r="AW849" s="125">
        <v>550</v>
      </c>
    </row>
    <row r="850" spans="49:49" ht="15" customHeight="1">
      <c r="AW850" s="125">
        <v>551</v>
      </c>
    </row>
    <row r="851" spans="49:49" ht="15" customHeight="1">
      <c r="AW851" s="125">
        <v>552</v>
      </c>
    </row>
    <row r="852" spans="49:49" ht="15" customHeight="1">
      <c r="AW852" s="125">
        <v>553</v>
      </c>
    </row>
    <row r="853" spans="49:49" ht="15" customHeight="1">
      <c r="AW853" s="125">
        <v>554</v>
      </c>
    </row>
    <row r="854" spans="49:49" ht="15" customHeight="1">
      <c r="AW854" s="125">
        <v>555</v>
      </c>
    </row>
    <row r="855" spans="49:49" ht="15" customHeight="1">
      <c r="AW855" s="125">
        <v>556</v>
      </c>
    </row>
    <row r="856" spans="49:49" ht="15" customHeight="1">
      <c r="AW856" s="125">
        <v>557</v>
      </c>
    </row>
    <row r="857" spans="49:49" ht="15" customHeight="1">
      <c r="AW857" s="125">
        <v>558</v>
      </c>
    </row>
    <row r="858" spans="49:49" ht="15" customHeight="1">
      <c r="AW858" s="125">
        <v>559</v>
      </c>
    </row>
    <row r="859" spans="49:49" ht="15" customHeight="1">
      <c r="AW859" s="125">
        <v>560</v>
      </c>
    </row>
    <row r="860" spans="49:49" ht="15" customHeight="1">
      <c r="AW860" s="125">
        <v>561</v>
      </c>
    </row>
    <row r="861" spans="49:49" ht="15" customHeight="1">
      <c r="AW861" s="125">
        <v>562</v>
      </c>
    </row>
    <row r="862" spans="49:49" ht="15" customHeight="1">
      <c r="AW862" s="125">
        <v>563</v>
      </c>
    </row>
    <row r="863" spans="49:49" ht="15" customHeight="1">
      <c r="AW863" s="125">
        <v>564</v>
      </c>
    </row>
    <row r="864" spans="49:49" ht="15" customHeight="1">
      <c r="AW864" s="125">
        <v>565</v>
      </c>
    </row>
    <row r="865" spans="49:49" ht="15" customHeight="1">
      <c r="AW865" s="125">
        <v>566</v>
      </c>
    </row>
    <row r="866" spans="49:49" ht="15" customHeight="1">
      <c r="AW866" s="125">
        <v>567</v>
      </c>
    </row>
    <row r="867" spans="49:49" ht="15" customHeight="1">
      <c r="AW867" s="125">
        <v>568</v>
      </c>
    </row>
    <row r="868" spans="49:49" ht="15" customHeight="1">
      <c r="AW868" s="125">
        <v>569</v>
      </c>
    </row>
    <row r="869" spans="49:49" ht="15" customHeight="1">
      <c r="AW869" s="125">
        <v>570</v>
      </c>
    </row>
    <row r="870" spans="49:49" ht="15" customHeight="1">
      <c r="AW870" s="125">
        <v>571</v>
      </c>
    </row>
    <row r="871" spans="49:49" ht="15" customHeight="1">
      <c r="AW871" s="125">
        <v>572</v>
      </c>
    </row>
    <row r="872" spans="49:49" ht="15" customHeight="1">
      <c r="AW872" s="125">
        <v>573</v>
      </c>
    </row>
    <row r="873" spans="49:49" ht="15" customHeight="1">
      <c r="AW873" s="125">
        <v>574</v>
      </c>
    </row>
    <row r="874" spans="49:49" ht="15" customHeight="1">
      <c r="AW874" s="125">
        <v>575</v>
      </c>
    </row>
    <row r="875" spans="49:49" ht="15" customHeight="1">
      <c r="AW875" s="125">
        <v>576</v>
      </c>
    </row>
    <row r="876" spans="49:49" ht="15" customHeight="1">
      <c r="AW876" s="125">
        <v>577</v>
      </c>
    </row>
    <row r="877" spans="49:49" ht="15" customHeight="1">
      <c r="AW877" s="125">
        <v>578</v>
      </c>
    </row>
    <row r="878" spans="49:49" ht="15" customHeight="1">
      <c r="AW878" s="125">
        <v>579</v>
      </c>
    </row>
    <row r="879" spans="49:49" ht="15" customHeight="1">
      <c r="AW879" s="125">
        <v>580</v>
      </c>
    </row>
    <row r="880" spans="49:49" ht="15" customHeight="1">
      <c r="AW880" s="125">
        <v>581</v>
      </c>
    </row>
    <row r="881" spans="49:49" ht="15" customHeight="1">
      <c r="AW881" s="125">
        <v>582</v>
      </c>
    </row>
    <row r="882" spans="49:49" ht="15" customHeight="1">
      <c r="AW882" s="125">
        <v>583</v>
      </c>
    </row>
    <row r="883" spans="49:49" ht="15" customHeight="1">
      <c r="AW883" s="125">
        <v>584</v>
      </c>
    </row>
    <row r="884" spans="49:49" ht="15" customHeight="1">
      <c r="AW884" s="125">
        <v>585</v>
      </c>
    </row>
    <row r="885" spans="49:49" ht="15" customHeight="1">
      <c r="AW885" s="125">
        <v>586</v>
      </c>
    </row>
    <row r="886" spans="49:49" ht="15" customHeight="1">
      <c r="AW886" s="125">
        <v>587</v>
      </c>
    </row>
    <row r="887" spans="49:49" ht="15" customHeight="1">
      <c r="AW887" s="125">
        <v>588</v>
      </c>
    </row>
    <row r="888" spans="49:49" ht="15" customHeight="1">
      <c r="AW888" s="125">
        <v>589</v>
      </c>
    </row>
    <row r="889" spans="49:49" ht="15" customHeight="1">
      <c r="AW889" s="125">
        <v>590</v>
      </c>
    </row>
    <row r="890" spans="49:49" ht="15" customHeight="1">
      <c r="AW890" s="125">
        <v>591</v>
      </c>
    </row>
    <row r="891" spans="49:49" ht="15" customHeight="1">
      <c r="AW891" s="125">
        <v>592</v>
      </c>
    </row>
    <row r="892" spans="49:49" ht="15" customHeight="1">
      <c r="AW892" s="125">
        <v>593</v>
      </c>
    </row>
    <row r="893" spans="49:49" ht="15" customHeight="1">
      <c r="AW893" s="125">
        <v>594</v>
      </c>
    </row>
    <row r="894" spans="49:49" ht="15" customHeight="1">
      <c r="AW894" s="125">
        <v>595</v>
      </c>
    </row>
    <row r="895" spans="49:49" ht="15" customHeight="1">
      <c r="AW895" s="125">
        <v>596</v>
      </c>
    </row>
    <row r="896" spans="49:49" ht="15" customHeight="1">
      <c r="AW896" s="125">
        <v>597</v>
      </c>
    </row>
    <row r="897" spans="49:49" ht="15" customHeight="1">
      <c r="AW897" s="125">
        <v>598</v>
      </c>
    </row>
    <row r="898" spans="49:49" ht="15" customHeight="1">
      <c r="AW898" s="125">
        <v>599</v>
      </c>
    </row>
    <row r="899" spans="49:49" ht="15" customHeight="1">
      <c r="AW899" s="125">
        <v>600</v>
      </c>
    </row>
    <row r="900" spans="49:49" ht="15" customHeight="1">
      <c r="AW900" s="125">
        <v>601</v>
      </c>
    </row>
    <row r="901" spans="49:49" ht="15" customHeight="1">
      <c r="AW901" s="125">
        <v>602</v>
      </c>
    </row>
    <row r="902" spans="49:49" ht="15" customHeight="1">
      <c r="AW902" s="125">
        <v>603</v>
      </c>
    </row>
    <row r="903" spans="49:49" ht="15" customHeight="1">
      <c r="AW903" s="125">
        <v>604</v>
      </c>
    </row>
    <row r="904" spans="49:49" ht="15" customHeight="1">
      <c r="AW904" s="125">
        <v>605</v>
      </c>
    </row>
    <row r="905" spans="49:49" ht="15" customHeight="1">
      <c r="AW905" s="125">
        <v>606</v>
      </c>
    </row>
    <row r="906" spans="49:49" ht="15" customHeight="1">
      <c r="AW906" s="125">
        <v>607</v>
      </c>
    </row>
    <row r="907" spans="49:49" ht="15" customHeight="1">
      <c r="AW907" s="125">
        <v>608</v>
      </c>
    </row>
    <row r="908" spans="49:49" ht="15" customHeight="1">
      <c r="AW908" s="125">
        <v>609</v>
      </c>
    </row>
    <row r="909" spans="49:49" ht="15" customHeight="1">
      <c r="AW909" s="125">
        <v>610</v>
      </c>
    </row>
    <row r="910" spans="49:49" ht="15" customHeight="1">
      <c r="AW910" s="125">
        <v>611</v>
      </c>
    </row>
    <row r="911" spans="49:49" ht="15" customHeight="1">
      <c r="AW911" s="125">
        <v>612</v>
      </c>
    </row>
    <row r="912" spans="49:49" ht="15" customHeight="1">
      <c r="AW912" s="125">
        <v>613</v>
      </c>
    </row>
    <row r="913" spans="49:49" ht="15" customHeight="1">
      <c r="AW913" s="125">
        <v>614</v>
      </c>
    </row>
    <row r="914" spans="49:49" ht="15" customHeight="1">
      <c r="AW914" s="125">
        <v>615</v>
      </c>
    </row>
    <row r="915" spans="49:49" ht="15" customHeight="1">
      <c r="AW915" s="125">
        <v>616</v>
      </c>
    </row>
    <row r="916" spans="49:49" ht="15" customHeight="1">
      <c r="AW916" s="125">
        <v>617</v>
      </c>
    </row>
    <row r="917" spans="49:49" ht="15" customHeight="1">
      <c r="AW917" s="125">
        <v>618</v>
      </c>
    </row>
    <row r="918" spans="49:49" ht="15" customHeight="1">
      <c r="AW918" s="125">
        <v>619</v>
      </c>
    </row>
    <row r="919" spans="49:49" ht="15" customHeight="1">
      <c r="AW919" s="125">
        <v>620</v>
      </c>
    </row>
    <row r="920" spans="49:49" ht="15" customHeight="1">
      <c r="AW920" s="125">
        <v>621</v>
      </c>
    </row>
    <row r="921" spans="49:49" ht="15" customHeight="1">
      <c r="AW921" s="125">
        <v>622</v>
      </c>
    </row>
    <row r="922" spans="49:49" ht="15" customHeight="1">
      <c r="AW922" s="125">
        <v>623</v>
      </c>
    </row>
    <row r="923" spans="49:49" ht="15" customHeight="1">
      <c r="AW923" s="125">
        <v>624</v>
      </c>
    </row>
    <row r="924" spans="49:49" ht="15" customHeight="1">
      <c r="AW924" s="125">
        <v>625</v>
      </c>
    </row>
    <row r="925" spans="49:49" ht="15" customHeight="1">
      <c r="AW925" s="125">
        <v>626</v>
      </c>
    </row>
    <row r="926" spans="49:49" ht="15" customHeight="1">
      <c r="AW926" s="125">
        <v>627</v>
      </c>
    </row>
    <row r="927" spans="49:49" ht="15" customHeight="1">
      <c r="AW927" s="125">
        <v>628</v>
      </c>
    </row>
    <row r="928" spans="49:49" ht="15" customHeight="1">
      <c r="AW928" s="125">
        <v>629</v>
      </c>
    </row>
    <row r="929" spans="49:49" ht="15" customHeight="1">
      <c r="AW929" s="125">
        <v>630</v>
      </c>
    </row>
    <row r="930" spans="49:49" ht="15" customHeight="1">
      <c r="AW930" s="125">
        <v>631</v>
      </c>
    </row>
    <row r="931" spans="49:49" ht="15" customHeight="1">
      <c r="AW931" s="125">
        <v>632</v>
      </c>
    </row>
    <row r="932" spans="49:49" ht="15" customHeight="1">
      <c r="AW932" s="125">
        <v>633</v>
      </c>
    </row>
    <row r="933" spans="49:49" ht="15" customHeight="1">
      <c r="AW933" s="125">
        <v>634</v>
      </c>
    </row>
    <row r="934" spans="49:49" ht="15" customHeight="1">
      <c r="AW934" s="125">
        <v>635</v>
      </c>
    </row>
    <row r="935" spans="49:49" ht="15" customHeight="1">
      <c r="AW935" s="125">
        <v>636</v>
      </c>
    </row>
    <row r="936" spans="49:49" ht="15" customHeight="1">
      <c r="AW936" s="125">
        <v>637</v>
      </c>
    </row>
    <row r="937" spans="49:49" ht="15" customHeight="1">
      <c r="AW937" s="125">
        <v>638</v>
      </c>
    </row>
    <row r="938" spans="49:49" ht="15" customHeight="1">
      <c r="AW938" s="125">
        <v>639</v>
      </c>
    </row>
    <row r="939" spans="49:49" ht="15" customHeight="1">
      <c r="AW939" s="125">
        <v>640</v>
      </c>
    </row>
    <row r="940" spans="49:49" ht="15" customHeight="1">
      <c r="AW940" s="125">
        <v>641</v>
      </c>
    </row>
    <row r="941" spans="49:49" ht="15" customHeight="1">
      <c r="AW941" s="125">
        <v>642</v>
      </c>
    </row>
    <row r="942" spans="49:49" ht="15" customHeight="1">
      <c r="AW942" s="125">
        <v>643</v>
      </c>
    </row>
    <row r="943" spans="49:49" ht="15" customHeight="1">
      <c r="AW943" s="125">
        <v>644</v>
      </c>
    </row>
    <row r="944" spans="49:49" ht="15" customHeight="1">
      <c r="AW944" s="125">
        <v>645</v>
      </c>
    </row>
    <row r="945" spans="49:49" ht="15" customHeight="1">
      <c r="AW945" s="125">
        <v>646</v>
      </c>
    </row>
    <row r="946" spans="49:49" ht="15" customHeight="1">
      <c r="AW946" s="125">
        <v>647</v>
      </c>
    </row>
    <row r="947" spans="49:49" ht="15" customHeight="1">
      <c r="AW947" s="125">
        <v>648</v>
      </c>
    </row>
    <row r="948" spans="49:49" ht="15" customHeight="1">
      <c r="AW948" s="125">
        <v>649</v>
      </c>
    </row>
    <row r="949" spans="49:49" ht="15" customHeight="1">
      <c r="AW949" s="125">
        <v>650</v>
      </c>
    </row>
    <row r="950" spans="49:49" ht="15" customHeight="1">
      <c r="AW950" s="125">
        <v>651</v>
      </c>
    </row>
    <row r="951" spans="49:49" ht="15" customHeight="1">
      <c r="AW951" s="125">
        <v>652</v>
      </c>
    </row>
    <row r="952" spans="49:49" ht="15" customHeight="1">
      <c r="AW952" s="125">
        <v>653</v>
      </c>
    </row>
    <row r="953" spans="49:49" ht="15" customHeight="1">
      <c r="AW953" s="125">
        <v>654</v>
      </c>
    </row>
    <row r="954" spans="49:49" ht="15" customHeight="1">
      <c r="AW954" s="125">
        <v>655</v>
      </c>
    </row>
    <row r="955" spans="49:49" ht="15" customHeight="1">
      <c r="AW955" s="125">
        <v>656</v>
      </c>
    </row>
    <row r="956" spans="49:49" ht="15" customHeight="1">
      <c r="AW956" s="125">
        <v>657</v>
      </c>
    </row>
    <row r="957" spans="49:49" ht="15" customHeight="1">
      <c r="AW957" s="125">
        <v>658</v>
      </c>
    </row>
    <row r="958" spans="49:49" ht="15" customHeight="1">
      <c r="AW958" s="125">
        <v>659</v>
      </c>
    </row>
    <row r="959" spans="49:49" ht="15" customHeight="1">
      <c r="AW959" s="125">
        <v>660</v>
      </c>
    </row>
    <row r="960" spans="49:49" ht="15" customHeight="1">
      <c r="AW960" s="125">
        <v>661</v>
      </c>
    </row>
    <row r="961" spans="49:49" ht="15" customHeight="1">
      <c r="AW961" s="125">
        <v>662</v>
      </c>
    </row>
    <row r="962" spans="49:49" ht="15" customHeight="1">
      <c r="AW962" s="125">
        <v>663</v>
      </c>
    </row>
    <row r="963" spans="49:49" ht="15" customHeight="1">
      <c r="AW963" s="125">
        <v>664</v>
      </c>
    </row>
    <row r="964" spans="49:49" ht="15" customHeight="1">
      <c r="AW964" s="125">
        <v>665</v>
      </c>
    </row>
    <row r="965" spans="49:49" ht="15" customHeight="1">
      <c r="AW965" s="125">
        <v>666</v>
      </c>
    </row>
    <row r="966" spans="49:49" ht="15" customHeight="1">
      <c r="AW966" s="125">
        <v>667</v>
      </c>
    </row>
    <row r="967" spans="49:49" ht="15" customHeight="1">
      <c r="AW967" s="125">
        <v>668</v>
      </c>
    </row>
    <row r="968" spans="49:49" ht="15" customHeight="1">
      <c r="AW968" s="125">
        <v>669</v>
      </c>
    </row>
    <row r="969" spans="49:49" ht="15" customHeight="1">
      <c r="AW969" s="125">
        <v>670</v>
      </c>
    </row>
    <row r="970" spans="49:49" ht="15" customHeight="1">
      <c r="AW970" s="125">
        <v>671</v>
      </c>
    </row>
    <row r="971" spans="49:49" ht="15" customHeight="1">
      <c r="AW971" s="125">
        <v>672</v>
      </c>
    </row>
    <row r="972" spans="49:49" ht="15" customHeight="1">
      <c r="AW972" s="125">
        <v>673</v>
      </c>
    </row>
    <row r="973" spans="49:49" ht="15" customHeight="1">
      <c r="AW973" s="125">
        <v>674</v>
      </c>
    </row>
    <row r="974" spans="49:49" ht="15" customHeight="1">
      <c r="AW974" s="125">
        <v>675</v>
      </c>
    </row>
    <row r="975" spans="49:49" ht="15" customHeight="1">
      <c r="AW975" s="125">
        <v>676</v>
      </c>
    </row>
    <row r="976" spans="49:49" ht="15" customHeight="1">
      <c r="AW976" s="125">
        <v>677</v>
      </c>
    </row>
    <row r="977" spans="49:49" ht="15" customHeight="1">
      <c r="AW977" s="125">
        <v>678</v>
      </c>
    </row>
    <row r="978" spans="49:49" ht="15" customHeight="1">
      <c r="AW978" s="125">
        <v>679</v>
      </c>
    </row>
    <row r="979" spans="49:49" ht="15" customHeight="1">
      <c r="AW979" s="125">
        <v>680</v>
      </c>
    </row>
    <row r="980" spans="49:49" ht="15" customHeight="1">
      <c r="AW980" s="125">
        <v>681</v>
      </c>
    </row>
    <row r="981" spans="49:49" ht="15" customHeight="1">
      <c r="AW981" s="125">
        <v>682</v>
      </c>
    </row>
    <row r="982" spans="49:49" ht="15" customHeight="1">
      <c r="AW982" s="125">
        <v>683</v>
      </c>
    </row>
    <row r="983" spans="49:49" ht="15" customHeight="1">
      <c r="AW983" s="125">
        <v>684</v>
      </c>
    </row>
    <row r="984" spans="49:49" ht="15" customHeight="1">
      <c r="AW984" s="125">
        <v>685</v>
      </c>
    </row>
    <row r="985" spans="49:49" ht="15" customHeight="1">
      <c r="AW985" s="125">
        <v>686</v>
      </c>
    </row>
    <row r="986" spans="49:49" ht="15" customHeight="1">
      <c r="AW986" s="125">
        <v>687</v>
      </c>
    </row>
    <row r="987" spans="49:49" ht="15" customHeight="1">
      <c r="AW987" s="125">
        <v>688</v>
      </c>
    </row>
    <row r="988" spans="49:49" ht="15" customHeight="1">
      <c r="AW988" s="125">
        <v>689</v>
      </c>
    </row>
    <row r="989" spans="49:49" ht="15" customHeight="1">
      <c r="AW989" s="125">
        <v>690</v>
      </c>
    </row>
    <row r="990" spans="49:49" ht="15" customHeight="1">
      <c r="AW990" s="125">
        <v>691</v>
      </c>
    </row>
    <row r="991" spans="49:49" ht="15" customHeight="1">
      <c r="AW991" s="125">
        <v>692</v>
      </c>
    </row>
    <row r="992" spans="49:49" ht="15" customHeight="1">
      <c r="AW992" s="125">
        <v>693</v>
      </c>
    </row>
    <row r="993" spans="49:49" ht="15" customHeight="1">
      <c r="AW993" s="125">
        <v>694</v>
      </c>
    </row>
    <row r="994" spans="49:49" ht="15" customHeight="1">
      <c r="AW994" s="125">
        <v>695</v>
      </c>
    </row>
    <row r="995" spans="49:49" ht="15" customHeight="1">
      <c r="AW995" s="125">
        <v>696</v>
      </c>
    </row>
    <row r="996" spans="49:49" ht="15" customHeight="1">
      <c r="AW996" s="125">
        <v>697</v>
      </c>
    </row>
    <row r="997" spans="49:49" ht="15" customHeight="1">
      <c r="AW997" s="125">
        <v>698</v>
      </c>
    </row>
    <row r="998" spans="49:49" ht="15" customHeight="1">
      <c r="AW998" s="125">
        <v>699</v>
      </c>
    </row>
    <row r="999" spans="49:49" ht="15" customHeight="1">
      <c r="AW999" s="125">
        <v>700</v>
      </c>
    </row>
    <row r="1000" spans="49:49" ht="15" customHeight="1">
      <c r="AW1000" s="125">
        <v>701</v>
      </c>
    </row>
    <row r="1001" spans="49:49" ht="15" customHeight="1">
      <c r="AW1001" s="125">
        <v>702</v>
      </c>
    </row>
    <row r="1002" spans="49:49" ht="15" customHeight="1">
      <c r="AW1002" s="125">
        <v>703</v>
      </c>
    </row>
    <row r="1003" spans="49:49" ht="15" customHeight="1">
      <c r="AW1003" s="125">
        <v>704</v>
      </c>
    </row>
    <row r="1004" spans="49:49" ht="15" customHeight="1">
      <c r="AW1004" s="125">
        <v>705</v>
      </c>
    </row>
    <row r="1005" spans="49:49" ht="15" customHeight="1">
      <c r="AW1005" s="125">
        <v>706</v>
      </c>
    </row>
    <row r="1006" spans="49:49" ht="15" customHeight="1">
      <c r="AW1006" s="125">
        <v>707</v>
      </c>
    </row>
    <row r="1007" spans="49:49" ht="15" customHeight="1">
      <c r="AW1007" s="125">
        <v>708</v>
      </c>
    </row>
    <row r="1008" spans="49:49" ht="15" customHeight="1">
      <c r="AW1008" s="125">
        <v>709</v>
      </c>
    </row>
    <row r="1009" spans="49:49" ht="15" customHeight="1">
      <c r="AW1009" s="125">
        <v>710</v>
      </c>
    </row>
    <row r="1010" spans="49:49" ht="15" customHeight="1">
      <c r="AW1010" s="125">
        <v>711</v>
      </c>
    </row>
    <row r="1011" spans="49:49" ht="15" customHeight="1">
      <c r="AW1011" s="125">
        <v>712</v>
      </c>
    </row>
    <row r="1012" spans="49:49" ht="15" customHeight="1">
      <c r="AW1012" s="125">
        <v>713</v>
      </c>
    </row>
    <row r="1013" spans="49:49" ht="15" customHeight="1">
      <c r="AW1013" s="125">
        <v>714</v>
      </c>
    </row>
    <row r="1014" spans="49:49" ht="15" customHeight="1">
      <c r="AW1014" s="125">
        <v>715</v>
      </c>
    </row>
    <row r="1015" spans="49:49" ht="15" customHeight="1">
      <c r="AW1015" s="125">
        <v>716</v>
      </c>
    </row>
    <row r="1016" spans="49:49" ht="15" customHeight="1">
      <c r="AW1016" s="125">
        <v>717</v>
      </c>
    </row>
    <row r="1017" spans="49:49" ht="15" customHeight="1">
      <c r="AW1017" s="125">
        <v>718</v>
      </c>
    </row>
    <row r="1018" spans="49:49" ht="15" customHeight="1">
      <c r="AW1018" s="125">
        <v>719</v>
      </c>
    </row>
    <row r="1019" spans="49:49" ht="15" customHeight="1">
      <c r="AW1019" s="125">
        <v>720</v>
      </c>
    </row>
    <row r="1020" spans="49:49" ht="15" customHeight="1">
      <c r="AW1020" s="125">
        <v>721</v>
      </c>
    </row>
    <row r="1021" spans="49:49" ht="15" customHeight="1">
      <c r="AW1021" s="125">
        <v>722</v>
      </c>
    </row>
    <row r="1022" spans="49:49" ht="15" customHeight="1">
      <c r="AW1022" s="125">
        <v>723</v>
      </c>
    </row>
    <row r="1023" spans="49:49" ht="15" customHeight="1">
      <c r="AW1023" s="125">
        <v>724</v>
      </c>
    </row>
    <row r="1024" spans="49:49" ht="15" customHeight="1">
      <c r="AW1024" s="125">
        <v>725</v>
      </c>
    </row>
    <row r="1025" spans="49:49" ht="15" customHeight="1">
      <c r="AW1025" s="125">
        <v>726</v>
      </c>
    </row>
    <row r="1026" spans="49:49" ht="15" customHeight="1">
      <c r="AW1026" s="125">
        <v>727</v>
      </c>
    </row>
    <row r="1027" spans="49:49" ht="15" customHeight="1">
      <c r="AW1027" s="125">
        <v>728</v>
      </c>
    </row>
    <row r="1028" spans="49:49" ht="15" customHeight="1">
      <c r="AW1028" s="125">
        <v>729</v>
      </c>
    </row>
    <row r="1029" spans="49:49" ht="15" customHeight="1">
      <c r="AW1029" s="125">
        <v>730</v>
      </c>
    </row>
    <row r="1030" spans="49:49" ht="15" customHeight="1">
      <c r="AW1030" s="125">
        <v>731</v>
      </c>
    </row>
    <row r="1031" spans="49:49" ht="15" customHeight="1">
      <c r="AW1031" s="125">
        <v>732</v>
      </c>
    </row>
    <row r="1032" spans="49:49" ht="15" customHeight="1">
      <c r="AW1032" s="125">
        <v>733</v>
      </c>
    </row>
    <row r="1033" spans="49:49" ht="15" customHeight="1">
      <c r="AW1033" s="125">
        <v>734</v>
      </c>
    </row>
    <row r="1034" spans="49:49" ht="15" customHeight="1">
      <c r="AW1034" s="125">
        <v>735</v>
      </c>
    </row>
    <row r="1035" spans="49:49" ht="15" customHeight="1">
      <c r="AW1035" s="125">
        <v>736</v>
      </c>
    </row>
    <row r="1036" spans="49:49" ht="15" customHeight="1">
      <c r="AW1036" s="125">
        <v>737</v>
      </c>
    </row>
    <row r="1037" spans="49:49" ht="15" customHeight="1">
      <c r="AW1037" s="125">
        <v>738</v>
      </c>
    </row>
    <row r="1038" spans="49:49" ht="15" customHeight="1">
      <c r="AW1038" s="125">
        <v>739</v>
      </c>
    </row>
    <row r="1039" spans="49:49" ht="15" customHeight="1">
      <c r="AW1039" s="125">
        <v>740</v>
      </c>
    </row>
    <row r="1040" spans="49:49" ht="15" customHeight="1">
      <c r="AW1040" s="125">
        <v>741</v>
      </c>
    </row>
    <row r="1041" spans="49:49" ht="15" customHeight="1">
      <c r="AW1041" s="125">
        <v>742</v>
      </c>
    </row>
    <row r="1042" spans="49:49" ht="15" customHeight="1">
      <c r="AW1042" s="125">
        <v>743</v>
      </c>
    </row>
    <row r="1043" spans="49:49" ht="15" customHeight="1">
      <c r="AW1043" s="125">
        <v>744</v>
      </c>
    </row>
    <row r="1044" spans="49:49" ht="15" customHeight="1">
      <c r="AW1044" s="125">
        <v>745</v>
      </c>
    </row>
    <row r="1045" spans="49:49" ht="15" customHeight="1">
      <c r="AW1045" s="125">
        <v>746</v>
      </c>
    </row>
    <row r="1046" spans="49:49" ht="15" customHeight="1">
      <c r="AW1046" s="125">
        <v>747</v>
      </c>
    </row>
    <row r="1047" spans="49:49" ht="15" customHeight="1">
      <c r="AW1047" s="125">
        <v>748</v>
      </c>
    </row>
    <row r="1048" spans="49:49" ht="15" customHeight="1">
      <c r="AW1048" s="125">
        <v>749</v>
      </c>
    </row>
    <row r="1049" spans="49:49" ht="15" customHeight="1">
      <c r="AW1049" s="125">
        <v>750</v>
      </c>
    </row>
    <row r="1050" spans="49:49" ht="15" customHeight="1">
      <c r="AW1050" s="125">
        <v>751</v>
      </c>
    </row>
    <row r="1051" spans="49:49" ht="15" customHeight="1">
      <c r="AW1051" s="125">
        <v>752</v>
      </c>
    </row>
    <row r="1052" spans="49:49" ht="15" customHeight="1">
      <c r="AW1052" s="125">
        <v>753</v>
      </c>
    </row>
    <row r="1053" spans="49:49" ht="15" customHeight="1">
      <c r="AW1053" s="125">
        <v>754</v>
      </c>
    </row>
    <row r="1054" spans="49:49" ht="15" customHeight="1">
      <c r="AW1054" s="125">
        <v>755</v>
      </c>
    </row>
    <row r="1055" spans="49:49" ht="15" customHeight="1">
      <c r="AW1055" s="125">
        <v>756</v>
      </c>
    </row>
    <row r="1056" spans="49:49" ht="15" customHeight="1">
      <c r="AW1056" s="125">
        <v>757</v>
      </c>
    </row>
    <row r="1057" spans="49:49" ht="15" customHeight="1">
      <c r="AW1057" s="125">
        <v>758</v>
      </c>
    </row>
    <row r="1058" spans="49:49" ht="15" customHeight="1">
      <c r="AW1058" s="125">
        <v>759</v>
      </c>
    </row>
    <row r="1059" spans="49:49" ht="15" customHeight="1">
      <c r="AW1059" s="125">
        <v>760</v>
      </c>
    </row>
    <row r="1060" spans="49:49" ht="15" customHeight="1">
      <c r="AW1060" s="125">
        <v>761</v>
      </c>
    </row>
    <row r="1061" spans="49:49" ht="15" customHeight="1">
      <c r="AW1061" s="125">
        <v>762</v>
      </c>
    </row>
    <row r="1062" spans="49:49" ht="15" customHeight="1">
      <c r="AW1062" s="125">
        <v>763</v>
      </c>
    </row>
    <row r="1063" spans="49:49" ht="15" customHeight="1">
      <c r="AW1063" s="125">
        <v>764</v>
      </c>
    </row>
    <row r="1064" spans="49:49" ht="15" customHeight="1">
      <c r="AW1064" s="125">
        <v>765</v>
      </c>
    </row>
    <row r="1065" spans="49:49" ht="15" customHeight="1">
      <c r="AW1065" s="125">
        <v>766</v>
      </c>
    </row>
    <row r="1066" spans="49:49" ht="15" customHeight="1">
      <c r="AW1066" s="125">
        <v>767</v>
      </c>
    </row>
    <row r="1067" spans="49:49" ht="15" customHeight="1">
      <c r="AW1067" s="125">
        <v>768</v>
      </c>
    </row>
    <row r="1068" spans="49:49" ht="15" customHeight="1">
      <c r="AW1068" s="125">
        <v>769</v>
      </c>
    </row>
    <row r="1069" spans="49:49" ht="15" customHeight="1">
      <c r="AW1069" s="125">
        <v>770</v>
      </c>
    </row>
    <row r="1070" spans="49:49" ht="15" customHeight="1">
      <c r="AW1070" s="125">
        <v>771</v>
      </c>
    </row>
    <row r="1071" spans="49:49" ht="15" customHeight="1">
      <c r="AW1071" s="125">
        <v>772</v>
      </c>
    </row>
    <row r="1072" spans="49:49" ht="15" customHeight="1">
      <c r="AW1072" s="125">
        <v>773</v>
      </c>
    </row>
    <row r="1073" spans="49:49" ht="15" customHeight="1">
      <c r="AW1073" s="125">
        <v>774</v>
      </c>
    </row>
    <row r="1074" spans="49:49" ht="15" customHeight="1">
      <c r="AW1074" s="125">
        <v>775</v>
      </c>
    </row>
    <row r="1075" spans="49:49" ht="15" customHeight="1">
      <c r="AW1075" s="125">
        <v>776</v>
      </c>
    </row>
    <row r="1076" spans="49:49" ht="15" customHeight="1">
      <c r="AW1076" s="125">
        <v>777</v>
      </c>
    </row>
    <row r="1077" spans="49:49" ht="15" customHeight="1">
      <c r="AW1077" s="125">
        <v>778</v>
      </c>
    </row>
    <row r="1078" spans="49:49" ht="15" customHeight="1">
      <c r="AW1078" s="125">
        <v>779</v>
      </c>
    </row>
    <row r="1079" spans="49:49" ht="15" customHeight="1">
      <c r="AW1079" s="125">
        <v>780</v>
      </c>
    </row>
    <row r="1080" spans="49:49" ht="15" customHeight="1">
      <c r="AW1080" s="125">
        <v>781</v>
      </c>
    </row>
    <row r="1081" spans="49:49" ht="15" customHeight="1">
      <c r="AW1081" s="125">
        <v>782</v>
      </c>
    </row>
    <row r="1082" spans="49:49" ht="15" customHeight="1">
      <c r="AW1082" s="125">
        <v>783</v>
      </c>
    </row>
    <row r="1083" spans="49:49" ht="15" customHeight="1">
      <c r="AW1083" s="125">
        <v>784</v>
      </c>
    </row>
    <row r="1084" spans="49:49" ht="15" customHeight="1">
      <c r="AW1084" s="125">
        <v>785</v>
      </c>
    </row>
    <row r="1085" spans="49:49" ht="15" customHeight="1">
      <c r="AW1085" s="125">
        <v>786</v>
      </c>
    </row>
    <row r="1086" spans="49:49" ht="15" customHeight="1">
      <c r="AW1086" s="125">
        <v>787</v>
      </c>
    </row>
    <row r="1087" spans="49:49" ht="15" customHeight="1">
      <c r="AW1087" s="125">
        <v>788</v>
      </c>
    </row>
    <row r="1088" spans="49:49" ht="15" customHeight="1">
      <c r="AW1088" s="125">
        <v>789</v>
      </c>
    </row>
    <row r="1089" spans="49:49" ht="15" customHeight="1">
      <c r="AW1089" s="125">
        <v>790</v>
      </c>
    </row>
    <row r="1090" spans="49:49" ht="15" customHeight="1">
      <c r="AW1090" s="125">
        <v>791</v>
      </c>
    </row>
    <row r="1091" spans="49:49" ht="15" customHeight="1">
      <c r="AW1091" s="125">
        <v>792</v>
      </c>
    </row>
    <row r="1092" spans="49:49" ht="15" customHeight="1">
      <c r="AW1092" s="125">
        <v>793</v>
      </c>
    </row>
    <row r="1093" spans="49:49" ht="15" customHeight="1">
      <c r="AW1093" s="125">
        <v>794</v>
      </c>
    </row>
    <row r="1094" spans="49:49" ht="15" customHeight="1">
      <c r="AW1094" s="125">
        <v>795</v>
      </c>
    </row>
    <row r="1095" spans="49:49" ht="15" customHeight="1">
      <c r="AW1095" s="125">
        <v>796</v>
      </c>
    </row>
    <row r="1096" spans="49:49" ht="15" customHeight="1">
      <c r="AW1096" s="125">
        <v>797</v>
      </c>
    </row>
    <row r="1097" spans="49:49" ht="15" customHeight="1">
      <c r="AW1097" s="125">
        <v>798</v>
      </c>
    </row>
    <row r="1098" spans="49:49" ht="15" customHeight="1">
      <c r="AW1098" s="125">
        <v>799</v>
      </c>
    </row>
    <row r="1099" spans="49:49" ht="15" customHeight="1">
      <c r="AW1099" s="125">
        <v>800</v>
      </c>
    </row>
    <row r="1100" spans="49:49" ht="15" customHeight="1">
      <c r="AW1100" s="125">
        <v>801</v>
      </c>
    </row>
    <row r="1101" spans="49:49" ht="15" customHeight="1">
      <c r="AW1101" s="125">
        <v>802</v>
      </c>
    </row>
    <row r="1102" spans="49:49" ht="15" customHeight="1">
      <c r="AW1102" s="125">
        <v>803</v>
      </c>
    </row>
    <row r="1103" spans="49:49" ht="15" customHeight="1">
      <c r="AW1103" s="125">
        <v>804</v>
      </c>
    </row>
    <row r="1104" spans="49:49" ht="15" customHeight="1">
      <c r="AW1104" s="125">
        <v>805</v>
      </c>
    </row>
    <row r="1105" spans="49:49" ht="15" customHeight="1">
      <c r="AW1105" s="125">
        <v>806</v>
      </c>
    </row>
    <row r="1106" spans="49:49" ht="15" customHeight="1">
      <c r="AW1106" s="125">
        <v>807</v>
      </c>
    </row>
    <row r="1107" spans="49:49" ht="15" customHeight="1">
      <c r="AW1107" s="125">
        <v>808</v>
      </c>
    </row>
    <row r="1108" spans="49:49" ht="15" customHeight="1">
      <c r="AW1108" s="125">
        <v>809</v>
      </c>
    </row>
    <row r="1109" spans="49:49" ht="15" customHeight="1">
      <c r="AW1109" s="125">
        <v>810</v>
      </c>
    </row>
    <row r="1110" spans="49:49" ht="15" customHeight="1">
      <c r="AW1110" s="125">
        <v>811</v>
      </c>
    </row>
    <row r="1111" spans="49:49" ht="15" customHeight="1">
      <c r="AW1111" s="125">
        <v>812</v>
      </c>
    </row>
    <row r="1112" spans="49:49" ht="15" customHeight="1">
      <c r="AW1112" s="125">
        <v>813</v>
      </c>
    </row>
    <row r="1113" spans="49:49" ht="15" customHeight="1">
      <c r="AW1113" s="125">
        <v>814</v>
      </c>
    </row>
    <row r="1114" spans="49:49" ht="15" customHeight="1">
      <c r="AW1114" s="125">
        <v>815</v>
      </c>
    </row>
    <row r="1115" spans="49:49" ht="15" customHeight="1">
      <c r="AW1115" s="125">
        <v>816</v>
      </c>
    </row>
    <row r="1116" spans="49:49" ht="15" customHeight="1">
      <c r="AW1116" s="125">
        <v>817</v>
      </c>
    </row>
    <row r="1117" spans="49:49" ht="15" customHeight="1">
      <c r="AW1117" s="125">
        <v>818</v>
      </c>
    </row>
    <row r="1118" spans="49:49" ht="15" customHeight="1">
      <c r="AW1118" s="125">
        <v>819</v>
      </c>
    </row>
    <row r="1119" spans="49:49" ht="15" customHeight="1">
      <c r="AW1119" s="125">
        <v>820</v>
      </c>
    </row>
    <row r="1120" spans="49:49" ht="15" customHeight="1">
      <c r="AW1120" s="125">
        <v>821</v>
      </c>
    </row>
    <row r="1121" spans="49:49" ht="15" customHeight="1">
      <c r="AW1121" s="125">
        <v>822</v>
      </c>
    </row>
    <row r="1122" spans="49:49" ht="15" customHeight="1">
      <c r="AW1122" s="125">
        <v>823</v>
      </c>
    </row>
    <row r="1123" spans="49:49" ht="15" customHeight="1">
      <c r="AW1123" s="125">
        <v>824</v>
      </c>
    </row>
    <row r="1124" spans="49:49" ht="15" customHeight="1">
      <c r="AW1124" s="125">
        <v>825</v>
      </c>
    </row>
    <row r="1125" spans="49:49" ht="15" customHeight="1">
      <c r="AW1125" s="125">
        <v>826</v>
      </c>
    </row>
    <row r="1126" spans="49:49" ht="15" customHeight="1">
      <c r="AW1126" s="125">
        <v>827</v>
      </c>
    </row>
    <row r="1127" spans="49:49" ht="15" customHeight="1">
      <c r="AW1127" s="125">
        <v>828</v>
      </c>
    </row>
    <row r="1128" spans="49:49" ht="15" customHeight="1">
      <c r="AW1128" s="125">
        <v>829</v>
      </c>
    </row>
    <row r="1129" spans="49:49" ht="15" customHeight="1">
      <c r="AW1129" s="125">
        <v>830</v>
      </c>
    </row>
    <row r="1130" spans="49:49" ht="15" customHeight="1">
      <c r="AW1130" s="125">
        <v>831</v>
      </c>
    </row>
    <row r="1131" spans="49:49" ht="15" customHeight="1">
      <c r="AW1131" s="125">
        <v>832</v>
      </c>
    </row>
    <row r="1132" spans="49:49" ht="15" customHeight="1">
      <c r="AW1132" s="125">
        <v>833</v>
      </c>
    </row>
    <row r="1133" spans="49:49" ht="15" customHeight="1">
      <c r="AW1133" s="125">
        <v>834</v>
      </c>
    </row>
    <row r="1134" spans="49:49" ht="15" customHeight="1">
      <c r="AW1134" s="125">
        <v>835</v>
      </c>
    </row>
    <row r="1135" spans="49:49" ht="15" customHeight="1">
      <c r="AW1135" s="125">
        <v>836</v>
      </c>
    </row>
    <row r="1136" spans="49:49" ht="15" customHeight="1">
      <c r="AW1136" s="125">
        <v>837</v>
      </c>
    </row>
    <row r="1137" spans="49:49" ht="15" customHeight="1">
      <c r="AW1137" s="125">
        <v>838</v>
      </c>
    </row>
    <row r="1138" spans="49:49" ht="15" customHeight="1">
      <c r="AW1138" s="125">
        <v>839</v>
      </c>
    </row>
    <row r="1139" spans="49:49" ht="15" customHeight="1">
      <c r="AW1139" s="125">
        <v>840</v>
      </c>
    </row>
    <row r="1140" spans="49:49" ht="15" customHeight="1">
      <c r="AW1140" s="125">
        <v>841</v>
      </c>
    </row>
    <row r="1141" spans="49:49" ht="15" customHeight="1">
      <c r="AW1141" s="125">
        <v>842</v>
      </c>
    </row>
    <row r="1142" spans="49:49" ht="15" customHeight="1">
      <c r="AW1142" s="125">
        <v>843</v>
      </c>
    </row>
    <row r="1143" spans="49:49" ht="15" customHeight="1">
      <c r="AW1143" s="125">
        <v>844</v>
      </c>
    </row>
    <row r="1144" spans="49:49" ht="15" customHeight="1">
      <c r="AW1144" s="125">
        <v>845</v>
      </c>
    </row>
    <row r="1145" spans="49:49" ht="15" customHeight="1">
      <c r="AW1145" s="125">
        <v>846</v>
      </c>
    </row>
    <row r="1146" spans="49:49" ht="15" customHeight="1">
      <c r="AW1146" s="125">
        <v>847</v>
      </c>
    </row>
    <row r="1147" spans="49:49" ht="15" customHeight="1">
      <c r="AW1147" s="125">
        <v>848</v>
      </c>
    </row>
    <row r="1148" spans="49:49" ht="15" customHeight="1">
      <c r="AW1148" s="125">
        <v>849</v>
      </c>
    </row>
    <row r="1149" spans="49:49" ht="15" customHeight="1">
      <c r="AW1149" s="125">
        <v>850</v>
      </c>
    </row>
    <row r="1150" spans="49:49" ht="15" customHeight="1">
      <c r="AW1150" s="125">
        <v>851</v>
      </c>
    </row>
    <row r="1151" spans="49:49" ht="15" customHeight="1">
      <c r="AW1151" s="125">
        <v>852</v>
      </c>
    </row>
    <row r="1152" spans="49:49" ht="15" customHeight="1">
      <c r="AW1152" s="125">
        <v>853</v>
      </c>
    </row>
    <row r="1153" spans="49:49" ht="15" customHeight="1">
      <c r="AW1153" s="125">
        <v>854</v>
      </c>
    </row>
    <row r="1154" spans="49:49" ht="15" customHeight="1">
      <c r="AW1154" s="125">
        <v>855</v>
      </c>
    </row>
    <row r="1155" spans="49:49" ht="15" customHeight="1">
      <c r="AW1155" s="125">
        <v>856</v>
      </c>
    </row>
    <row r="1156" spans="49:49" ht="15" customHeight="1">
      <c r="AW1156" s="125">
        <v>857</v>
      </c>
    </row>
    <row r="1157" spans="49:49" ht="15" customHeight="1">
      <c r="AW1157" s="125">
        <v>858</v>
      </c>
    </row>
    <row r="1158" spans="49:49" ht="15" customHeight="1">
      <c r="AW1158" s="125">
        <v>859</v>
      </c>
    </row>
    <row r="1159" spans="49:49" ht="15" customHeight="1">
      <c r="AW1159" s="125">
        <v>860</v>
      </c>
    </row>
    <row r="1160" spans="49:49" ht="15" customHeight="1">
      <c r="AW1160" s="125">
        <v>861</v>
      </c>
    </row>
    <row r="1161" spans="49:49" ht="15" customHeight="1">
      <c r="AW1161" s="125">
        <v>862</v>
      </c>
    </row>
    <row r="1162" spans="49:49" ht="15" customHeight="1">
      <c r="AW1162" s="125">
        <v>863</v>
      </c>
    </row>
    <row r="1163" spans="49:49" ht="15" customHeight="1">
      <c r="AW1163" s="125">
        <v>864</v>
      </c>
    </row>
    <row r="1164" spans="49:49" ht="15" customHeight="1">
      <c r="AW1164" s="125">
        <v>865</v>
      </c>
    </row>
    <row r="1165" spans="49:49" ht="15" customHeight="1">
      <c r="AW1165" s="125">
        <v>866</v>
      </c>
    </row>
    <row r="1166" spans="49:49" ht="15" customHeight="1">
      <c r="AW1166" s="125">
        <v>867</v>
      </c>
    </row>
    <row r="1167" spans="49:49" ht="15" customHeight="1">
      <c r="AW1167" s="125">
        <v>868</v>
      </c>
    </row>
    <row r="1168" spans="49:49" ht="15" customHeight="1">
      <c r="AW1168" s="125">
        <v>869</v>
      </c>
    </row>
    <row r="1169" spans="49:49" ht="15" customHeight="1">
      <c r="AW1169" s="125">
        <v>870</v>
      </c>
    </row>
    <row r="1170" spans="49:49" ht="15" customHeight="1">
      <c r="AW1170" s="125">
        <v>871</v>
      </c>
    </row>
    <row r="1171" spans="49:49" ht="15" customHeight="1">
      <c r="AW1171" s="125">
        <v>872</v>
      </c>
    </row>
    <row r="1172" spans="49:49" ht="15" customHeight="1">
      <c r="AW1172" s="125">
        <v>873</v>
      </c>
    </row>
    <row r="1173" spans="49:49" ht="15" customHeight="1">
      <c r="AW1173" s="125">
        <v>874</v>
      </c>
    </row>
    <row r="1174" spans="49:49" ht="15" customHeight="1">
      <c r="AW1174" s="125">
        <v>875</v>
      </c>
    </row>
    <row r="1175" spans="49:49" ht="15" customHeight="1">
      <c r="AW1175" s="125">
        <v>876</v>
      </c>
    </row>
    <row r="1176" spans="49:49" ht="15" customHeight="1">
      <c r="AW1176" s="125">
        <v>877</v>
      </c>
    </row>
    <row r="1177" spans="49:49" ht="15" customHeight="1">
      <c r="AW1177" s="125">
        <v>878</v>
      </c>
    </row>
    <row r="1178" spans="49:49" ht="15" customHeight="1">
      <c r="AW1178" s="125">
        <v>879</v>
      </c>
    </row>
    <row r="1179" spans="49:49" ht="15" customHeight="1">
      <c r="AW1179" s="125">
        <v>880</v>
      </c>
    </row>
    <row r="1180" spans="49:49" ht="15" customHeight="1">
      <c r="AW1180" s="125">
        <v>881</v>
      </c>
    </row>
    <row r="1181" spans="49:49" ht="15" customHeight="1">
      <c r="AW1181" s="125">
        <v>882</v>
      </c>
    </row>
    <row r="1182" spans="49:49" ht="15" customHeight="1">
      <c r="AW1182" s="125">
        <v>883</v>
      </c>
    </row>
    <row r="1183" spans="49:49" ht="15" customHeight="1">
      <c r="AW1183" s="125">
        <v>884</v>
      </c>
    </row>
    <row r="1184" spans="49:49" ht="15" customHeight="1">
      <c r="AW1184" s="125">
        <v>885</v>
      </c>
    </row>
    <row r="1185" spans="49:49" ht="15" customHeight="1">
      <c r="AW1185" s="125">
        <v>886</v>
      </c>
    </row>
    <row r="1186" spans="49:49" ht="15" customHeight="1">
      <c r="AW1186" s="125">
        <v>887</v>
      </c>
    </row>
    <row r="1187" spans="49:49" ht="15" customHeight="1">
      <c r="AW1187" s="125">
        <v>888</v>
      </c>
    </row>
    <row r="1188" spans="49:49" ht="15" customHeight="1">
      <c r="AW1188" s="125">
        <v>889</v>
      </c>
    </row>
    <row r="1189" spans="49:49" ht="15" customHeight="1">
      <c r="AW1189" s="125">
        <v>890</v>
      </c>
    </row>
    <row r="1190" spans="49:49" ht="15" customHeight="1">
      <c r="AW1190" s="125">
        <v>891</v>
      </c>
    </row>
    <row r="1191" spans="49:49" ht="15" customHeight="1">
      <c r="AW1191" s="125">
        <v>892</v>
      </c>
    </row>
    <row r="1192" spans="49:49" ht="15" customHeight="1">
      <c r="AW1192" s="125">
        <v>893</v>
      </c>
    </row>
    <row r="1193" spans="49:49" ht="15" customHeight="1">
      <c r="AW1193" s="125">
        <v>894</v>
      </c>
    </row>
    <row r="1194" spans="49:49" ht="15" customHeight="1">
      <c r="AW1194" s="125">
        <v>895</v>
      </c>
    </row>
    <row r="1195" spans="49:49" ht="15" customHeight="1">
      <c r="AW1195" s="125">
        <v>896</v>
      </c>
    </row>
    <row r="1196" spans="49:49" ht="15" customHeight="1">
      <c r="AW1196" s="125">
        <v>897</v>
      </c>
    </row>
    <row r="1197" spans="49:49" ht="15" customHeight="1">
      <c r="AW1197" s="125">
        <v>898</v>
      </c>
    </row>
    <row r="1198" spans="49:49" ht="15" customHeight="1">
      <c r="AW1198" s="125">
        <v>899</v>
      </c>
    </row>
    <row r="1199" spans="49:49" ht="15" customHeight="1">
      <c r="AW1199" s="125">
        <v>900</v>
      </c>
    </row>
    <row r="1200" spans="49:49" ht="15" customHeight="1">
      <c r="AW1200" s="125">
        <v>901</v>
      </c>
    </row>
    <row r="1201" spans="49:49" ht="15" customHeight="1">
      <c r="AW1201" s="125">
        <v>902</v>
      </c>
    </row>
    <row r="1202" spans="49:49" ht="15" customHeight="1">
      <c r="AW1202" s="125">
        <v>903</v>
      </c>
    </row>
    <row r="1203" spans="49:49" ht="15" customHeight="1">
      <c r="AW1203" s="125">
        <v>904</v>
      </c>
    </row>
    <row r="1204" spans="49:49" ht="15" customHeight="1">
      <c r="AW1204" s="125">
        <v>905</v>
      </c>
    </row>
    <row r="1205" spans="49:49" ht="15" customHeight="1">
      <c r="AW1205" s="125">
        <v>906</v>
      </c>
    </row>
    <row r="1206" spans="49:49" ht="15" customHeight="1">
      <c r="AW1206" s="125">
        <v>907</v>
      </c>
    </row>
    <row r="1207" spans="49:49" ht="15" customHeight="1">
      <c r="AW1207" s="125">
        <v>908</v>
      </c>
    </row>
    <row r="1208" spans="49:49" ht="15" customHeight="1">
      <c r="AW1208" s="125">
        <v>909</v>
      </c>
    </row>
    <row r="1209" spans="49:49" ht="15" customHeight="1">
      <c r="AW1209" s="125">
        <v>910</v>
      </c>
    </row>
    <row r="1210" spans="49:49" ht="15" customHeight="1">
      <c r="AW1210" s="125">
        <v>911</v>
      </c>
    </row>
    <row r="1211" spans="49:49" ht="15" customHeight="1">
      <c r="AW1211" s="125">
        <v>912</v>
      </c>
    </row>
    <row r="1212" spans="49:49" ht="15" customHeight="1">
      <c r="AW1212" s="125">
        <v>913</v>
      </c>
    </row>
    <row r="1213" spans="49:49" ht="15" customHeight="1">
      <c r="AW1213" s="125">
        <v>914</v>
      </c>
    </row>
    <row r="1214" spans="49:49" ht="15" customHeight="1">
      <c r="AW1214" s="125">
        <v>915</v>
      </c>
    </row>
    <row r="1215" spans="49:49" ht="15" customHeight="1">
      <c r="AW1215" s="125">
        <v>916</v>
      </c>
    </row>
    <row r="1216" spans="49:49" ht="15" customHeight="1">
      <c r="AW1216" s="125">
        <v>917</v>
      </c>
    </row>
    <row r="1217" spans="49:49" ht="15" customHeight="1">
      <c r="AW1217" s="125">
        <v>918</v>
      </c>
    </row>
    <row r="1218" spans="49:49" ht="15" customHeight="1">
      <c r="AW1218" s="125">
        <v>919</v>
      </c>
    </row>
    <row r="1219" spans="49:49" ht="15" customHeight="1">
      <c r="AW1219" s="125">
        <v>920</v>
      </c>
    </row>
    <row r="1220" spans="49:49" ht="15" customHeight="1">
      <c r="AW1220" s="125">
        <v>921</v>
      </c>
    </row>
    <row r="1221" spans="49:49" ht="15" customHeight="1">
      <c r="AW1221" s="125">
        <v>922</v>
      </c>
    </row>
    <row r="1222" spans="49:49" ht="15" customHeight="1">
      <c r="AW1222" s="125">
        <v>923</v>
      </c>
    </row>
    <row r="1223" spans="49:49" ht="15" customHeight="1">
      <c r="AW1223" s="125">
        <v>924</v>
      </c>
    </row>
    <row r="1224" spans="49:49" ht="15" customHeight="1">
      <c r="AW1224" s="125">
        <v>925</v>
      </c>
    </row>
    <row r="1225" spans="49:49" ht="15" customHeight="1">
      <c r="AW1225" s="125">
        <v>926</v>
      </c>
    </row>
    <row r="1226" spans="49:49" ht="15" customHeight="1">
      <c r="AW1226" s="125">
        <v>927</v>
      </c>
    </row>
    <row r="1227" spans="49:49" ht="15" customHeight="1">
      <c r="AW1227" s="125">
        <v>928</v>
      </c>
    </row>
    <row r="1228" spans="49:49" ht="15" customHeight="1">
      <c r="AW1228" s="125">
        <v>929</v>
      </c>
    </row>
    <row r="1229" spans="49:49" ht="15" customHeight="1">
      <c r="AW1229" s="125">
        <v>930</v>
      </c>
    </row>
    <row r="1230" spans="49:49" ht="15" customHeight="1">
      <c r="AW1230" s="125">
        <v>931</v>
      </c>
    </row>
    <row r="1231" spans="49:49" ht="15" customHeight="1">
      <c r="AW1231" s="125">
        <v>932</v>
      </c>
    </row>
    <row r="1232" spans="49:49" ht="15" customHeight="1">
      <c r="AW1232" s="125">
        <v>933</v>
      </c>
    </row>
    <row r="1233" spans="49:49" ht="15" customHeight="1">
      <c r="AW1233" s="125">
        <v>934</v>
      </c>
    </row>
    <row r="1234" spans="49:49" ht="15" customHeight="1">
      <c r="AW1234" s="125">
        <v>935</v>
      </c>
    </row>
    <row r="1235" spans="49:49" ht="15" customHeight="1">
      <c r="AW1235" s="125">
        <v>936</v>
      </c>
    </row>
    <row r="1236" spans="49:49" ht="15" customHeight="1">
      <c r="AW1236" s="125">
        <v>937</v>
      </c>
    </row>
    <row r="1237" spans="49:49" ht="15" customHeight="1">
      <c r="AW1237" s="125">
        <v>938</v>
      </c>
    </row>
    <row r="1238" spans="49:49" ht="15" customHeight="1">
      <c r="AW1238" s="125">
        <v>939</v>
      </c>
    </row>
    <row r="1239" spans="49:49" ht="15" customHeight="1">
      <c r="AW1239" s="125">
        <v>940</v>
      </c>
    </row>
    <row r="1240" spans="49:49" ht="15" customHeight="1">
      <c r="AW1240" s="125">
        <v>941</v>
      </c>
    </row>
    <row r="1241" spans="49:49" ht="15" customHeight="1">
      <c r="AW1241" s="125">
        <v>942</v>
      </c>
    </row>
    <row r="1242" spans="49:49" ht="15" customHeight="1">
      <c r="AW1242" s="125">
        <v>943</v>
      </c>
    </row>
    <row r="1243" spans="49:49" ht="15" customHeight="1">
      <c r="AW1243" s="125">
        <v>944</v>
      </c>
    </row>
    <row r="1244" spans="49:49" ht="15" customHeight="1">
      <c r="AW1244" s="125">
        <v>945</v>
      </c>
    </row>
    <row r="1245" spans="49:49" ht="15" customHeight="1">
      <c r="AW1245" s="125">
        <v>946</v>
      </c>
    </row>
    <row r="1246" spans="49:49" ht="15" customHeight="1">
      <c r="AW1246" s="125">
        <v>947</v>
      </c>
    </row>
    <row r="1247" spans="49:49" ht="15" customHeight="1">
      <c r="AW1247" s="125">
        <v>948</v>
      </c>
    </row>
    <row r="1248" spans="49:49" ht="15" customHeight="1">
      <c r="AW1248" s="125">
        <v>949</v>
      </c>
    </row>
    <row r="1249" spans="49:49" ht="15" customHeight="1">
      <c r="AW1249" s="125">
        <v>950</v>
      </c>
    </row>
    <row r="1250" spans="49:49" ht="15" customHeight="1">
      <c r="AW1250" s="125">
        <v>951</v>
      </c>
    </row>
    <row r="1251" spans="49:49" ht="15" customHeight="1">
      <c r="AW1251" s="125">
        <v>952</v>
      </c>
    </row>
    <row r="1252" spans="49:49" ht="15" customHeight="1">
      <c r="AW1252" s="125">
        <v>953</v>
      </c>
    </row>
    <row r="1253" spans="49:49" ht="15" customHeight="1">
      <c r="AW1253" s="125">
        <v>954</v>
      </c>
    </row>
    <row r="1254" spans="49:49" ht="15" customHeight="1">
      <c r="AW1254" s="125">
        <v>955</v>
      </c>
    </row>
    <row r="1255" spans="49:49" ht="15" customHeight="1">
      <c r="AW1255" s="125">
        <v>956</v>
      </c>
    </row>
    <row r="1256" spans="49:49" ht="15" customHeight="1">
      <c r="AW1256" s="125">
        <v>957</v>
      </c>
    </row>
    <row r="1257" spans="49:49" ht="15" customHeight="1">
      <c r="AW1257" s="125">
        <v>958</v>
      </c>
    </row>
    <row r="1258" spans="49:49" ht="15" customHeight="1">
      <c r="AW1258" s="125">
        <v>959</v>
      </c>
    </row>
    <row r="1259" spans="49:49" ht="15" customHeight="1">
      <c r="AW1259" s="125">
        <v>960</v>
      </c>
    </row>
    <row r="1260" spans="49:49" ht="15" customHeight="1">
      <c r="AW1260" s="125">
        <v>961</v>
      </c>
    </row>
    <row r="1261" spans="49:49" ht="15" customHeight="1">
      <c r="AW1261" s="125">
        <v>962</v>
      </c>
    </row>
    <row r="1262" spans="49:49" ht="15" customHeight="1">
      <c r="AW1262" s="125">
        <v>963</v>
      </c>
    </row>
    <row r="1263" spans="49:49" ht="15" customHeight="1">
      <c r="AW1263" s="125">
        <v>964</v>
      </c>
    </row>
    <row r="1264" spans="49:49" ht="15" customHeight="1">
      <c r="AW1264" s="125">
        <v>965</v>
      </c>
    </row>
    <row r="1265" spans="49:49" ht="15" customHeight="1">
      <c r="AW1265" s="125">
        <v>966</v>
      </c>
    </row>
    <row r="1266" spans="49:49" ht="15" customHeight="1">
      <c r="AW1266" s="125">
        <v>967</v>
      </c>
    </row>
    <row r="1267" spans="49:49" ht="15" customHeight="1">
      <c r="AW1267" s="125">
        <v>968</v>
      </c>
    </row>
    <row r="1268" spans="49:49" ht="15" customHeight="1">
      <c r="AW1268" s="125">
        <v>969</v>
      </c>
    </row>
    <row r="1269" spans="49:49" ht="15" customHeight="1">
      <c r="AW1269" s="125">
        <v>970</v>
      </c>
    </row>
    <row r="1270" spans="49:49" ht="15" customHeight="1">
      <c r="AW1270" s="125">
        <v>971</v>
      </c>
    </row>
    <row r="1271" spans="49:49" ht="15" customHeight="1">
      <c r="AW1271" s="125">
        <v>972</v>
      </c>
    </row>
    <row r="1272" spans="49:49" ht="15" customHeight="1">
      <c r="AW1272" s="125">
        <v>973</v>
      </c>
    </row>
    <row r="1273" spans="49:49" ht="15" customHeight="1">
      <c r="AW1273" s="125">
        <v>974</v>
      </c>
    </row>
    <row r="1274" spans="49:49" ht="15" customHeight="1">
      <c r="AW1274" s="125">
        <v>975</v>
      </c>
    </row>
    <row r="1275" spans="49:49" ht="15" customHeight="1">
      <c r="AW1275" s="125">
        <v>976</v>
      </c>
    </row>
    <row r="1276" spans="49:49" ht="15" customHeight="1">
      <c r="AW1276" s="125">
        <v>977</v>
      </c>
    </row>
    <row r="1277" spans="49:49" ht="15" customHeight="1">
      <c r="AW1277" s="125">
        <v>978</v>
      </c>
    </row>
    <row r="1278" spans="49:49" ht="15" customHeight="1">
      <c r="AW1278" s="125">
        <v>979</v>
      </c>
    </row>
    <row r="1279" spans="49:49" ht="15" customHeight="1">
      <c r="AW1279" s="125">
        <v>980</v>
      </c>
    </row>
    <row r="1280" spans="49:49" ht="15" customHeight="1">
      <c r="AW1280" s="125">
        <v>981</v>
      </c>
    </row>
    <row r="1281" spans="49:49" ht="15" customHeight="1">
      <c r="AW1281" s="125">
        <v>982</v>
      </c>
    </row>
    <row r="1282" spans="49:49" ht="15" customHeight="1">
      <c r="AW1282" s="125">
        <v>983</v>
      </c>
    </row>
    <row r="1283" spans="49:49" ht="15" customHeight="1">
      <c r="AW1283" s="125">
        <v>984</v>
      </c>
    </row>
    <row r="1284" spans="49:49" ht="15" customHeight="1">
      <c r="AW1284" s="125">
        <v>985</v>
      </c>
    </row>
    <row r="1285" spans="49:49" ht="15" customHeight="1">
      <c r="AW1285" s="125">
        <v>986</v>
      </c>
    </row>
    <row r="1286" spans="49:49" ht="15" customHeight="1">
      <c r="AW1286" s="125">
        <v>987</v>
      </c>
    </row>
    <row r="1287" spans="49:49" ht="15" customHeight="1">
      <c r="AW1287" s="125">
        <v>988</v>
      </c>
    </row>
    <row r="1288" spans="49:49" ht="15" customHeight="1">
      <c r="AW1288" s="125">
        <v>989</v>
      </c>
    </row>
    <row r="1289" spans="49:49" ht="15" customHeight="1">
      <c r="AW1289" s="125">
        <v>990</v>
      </c>
    </row>
    <row r="1290" spans="49:49" ht="15" customHeight="1">
      <c r="AW1290" s="125">
        <v>991</v>
      </c>
    </row>
    <row r="1291" spans="49:49" ht="15" customHeight="1">
      <c r="AW1291" s="125">
        <v>992</v>
      </c>
    </row>
    <row r="1292" spans="49:49" ht="15" customHeight="1">
      <c r="AW1292" s="125">
        <v>993</v>
      </c>
    </row>
    <row r="1293" spans="49:49" ht="15" customHeight="1">
      <c r="AW1293" s="125">
        <v>994</v>
      </c>
    </row>
    <row r="1294" spans="49:49" ht="15" customHeight="1">
      <c r="AW1294" s="125">
        <v>995</v>
      </c>
    </row>
    <row r="1295" spans="49:49" ht="15" customHeight="1">
      <c r="AW1295" s="125">
        <v>996</v>
      </c>
    </row>
    <row r="1296" spans="49:49" ht="15" customHeight="1">
      <c r="AW1296" s="125">
        <v>997</v>
      </c>
    </row>
    <row r="1297" spans="49:49" ht="15" customHeight="1">
      <c r="AW1297" s="125">
        <v>998</v>
      </c>
    </row>
    <row r="1298" spans="49:49" ht="15" customHeight="1">
      <c r="AW1298" s="125">
        <v>999</v>
      </c>
    </row>
    <row r="1299" spans="49:49" ht="15" customHeight="1">
      <c r="AW1299" s="125">
        <v>1000</v>
      </c>
    </row>
    <row r="1300" spans="49:49" ht="15" customHeight="1">
      <c r="AW1300" s="125">
        <v>1001</v>
      </c>
    </row>
    <row r="1301" spans="49:49" ht="15" customHeight="1">
      <c r="AW1301" s="125">
        <v>1002</v>
      </c>
    </row>
    <row r="1302" spans="49:49" ht="15" customHeight="1">
      <c r="AW1302" s="125">
        <v>1003</v>
      </c>
    </row>
    <row r="1303" spans="49:49" ht="15" customHeight="1">
      <c r="AW1303" s="125">
        <v>1004</v>
      </c>
    </row>
    <row r="1304" spans="49:49" ht="15" customHeight="1">
      <c r="AW1304" s="125">
        <v>1005</v>
      </c>
    </row>
    <row r="1305" spans="49:49" ht="15" customHeight="1">
      <c r="AW1305" s="125">
        <v>1006</v>
      </c>
    </row>
    <row r="1306" spans="49:49" ht="15" customHeight="1">
      <c r="AW1306" s="125">
        <v>1007</v>
      </c>
    </row>
    <row r="1307" spans="49:49" ht="15" customHeight="1">
      <c r="AW1307" s="125">
        <v>1008</v>
      </c>
    </row>
    <row r="1308" spans="49:49" ht="15" customHeight="1">
      <c r="AW1308" s="125">
        <v>1009</v>
      </c>
    </row>
    <row r="1309" spans="49:49" ht="15" customHeight="1">
      <c r="AW1309" s="125">
        <v>1010</v>
      </c>
    </row>
    <row r="1310" spans="49:49" ht="15" customHeight="1">
      <c r="AW1310" s="125">
        <v>1011</v>
      </c>
    </row>
    <row r="1311" spans="49:49" ht="15" customHeight="1">
      <c r="AW1311" s="125">
        <v>1012</v>
      </c>
    </row>
    <row r="1312" spans="49:49" ht="15" customHeight="1">
      <c r="AW1312" s="125">
        <v>1013</v>
      </c>
    </row>
    <row r="1313" spans="49:49" ht="15" customHeight="1">
      <c r="AW1313" s="125">
        <v>1014</v>
      </c>
    </row>
    <row r="1314" spans="49:49" ht="15" customHeight="1">
      <c r="AW1314" s="125">
        <v>1015</v>
      </c>
    </row>
    <row r="1315" spans="49:49" ht="15" customHeight="1">
      <c r="AW1315" s="125">
        <v>1016</v>
      </c>
    </row>
    <row r="1316" spans="49:49" ht="15" customHeight="1">
      <c r="AW1316" s="125">
        <v>1017</v>
      </c>
    </row>
    <row r="1317" spans="49:49" ht="15" customHeight="1">
      <c r="AW1317" s="125">
        <v>1018</v>
      </c>
    </row>
    <row r="1318" spans="49:49" ht="15" customHeight="1">
      <c r="AW1318" s="125">
        <v>1019</v>
      </c>
    </row>
    <row r="1319" spans="49:49" ht="15" customHeight="1">
      <c r="AW1319" s="125">
        <v>1020</v>
      </c>
    </row>
    <row r="1320" spans="49:49" ht="15" customHeight="1">
      <c r="AW1320" s="125">
        <v>1021</v>
      </c>
    </row>
    <row r="1321" spans="49:49" ht="15" customHeight="1">
      <c r="AW1321" s="125">
        <v>1022</v>
      </c>
    </row>
    <row r="1322" spans="49:49" ht="15" customHeight="1">
      <c r="AW1322" s="125">
        <v>1023</v>
      </c>
    </row>
    <row r="1323" spans="49:49" ht="15" customHeight="1">
      <c r="AW1323" s="125">
        <v>1024</v>
      </c>
    </row>
    <row r="1324" spans="49:49" ht="15" customHeight="1">
      <c r="AW1324" s="125">
        <v>1025</v>
      </c>
    </row>
    <row r="1325" spans="49:49" ht="15" customHeight="1">
      <c r="AW1325" s="125">
        <v>1026</v>
      </c>
    </row>
    <row r="1326" spans="49:49" ht="15" customHeight="1">
      <c r="AW1326" s="125">
        <v>1027</v>
      </c>
    </row>
    <row r="1327" spans="49:49" ht="15" customHeight="1">
      <c r="AW1327" s="125">
        <v>1028</v>
      </c>
    </row>
    <row r="1328" spans="49:49" ht="15" customHeight="1">
      <c r="AW1328" s="125">
        <v>1029</v>
      </c>
    </row>
    <row r="1329" spans="49:49" ht="15" customHeight="1">
      <c r="AW1329" s="125">
        <v>1030</v>
      </c>
    </row>
    <row r="1330" spans="49:49" ht="15" customHeight="1">
      <c r="AW1330" s="125">
        <v>1031</v>
      </c>
    </row>
    <row r="1331" spans="49:49" ht="15" customHeight="1">
      <c r="AW1331" s="125">
        <v>1032</v>
      </c>
    </row>
    <row r="1332" spans="49:49" ht="15" customHeight="1">
      <c r="AW1332" s="125">
        <v>1033</v>
      </c>
    </row>
    <row r="1333" spans="49:49" ht="15" customHeight="1">
      <c r="AW1333" s="125">
        <v>1034</v>
      </c>
    </row>
    <row r="1334" spans="49:49" ht="15" customHeight="1">
      <c r="AW1334" s="125">
        <v>1035</v>
      </c>
    </row>
    <row r="1335" spans="49:49" ht="15" customHeight="1">
      <c r="AW1335" s="125">
        <v>1036</v>
      </c>
    </row>
    <row r="1336" spans="49:49" ht="15" customHeight="1">
      <c r="AW1336" s="125">
        <v>1037</v>
      </c>
    </row>
    <row r="1337" spans="49:49" ht="15" customHeight="1">
      <c r="AW1337" s="125">
        <v>1038</v>
      </c>
    </row>
    <row r="1338" spans="49:49" ht="15" customHeight="1">
      <c r="AW1338" s="125">
        <v>1039</v>
      </c>
    </row>
    <row r="1339" spans="49:49" ht="15" customHeight="1">
      <c r="AW1339" s="125">
        <v>1040</v>
      </c>
    </row>
    <row r="1340" spans="49:49" ht="15" customHeight="1">
      <c r="AW1340" s="125">
        <v>1041</v>
      </c>
    </row>
    <row r="1341" spans="49:49" ht="15" customHeight="1">
      <c r="AW1341" s="125">
        <v>1042</v>
      </c>
    </row>
    <row r="1342" spans="49:49" ht="15" customHeight="1">
      <c r="AW1342" s="125">
        <v>1043</v>
      </c>
    </row>
    <row r="1343" spans="49:49" ht="15" customHeight="1">
      <c r="AW1343" s="125">
        <v>1044</v>
      </c>
    </row>
    <row r="1344" spans="49:49" ht="15" customHeight="1">
      <c r="AW1344" s="125">
        <v>1045</v>
      </c>
    </row>
    <row r="1345" spans="49:49" ht="15" customHeight="1">
      <c r="AW1345" s="125">
        <v>1046</v>
      </c>
    </row>
    <row r="1346" spans="49:49" ht="15" customHeight="1">
      <c r="AW1346" s="125">
        <v>1047</v>
      </c>
    </row>
    <row r="1347" spans="49:49" ht="15" customHeight="1">
      <c r="AW1347" s="125">
        <v>1048</v>
      </c>
    </row>
    <row r="1348" spans="49:49" ht="15" customHeight="1">
      <c r="AW1348" s="125">
        <v>1049</v>
      </c>
    </row>
    <row r="1349" spans="49:49" ht="15" customHeight="1">
      <c r="AW1349" s="125">
        <v>1050</v>
      </c>
    </row>
    <row r="1350" spans="49:49" ht="15" customHeight="1">
      <c r="AW1350" s="125">
        <v>1051</v>
      </c>
    </row>
    <row r="1351" spans="49:49" ht="15" customHeight="1">
      <c r="AW1351" s="125">
        <v>1052</v>
      </c>
    </row>
    <row r="1352" spans="49:49" ht="15" customHeight="1">
      <c r="AW1352" s="125">
        <v>1053</v>
      </c>
    </row>
    <row r="1353" spans="49:49" ht="15" customHeight="1">
      <c r="AW1353" s="125">
        <v>1054</v>
      </c>
    </row>
    <row r="1354" spans="49:49" ht="15" customHeight="1">
      <c r="AW1354" s="125">
        <v>1055</v>
      </c>
    </row>
    <row r="1355" spans="49:49" ht="15" customHeight="1">
      <c r="AW1355" s="125">
        <v>1056</v>
      </c>
    </row>
    <row r="1356" spans="49:49" ht="15" customHeight="1">
      <c r="AW1356" s="125">
        <v>1057</v>
      </c>
    </row>
    <row r="1357" spans="49:49" ht="15" customHeight="1">
      <c r="AW1357" s="125">
        <v>1058</v>
      </c>
    </row>
    <row r="1358" spans="49:49" ht="15" customHeight="1">
      <c r="AW1358" s="125">
        <v>1059</v>
      </c>
    </row>
    <row r="1359" spans="49:49" ht="15" customHeight="1">
      <c r="AW1359" s="125">
        <v>1060</v>
      </c>
    </row>
    <row r="1360" spans="49:49" ht="15" customHeight="1">
      <c r="AW1360" s="125">
        <v>1061</v>
      </c>
    </row>
    <row r="1361" spans="49:49" ht="15" customHeight="1">
      <c r="AW1361" s="125">
        <v>1062</v>
      </c>
    </row>
    <row r="1362" spans="49:49" ht="15" customHeight="1">
      <c r="AW1362" s="125">
        <v>1063</v>
      </c>
    </row>
    <row r="1363" spans="49:49" ht="15" customHeight="1">
      <c r="AW1363" s="125">
        <v>1064</v>
      </c>
    </row>
    <row r="1364" spans="49:49" ht="15" customHeight="1">
      <c r="AW1364" s="125">
        <v>1065</v>
      </c>
    </row>
    <row r="1365" spans="49:49" ht="15" customHeight="1">
      <c r="AW1365" s="125">
        <v>1066</v>
      </c>
    </row>
    <row r="1366" spans="49:49" ht="15" customHeight="1">
      <c r="AW1366" s="125">
        <v>1067</v>
      </c>
    </row>
    <row r="1367" spans="49:49" ht="15" customHeight="1">
      <c r="AW1367" s="125">
        <v>1068</v>
      </c>
    </row>
    <row r="1368" spans="49:49" ht="15" customHeight="1">
      <c r="AW1368" s="125">
        <v>1069</v>
      </c>
    </row>
    <row r="1369" spans="49:49" ht="15" customHeight="1">
      <c r="AW1369" s="125">
        <v>1070</v>
      </c>
    </row>
    <row r="1370" spans="49:49" ht="15" customHeight="1">
      <c r="AW1370" s="125">
        <v>1071</v>
      </c>
    </row>
    <row r="1371" spans="49:49" ht="15" customHeight="1">
      <c r="AW1371" s="125">
        <v>1072</v>
      </c>
    </row>
    <row r="1372" spans="49:49" ht="15" customHeight="1">
      <c r="AW1372" s="125">
        <v>1073</v>
      </c>
    </row>
    <row r="1373" spans="49:49" ht="15" customHeight="1">
      <c r="AW1373" s="125">
        <v>1074</v>
      </c>
    </row>
    <row r="1374" spans="49:49" ht="15" customHeight="1">
      <c r="AW1374" s="125">
        <v>1075</v>
      </c>
    </row>
    <row r="1375" spans="49:49" ht="15" customHeight="1">
      <c r="AW1375" s="125">
        <v>1076</v>
      </c>
    </row>
    <row r="1376" spans="49:49" ht="15" customHeight="1">
      <c r="AW1376" s="125">
        <v>1077</v>
      </c>
    </row>
    <row r="1377" spans="49:49" ht="15" customHeight="1">
      <c r="AW1377" s="125">
        <v>1078</v>
      </c>
    </row>
    <row r="1378" spans="49:49" ht="15" customHeight="1">
      <c r="AW1378" s="125">
        <v>1079</v>
      </c>
    </row>
    <row r="1379" spans="49:49" ht="15" customHeight="1">
      <c r="AW1379" s="125">
        <v>1080</v>
      </c>
    </row>
    <row r="1380" spans="49:49" ht="15" customHeight="1">
      <c r="AW1380" s="125">
        <v>1081</v>
      </c>
    </row>
    <row r="1381" spans="49:49" ht="15" customHeight="1">
      <c r="AW1381" s="125">
        <v>1082</v>
      </c>
    </row>
    <row r="1382" spans="49:49" ht="15" customHeight="1">
      <c r="AW1382" s="125">
        <v>1083</v>
      </c>
    </row>
    <row r="1383" spans="49:49" ht="15" customHeight="1">
      <c r="AW1383" s="125">
        <v>1084</v>
      </c>
    </row>
    <row r="1384" spans="49:49" ht="15" customHeight="1">
      <c r="AW1384" s="125">
        <v>1085</v>
      </c>
    </row>
    <row r="1385" spans="49:49" ht="15" customHeight="1">
      <c r="AW1385" s="125">
        <v>1086</v>
      </c>
    </row>
    <row r="1386" spans="49:49" ht="15" customHeight="1">
      <c r="AW1386" s="125">
        <v>1087</v>
      </c>
    </row>
    <row r="1387" spans="49:49" ht="15" customHeight="1">
      <c r="AW1387" s="125">
        <v>1088</v>
      </c>
    </row>
    <row r="1388" spans="49:49" ht="15" customHeight="1">
      <c r="AW1388" s="125">
        <v>1089</v>
      </c>
    </row>
    <row r="1389" spans="49:49" ht="15" customHeight="1">
      <c r="AW1389" s="125">
        <v>1090</v>
      </c>
    </row>
    <row r="1390" spans="49:49" ht="15" customHeight="1">
      <c r="AW1390" s="125">
        <v>1091</v>
      </c>
    </row>
    <row r="1391" spans="49:49" ht="15" customHeight="1">
      <c r="AW1391" s="125">
        <v>1092</v>
      </c>
    </row>
    <row r="1392" spans="49:49" ht="15" customHeight="1">
      <c r="AW1392" s="125">
        <v>1093</v>
      </c>
    </row>
    <row r="1393" spans="49:49" ht="15" customHeight="1">
      <c r="AW1393" s="125">
        <v>1094</v>
      </c>
    </row>
    <row r="1394" spans="49:49" ht="15" customHeight="1">
      <c r="AW1394" s="125">
        <v>1095</v>
      </c>
    </row>
    <row r="1395" spans="49:49" ht="15" customHeight="1">
      <c r="AW1395" s="125">
        <v>1096</v>
      </c>
    </row>
    <row r="1396" spans="49:49" ht="15" customHeight="1">
      <c r="AW1396" s="125">
        <v>1097</v>
      </c>
    </row>
    <row r="1397" spans="49:49" ht="15" customHeight="1">
      <c r="AW1397" s="125">
        <v>1098</v>
      </c>
    </row>
    <row r="1398" spans="49:49" ht="15" customHeight="1">
      <c r="AW1398" s="125">
        <v>1099</v>
      </c>
    </row>
    <row r="1399" spans="49:49" ht="15" customHeight="1">
      <c r="AW1399" s="125">
        <v>1100</v>
      </c>
    </row>
    <row r="1400" spans="49:49" ht="15" customHeight="1">
      <c r="AW1400" s="125">
        <v>1101</v>
      </c>
    </row>
    <row r="1401" spans="49:49" ht="15" customHeight="1">
      <c r="AW1401" s="125">
        <v>1102</v>
      </c>
    </row>
    <row r="1402" spans="49:49" ht="15" customHeight="1">
      <c r="AW1402" s="125">
        <v>1103</v>
      </c>
    </row>
    <row r="1403" spans="49:49" ht="15" customHeight="1">
      <c r="AW1403" s="125">
        <v>1104</v>
      </c>
    </row>
    <row r="1404" spans="49:49" ht="15" customHeight="1">
      <c r="AW1404" s="125">
        <v>1105</v>
      </c>
    </row>
    <row r="1405" spans="49:49" ht="15" customHeight="1">
      <c r="AW1405" s="125">
        <v>1106</v>
      </c>
    </row>
    <row r="1406" spans="49:49" ht="15" customHeight="1">
      <c r="AW1406" s="125">
        <v>1107</v>
      </c>
    </row>
    <row r="1407" spans="49:49" ht="15" customHeight="1">
      <c r="AW1407" s="125">
        <v>1108</v>
      </c>
    </row>
    <row r="1408" spans="49:49" ht="15" customHeight="1">
      <c r="AW1408" s="125">
        <v>1109</v>
      </c>
    </row>
    <row r="1409" spans="49:49" ht="15" customHeight="1">
      <c r="AW1409" s="125">
        <v>1110</v>
      </c>
    </row>
    <row r="1410" spans="49:49" ht="15" customHeight="1">
      <c r="AW1410" s="125">
        <v>1111</v>
      </c>
    </row>
    <row r="1411" spans="49:49" ht="15" customHeight="1">
      <c r="AW1411" s="125">
        <v>1112</v>
      </c>
    </row>
    <row r="1412" spans="49:49" ht="15" customHeight="1">
      <c r="AW1412" s="125">
        <v>1113</v>
      </c>
    </row>
    <row r="1413" spans="49:49" ht="15" customHeight="1">
      <c r="AW1413" s="125">
        <v>1114</v>
      </c>
    </row>
    <row r="1414" spans="49:49" ht="15" customHeight="1">
      <c r="AW1414" s="125">
        <v>1115</v>
      </c>
    </row>
    <row r="1415" spans="49:49" ht="15" customHeight="1">
      <c r="AW1415" s="125">
        <v>1116</v>
      </c>
    </row>
    <row r="1416" spans="49:49" ht="15" customHeight="1">
      <c r="AW1416" s="125">
        <v>1117</v>
      </c>
    </row>
    <row r="1417" spans="49:49" ht="15" customHeight="1">
      <c r="AW1417" s="125">
        <v>1118</v>
      </c>
    </row>
    <row r="1418" spans="49:49" ht="15" customHeight="1">
      <c r="AW1418" s="125">
        <v>1119</v>
      </c>
    </row>
    <row r="1419" spans="49:49" ht="15" customHeight="1">
      <c r="AW1419" s="125">
        <v>1120</v>
      </c>
    </row>
    <row r="1420" spans="49:49" ht="15" customHeight="1">
      <c r="AW1420" s="125">
        <v>1121</v>
      </c>
    </row>
    <row r="1421" spans="49:49" ht="15" customHeight="1">
      <c r="AW1421" s="125">
        <v>1122</v>
      </c>
    </row>
    <row r="1422" spans="49:49" ht="15" customHeight="1">
      <c r="AW1422" s="125">
        <v>1123</v>
      </c>
    </row>
    <row r="1423" spans="49:49" ht="15" customHeight="1">
      <c r="AW1423" s="125">
        <v>1124</v>
      </c>
    </row>
    <row r="1424" spans="49:49" ht="15" customHeight="1">
      <c r="AW1424" s="125">
        <v>1125</v>
      </c>
    </row>
    <row r="1425" spans="49:49" ht="15" customHeight="1">
      <c r="AW1425" s="125">
        <v>1126</v>
      </c>
    </row>
    <row r="1426" spans="49:49" ht="15" customHeight="1">
      <c r="AW1426" s="125">
        <v>1127</v>
      </c>
    </row>
    <row r="1427" spans="49:49" ht="15" customHeight="1">
      <c r="AW1427" s="125">
        <v>1128</v>
      </c>
    </row>
    <row r="1428" spans="49:49" ht="15" customHeight="1">
      <c r="AW1428" s="125">
        <v>1129</v>
      </c>
    </row>
    <row r="1429" spans="49:49" ht="15" customHeight="1">
      <c r="AW1429" s="125">
        <v>1130</v>
      </c>
    </row>
    <row r="1430" spans="49:49" ht="15" customHeight="1">
      <c r="AW1430" s="125">
        <v>1131</v>
      </c>
    </row>
    <row r="1431" spans="49:49" ht="15" customHeight="1">
      <c r="AW1431" s="125">
        <v>1132</v>
      </c>
    </row>
    <row r="1432" spans="49:49" ht="15" customHeight="1">
      <c r="AW1432" s="125">
        <v>1133</v>
      </c>
    </row>
    <row r="1433" spans="49:49" ht="15" customHeight="1">
      <c r="AW1433" s="125">
        <v>1134</v>
      </c>
    </row>
    <row r="1434" spans="49:49" ht="15" customHeight="1">
      <c r="AW1434" s="125">
        <v>1135</v>
      </c>
    </row>
    <row r="1435" spans="49:49" ht="15" customHeight="1">
      <c r="AW1435" s="125">
        <v>1136</v>
      </c>
    </row>
    <row r="1436" spans="49:49" ht="15" customHeight="1">
      <c r="AW1436" s="125">
        <v>1137</v>
      </c>
    </row>
    <row r="1437" spans="49:49" ht="15" customHeight="1">
      <c r="AW1437" s="125">
        <v>1138</v>
      </c>
    </row>
    <row r="1438" spans="49:49" ht="15" customHeight="1">
      <c r="AW1438" s="125">
        <v>1139</v>
      </c>
    </row>
    <row r="1439" spans="49:49" ht="15" customHeight="1">
      <c r="AW1439" s="125">
        <v>1140</v>
      </c>
    </row>
    <row r="1440" spans="49:49" ht="15" customHeight="1">
      <c r="AW1440" s="125">
        <v>1141</v>
      </c>
    </row>
    <row r="1441" spans="49:49" ht="15" customHeight="1">
      <c r="AW1441" s="125">
        <v>1142</v>
      </c>
    </row>
    <row r="1442" spans="49:49" ht="15" customHeight="1">
      <c r="AW1442" s="125">
        <v>1143</v>
      </c>
    </row>
    <row r="1443" spans="49:49" ht="15" customHeight="1">
      <c r="AW1443" s="125">
        <v>1144</v>
      </c>
    </row>
    <row r="1444" spans="49:49" ht="15" customHeight="1">
      <c r="AW1444" s="125">
        <v>1145</v>
      </c>
    </row>
    <row r="1445" spans="49:49" ht="15" customHeight="1">
      <c r="AW1445" s="125">
        <v>1146</v>
      </c>
    </row>
    <row r="1446" spans="49:49" ht="15" customHeight="1">
      <c r="AW1446" s="125">
        <v>1147</v>
      </c>
    </row>
    <row r="1447" spans="49:49" ht="15" customHeight="1">
      <c r="AW1447" s="125">
        <v>1148</v>
      </c>
    </row>
    <row r="1448" spans="49:49" ht="15" customHeight="1">
      <c r="AW1448" s="125">
        <v>1149</v>
      </c>
    </row>
    <row r="1449" spans="49:49" ht="15" customHeight="1">
      <c r="AW1449" s="125">
        <v>1150</v>
      </c>
    </row>
    <row r="1450" spans="49:49" ht="15" customHeight="1">
      <c r="AW1450" s="125">
        <v>1151</v>
      </c>
    </row>
    <row r="1451" spans="49:49" ht="15" customHeight="1">
      <c r="AW1451" s="125">
        <v>1152</v>
      </c>
    </row>
    <row r="1452" spans="49:49" ht="15" customHeight="1">
      <c r="AW1452" s="125">
        <v>1153</v>
      </c>
    </row>
    <row r="1453" spans="49:49" ht="15" customHeight="1">
      <c r="AW1453" s="125">
        <v>1154</v>
      </c>
    </row>
    <row r="1454" spans="49:49" ht="15" customHeight="1">
      <c r="AW1454" s="125">
        <v>1155</v>
      </c>
    </row>
    <row r="1455" spans="49:49" ht="15" customHeight="1">
      <c r="AW1455" s="125">
        <v>1156</v>
      </c>
    </row>
    <row r="1456" spans="49:49" ht="15" customHeight="1">
      <c r="AW1456" s="125">
        <v>1157</v>
      </c>
    </row>
    <row r="1457" spans="49:49" ht="15" customHeight="1">
      <c r="AW1457" s="125">
        <v>1158</v>
      </c>
    </row>
    <row r="1458" spans="49:49" ht="15" customHeight="1">
      <c r="AW1458" s="125">
        <v>1159</v>
      </c>
    </row>
    <row r="1459" spans="49:49" ht="15" customHeight="1">
      <c r="AW1459" s="125">
        <v>1160</v>
      </c>
    </row>
    <row r="1460" spans="49:49" ht="15" customHeight="1">
      <c r="AW1460" s="125">
        <v>1161</v>
      </c>
    </row>
    <row r="1461" spans="49:49" ht="15" customHeight="1">
      <c r="AW1461" s="125">
        <v>1162</v>
      </c>
    </row>
    <row r="1462" spans="49:49" ht="15" customHeight="1">
      <c r="AW1462" s="125">
        <v>1163</v>
      </c>
    </row>
    <row r="1463" spans="49:49" ht="15" customHeight="1">
      <c r="AW1463" s="125">
        <v>1164</v>
      </c>
    </row>
    <row r="1464" spans="49:49" ht="15" customHeight="1">
      <c r="AW1464" s="125">
        <v>1165</v>
      </c>
    </row>
    <row r="1465" spans="49:49" ht="15" customHeight="1">
      <c r="AW1465" s="125">
        <v>1166</v>
      </c>
    </row>
    <row r="1466" spans="49:49" ht="15" customHeight="1">
      <c r="AW1466" s="125">
        <v>1167</v>
      </c>
    </row>
    <row r="1467" spans="49:49" ht="15" customHeight="1">
      <c r="AW1467" s="125">
        <v>1168</v>
      </c>
    </row>
    <row r="1468" spans="49:49" ht="15" customHeight="1">
      <c r="AW1468" s="125">
        <v>1169</v>
      </c>
    </row>
    <row r="1469" spans="49:49" ht="15" customHeight="1">
      <c r="AW1469" s="125">
        <v>1170</v>
      </c>
    </row>
    <row r="1470" spans="49:49" ht="15" customHeight="1">
      <c r="AW1470" s="125">
        <v>1171</v>
      </c>
    </row>
    <row r="1471" spans="49:49" ht="15" customHeight="1">
      <c r="AW1471" s="125">
        <v>1172</v>
      </c>
    </row>
    <row r="1472" spans="49:49" ht="15" customHeight="1">
      <c r="AW1472" s="125">
        <v>1173</v>
      </c>
    </row>
    <row r="1473" spans="49:49" ht="15" customHeight="1">
      <c r="AW1473" s="125">
        <v>1174</v>
      </c>
    </row>
    <row r="1474" spans="49:49" ht="15" customHeight="1">
      <c r="AW1474" s="125">
        <v>1175</v>
      </c>
    </row>
    <row r="1475" spans="49:49" ht="15" customHeight="1">
      <c r="AW1475" s="125">
        <v>1176</v>
      </c>
    </row>
    <row r="1476" spans="49:49" ht="15" customHeight="1">
      <c r="AW1476" s="125">
        <v>1177</v>
      </c>
    </row>
    <row r="1477" spans="49:49" ht="15" customHeight="1">
      <c r="AW1477" s="125">
        <v>1178</v>
      </c>
    </row>
    <row r="1478" spans="49:49" ht="15" customHeight="1">
      <c r="AW1478" s="125">
        <v>1179</v>
      </c>
    </row>
    <row r="1479" spans="49:49" ht="15" customHeight="1">
      <c r="AW1479" s="125">
        <v>1180</v>
      </c>
    </row>
    <row r="1480" spans="49:49" ht="15" customHeight="1">
      <c r="AW1480" s="125">
        <v>1181</v>
      </c>
    </row>
    <row r="1481" spans="49:49" ht="15" customHeight="1">
      <c r="AW1481" s="125">
        <v>1182</v>
      </c>
    </row>
    <row r="1482" spans="49:49" ht="15" customHeight="1">
      <c r="AW1482" s="125">
        <v>1183</v>
      </c>
    </row>
    <row r="1483" spans="49:49" ht="15" customHeight="1">
      <c r="AW1483" s="125">
        <v>1184</v>
      </c>
    </row>
    <row r="1484" spans="49:49" ht="15" customHeight="1">
      <c r="AW1484" s="125">
        <v>1185</v>
      </c>
    </row>
    <row r="1485" spans="49:49" ht="15" customHeight="1">
      <c r="AW1485" s="125">
        <v>1186</v>
      </c>
    </row>
    <row r="1486" spans="49:49" ht="15" customHeight="1">
      <c r="AW1486" s="125">
        <v>1187</v>
      </c>
    </row>
    <row r="1487" spans="49:49" ht="15" customHeight="1">
      <c r="AW1487" s="125">
        <v>1188</v>
      </c>
    </row>
    <row r="1488" spans="49:49" ht="15" customHeight="1">
      <c r="AW1488" s="125">
        <v>1189</v>
      </c>
    </row>
    <row r="1489" spans="49:49" ht="15" customHeight="1">
      <c r="AW1489" s="125">
        <v>1190</v>
      </c>
    </row>
    <row r="1490" spans="49:49" ht="15" customHeight="1">
      <c r="AW1490" s="125">
        <v>1191</v>
      </c>
    </row>
    <row r="1491" spans="49:49" ht="15" customHeight="1">
      <c r="AW1491" s="125">
        <v>1192</v>
      </c>
    </row>
    <row r="1492" spans="49:49" ht="15" customHeight="1">
      <c r="AW1492" s="125">
        <v>1193</v>
      </c>
    </row>
    <row r="1493" spans="49:49" ht="15" customHeight="1">
      <c r="AW1493" s="125">
        <v>1194</v>
      </c>
    </row>
    <row r="1494" spans="49:49" ht="15" customHeight="1">
      <c r="AW1494" s="125">
        <v>1195</v>
      </c>
    </row>
    <row r="1495" spans="49:49" ht="15" customHeight="1">
      <c r="AW1495" s="125">
        <v>1196</v>
      </c>
    </row>
    <row r="1496" spans="49:49" ht="15" customHeight="1">
      <c r="AW1496" s="125">
        <v>1197</v>
      </c>
    </row>
    <row r="1497" spans="49:49" ht="15" customHeight="1">
      <c r="AW1497" s="125">
        <v>1198</v>
      </c>
    </row>
    <row r="1498" spans="49:49" ht="15" customHeight="1">
      <c r="AW1498" s="125">
        <v>1199</v>
      </c>
    </row>
    <row r="1499" spans="49:49" ht="15" customHeight="1">
      <c r="AW1499" s="125">
        <v>1200</v>
      </c>
    </row>
    <row r="1500" spans="49:49" ht="15" customHeight="1">
      <c r="AW1500" s="125">
        <v>1201</v>
      </c>
    </row>
    <row r="1501" spans="49:49" ht="15" customHeight="1">
      <c r="AW1501" s="125">
        <v>1202</v>
      </c>
    </row>
    <row r="1502" spans="49:49" ht="15" customHeight="1">
      <c r="AW1502" s="125">
        <v>1203</v>
      </c>
    </row>
    <row r="1503" spans="49:49" ht="15" customHeight="1">
      <c r="AW1503" s="125">
        <v>1204</v>
      </c>
    </row>
    <row r="1504" spans="49:49" ht="15" customHeight="1">
      <c r="AW1504" s="125">
        <v>1205</v>
      </c>
    </row>
    <row r="1505" spans="49:49" ht="15" customHeight="1">
      <c r="AW1505" s="125">
        <v>1206</v>
      </c>
    </row>
    <row r="1506" spans="49:49" ht="15" customHeight="1">
      <c r="AW1506" s="125">
        <v>1207</v>
      </c>
    </row>
    <row r="1507" spans="49:49" ht="15" customHeight="1">
      <c r="AW1507" s="125">
        <v>1208</v>
      </c>
    </row>
    <row r="1508" spans="49:49" ht="15" customHeight="1">
      <c r="AW1508" s="125">
        <v>1209</v>
      </c>
    </row>
    <row r="1509" spans="49:49" ht="15" customHeight="1">
      <c r="AW1509" s="125">
        <v>1210</v>
      </c>
    </row>
    <row r="1510" spans="49:49" ht="15" customHeight="1">
      <c r="AW1510" s="125">
        <v>1211</v>
      </c>
    </row>
    <row r="1511" spans="49:49" ht="15" customHeight="1">
      <c r="AW1511" s="125">
        <v>1212</v>
      </c>
    </row>
    <row r="1512" spans="49:49" ht="15" customHeight="1">
      <c r="AW1512" s="125">
        <v>1213</v>
      </c>
    </row>
    <row r="1513" spans="49:49" ht="15" customHeight="1">
      <c r="AW1513" s="125">
        <v>1214</v>
      </c>
    </row>
    <row r="1514" spans="49:49" ht="15" customHeight="1">
      <c r="AW1514" s="125">
        <v>1215</v>
      </c>
    </row>
    <row r="1515" spans="49:49" ht="15" customHeight="1">
      <c r="AW1515" s="125">
        <v>1216</v>
      </c>
    </row>
    <row r="1516" spans="49:49" ht="15" customHeight="1">
      <c r="AW1516" s="125">
        <v>1217</v>
      </c>
    </row>
    <row r="1517" spans="49:49" ht="15" customHeight="1">
      <c r="AW1517" s="125">
        <v>1218</v>
      </c>
    </row>
    <row r="1518" spans="49:49" ht="15" customHeight="1">
      <c r="AW1518" s="125">
        <v>1219</v>
      </c>
    </row>
    <row r="1519" spans="49:49" ht="15" customHeight="1">
      <c r="AW1519" s="125">
        <v>1220</v>
      </c>
    </row>
    <row r="1520" spans="49:49" ht="15" customHeight="1">
      <c r="AW1520" s="125">
        <v>1221</v>
      </c>
    </row>
    <row r="1521" spans="49:49" ht="15" customHeight="1">
      <c r="AW1521" s="125">
        <v>1222</v>
      </c>
    </row>
    <row r="1522" spans="49:49" ht="15" customHeight="1">
      <c r="AW1522" s="125">
        <v>1223</v>
      </c>
    </row>
    <row r="1523" spans="49:49" ht="15" customHeight="1">
      <c r="AW1523" s="125">
        <v>1224</v>
      </c>
    </row>
    <row r="1524" spans="49:49" ht="15" customHeight="1">
      <c r="AW1524" s="125">
        <v>1225</v>
      </c>
    </row>
    <row r="1525" spans="49:49" ht="15" customHeight="1">
      <c r="AW1525" s="125">
        <v>1226</v>
      </c>
    </row>
    <row r="1526" spans="49:49" ht="15" customHeight="1">
      <c r="AW1526" s="125">
        <v>1227</v>
      </c>
    </row>
    <row r="1527" spans="49:49" ht="15" customHeight="1">
      <c r="AW1527" s="125">
        <v>1228</v>
      </c>
    </row>
    <row r="1528" spans="49:49" ht="15" customHeight="1">
      <c r="AW1528" s="125">
        <v>1229</v>
      </c>
    </row>
    <row r="1529" spans="49:49" ht="15" customHeight="1">
      <c r="AW1529" s="125">
        <v>1230</v>
      </c>
    </row>
    <row r="1530" spans="49:49" ht="15" customHeight="1">
      <c r="AW1530" s="125">
        <v>1231</v>
      </c>
    </row>
    <row r="1531" spans="49:49" ht="15" customHeight="1">
      <c r="AW1531" s="125">
        <v>1232</v>
      </c>
    </row>
    <row r="1532" spans="49:49" ht="15" customHeight="1">
      <c r="AW1532" s="125">
        <v>1233</v>
      </c>
    </row>
    <row r="1533" spans="49:49" ht="15" customHeight="1">
      <c r="AW1533" s="125">
        <v>1234</v>
      </c>
    </row>
    <row r="1534" spans="49:49" ht="15" customHeight="1">
      <c r="AW1534" s="125">
        <v>1235</v>
      </c>
    </row>
    <row r="1535" spans="49:49" ht="15" customHeight="1">
      <c r="AW1535" s="125">
        <v>1236</v>
      </c>
    </row>
    <row r="1536" spans="49:49" ht="15" customHeight="1">
      <c r="AW1536" s="125">
        <v>1237</v>
      </c>
    </row>
    <row r="1537" spans="49:49" ht="15" customHeight="1">
      <c r="AW1537" s="125">
        <v>1238</v>
      </c>
    </row>
    <row r="1538" spans="49:49" ht="15" customHeight="1">
      <c r="AW1538" s="125">
        <v>1239</v>
      </c>
    </row>
    <row r="1539" spans="49:49" ht="15" customHeight="1">
      <c r="AW1539" s="125">
        <v>1240</v>
      </c>
    </row>
    <row r="1540" spans="49:49" ht="15" customHeight="1">
      <c r="AW1540" s="125">
        <v>1241</v>
      </c>
    </row>
    <row r="1541" spans="49:49" ht="15" customHeight="1">
      <c r="AW1541" s="125">
        <v>1242</v>
      </c>
    </row>
    <row r="1542" spans="49:49" ht="15" customHeight="1">
      <c r="AW1542" s="125">
        <v>1243</v>
      </c>
    </row>
    <row r="1543" spans="49:49" ht="15" customHeight="1">
      <c r="AW1543" s="125">
        <v>1244</v>
      </c>
    </row>
    <row r="1544" spans="49:49" ht="15" customHeight="1">
      <c r="AW1544" s="125">
        <v>1245</v>
      </c>
    </row>
    <row r="1545" spans="49:49" ht="15" customHeight="1">
      <c r="AW1545" s="125">
        <v>1246</v>
      </c>
    </row>
    <row r="1546" spans="49:49" ht="15" customHeight="1">
      <c r="AW1546" s="125">
        <v>1247</v>
      </c>
    </row>
    <row r="1547" spans="49:49" ht="15" customHeight="1">
      <c r="AW1547" s="125">
        <v>1248</v>
      </c>
    </row>
    <row r="1548" spans="49:49" ht="15" customHeight="1">
      <c r="AW1548" s="125">
        <v>1249</v>
      </c>
    </row>
    <row r="1549" spans="49:49" ht="15" customHeight="1">
      <c r="AW1549" s="125">
        <v>1250</v>
      </c>
    </row>
    <row r="1550" spans="49:49" ht="15" customHeight="1">
      <c r="AW1550" s="125">
        <v>1251</v>
      </c>
    </row>
    <row r="1551" spans="49:49" ht="15" customHeight="1">
      <c r="AW1551" s="125">
        <v>1252</v>
      </c>
    </row>
    <row r="1552" spans="49:49" ht="15" customHeight="1">
      <c r="AW1552" s="125">
        <v>1253</v>
      </c>
    </row>
    <row r="1553" spans="49:49" ht="15" customHeight="1">
      <c r="AW1553" s="125">
        <v>1254</v>
      </c>
    </row>
    <row r="1554" spans="49:49" ht="15" customHeight="1">
      <c r="AW1554" s="125">
        <v>1255</v>
      </c>
    </row>
    <row r="1555" spans="49:49" ht="15" customHeight="1">
      <c r="AW1555" s="125">
        <v>1256</v>
      </c>
    </row>
    <row r="1556" spans="49:49" ht="15" customHeight="1">
      <c r="AW1556" s="125">
        <v>1257</v>
      </c>
    </row>
    <row r="1557" spans="49:49" ht="15" customHeight="1">
      <c r="AW1557" s="125">
        <v>1258</v>
      </c>
    </row>
    <row r="1558" spans="49:49" ht="15" customHeight="1">
      <c r="AW1558" s="125">
        <v>1259</v>
      </c>
    </row>
    <row r="1559" spans="49:49" ht="15" customHeight="1">
      <c r="AW1559" s="125">
        <v>1260</v>
      </c>
    </row>
    <row r="1560" spans="49:49" ht="15" customHeight="1">
      <c r="AW1560" s="125">
        <v>1261</v>
      </c>
    </row>
    <row r="1561" spans="49:49" ht="15" customHeight="1">
      <c r="AW1561" s="125">
        <v>1262</v>
      </c>
    </row>
    <row r="1562" spans="49:49" ht="15" customHeight="1">
      <c r="AW1562" s="125">
        <v>1263</v>
      </c>
    </row>
    <row r="1563" spans="49:49" ht="15" customHeight="1">
      <c r="AW1563" s="125">
        <v>1264</v>
      </c>
    </row>
    <row r="1564" spans="49:49" ht="15" customHeight="1">
      <c r="AW1564" s="125">
        <v>1265</v>
      </c>
    </row>
    <row r="1565" spans="49:49" ht="15" customHeight="1">
      <c r="AW1565" s="125">
        <v>1266</v>
      </c>
    </row>
    <row r="1566" spans="49:49" ht="15" customHeight="1">
      <c r="AW1566" s="125">
        <v>1267</v>
      </c>
    </row>
    <row r="1567" spans="49:49" ht="15" customHeight="1">
      <c r="AW1567" s="125">
        <v>1268</v>
      </c>
    </row>
    <row r="1568" spans="49:49" ht="15" customHeight="1">
      <c r="AW1568" s="125">
        <v>1269</v>
      </c>
    </row>
    <row r="1569" spans="49:49" ht="15" customHeight="1">
      <c r="AW1569" s="125">
        <v>1270</v>
      </c>
    </row>
    <row r="1570" spans="49:49" ht="15" customHeight="1">
      <c r="AW1570" s="125">
        <v>1271</v>
      </c>
    </row>
    <row r="1571" spans="49:49" ht="15" customHeight="1">
      <c r="AW1571" s="125">
        <v>1272</v>
      </c>
    </row>
    <row r="1572" spans="49:49" ht="15" customHeight="1">
      <c r="AW1572" s="125">
        <v>1273</v>
      </c>
    </row>
    <row r="1573" spans="49:49" ht="15" customHeight="1">
      <c r="AW1573" s="125">
        <v>1274</v>
      </c>
    </row>
    <row r="1574" spans="49:49" ht="15" customHeight="1">
      <c r="AW1574" s="125">
        <v>1275</v>
      </c>
    </row>
    <row r="1575" spans="49:49" ht="15" customHeight="1">
      <c r="AW1575" s="125">
        <v>1276</v>
      </c>
    </row>
    <row r="1576" spans="49:49" ht="15" customHeight="1">
      <c r="AW1576" s="125">
        <v>1277</v>
      </c>
    </row>
    <row r="1577" spans="49:49" ht="15" customHeight="1">
      <c r="AW1577" s="125">
        <v>1278</v>
      </c>
    </row>
    <row r="1578" spans="49:49" ht="15" customHeight="1">
      <c r="AW1578" s="125">
        <v>1279</v>
      </c>
    </row>
    <row r="1579" spans="49:49" ht="15" customHeight="1">
      <c r="AW1579" s="125">
        <v>1280</v>
      </c>
    </row>
    <row r="1580" spans="49:49" ht="15" customHeight="1">
      <c r="AW1580" s="125">
        <v>1281</v>
      </c>
    </row>
    <row r="1581" spans="49:49" ht="15" customHeight="1">
      <c r="AW1581" s="125">
        <v>1282</v>
      </c>
    </row>
    <row r="1582" spans="49:49" ht="15" customHeight="1">
      <c r="AW1582" s="125">
        <v>1283</v>
      </c>
    </row>
    <row r="1583" spans="49:49" ht="15" customHeight="1">
      <c r="AW1583" s="125">
        <v>1284</v>
      </c>
    </row>
    <row r="1584" spans="49:49" ht="15" customHeight="1">
      <c r="AW1584" s="125">
        <v>1285</v>
      </c>
    </row>
    <row r="1585" spans="49:49" ht="15" customHeight="1">
      <c r="AW1585" s="125">
        <v>1286</v>
      </c>
    </row>
    <row r="1586" spans="49:49" ht="15" customHeight="1">
      <c r="AW1586" s="125">
        <v>1287</v>
      </c>
    </row>
    <row r="1587" spans="49:49" ht="15" customHeight="1">
      <c r="AW1587" s="125">
        <v>1288</v>
      </c>
    </row>
    <row r="1588" spans="49:49" ht="15" customHeight="1">
      <c r="AW1588" s="125">
        <v>1289</v>
      </c>
    </row>
    <row r="1589" spans="49:49" ht="15" customHeight="1">
      <c r="AW1589" s="125">
        <v>1290</v>
      </c>
    </row>
    <row r="1590" spans="49:49" ht="15" customHeight="1">
      <c r="AW1590" s="125">
        <v>1291</v>
      </c>
    </row>
    <row r="1591" spans="49:49" ht="15" customHeight="1">
      <c r="AW1591" s="125">
        <v>1292</v>
      </c>
    </row>
    <row r="1592" spans="49:49" ht="15" customHeight="1">
      <c r="AW1592" s="125">
        <v>1293</v>
      </c>
    </row>
    <row r="1593" spans="49:49" ht="15" customHeight="1">
      <c r="AW1593" s="125">
        <v>1294</v>
      </c>
    </row>
    <row r="1594" spans="49:49" ht="15" customHeight="1">
      <c r="AW1594" s="125">
        <v>1295</v>
      </c>
    </row>
    <row r="1595" spans="49:49" ht="15" customHeight="1">
      <c r="AW1595" s="125">
        <v>1296</v>
      </c>
    </row>
    <row r="1596" spans="49:49" ht="15" customHeight="1">
      <c r="AW1596" s="125">
        <v>1297</v>
      </c>
    </row>
    <row r="1597" spans="49:49" ht="15" customHeight="1">
      <c r="AW1597" s="125">
        <v>1298</v>
      </c>
    </row>
    <row r="1598" spans="49:49" ht="15" customHeight="1">
      <c r="AW1598" s="125">
        <v>1299</v>
      </c>
    </row>
    <row r="1599" spans="49:49" ht="15" customHeight="1">
      <c r="AW1599" s="125">
        <v>1300</v>
      </c>
    </row>
    <row r="1600" spans="49:49" ht="15" customHeight="1">
      <c r="AW1600" s="125">
        <v>1301</v>
      </c>
    </row>
    <row r="1601" spans="49:49" ht="15" customHeight="1">
      <c r="AW1601" s="125">
        <v>1302</v>
      </c>
    </row>
    <row r="1602" spans="49:49" ht="15" customHeight="1">
      <c r="AW1602" s="125">
        <v>1303</v>
      </c>
    </row>
    <row r="1603" spans="49:49" ht="15" customHeight="1">
      <c r="AW1603" s="125">
        <v>1304</v>
      </c>
    </row>
    <row r="1604" spans="49:49" ht="15" customHeight="1">
      <c r="AW1604" s="125">
        <v>1305</v>
      </c>
    </row>
    <row r="1605" spans="49:49" ht="15" customHeight="1">
      <c r="AW1605" s="125">
        <v>1306</v>
      </c>
    </row>
    <row r="1606" spans="49:49" ht="15" customHeight="1">
      <c r="AW1606" s="125">
        <v>1307</v>
      </c>
    </row>
    <row r="1607" spans="49:49" ht="15" customHeight="1">
      <c r="AW1607" s="125">
        <v>1308</v>
      </c>
    </row>
    <row r="1608" spans="49:49" ht="15" customHeight="1">
      <c r="AW1608" s="125">
        <v>1309</v>
      </c>
    </row>
    <row r="1609" spans="49:49" ht="15" customHeight="1">
      <c r="AW1609" s="125">
        <v>1310</v>
      </c>
    </row>
    <row r="1610" spans="49:49" ht="15" customHeight="1">
      <c r="AW1610" s="125">
        <v>1311</v>
      </c>
    </row>
    <row r="1611" spans="49:49" ht="15" customHeight="1">
      <c r="AW1611" s="125">
        <v>1312</v>
      </c>
    </row>
    <row r="1612" spans="49:49" ht="15" customHeight="1">
      <c r="AW1612" s="125">
        <v>1313</v>
      </c>
    </row>
    <row r="1613" spans="49:49" ht="15" customHeight="1">
      <c r="AW1613" s="125">
        <v>1314</v>
      </c>
    </row>
    <row r="1614" spans="49:49" ht="15" customHeight="1">
      <c r="AW1614" s="125">
        <v>1315</v>
      </c>
    </row>
    <row r="1615" spans="49:49" ht="15" customHeight="1">
      <c r="AW1615" s="125">
        <v>1316</v>
      </c>
    </row>
    <row r="1616" spans="49:49" ht="15" customHeight="1">
      <c r="AW1616" s="125">
        <v>1317</v>
      </c>
    </row>
    <row r="1617" spans="49:49" ht="15" customHeight="1">
      <c r="AW1617" s="125">
        <v>1318</v>
      </c>
    </row>
    <row r="1618" spans="49:49" ht="15" customHeight="1">
      <c r="AW1618" s="125">
        <v>1319</v>
      </c>
    </row>
    <row r="1619" spans="49:49" ht="15" customHeight="1">
      <c r="AW1619" s="125">
        <v>1320</v>
      </c>
    </row>
    <row r="1620" spans="49:49" ht="15" customHeight="1">
      <c r="AW1620" s="125">
        <v>1321</v>
      </c>
    </row>
    <row r="1621" spans="49:49" ht="15" customHeight="1">
      <c r="AW1621" s="125">
        <v>1322</v>
      </c>
    </row>
    <row r="1622" spans="49:49" ht="15" customHeight="1">
      <c r="AW1622" s="125">
        <v>1323</v>
      </c>
    </row>
    <row r="1623" spans="49:49" ht="15" customHeight="1">
      <c r="AW1623" s="125">
        <v>1324</v>
      </c>
    </row>
    <row r="1624" spans="49:49" ht="15" customHeight="1">
      <c r="AW1624" s="125">
        <v>1325</v>
      </c>
    </row>
    <row r="1625" spans="49:49" ht="15" customHeight="1">
      <c r="AW1625" s="125">
        <v>1326</v>
      </c>
    </row>
    <row r="1626" spans="49:49" ht="15" customHeight="1">
      <c r="AW1626" s="125">
        <v>1327</v>
      </c>
    </row>
    <row r="1627" spans="49:49" ht="15" customHeight="1">
      <c r="AW1627" s="125">
        <v>1328</v>
      </c>
    </row>
    <row r="1628" spans="49:49" ht="15" customHeight="1">
      <c r="AW1628" s="125">
        <v>1329</v>
      </c>
    </row>
    <row r="1629" spans="49:49" ht="15" customHeight="1">
      <c r="AW1629" s="125">
        <v>1330</v>
      </c>
    </row>
    <row r="1630" spans="49:49" ht="15" customHeight="1">
      <c r="AW1630" s="125">
        <v>1331</v>
      </c>
    </row>
    <row r="1631" spans="49:49" ht="15" customHeight="1">
      <c r="AW1631" s="125">
        <v>1332</v>
      </c>
    </row>
    <row r="1632" spans="49:49" ht="15" customHeight="1">
      <c r="AW1632" s="125">
        <v>1333</v>
      </c>
    </row>
    <row r="1633" spans="49:49" ht="15" customHeight="1">
      <c r="AW1633" s="125">
        <v>1334</v>
      </c>
    </row>
    <row r="1634" spans="49:49" ht="15" customHeight="1">
      <c r="AW1634" s="125">
        <v>1335</v>
      </c>
    </row>
    <row r="1635" spans="49:49" ht="15" customHeight="1">
      <c r="AW1635" s="125">
        <v>1336</v>
      </c>
    </row>
    <row r="1636" spans="49:49" ht="15" customHeight="1">
      <c r="AW1636" s="125">
        <v>1337</v>
      </c>
    </row>
    <row r="1637" spans="49:49" ht="15" customHeight="1">
      <c r="AW1637" s="125">
        <v>1338</v>
      </c>
    </row>
    <row r="1638" spans="49:49" ht="15" customHeight="1">
      <c r="AW1638" s="125">
        <v>1339</v>
      </c>
    </row>
    <row r="1639" spans="49:49" ht="15" customHeight="1">
      <c r="AW1639" s="125">
        <v>1340</v>
      </c>
    </row>
    <row r="1640" spans="49:49" ht="15" customHeight="1">
      <c r="AW1640" s="125">
        <v>1341</v>
      </c>
    </row>
    <row r="1641" spans="49:49" ht="15" customHeight="1">
      <c r="AW1641" s="125">
        <v>1342</v>
      </c>
    </row>
    <row r="1642" spans="49:49" ht="15" customHeight="1">
      <c r="AW1642" s="125">
        <v>1343</v>
      </c>
    </row>
    <row r="1643" spans="49:49" ht="15" customHeight="1">
      <c r="AW1643" s="125">
        <v>1344</v>
      </c>
    </row>
    <row r="1644" spans="49:49" ht="15" customHeight="1">
      <c r="AW1644" s="125">
        <v>1345</v>
      </c>
    </row>
    <row r="1645" spans="49:49" ht="15" customHeight="1">
      <c r="AW1645" s="125">
        <v>1346</v>
      </c>
    </row>
    <row r="1646" spans="49:49" ht="15" customHeight="1">
      <c r="AW1646" s="125">
        <v>1347</v>
      </c>
    </row>
    <row r="1647" spans="49:49" ht="15" customHeight="1">
      <c r="AW1647" s="125">
        <v>1348</v>
      </c>
    </row>
    <row r="1648" spans="49:49" ht="15" customHeight="1">
      <c r="AW1648" s="125">
        <v>1349</v>
      </c>
    </row>
    <row r="1649" spans="49:49" ht="15" customHeight="1">
      <c r="AW1649" s="125">
        <v>1350</v>
      </c>
    </row>
    <row r="1650" spans="49:49" ht="15" customHeight="1">
      <c r="AW1650" s="125">
        <v>1351</v>
      </c>
    </row>
    <row r="1651" spans="49:49" ht="15" customHeight="1">
      <c r="AW1651" s="125">
        <v>1352</v>
      </c>
    </row>
    <row r="1652" spans="49:49" ht="15" customHeight="1">
      <c r="AW1652" s="125">
        <v>1353</v>
      </c>
    </row>
    <row r="1653" spans="49:49" ht="15" customHeight="1">
      <c r="AW1653" s="125">
        <v>1354</v>
      </c>
    </row>
    <row r="1654" spans="49:49" ht="15" customHeight="1">
      <c r="AW1654" s="125">
        <v>1355</v>
      </c>
    </row>
    <row r="1655" spans="49:49" ht="15" customHeight="1">
      <c r="AW1655" s="125">
        <v>1356</v>
      </c>
    </row>
    <row r="1656" spans="49:49" ht="15" customHeight="1">
      <c r="AW1656" s="125">
        <v>1357</v>
      </c>
    </row>
    <row r="1657" spans="49:49" ht="15" customHeight="1">
      <c r="AW1657" s="125">
        <v>1358</v>
      </c>
    </row>
    <row r="1658" spans="49:49" ht="15" customHeight="1">
      <c r="AW1658" s="125">
        <v>1359</v>
      </c>
    </row>
    <row r="1659" spans="49:49" ht="15" customHeight="1">
      <c r="AW1659" s="125">
        <v>1360</v>
      </c>
    </row>
    <row r="1660" spans="49:49" ht="15" customHeight="1">
      <c r="AW1660" s="125">
        <v>1361</v>
      </c>
    </row>
    <row r="1661" spans="49:49" ht="15" customHeight="1">
      <c r="AW1661" s="125">
        <v>1362</v>
      </c>
    </row>
    <row r="1662" spans="49:49" ht="15" customHeight="1">
      <c r="AW1662" s="125">
        <v>1363</v>
      </c>
    </row>
    <row r="1663" spans="49:49" ht="15" customHeight="1">
      <c r="AW1663" s="125">
        <v>1364</v>
      </c>
    </row>
    <row r="1664" spans="49:49" ht="15" customHeight="1">
      <c r="AW1664" s="125">
        <v>1365</v>
      </c>
    </row>
    <row r="1665" spans="49:49" ht="15" customHeight="1">
      <c r="AW1665" s="125">
        <v>1366</v>
      </c>
    </row>
    <row r="1666" spans="49:49" ht="15" customHeight="1">
      <c r="AW1666" s="125">
        <v>1367</v>
      </c>
    </row>
    <row r="1667" spans="49:49" ht="15" customHeight="1">
      <c r="AW1667" s="125">
        <v>1368</v>
      </c>
    </row>
    <row r="1668" spans="49:49" ht="15" customHeight="1">
      <c r="AW1668" s="125">
        <v>1369</v>
      </c>
    </row>
    <row r="1669" spans="49:49" ht="15" customHeight="1">
      <c r="AW1669" s="125">
        <v>1370</v>
      </c>
    </row>
    <row r="1670" spans="49:49" ht="15" customHeight="1">
      <c r="AW1670" s="125">
        <v>1371</v>
      </c>
    </row>
    <row r="1671" spans="49:49" ht="15" customHeight="1">
      <c r="AW1671" s="125">
        <v>1372</v>
      </c>
    </row>
    <row r="1672" spans="49:49" ht="15" customHeight="1">
      <c r="AW1672" s="125">
        <v>1373</v>
      </c>
    </row>
    <row r="1673" spans="49:49" ht="15" customHeight="1">
      <c r="AW1673" s="125">
        <v>1374</v>
      </c>
    </row>
    <row r="1674" spans="49:49" ht="15" customHeight="1">
      <c r="AW1674" s="125">
        <v>1375</v>
      </c>
    </row>
    <row r="1675" spans="49:49" ht="15" customHeight="1">
      <c r="AW1675" s="125">
        <v>1376</v>
      </c>
    </row>
    <row r="1676" spans="49:49" ht="15" customHeight="1">
      <c r="AW1676" s="125">
        <v>1377</v>
      </c>
    </row>
    <row r="1677" spans="49:49" ht="15" customHeight="1">
      <c r="AW1677" s="125">
        <v>1378</v>
      </c>
    </row>
    <row r="1678" spans="49:49" ht="15" customHeight="1">
      <c r="AW1678" s="125">
        <v>1379</v>
      </c>
    </row>
    <row r="1679" spans="49:49" ht="15" customHeight="1">
      <c r="AW1679" s="125">
        <v>1380</v>
      </c>
    </row>
    <row r="1680" spans="49:49" ht="15" customHeight="1">
      <c r="AW1680" s="125">
        <v>1381</v>
      </c>
    </row>
    <row r="1681" spans="49:49" ht="15" customHeight="1">
      <c r="AW1681" s="125">
        <v>1382</v>
      </c>
    </row>
    <row r="1682" spans="49:49" ht="15" customHeight="1">
      <c r="AW1682" s="125">
        <v>1383</v>
      </c>
    </row>
    <row r="1683" spans="49:49" ht="15" customHeight="1">
      <c r="AW1683" s="125">
        <v>1384</v>
      </c>
    </row>
    <row r="1684" spans="49:49" ht="15" customHeight="1">
      <c r="AW1684" s="125">
        <v>1385</v>
      </c>
    </row>
    <row r="1685" spans="49:49" ht="15" customHeight="1">
      <c r="AW1685" s="125">
        <v>1386</v>
      </c>
    </row>
    <row r="1686" spans="49:49" ht="15" customHeight="1">
      <c r="AW1686" s="125">
        <v>1387</v>
      </c>
    </row>
    <row r="1687" spans="49:49" ht="15" customHeight="1">
      <c r="AW1687" s="125">
        <v>1388</v>
      </c>
    </row>
    <row r="1688" spans="49:49" ht="15" customHeight="1">
      <c r="AW1688" s="125">
        <v>1389</v>
      </c>
    </row>
    <row r="1689" spans="49:49" ht="15" customHeight="1">
      <c r="AW1689" s="125">
        <v>1390</v>
      </c>
    </row>
    <row r="1690" spans="49:49" ht="15" customHeight="1">
      <c r="AW1690" s="125">
        <v>1391</v>
      </c>
    </row>
    <row r="1691" spans="49:49" ht="15" customHeight="1">
      <c r="AW1691" s="125">
        <v>1392</v>
      </c>
    </row>
    <row r="1692" spans="49:49" ht="15" customHeight="1">
      <c r="AW1692" s="125">
        <v>1393</v>
      </c>
    </row>
    <row r="1693" spans="49:49" ht="15" customHeight="1">
      <c r="AW1693" s="125">
        <v>1394</v>
      </c>
    </row>
    <row r="1694" spans="49:49" ht="15" customHeight="1">
      <c r="AW1694" s="125">
        <v>1395</v>
      </c>
    </row>
    <row r="1695" spans="49:49" ht="15" customHeight="1">
      <c r="AW1695" s="125">
        <v>1396</v>
      </c>
    </row>
    <row r="1696" spans="49:49" ht="15" customHeight="1">
      <c r="AW1696" s="125">
        <v>1397</v>
      </c>
    </row>
    <row r="1697" spans="49:49" ht="15" customHeight="1">
      <c r="AW1697" s="125">
        <v>1398</v>
      </c>
    </row>
    <row r="1698" spans="49:49" ht="15" customHeight="1">
      <c r="AW1698" s="125">
        <v>1399</v>
      </c>
    </row>
    <row r="1699" spans="49:49" ht="15" customHeight="1">
      <c r="AW1699" s="125">
        <v>1400</v>
      </c>
    </row>
    <row r="1700" spans="49:49" ht="15" customHeight="1">
      <c r="AW1700" s="125">
        <v>1401</v>
      </c>
    </row>
    <row r="1701" spans="49:49" ht="15" customHeight="1">
      <c r="AW1701" s="125">
        <v>1402</v>
      </c>
    </row>
    <row r="1702" spans="49:49" ht="15" customHeight="1">
      <c r="AW1702" s="125">
        <v>1403</v>
      </c>
    </row>
    <row r="1703" spans="49:49" ht="15" customHeight="1">
      <c r="AW1703" s="125">
        <v>1404</v>
      </c>
    </row>
    <row r="1704" spans="49:49" ht="15" customHeight="1">
      <c r="AW1704" s="125">
        <v>1405</v>
      </c>
    </row>
    <row r="1705" spans="49:49" ht="15" customHeight="1">
      <c r="AW1705" s="125">
        <v>1406</v>
      </c>
    </row>
    <row r="1706" spans="49:49" ht="15" customHeight="1">
      <c r="AW1706" s="125">
        <v>1407</v>
      </c>
    </row>
    <row r="1707" spans="49:49" ht="15" customHeight="1">
      <c r="AW1707" s="125">
        <v>1408</v>
      </c>
    </row>
    <row r="1708" spans="49:49" ht="15" customHeight="1">
      <c r="AW1708" s="125">
        <v>1409</v>
      </c>
    </row>
    <row r="1709" spans="49:49" ht="15" customHeight="1">
      <c r="AW1709" s="125">
        <v>1410</v>
      </c>
    </row>
    <row r="1710" spans="49:49" ht="15" customHeight="1">
      <c r="AW1710" s="125">
        <v>1411</v>
      </c>
    </row>
    <row r="1711" spans="49:49" ht="15" customHeight="1">
      <c r="AW1711" s="125">
        <v>1412</v>
      </c>
    </row>
    <row r="1712" spans="49:49" ht="15" customHeight="1">
      <c r="AW1712" s="125">
        <v>1413</v>
      </c>
    </row>
    <row r="1713" spans="49:49" ht="15" customHeight="1">
      <c r="AW1713" s="125">
        <v>1414</v>
      </c>
    </row>
    <row r="1714" spans="49:49" ht="15" customHeight="1">
      <c r="AW1714" s="125">
        <v>1415</v>
      </c>
    </row>
    <row r="1715" spans="49:49" ht="15" customHeight="1">
      <c r="AW1715" s="125">
        <v>1416</v>
      </c>
    </row>
    <row r="1716" spans="49:49" ht="15" customHeight="1">
      <c r="AW1716" s="125">
        <v>1417</v>
      </c>
    </row>
    <row r="1717" spans="49:49" ht="15" customHeight="1">
      <c r="AW1717" s="125">
        <v>1418</v>
      </c>
    </row>
    <row r="1718" spans="49:49" ht="15" customHeight="1">
      <c r="AW1718" s="125">
        <v>1419</v>
      </c>
    </row>
    <row r="1719" spans="49:49" ht="15" customHeight="1">
      <c r="AW1719" s="125">
        <v>1420</v>
      </c>
    </row>
    <row r="1720" spans="49:49" ht="15" customHeight="1">
      <c r="AW1720" s="125">
        <v>1421</v>
      </c>
    </row>
    <row r="1721" spans="49:49" ht="15" customHeight="1">
      <c r="AW1721" s="125">
        <v>1422</v>
      </c>
    </row>
    <row r="1722" spans="49:49" ht="15" customHeight="1">
      <c r="AW1722" s="125">
        <v>1423</v>
      </c>
    </row>
    <row r="1723" spans="49:49" ht="15" customHeight="1">
      <c r="AW1723" s="125">
        <v>1424</v>
      </c>
    </row>
    <row r="1724" spans="49:49" ht="15" customHeight="1">
      <c r="AW1724" s="125">
        <v>1425</v>
      </c>
    </row>
    <row r="1725" spans="49:49" ht="15" customHeight="1">
      <c r="AW1725" s="125">
        <v>1426</v>
      </c>
    </row>
    <row r="1726" spans="49:49" ht="15" customHeight="1">
      <c r="AW1726" s="125">
        <v>1427</v>
      </c>
    </row>
    <row r="1727" spans="49:49" ht="15" customHeight="1">
      <c r="AW1727" s="125">
        <v>1428</v>
      </c>
    </row>
    <row r="1728" spans="49:49" ht="15" customHeight="1">
      <c r="AW1728" s="125">
        <v>1429</v>
      </c>
    </row>
    <row r="1729" spans="49:49" ht="15" customHeight="1">
      <c r="AW1729" s="125">
        <v>1430</v>
      </c>
    </row>
    <row r="1730" spans="49:49" ht="15" customHeight="1">
      <c r="AW1730" s="125">
        <v>1431</v>
      </c>
    </row>
    <row r="1731" spans="49:49" ht="15" customHeight="1">
      <c r="AW1731" s="125">
        <v>1432</v>
      </c>
    </row>
    <row r="1732" spans="49:49" ht="15" customHeight="1">
      <c r="AW1732" s="125">
        <v>1433</v>
      </c>
    </row>
    <row r="1733" spans="49:49" ht="15" customHeight="1">
      <c r="AW1733" s="125">
        <v>1434</v>
      </c>
    </row>
    <row r="1734" spans="49:49" ht="15" customHeight="1">
      <c r="AW1734" s="125">
        <v>1435</v>
      </c>
    </row>
    <row r="1735" spans="49:49" ht="15" customHeight="1">
      <c r="AW1735" s="125">
        <v>1436</v>
      </c>
    </row>
    <row r="1736" spans="49:49" ht="15" customHeight="1">
      <c r="AW1736" s="125">
        <v>1437</v>
      </c>
    </row>
    <row r="1737" spans="49:49" ht="15" customHeight="1">
      <c r="AW1737" s="125">
        <v>1438</v>
      </c>
    </row>
    <row r="1738" spans="49:49" ht="15" customHeight="1">
      <c r="AW1738" s="125">
        <v>1439</v>
      </c>
    </row>
    <row r="1739" spans="49:49" ht="15" customHeight="1">
      <c r="AW1739" s="125">
        <v>1440</v>
      </c>
    </row>
    <row r="1740" spans="49:49" ht="15" customHeight="1">
      <c r="AW1740" s="125">
        <v>1441</v>
      </c>
    </row>
    <row r="1741" spans="49:49" ht="15" customHeight="1">
      <c r="AW1741" s="125">
        <v>1442</v>
      </c>
    </row>
    <row r="1742" spans="49:49" ht="15" customHeight="1">
      <c r="AW1742" s="125">
        <v>1443</v>
      </c>
    </row>
    <row r="1743" spans="49:49" ht="15" customHeight="1">
      <c r="AW1743" s="125">
        <v>1444</v>
      </c>
    </row>
    <row r="1744" spans="49:49" ht="15" customHeight="1">
      <c r="AW1744" s="125">
        <v>1445</v>
      </c>
    </row>
    <row r="1745" spans="49:49" ht="15" customHeight="1">
      <c r="AW1745" s="125">
        <v>1446</v>
      </c>
    </row>
    <row r="1746" spans="49:49" ht="15" customHeight="1">
      <c r="AW1746" s="125">
        <v>1447</v>
      </c>
    </row>
    <row r="1747" spans="49:49" ht="15" customHeight="1">
      <c r="AW1747" s="125">
        <v>1448</v>
      </c>
    </row>
    <row r="1748" spans="49:49" ht="15" customHeight="1">
      <c r="AW1748" s="125">
        <v>1449</v>
      </c>
    </row>
    <row r="1749" spans="49:49" ht="15" customHeight="1">
      <c r="AW1749" s="125">
        <v>1450</v>
      </c>
    </row>
    <row r="1750" spans="49:49" ht="15" customHeight="1">
      <c r="AW1750" s="125">
        <v>1451</v>
      </c>
    </row>
    <row r="1751" spans="49:49" ht="15" customHeight="1">
      <c r="AW1751" s="125">
        <v>1452</v>
      </c>
    </row>
    <row r="1752" spans="49:49" ht="15" customHeight="1">
      <c r="AW1752" s="125">
        <v>1453</v>
      </c>
    </row>
    <row r="1753" spans="49:49" ht="15" customHeight="1">
      <c r="AW1753" s="125">
        <v>1454</v>
      </c>
    </row>
    <row r="1754" spans="49:49" ht="15" customHeight="1">
      <c r="AW1754" s="125">
        <v>1455</v>
      </c>
    </row>
    <row r="1755" spans="49:49" ht="15" customHeight="1">
      <c r="AW1755" s="125">
        <v>1456</v>
      </c>
    </row>
    <row r="1756" spans="49:49" ht="15" customHeight="1">
      <c r="AW1756" s="125">
        <v>1457</v>
      </c>
    </row>
    <row r="1757" spans="49:49" ht="15" customHeight="1">
      <c r="AW1757" s="125">
        <v>1458</v>
      </c>
    </row>
    <row r="1758" spans="49:49" ht="15" customHeight="1">
      <c r="AW1758" s="125">
        <v>1459</v>
      </c>
    </row>
    <row r="1759" spans="49:49" ht="15" customHeight="1">
      <c r="AW1759" s="125">
        <v>1460</v>
      </c>
    </row>
    <row r="1760" spans="49:49" ht="15" customHeight="1">
      <c r="AW1760" s="125">
        <v>1461</v>
      </c>
    </row>
    <row r="1761" spans="49:49" ht="15" customHeight="1">
      <c r="AW1761" s="125">
        <v>1462</v>
      </c>
    </row>
    <row r="1762" spans="49:49" ht="15" customHeight="1">
      <c r="AW1762" s="125">
        <v>1463</v>
      </c>
    </row>
    <row r="1763" spans="49:49" ht="15" customHeight="1">
      <c r="AW1763" s="125">
        <v>1464</v>
      </c>
    </row>
    <row r="1764" spans="49:49" ht="15" customHeight="1">
      <c r="AW1764" s="125">
        <v>1465</v>
      </c>
    </row>
    <row r="1765" spans="49:49" ht="15" customHeight="1">
      <c r="AW1765" s="125">
        <v>1466</v>
      </c>
    </row>
    <row r="1766" spans="49:49" ht="15" customHeight="1">
      <c r="AW1766" s="125">
        <v>1467</v>
      </c>
    </row>
    <row r="1767" spans="49:49" ht="15" customHeight="1">
      <c r="AW1767" s="125">
        <v>1468</v>
      </c>
    </row>
    <row r="1768" spans="49:49" ht="15" customHeight="1">
      <c r="AW1768" s="125">
        <v>1469</v>
      </c>
    </row>
    <row r="1769" spans="49:49" ht="15" customHeight="1">
      <c r="AW1769" s="125">
        <v>1470</v>
      </c>
    </row>
    <row r="1770" spans="49:49" ht="15" customHeight="1">
      <c r="AW1770" s="125">
        <v>1471</v>
      </c>
    </row>
    <row r="1771" spans="49:49" ht="15" customHeight="1">
      <c r="AW1771" s="125">
        <v>1472</v>
      </c>
    </row>
    <row r="1772" spans="49:49" ht="15" customHeight="1">
      <c r="AW1772" s="125">
        <v>1473</v>
      </c>
    </row>
    <row r="1773" spans="49:49" ht="15" customHeight="1">
      <c r="AW1773" s="125">
        <v>1474</v>
      </c>
    </row>
    <row r="1774" spans="49:49" ht="15" customHeight="1">
      <c r="AW1774" s="125">
        <v>1475</v>
      </c>
    </row>
    <row r="1775" spans="49:49" ht="15" customHeight="1">
      <c r="AW1775" s="125">
        <v>1476</v>
      </c>
    </row>
    <row r="1776" spans="49:49" ht="15" customHeight="1">
      <c r="AW1776" s="125">
        <v>1477</v>
      </c>
    </row>
    <row r="1777" spans="49:49" ht="15" customHeight="1">
      <c r="AW1777" s="125">
        <v>1478</v>
      </c>
    </row>
    <row r="1778" spans="49:49" ht="15" customHeight="1">
      <c r="AW1778" s="125">
        <v>1479</v>
      </c>
    </row>
    <row r="1779" spans="49:49" ht="15" customHeight="1">
      <c r="AW1779" s="125">
        <v>1480</v>
      </c>
    </row>
    <row r="1780" spans="49:49" ht="15" customHeight="1">
      <c r="AW1780" s="125">
        <v>1481</v>
      </c>
    </row>
    <row r="1781" spans="49:49" ht="15" customHeight="1">
      <c r="AW1781" s="125">
        <v>1482</v>
      </c>
    </row>
    <row r="1782" spans="49:49" ht="15" customHeight="1">
      <c r="AW1782" s="125">
        <v>1483</v>
      </c>
    </row>
    <row r="1783" spans="49:49" ht="15" customHeight="1">
      <c r="AW1783" s="125">
        <v>1484</v>
      </c>
    </row>
    <row r="1784" spans="49:49" ht="15" customHeight="1">
      <c r="AW1784" s="125">
        <v>1485</v>
      </c>
    </row>
    <row r="1785" spans="49:49" ht="15" customHeight="1">
      <c r="AW1785" s="125">
        <v>1486</v>
      </c>
    </row>
    <row r="1786" spans="49:49" ht="15" customHeight="1">
      <c r="AW1786" s="125">
        <v>1487</v>
      </c>
    </row>
    <row r="1787" spans="49:49" ht="15" customHeight="1">
      <c r="AW1787" s="125">
        <v>1488</v>
      </c>
    </row>
    <row r="1788" spans="49:49" ht="15" customHeight="1">
      <c r="AW1788" s="125">
        <v>1489</v>
      </c>
    </row>
    <row r="1789" spans="49:49" ht="15" customHeight="1">
      <c r="AW1789" s="125">
        <v>1490</v>
      </c>
    </row>
    <row r="1790" spans="49:49" ht="15" customHeight="1">
      <c r="AW1790" s="125">
        <v>1491</v>
      </c>
    </row>
    <row r="1791" spans="49:49" ht="15" customHeight="1">
      <c r="AW1791" s="125">
        <v>1492</v>
      </c>
    </row>
  </sheetData>
  <mergeCells count="14">
    <mergeCell ref="B291:G291"/>
    <mergeCell ref="B292:G292"/>
    <mergeCell ref="C28:F28"/>
    <mergeCell ref="B298:C298"/>
    <mergeCell ref="D297:N297"/>
    <mergeCell ref="D298:N298"/>
    <mergeCell ref="B294:C294"/>
    <mergeCell ref="D294:N294"/>
    <mergeCell ref="B295:C295"/>
    <mergeCell ref="D295:O295"/>
    <mergeCell ref="B296:C296"/>
    <mergeCell ref="D296:O296"/>
    <mergeCell ref="B293:C293"/>
    <mergeCell ref="D293:N293"/>
  </mergeCells>
  <conditionalFormatting sqref="AO292:AS296">
    <cfRule type="colorScale" priority="1">
      <colorScale>
        <cfvo type="formula" val="$Q$228*0.5"/>
        <cfvo type="num" val="0"/>
        <cfvo type="formula" val="$AR$295"/>
        <color rgb="FFF8696B"/>
        <color rgb="FFFCFCFF"/>
        <color rgb="FF63BE7B"/>
      </colorScale>
    </cfRule>
  </conditionalFormatting>
  <conditionalFormatting sqref="AP304:AT308">
    <cfRule type="colorScale" priority="2">
      <colorScale>
        <cfvo type="formula" val="$Q$228*0.5"/>
        <cfvo type="num" val="0"/>
        <cfvo type="formula" val="$AT$308"/>
        <color rgb="FFF8696B"/>
        <color rgb="FFFCFCFF"/>
        <color rgb="FF63BE7B"/>
      </colorScale>
    </cfRule>
  </conditionalFormatting>
  <conditionalFormatting sqref="AP317:AT318 AP314:AR316 AS312:AT316">
    <cfRule type="colorScale" priority="3">
      <colorScale>
        <cfvo type="formula" val="$Q$228*0.5"/>
        <cfvo type="num" val="$Q$2+$Q$228"/>
        <cfvo type="formula" val="$AR$314"/>
        <color rgb="FFF8696B"/>
        <color rgb="FFFCFCFF"/>
        <color rgb="FF63BE7B"/>
      </colorScale>
    </cfRule>
  </conditionalFormatting>
  <hyperlinks>
    <hyperlink ref="B18" r:id="rId1" xr:uid="{75EBC31E-9DA2-4342-BE5A-CE53AF8F88C0}"/>
    <hyperlink ref="B20" r:id="rId2" xr:uid="{C3BDFA84-88A4-4453-8A9D-48E052683C47}"/>
    <hyperlink ref="B28" r:id="rId3" xr:uid="{98D79EE1-7ECD-422D-AA15-0DD897BF6082}"/>
    <hyperlink ref="B30" r:id="rId4" xr:uid="{F157FD62-1CCC-4D98-AA34-0E5AB89C826E}"/>
  </hyperlinks>
  <pageMargins left="0.7" right="0.7" top="0.75" bottom="0.75" header="0.3" footer="0.3"/>
  <pageSetup paperSize="9" orientation="portrait" r:id="rId5"/>
  <legacyDrawing r:id="rId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9676-D21F-49DE-9D3B-BCAED8161181}">
  <sheetPr>
    <tabColor theme="8" tint="-0.499984740745262"/>
  </sheetPr>
  <dimension ref="A2:BG1791"/>
  <sheetViews>
    <sheetView showGridLines="0" topLeftCell="A120" zoomScale="59" zoomScaleNormal="85" workbookViewId="0">
      <selection activeCell="AS34" sqref="AS34"/>
    </sheetView>
  </sheetViews>
  <sheetFormatPr defaultColWidth="9" defaultRowHeight="15" customHeight="1"/>
  <cols>
    <col min="1" max="1" width="2.375" style="125" customWidth="1"/>
    <col min="2" max="2" width="45" style="125" customWidth="1"/>
    <col min="3" max="3" width="14" style="125" customWidth="1"/>
    <col min="4" max="4" width="3.5" style="125" customWidth="1"/>
    <col min="5" max="7" width="13.375" style="125" customWidth="1"/>
    <col min="8" max="17" width="12.875" style="125" customWidth="1"/>
    <col min="18" max="18" width="11.625" style="125" customWidth="1"/>
    <col min="19" max="19" width="29.125" style="125" customWidth="1"/>
    <col min="20" max="20" width="16.625" style="125" customWidth="1"/>
    <col min="21" max="21" width="32.125" style="125" hidden="1" customWidth="1"/>
    <col min="22" max="22" width="11.125" style="125" hidden="1" customWidth="1"/>
    <col min="23" max="35" width="9" style="125" hidden="1" customWidth="1"/>
    <col min="36" max="36" width="14.25" style="125" customWidth="1"/>
    <col min="37" max="37" width="9" style="125" customWidth="1"/>
    <col min="38" max="38" width="8.625" style="125" customWidth="1"/>
    <col min="39" max="39" width="9.25" style="125" customWidth="1"/>
    <col min="40" max="43" width="9" style="125"/>
    <col min="44" max="44" width="10.75" style="125" bestFit="1" customWidth="1"/>
    <col min="45" max="46" width="9" style="125"/>
    <col min="47" max="47" width="13" style="125" customWidth="1"/>
    <col min="48" max="48" width="10.375" style="125" customWidth="1"/>
    <col min="49" max="49" width="12.625" style="125" customWidth="1"/>
    <col min="50" max="50" width="11" style="125" customWidth="1"/>
    <col min="51" max="16384" width="9" style="125"/>
  </cols>
  <sheetData>
    <row r="2" spans="1:36" s="41" customFormat="1" ht="20.100000000000001" customHeight="1">
      <c r="B2" s="40" t="s">
        <v>512</v>
      </c>
    </row>
    <row r="4" spans="1:36" ht="15.6">
      <c r="A4" s="125" t="s">
        <v>472</v>
      </c>
      <c r="B4" s="51" t="s">
        <v>513</v>
      </c>
      <c r="C4" s="55"/>
      <c r="D4" s="55"/>
      <c r="E4" s="55"/>
      <c r="F4" s="55"/>
      <c r="G4" s="55"/>
      <c r="H4" s="55"/>
      <c r="I4" s="55"/>
      <c r="J4" s="55"/>
      <c r="K4" s="55"/>
      <c r="L4" s="55"/>
      <c r="M4" s="55"/>
      <c r="N4" s="55"/>
      <c r="O4" s="55"/>
      <c r="P4" s="55"/>
      <c r="Q4" s="55"/>
      <c r="R4" s="125" t="e" vm="2">
        <v>#VALUE!</v>
      </c>
      <c r="S4" s="400"/>
      <c r="T4" s="126"/>
      <c r="U4" s="126"/>
    </row>
    <row r="5" spans="1:36" ht="3.95" customHeight="1">
      <c r="B5" s="127"/>
      <c r="C5" s="128"/>
      <c r="D5" s="128"/>
      <c r="E5" s="128"/>
      <c r="F5" s="128"/>
      <c r="G5" s="128"/>
      <c r="H5" s="128"/>
      <c r="I5" s="128"/>
      <c r="J5" s="128"/>
      <c r="K5" s="128"/>
      <c r="L5" s="128"/>
      <c r="M5" s="128"/>
      <c r="N5" s="128"/>
      <c r="O5" s="128"/>
      <c r="P5" s="128"/>
      <c r="Q5" s="128"/>
      <c r="S5" s="126"/>
      <c r="T5" s="126"/>
      <c r="U5" s="126"/>
    </row>
    <row r="6" spans="1:36" ht="15.6">
      <c r="B6" s="129" t="s">
        <v>514</v>
      </c>
      <c r="C6" s="130"/>
      <c r="D6" s="130"/>
      <c r="E6" s="129" t="s">
        <v>515</v>
      </c>
      <c r="F6" s="130"/>
      <c r="G6" s="130"/>
      <c r="H6" s="129" t="s">
        <v>516</v>
      </c>
      <c r="J6" s="130"/>
      <c r="K6" s="129" t="s">
        <v>517</v>
      </c>
      <c r="L6" s="130"/>
      <c r="P6" s="130"/>
      <c r="Q6" s="130"/>
      <c r="X6" s="125" t="s">
        <v>29</v>
      </c>
      <c r="Y6" s="125" t="s">
        <v>518</v>
      </c>
      <c r="Z6" s="125" t="s">
        <v>519</v>
      </c>
      <c r="AA6" s="125" t="s">
        <v>520</v>
      </c>
      <c r="AB6" s="125" t="s">
        <v>521</v>
      </c>
      <c r="AC6" s="125" t="s">
        <v>326</v>
      </c>
      <c r="AD6" s="125" t="s">
        <v>522</v>
      </c>
      <c r="AE6" s="125" t="s">
        <v>317</v>
      </c>
      <c r="AF6" s="125" t="s">
        <v>523</v>
      </c>
      <c r="AG6" s="125" t="s">
        <v>322</v>
      </c>
      <c r="AH6" s="125" t="s">
        <v>319</v>
      </c>
      <c r="AI6" s="125" t="s">
        <v>315</v>
      </c>
    </row>
    <row r="7" spans="1:36" ht="15.6">
      <c r="B7" s="130" t="s">
        <v>244</v>
      </c>
      <c r="C7" s="566">
        <v>2</v>
      </c>
      <c r="D7" s="130"/>
      <c r="E7" s="125" t="s">
        <v>244</v>
      </c>
      <c r="F7" s="570">
        <v>-0.06</v>
      </c>
      <c r="H7" s="125" t="s">
        <v>244</v>
      </c>
      <c r="K7" s="125" t="s">
        <v>244</v>
      </c>
      <c r="L7" s="570">
        <v>0.04</v>
      </c>
      <c r="P7" s="130"/>
      <c r="S7" s="125" t="s">
        <v>524</v>
      </c>
      <c r="T7" s="351"/>
      <c r="W7" s="125">
        <v>2022</v>
      </c>
      <c r="X7" s="166">
        <f>+E210</f>
        <v>7.4733333333331622</v>
      </c>
      <c r="Y7" s="166">
        <f>+E262</f>
        <v>101.49999999999997</v>
      </c>
      <c r="Z7" s="166">
        <f ca="1">+H234</f>
        <v>0.68221376549638846</v>
      </c>
      <c r="AA7" s="166">
        <f>+E275</f>
        <v>1.7</v>
      </c>
      <c r="AB7" s="166">
        <f>+E200</f>
        <v>7.9733333333331586</v>
      </c>
      <c r="AC7" s="205">
        <f>+E260</f>
        <v>80.099999999999994</v>
      </c>
      <c r="AD7" s="166">
        <f>+E106</f>
        <v>43.4</v>
      </c>
      <c r="AH7" s="166"/>
    </row>
    <row r="8" spans="1:36" ht="15.6">
      <c r="B8" s="130" t="s">
        <v>525</v>
      </c>
      <c r="C8" s="566">
        <v>2</v>
      </c>
      <c r="D8" s="130"/>
      <c r="E8" s="125" t="s">
        <v>525</v>
      </c>
      <c r="F8" s="570">
        <v>-0.04</v>
      </c>
      <c r="H8" s="125" t="s">
        <v>525</v>
      </c>
      <c r="I8" s="207"/>
      <c r="K8" s="125" t="s">
        <v>525</v>
      </c>
      <c r="L8" s="570">
        <v>0.03</v>
      </c>
      <c r="P8" s="130"/>
      <c r="S8" s="125" t="s">
        <v>526</v>
      </c>
      <c r="T8" s="352"/>
      <c r="W8" s="125">
        <f t="shared" ref="W8:W14" si="0">+W7+1</f>
        <v>2023</v>
      </c>
      <c r="X8" s="166">
        <f>+F210</f>
        <v>91.954784688995176</v>
      </c>
      <c r="Y8" s="166">
        <f>+F262</f>
        <v>140.29999999999995</v>
      </c>
      <c r="Z8" s="166">
        <f ca="1">+I234</f>
        <v>0.71676496784670329</v>
      </c>
      <c r="AA8" s="166">
        <f>+F275</f>
        <v>8.1</v>
      </c>
      <c r="AB8" s="166">
        <f>+F200</f>
        <v>43.154784688995178</v>
      </c>
      <c r="AC8" s="205">
        <f>+F260</f>
        <v>30</v>
      </c>
      <c r="AD8" s="166">
        <f>+F106</f>
        <v>120.8</v>
      </c>
    </row>
    <row r="9" spans="1:36" ht="15.6">
      <c r="B9" s="130" t="s">
        <v>527</v>
      </c>
      <c r="C9" s="566">
        <v>2</v>
      </c>
      <c r="D9" s="130"/>
      <c r="E9" s="130" t="s">
        <v>527</v>
      </c>
      <c r="F9" s="568">
        <f ca="1">IFERROR(+I9+0.5%,"")</f>
        <v>8.2706587953122135E-2</v>
      </c>
      <c r="H9" s="130" t="s">
        <v>527</v>
      </c>
      <c r="I9" s="569">
        <f ca="1">WACC!G25</f>
        <v>7.770658795312213E-2</v>
      </c>
      <c r="J9" s="130"/>
      <c r="K9" s="130" t="s">
        <v>527</v>
      </c>
      <c r="L9" s="571">
        <f ca="1">IFERROR(I9-0.5%,"")</f>
        <v>7.2706587953122126E-2</v>
      </c>
      <c r="M9" s="130"/>
      <c r="P9" s="130"/>
      <c r="Q9" s="130"/>
      <c r="S9" s="125" t="s">
        <v>528</v>
      </c>
      <c r="T9" s="352"/>
      <c r="W9" s="125">
        <f t="shared" si="0"/>
        <v>2024</v>
      </c>
      <c r="X9" s="166">
        <f>+G210</f>
        <v>49.699048525214003</v>
      </c>
      <c r="Y9" s="166">
        <f>+G262</f>
        <v>290.39999999999992</v>
      </c>
      <c r="Z9" s="166">
        <f ca="1">+J234</f>
        <v>0.47778106606077714</v>
      </c>
      <c r="AA9" s="166">
        <f>+G275</f>
        <v>5.6</v>
      </c>
      <c r="AB9" s="166">
        <f>+G200</f>
        <v>99.399048525213999</v>
      </c>
      <c r="AC9" s="205">
        <f>+G260</f>
        <v>212.4</v>
      </c>
      <c r="AD9" s="166">
        <f>+G106</f>
        <v>108.2</v>
      </c>
      <c r="AE9" s="205">
        <f>Inputs!Q48</f>
        <v>1129.3000000000002</v>
      </c>
      <c r="AF9" s="205">
        <f>+Inputs!Q60</f>
        <v>486.70000000000005</v>
      </c>
      <c r="AG9" s="205">
        <f>+AE9-AF9</f>
        <v>642.60000000000014</v>
      </c>
      <c r="AH9" s="205">
        <f>+Inputs!Q54</f>
        <v>299.10000000000002</v>
      </c>
      <c r="AI9" s="205">
        <f>+Inputs!Q38</f>
        <v>477.1</v>
      </c>
    </row>
    <row r="10" spans="1:36" ht="15.6">
      <c r="B10" s="130" t="s">
        <v>529</v>
      </c>
      <c r="C10" s="566">
        <v>2</v>
      </c>
      <c r="D10" s="130"/>
      <c r="E10" s="130" t="s">
        <v>529</v>
      </c>
      <c r="F10" s="568">
        <f>+I10-0.5%</f>
        <v>1.4999999999999999E-2</v>
      </c>
      <c r="H10" s="130" t="s">
        <v>529</v>
      </c>
      <c r="I10" s="570">
        <v>0.02</v>
      </c>
      <c r="J10" s="130"/>
      <c r="K10" s="130" t="s">
        <v>529</v>
      </c>
      <c r="L10" s="568">
        <f>+I10+0.5%</f>
        <v>2.5000000000000001E-2</v>
      </c>
      <c r="M10" s="130"/>
      <c r="P10" s="130"/>
      <c r="S10" s="125" t="s">
        <v>530</v>
      </c>
      <c r="T10" s="352">
        <v>45755</v>
      </c>
      <c r="W10" s="125">
        <f t="shared" si="0"/>
        <v>2025</v>
      </c>
      <c r="X10" s="166">
        <f ca="1">+H210</f>
        <v>8.5855594800104029</v>
      </c>
      <c r="Y10" s="166">
        <f>+H262</f>
        <v>-15.514242844435355</v>
      </c>
      <c r="Z10" s="166">
        <f ca="1">+K234</f>
        <v>0.27635362351617637</v>
      </c>
      <c r="AA10" s="166">
        <f>+H275</f>
        <v>-33.514118930638688</v>
      </c>
      <c r="AB10" s="166">
        <f ca="1">+H200</f>
        <v>71.642985529332208</v>
      </c>
      <c r="AC10" s="205">
        <f>+H260</f>
        <v>-14.519999999999996</v>
      </c>
      <c r="AD10" s="166">
        <f>+H106</f>
        <v>79.248239695884365</v>
      </c>
      <c r="AE10" s="205">
        <f>Inputs!Q48+'DCF (3)'!H106+'DCF (3)'!H108+'DCF (3)'!H111+'DCF (3)'!H114+'DCF (3)'!H117+'DCF (3)'!H123-'DCF (3)'!G106-'DCF (3)'!G108-'DCF (3)'!G111-'DCF (3)'!G114-'DCF (3)'!G117-'DCF (3)'!G123</f>
        <v>1202.4438220966013</v>
      </c>
      <c r="AF10" s="205">
        <f>+Inputs!Q60+('DCF (3)'!H128+'DCF (3)'!H131+'DCF (3)'!H134+'DCF (3)'!H136*'DCF (3)'!G128*'DCF (3)'!G131*'DCF (3)'!G134*'DCF (3)'!G136)</f>
        <v>3823933700.5702572</v>
      </c>
      <c r="AG10" s="205">
        <f>+AE10-AF10</f>
        <v>-3823932498.1264353</v>
      </c>
      <c r="AH10" s="166">
        <f>+AH9+H128+H131-G128-G131</f>
        <v>233.03012136817014</v>
      </c>
      <c r="AI10" s="166">
        <f>+H106+H108+H111+H114</f>
        <v>534.73919388022932</v>
      </c>
    </row>
    <row r="11" spans="1:36" ht="9.9499999999999993" customHeight="1">
      <c r="B11" s="130"/>
      <c r="C11" s="130"/>
      <c r="D11" s="130"/>
      <c r="E11" s="130"/>
      <c r="G11" s="130"/>
      <c r="K11" s="130"/>
      <c r="M11" s="130"/>
      <c r="P11" s="130"/>
      <c r="W11" s="125">
        <f t="shared" si="0"/>
        <v>2026</v>
      </c>
      <c r="X11" s="166">
        <f ca="1">+I210</f>
        <v>216.49659843796945</v>
      </c>
      <c r="Y11" s="166">
        <f>+I262</f>
        <v>221.90412312482854</v>
      </c>
      <c r="Z11" s="166">
        <f ca="1">+L234</f>
        <v>0.11241255974204674</v>
      </c>
      <c r="AA11" s="166">
        <f>+I275</f>
        <v>-38.319781883546895</v>
      </c>
      <c r="AB11" s="166">
        <f ca="1">+I200</f>
        <v>119.59180925342454</v>
      </c>
      <c r="AC11" s="205">
        <f>+I260</f>
        <v>15.514242844435355</v>
      </c>
      <c r="AD11" s="166">
        <f>+I106</f>
        <v>251.41274462863629</v>
      </c>
      <c r="AE11" s="205">
        <f>AE10+'DCF (3)'!I106+'DCF (3)'!I108+'DCF (3)'!I111+'DCF (3)'!I114+'DCF (3)'!I117+'DCF (3)'!I123-'DCF (3)'!H106-'DCF (3)'!H108-'DCF (3)'!H111-'DCF (3)'!H114-'DCF (3)'!H117-'DCF (3)'!H123</f>
        <v>1422.4508627268096</v>
      </c>
      <c r="AF11" s="205">
        <f>AF10+('DCF (3)'!I128+'DCF (3)'!I131+'DCF (3)'!I134+'DCF (3)'!I136*'DCF (3)'!H128*'DCF (3)'!H131*'DCF (3)'!H134*'DCF (3)'!H136)</f>
        <v>7842401096.1030407</v>
      </c>
      <c r="AG11" s="205">
        <f>+AE11-AF11</f>
        <v>-7842399673.6521778</v>
      </c>
      <c r="AH11" s="166">
        <f>+AH10+I128+I131-H128-H131</f>
        <v>269.63202930267835</v>
      </c>
      <c r="AI11" s="166">
        <f>+I106+I108+I111+I114</f>
        <v>743.66861223787339</v>
      </c>
      <c r="AJ11" s="166"/>
    </row>
    <row r="12" spans="1:36" ht="13.5" customHeight="1">
      <c r="B12" s="130" t="s">
        <v>527</v>
      </c>
      <c r="C12" s="567">
        <f ca="1">CHOOSE(C9,F9,I9,L9)</f>
        <v>7.770658795312213E-2</v>
      </c>
      <c r="D12" s="130"/>
      <c r="E12" s="130"/>
      <c r="G12" s="130"/>
      <c r="K12" s="130"/>
      <c r="P12" s="130"/>
      <c r="S12" s="131"/>
      <c r="T12" s="132"/>
      <c r="W12" s="125">
        <f t="shared" si="0"/>
        <v>2027</v>
      </c>
      <c r="X12" s="166">
        <f ca="1">+J210</f>
        <v>236.39082657132468</v>
      </c>
      <c r="Y12" s="166">
        <f>+J262</f>
        <v>179.95538049067773</v>
      </c>
      <c r="Z12" s="166">
        <f ca="1">+M234</f>
        <v>6.7941165508940887E-2</v>
      </c>
      <c r="AA12" s="166">
        <f>+J275</f>
        <v>-74.28950307455851</v>
      </c>
      <c r="AB12" s="166">
        <f ca="1">+J200</f>
        <v>156.19554514230168</v>
      </c>
      <c r="AC12" s="205">
        <f>+J260</f>
        <v>-48.818907087462279</v>
      </c>
      <c r="AD12" s="166">
        <f>+J106</f>
        <v>441.7622962523385</v>
      </c>
    </row>
    <row r="13" spans="1:36" ht="15.6">
      <c r="B13" s="130" t="s">
        <v>529</v>
      </c>
      <c r="C13" s="567">
        <f>CHOOSE(C10,F10,I10,L10)</f>
        <v>0.02</v>
      </c>
      <c r="D13" s="130"/>
      <c r="E13" s="130"/>
      <c r="G13" s="133"/>
      <c r="H13" s="130"/>
      <c r="I13" s="130"/>
      <c r="J13" s="130"/>
      <c r="K13" s="130"/>
      <c r="L13" s="130"/>
      <c r="M13" s="130"/>
      <c r="O13" s="130"/>
      <c r="P13" s="130"/>
      <c r="Q13" s="130"/>
      <c r="R13" s="130"/>
      <c r="W13" s="125">
        <f t="shared" si="0"/>
        <v>2028</v>
      </c>
      <c r="X13" s="166">
        <f ca="1">+K210</f>
        <v>256.05524438544359</v>
      </c>
      <c r="Y13" s="166">
        <f>+K262</f>
        <v>214.41650591444062</v>
      </c>
      <c r="Z13" s="166">
        <f ca="1">+N234</f>
        <v>6.2333339332986813E-2</v>
      </c>
      <c r="AA13" s="166">
        <f>+K275</f>
        <v>-90.078039248305046</v>
      </c>
      <c r="AB13" s="166">
        <f ca="1">+K200</f>
        <v>185.80374086947748</v>
      </c>
      <c r="AC13" s="205">
        <f>+K260</f>
        <v>-35.991076098135544</v>
      </c>
      <c r="AD13" s="166">
        <f>+K106</f>
        <v>627.0934079858763</v>
      </c>
    </row>
    <row r="14" spans="1:36" ht="15.6">
      <c r="B14" s="130"/>
      <c r="C14" s="134"/>
      <c r="D14" s="130"/>
      <c r="E14" s="135"/>
      <c r="F14" s="135"/>
      <c r="G14" s="135"/>
      <c r="H14" s="130"/>
      <c r="I14" s="130"/>
      <c r="J14" s="130"/>
      <c r="K14" s="130"/>
      <c r="L14" s="130"/>
      <c r="M14" s="130"/>
      <c r="O14" s="130"/>
      <c r="P14" s="130"/>
      <c r="Q14" s="130"/>
      <c r="R14" s="130"/>
      <c r="W14" s="125">
        <f t="shared" si="0"/>
        <v>2029</v>
      </c>
      <c r="X14" s="166">
        <f ca="1">+L210</f>
        <v>309.19978191749311</v>
      </c>
      <c r="Y14" s="166">
        <f>+L262</f>
        <v>262.40057759256422</v>
      </c>
      <c r="Z14" s="166">
        <f ca="1">+O234</f>
        <v>5.7570819030957732E-2</v>
      </c>
      <c r="AA14" s="166">
        <f>+L275</f>
        <v>-103.86398753483101</v>
      </c>
      <c r="AB14" s="166">
        <f ca="1">+L200</f>
        <v>211.64387821170277</v>
      </c>
      <c r="AC14" s="205">
        <f>+L260</f>
        <v>-42.883301182888125</v>
      </c>
      <c r="AD14" s="166">
        <f>+L106</f>
        <v>859.59782753071408</v>
      </c>
    </row>
    <row r="15" spans="1:36" ht="15.6">
      <c r="A15" s="125" t="s">
        <v>472</v>
      </c>
      <c r="B15" s="51" t="s">
        <v>531</v>
      </c>
      <c r="C15" s="55"/>
      <c r="D15" s="55"/>
      <c r="R15" s="130"/>
    </row>
    <row r="16" spans="1:36" ht="3.75" customHeight="1">
      <c r="B16" s="68"/>
      <c r="C16" s="68"/>
      <c r="D16" s="68"/>
      <c r="E16" s="68"/>
      <c r="F16" s="68"/>
      <c r="G16" s="138"/>
      <c r="H16" s="68"/>
      <c r="I16" s="68"/>
      <c r="J16" s="68"/>
      <c r="K16" s="68"/>
      <c r="L16" s="68"/>
      <c r="M16" s="68"/>
      <c r="N16" s="68"/>
      <c r="O16" s="68"/>
      <c r="P16" s="68"/>
      <c r="Q16" s="68"/>
      <c r="R16" s="130"/>
    </row>
    <row r="17" spans="2:59" ht="15.6">
      <c r="B17" s="130" t="s">
        <v>532</v>
      </c>
      <c r="C17" s="134"/>
      <c r="D17" s="130"/>
      <c r="E17" s="139"/>
      <c r="F17" s="139"/>
      <c r="G17" s="139"/>
      <c r="H17" s="765"/>
      <c r="P17" s="140"/>
      <c r="Q17" s="140"/>
      <c r="R17" s="130"/>
    </row>
    <row r="18" spans="2:59" ht="15.6">
      <c r="B18" s="60" t="s">
        <v>533</v>
      </c>
      <c r="C18" s="134"/>
      <c r="D18" s="130"/>
      <c r="E18" s="805"/>
      <c r="F18" s="805"/>
      <c r="G18" s="768">
        <v>335950</v>
      </c>
      <c r="H18" s="763">
        <v>354680</v>
      </c>
      <c r="I18" s="140">
        <f t="shared" ref="I18:N18" si="1">J18-J18*I19</f>
        <v>368301.80808956246</v>
      </c>
      <c r="J18" s="140">
        <f t="shared" si="1"/>
        <v>394496.36684828886</v>
      </c>
      <c r="K18" s="140">
        <f t="shared" si="1"/>
        <v>422553.94906629057</v>
      </c>
      <c r="L18" s="140">
        <f t="shared" si="1"/>
        <v>452607.05769739777</v>
      </c>
      <c r="M18" s="140">
        <f t="shared" si="1"/>
        <v>484797.6196416</v>
      </c>
      <c r="N18" s="140">
        <f t="shared" si="1"/>
        <v>519277.65600000002</v>
      </c>
      <c r="O18" s="140">
        <v>556210</v>
      </c>
      <c r="P18" s="140">
        <f>O18+O18*P19</f>
        <v>593142.34400000004</v>
      </c>
      <c r="Q18" s="140">
        <f>P18+P18*Q19</f>
        <v>632526.99564159999</v>
      </c>
      <c r="R18" s="130"/>
      <c r="AE18" s="205"/>
      <c r="AF18" s="205"/>
      <c r="AG18" s="205"/>
      <c r="AH18" s="205"/>
      <c r="AT18" s="56"/>
      <c r="AU18" s="56"/>
      <c r="AV18" s="56"/>
      <c r="AW18" s="56"/>
    </row>
    <row r="19" spans="2:59" ht="15.6">
      <c r="B19" s="130" t="s">
        <v>534</v>
      </c>
      <c r="C19" s="134"/>
      <c r="D19" s="130"/>
      <c r="E19" s="785"/>
      <c r="F19" s="785"/>
      <c r="G19" s="141"/>
      <c r="H19" s="770">
        <f>(H18-G18)/G18</f>
        <v>5.5752344098824229E-2</v>
      </c>
      <c r="I19" s="771">
        <v>6.6400000000000001E-2</v>
      </c>
      <c r="J19" s="771">
        <v>6.6400000000000001E-2</v>
      </c>
      <c r="K19" s="771">
        <v>6.6400000000000001E-2</v>
      </c>
      <c r="L19" s="771">
        <v>6.6400000000000001E-2</v>
      </c>
      <c r="M19" s="771">
        <v>6.6400000000000001E-2</v>
      </c>
      <c r="N19" s="771">
        <v>6.6400000000000001E-2</v>
      </c>
      <c r="O19" s="771">
        <f>(O18-N18)/N18</f>
        <v>7.1122536418166196E-2</v>
      </c>
      <c r="P19" s="771">
        <v>6.6400000000000001E-2</v>
      </c>
      <c r="Q19" s="771">
        <v>6.6400000000000001E-2</v>
      </c>
      <c r="R19" s="130"/>
      <c r="AD19" s="166"/>
      <c r="AE19" s="166"/>
      <c r="AF19" s="166"/>
      <c r="AG19" s="166"/>
      <c r="AK19" s="786">
        <v>247000</v>
      </c>
      <c r="AL19" s="786">
        <v>252500</v>
      </c>
      <c r="AM19" s="769">
        <v>257540</v>
      </c>
      <c r="AN19" s="776">
        <f t="shared" ref="AN19:AS19" si="2">AM19*(1+H21)</f>
        <v>271962.23999999999</v>
      </c>
      <c r="AO19" s="594">
        <f t="shared" si="2"/>
        <v>287192.12544000003</v>
      </c>
      <c r="AP19" s="594">
        <f t="shared" si="2"/>
        <v>303274.88446464005</v>
      </c>
      <c r="AQ19" s="594">
        <f t="shared" si="2"/>
        <v>320258.2779946599</v>
      </c>
      <c r="AR19" s="594">
        <f t="shared" si="2"/>
        <v>338192.7415623609</v>
      </c>
      <c r="AS19" s="594">
        <f t="shared" si="2"/>
        <v>357131.5350898531</v>
      </c>
      <c r="AT19" s="198"/>
      <c r="AU19" s="777"/>
      <c r="AV19" s="777"/>
      <c r="AW19" s="777"/>
    </row>
    <row r="20" spans="2:59" ht="15.6">
      <c r="B20" s="772" t="s">
        <v>535</v>
      </c>
      <c r="C20" s="134"/>
      <c r="D20" s="130"/>
      <c r="R20" s="130"/>
      <c r="S20" s="32"/>
      <c r="T20" s="92"/>
      <c r="U20" s="92"/>
      <c r="V20" s="92"/>
      <c r="W20" s="92"/>
      <c r="X20" s="92"/>
    </row>
    <row r="21" spans="2:59" ht="15.6">
      <c r="B21" s="580" t="s">
        <v>536</v>
      </c>
      <c r="C21" s="134"/>
      <c r="D21" s="130"/>
      <c r="E21" s="788"/>
      <c r="F21" s="789">
        <f>AL19/AK19-1</f>
        <v>2.2267206477732726E-2</v>
      </c>
      <c r="G21" s="789">
        <f>AM19/AL19-1</f>
        <v>1.9960396039603978E-2</v>
      </c>
      <c r="H21" s="770">
        <v>5.6000000000000001E-2</v>
      </c>
      <c r="I21" s="771">
        <v>5.6000000000000001E-2</v>
      </c>
      <c r="J21" s="771">
        <v>5.6000000000000001E-2</v>
      </c>
      <c r="K21" s="771">
        <v>5.6000000000000001E-2</v>
      </c>
      <c r="L21" s="771">
        <v>5.6000000000000001E-2</v>
      </c>
      <c r="M21" s="771">
        <v>5.6000000000000001E-2</v>
      </c>
      <c r="N21" s="771">
        <v>5.6000000000000001E-2</v>
      </c>
      <c r="O21" s="771">
        <v>5.6000000000000001E-2</v>
      </c>
      <c r="P21" s="771">
        <v>5.6000000000000001E-2</v>
      </c>
      <c r="Q21" s="771">
        <v>5.6000000000000001E-2</v>
      </c>
      <c r="R21" s="130"/>
      <c r="S21" s="92"/>
      <c r="T21"/>
      <c r="U21"/>
      <c r="V21"/>
      <c r="W21"/>
      <c r="X21"/>
    </row>
    <row r="22" spans="2:59" ht="15.6">
      <c r="B22" s="130" t="s">
        <v>235</v>
      </c>
      <c r="C22" s="134"/>
      <c r="D22" s="130"/>
      <c r="E22" s="139">
        <f t="shared" ref="E22:Q22" si="3">AVERAGE(E18,AK19)</f>
        <v>247000</v>
      </c>
      <c r="F22" s="139">
        <f t="shared" si="3"/>
        <v>252500</v>
      </c>
      <c r="G22" s="139">
        <f t="shared" si="3"/>
        <v>296745</v>
      </c>
      <c r="H22" s="764">
        <f t="shared" si="3"/>
        <v>313321.12</v>
      </c>
      <c r="I22" s="761">
        <f t="shared" si="3"/>
        <v>327746.96676478127</v>
      </c>
      <c r="J22" s="761">
        <f t="shared" si="3"/>
        <v>348885.62565646449</v>
      </c>
      <c r="K22" s="761">
        <f t="shared" si="3"/>
        <v>371406.11353047524</v>
      </c>
      <c r="L22" s="761">
        <f t="shared" si="3"/>
        <v>395399.89962987934</v>
      </c>
      <c r="M22" s="761">
        <f t="shared" si="3"/>
        <v>420964.57736572658</v>
      </c>
      <c r="N22" s="761">
        <f t="shared" si="3"/>
        <v>519277.65600000002</v>
      </c>
      <c r="O22" s="761">
        <f t="shared" si="3"/>
        <v>556210</v>
      </c>
      <c r="P22" s="761">
        <f t="shared" si="3"/>
        <v>593142.34400000004</v>
      </c>
      <c r="Q22" s="761">
        <f t="shared" si="3"/>
        <v>632526.99564159999</v>
      </c>
      <c r="R22" s="130"/>
      <c r="S22" s="92"/>
      <c r="T22"/>
      <c r="U22"/>
      <c r="V22"/>
      <c r="W22"/>
      <c r="X22"/>
    </row>
    <row r="23" spans="2:59" ht="15.6">
      <c r="B23" s="130" t="s">
        <v>537</v>
      </c>
      <c r="C23" s="134"/>
      <c r="D23" s="130"/>
      <c r="E23" s="139"/>
      <c r="F23" s="139"/>
      <c r="G23" s="139"/>
      <c r="H23" s="779">
        <f>AVERAGE(H19,H21)</f>
        <v>5.5876172049412115E-2</v>
      </c>
      <c r="I23" s="780">
        <f t="shared" ref="I23:Q23" si="4">AVERAGE(I19,I21)</f>
        <v>6.1200000000000004E-2</v>
      </c>
      <c r="J23" s="780">
        <f t="shared" si="4"/>
        <v>6.1200000000000004E-2</v>
      </c>
      <c r="K23" s="780">
        <f t="shared" si="4"/>
        <v>6.1200000000000004E-2</v>
      </c>
      <c r="L23" s="780">
        <f t="shared" si="4"/>
        <v>6.1200000000000004E-2</v>
      </c>
      <c r="M23" s="780">
        <f t="shared" si="4"/>
        <v>6.1200000000000004E-2</v>
      </c>
      <c r="N23" s="780">
        <f t="shared" si="4"/>
        <v>6.1200000000000004E-2</v>
      </c>
      <c r="O23" s="780">
        <f t="shared" si="4"/>
        <v>6.3561268209083102E-2</v>
      </c>
      <c r="P23" s="780">
        <f t="shared" si="4"/>
        <v>6.1200000000000004E-2</v>
      </c>
      <c r="Q23" s="780">
        <f t="shared" si="4"/>
        <v>6.1200000000000004E-2</v>
      </c>
      <c r="R23" s="130"/>
      <c r="S23" s="92"/>
      <c r="T23"/>
      <c r="U23"/>
      <c r="V23"/>
      <c r="W23"/>
      <c r="X23"/>
    </row>
    <row r="24" spans="2:59" ht="15.6">
      <c r="B24" s="130" t="s">
        <v>538</v>
      </c>
      <c r="C24" s="134"/>
      <c r="D24" s="130"/>
      <c r="E24" s="773">
        <f t="shared" ref="E24:F24" si="5">E48/E22</f>
        <v>1.5878542510121456E-3</v>
      </c>
      <c r="F24" s="773">
        <f t="shared" si="5"/>
        <v>2.2922772277227722E-3</v>
      </c>
      <c r="G24" s="773">
        <f>G48/G22</f>
        <v>3.4504372440984682E-3</v>
      </c>
      <c r="H24" s="774">
        <f>H48/H22</f>
        <v>4.1775032592759791E-3</v>
      </c>
      <c r="I24" s="775">
        <f>I42/I22</f>
        <v>4.5658614687637995E-3</v>
      </c>
      <c r="J24" s="775">
        <f t="shared" ref="J24:O24" si="6">J42/J22</f>
        <v>4.8252371010102336E-3</v>
      </c>
      <c r="K24" s="775">
        <f t="shared" si="6"/>
        <v>5.0288491332773589E-3</v>
      </c>
      <c r="L24" s="775">
        <f t="shared" si="6"/>
        <v>5.1878861241672443E-3</v>
      </c>
      <c r="M24" s="775">
        <f t="shared" si="6"/>
        <v>5.3112885092899461E-3</v>
      </c>
      <c r="N24" s="775">
        <f t="shared" si="6"/>
        <v>4.897348591007847E-3</v>
      </c>
      <c r="O24" s="775">
        <f t="shared" si="6"/>
        <v>4.9490246262640725E-3</v>
      </c>
      <c r="P24" s="775">
        <f>P42/P22</f>
        <v>4.9975923836917471E-3</v>
      </c>
      <c r="Q24" s="775">
        <f>Q42/Q22</f>
        <v>5.2507962627772334E-3</v>
      </c>
      <c r="R24" s="130"/>
      <c r="S24" s="32">
        <f>(M32/H32)^(1/5)-1</f>
        <v>5.9800000000000075E-2</v>
      </c>
      <c r="T24"/>
      <c r="U24"/>
      <c r="V24"/>
      <c r="W24"/>
      <c r="X24"/>
      <c r="BG24" s="140"/>
    </row>
    <row r="25" spans="2:59" ht="15.6">
      <c r="B25" s="60"/>
      <c r="C25" s="134"/>
      <c r="D25" s="130"/>
      <c r="E25" s="139"/>
      <c r="F25" s="139"/>
      <c r="G25" s="139"/>
      <c r="H25" s="764"/>
      <c r="I25" s="761" t="s">
        <v>539</v>
      </c>
      <c r="J25" s="761"/>
      <c r="K25" s="761"/>
      <c r="L25" s="761"/>
      <c r="M25" s="242"/>
      <c r="N25" s="761"/>
      <c r="O25" s="761"/>
      <c r="P25" s="761"/>
      <c r="Q25" s="761"/>
      <c r="R25" s="130"/>
      <c r="S25" s="92"/>
      <c r="T25"/>
      <c r="U25"/>
      <c r="V25"/>
      <c r="W25"/>
      <c r="X25"/>
      <c r="BG25" s="140"/>
    </row>
    <row r="26" spans="2:59" ht="15.6">
      <c r="B26" s="60"/>
      <c r="C26" s="134"/>
      <c r="D26" s="130"/>
      <c r="E26" s="139"/>
      <c r="F26" s="139"/>
      <c r="G26" s="139"/>
      <c r="H26" s="764"/>
      <c r="I26" s="761"/>
      <c r="J26" s="761"/>
      <c r="K26" s="761"/>
      <c r="L26" s="761"/>
      <c r="M26" s="242"/>
      <c r="N26" s="761"/>
      <c r="O26" s="761"/>
      <c r="P26" s="761"/>
      <c r="Q26" s="761"/>
      <c r="R26" s="130"/>
      <c r="S26" s="92"/>
      <c r="T26"/>
      <c r="U26"/>
      <c r="V26"/>
      <c r="W26"/>
      <c r="X26"/>
      <c r="BG26" s="140"/>
    </row>
    <row r="27" spans="2:59" ht="15.6">
      <c r="B27" s="130" t="s">
        <v>540</v>
      </c>
      <c r="C27" s="134"/>
      <c r="D27" s="130"/>
      <c r="E27" s="139"/>
      <c r="F27" s="139"/>
      <c r="G27" s="139"/>
      <c r="H27" s="764"/>
      <c r="I27" s="761"/>
      <c r="J27" s="761"/>
      <c r="K27" s="761"/>
      <c r="L27" s="761"/>
      <c r="M27" s="242"/>
      <c r="N27" s="761"/>
      <c r="O27" s="761"/>
      <c r="P27" s="761"/>
      <c r="Q27" s="761"/>
      <c r="R27" s="130"/>
      <c r="S27" s="92"/>
      <c r="T27"/>
      <c r="U27"/>
      <c r="V27"/>
      <c r="W27"/>
      <c r="X27"/>
      <c r="BG27" s="140"/>
    </row>
    <row r="28" spans="2:59" ht="15.6">
      <c r="B28" s="60" t="s">
        <v>533</v>
      </c>
      <c r="C28" s="1076" t="s">
        <v>541</v>
      </c>
      <c r="D28" s="1076"/>
      <c r="E28" s="1076"/>
      <c r="F28" s="1076"/>
      <c r="G28" s="139"/>
      <c r="H28" s="778" t="s">
        <v>309</v>
      </c>
      <c r="I28" s="241" t="s">
        <v>309</v>
      </c>
      <c r="J28" s="241" t="s">
        <v>309</v>
      </c>
      <c r="K28" s="241" t="s">
        <v>309</v>
      </c>
      <c r="L28" s="241" t="s">
        <v>309</v>
      </c>
      <c r="M28" s="241" t="s">
        <v>309</v>
      </c>
      <c r="N28" s="241" t="s">
        <v>309</v>
      </c>
      <c r="O28" s="241" t="s">
        <v>309</v>
      </c>
      <c r="P28" s="241" t="s">
        <v>309</v>
      </c>
      <c r="Q28" s="241" t="s">
        <v>309</v>
      </c>
      <c r="R28" s="130"/>
      <c r="S28" s="92"/>
      <c r="T28"/>
      <c r="U28"/>
      <c r="V28"/>
      <c r="W28"/>
      <c r="X28"/>
      <c r="BG28" s="140"/>
    </row>
    <row r="29" spans="2:59" ht="15.6">
      <c r="B29" s="130" t="s">
        <v>534</v>
      </c>
      <c r="C29" s="787"/>
      <c r="D29" s="787"/>
      <c r="E29" s="787"/>
      <c r="F29" s="139"/>
      <c r="G29" s="139"/>
      <c r="H29" s="770"/>
      <c r="I29" s="771">
        <v>6.0100000000000001E-2</v>
      </c>
      <c r="J29" s="771">
        <v>6.0100000000000001E-2</v>
      </c>
      <c r="K29" s="771">
        <v>6.0100000000000001E-2</v>
      </c>
      <c r="L29" s="771">
        <v>6.0100000000000001E-2</v>
      </c>
      <c r="M29" s="771">
        <v>6.0100000000000001E-2</v>
      </c>
      <c r="N29" s="771">
        <v>6.0100000000000001E-2</v>
      </c>
      <c r="O29" s="771">
        <v>6.0100000000000001E-2</v>
      </c>
      <c r="P29" s="771">
        <v>6.0100000000000001E-2</v>
      </c>
      <c r="Q29" s="771">
        <v>6.0100000000000001E-2</v>
      </c>
      <c r="R29" s="130"/>
      <c r="S29" s="92"/>
      <c r="T29"/>
      <c r="U29"/>
      <c r="V29"/>
      <c r="W29"/>
      <c r="X29"/>
      <c r="BG29" s="140"/>
    </row>
    <row r="30" spans="2:59" ht="15.6">
      <c r="B30" s="60" t="s">
        <v>535</v>
      </c>
      <c r="C30" s="134"/>
      <c r="D30" s="130"/>
      <c r="N30" s="198">
        <f>AS45+AS45*N31</f>
        <v>95967.585142687574</v>
      </c>
      <c r="O30" s="198">
        <f t="shared" ref="O30:Q30" si="7">N30+N30*O31</f>
        <v>101706.44673422028</v>
      </c>
      <c r="P30" s="198">
        <f t="shared" si="7"/>
        <v>107788.49224892666</v>
      </c>
      <c r="Q30" s="198">
        <f t="shared" si="7"/>
        <v>114234.24408541247</v>
      </c>
      <c r="R30" s="130"/>
      <c r="S30" s="92"/>
      <c r="T30"/>
      <c r="U30"/>
      <c r="V30"/>
      <c r="W30"/>
      <c r="X30"/>
      <c r="BG30" s="140"/>
    </row>
    <row r="31" spans="2:59" ht="15.6">
      <c r="B31" s="580" t="s">
        <v>536</v>
      </c>
      <c r="C31" s="134"/>
      <c r="D31" s="130"/>
      <c r="E31" s="139"/>
      <c r="F31" s="771">
        <f>AL45/AK45-1</f>
        <v>8.9285714285714191E-2</v>
      </c>
      <c r="G31" s="771">
        <f>AM45/AL45-1</f>
        <v>8.1967213114754189E-2</v>
      </c>
      <c r="H31" s="770">
        <f>AN45/AM45-1</f>
        <v>2.6212121212121131E-2</v>
      </c>
      <c r="I31" s="771">
        <v>5.9799999999999999E-2</v>
      </c>
      <c r="J31" s="771">
        <v>5.9799999999999999E-2</v>
      </c>
      <c r="K31" s="771">
        <v>5.9799999999999999E-2</v>
      </c>
      <c r="L31" s="771">
        <v>5.9799999999999999E-2</v>
      </c>
      <c r="M31" s="771">
        <v>5.9799999999999999E-2</v>
      </c>
      <c r="N31" s="771">
        <v>5.9799999999999999E-2</v>
      </c>
      <c r="O31" s="771">
        <v>5.9799999999999999E-2</v>
      </c>
      <c r="P31" s="771">
        <v>5.9799999999999999E-2</v>
      </c>
      <c r="Q31" s="771">
        <v>5.9799999999999999E-2</v>
      </c>
      <c r="R31" s="130"/>
      <c r="S31" s="92"/>
      <c r="T31"/>
      <c r="U31"/>
      <c r="V31"/>
      <c r="W31"/>
      <c r="X31"/>
      <c r="BG31" s="140"/>
    </row>
    <row r="32" spans="2:59" ht="15.6">
      <c r="B32" s="130" t="s">
        <v>235</v>
      </c>
      <c r="C32" s="134"/>
      <c r="D32" s="130"/>
      <c r="E32" s="139"/>
      <c r="F32" s="139"/>
      <c r="G32" s="139"/>
      <c r="H32" s="764">
        <f t="shared" ref="H32:M32" si="8">AVERAGE(H28,AN45)</f>
        <v>67730</v>
      </c>
      <c r="I32" s="761">
        <f t="shared" si="8"/>
        <v>71780.254000000001</v>
      </c>
      <c r="J32" s="761">
        <f t="shared" si="8"/>
        <v>76072.713189200003</v>
      </c>
      <c r="K32" s="761">
        <f t="shared" si="8"/>
        <v>80621.861437914165</v>
      </c>
      <c r="L32" s="761">
        <f t="shared" si="8"/>
        <v>85443.048751901428</v>
      </c>
      <c r="M32" s="761">
        <f t="shared" si="8"/>
        <v>90552.543067265127</v>
      </c>
      <c r="N32" s="761">
        <f t="shared" ref="I32:Q33" si="9">AVERAGE(N28,N30)</f>
        <v>95967.585142687574</v>
      </c>
      <c r="O32" s="761">
        <f t="shared" si="9"/>
        <v>101706.44673422028</v>
      </c>
      <c r="P32" s="761">
        <f t="shared" si="9"/>
        <v>107788.49224892666</v>
      </c>
      <c r="Q32" s="761">
        <f t="shared" si="9"/>
        <v>114234.24408541247</v>
      </c>
      <c r="R32" s="130"/>
      <c r="S32" s="92"/>
      <c r="T32"/>
      <c r="U32"/>
      <c r="V32"/>
      <c r="W32"/>
      <c r="X32"/>
      <c r="BG32" s="140"/>
    </row>
    <row r="33" spans="1:59" ht="15.6">
      <c r="B33" s="130" t="s">
        <v>537</v>
      </c>
      <c r="C33" s="134"/>
      <c r="D33" s="130"/>
      <c r="E33" s="139"/>
      <c r="F33" s="139"/>
      <c r="G33" s="139"/>
      <c r="H33" s="766"/>
      <c r="I33" s="767">
        <f t="shared" si="9"/>
        <v>5.9950000000000003E-2</v>
      </c>
      <c r="J33" s="767">
        <f t="shared" si="9"/>
        <v>5.9950000000000003E-2</v>
      </c>
      <c r="K33" s="767">
        <f t="shared" si="9"/>
        <v>5.9950000000000003E-2</v>
      </c>
      <c r="L33" s="767">
        <f t="shared" si="9"/>
        <v>5.9950000000000003E-2</v>
      </c>
      <c r="M33" s="767">
        <f t="shared" si="9"/>
        <v>5.9950000000000003E-2</v>
      </c>
      <c r="N33" s="767">
        <f t="shared" si="9"/>
        <v>5.9950000000000003E-2</v>
      </c>
      <c r="O33" s="767">
        <f t="shared" si="9"/>
        <v>5.9950000000000003E-2</v>
      </c>
      <c r="P33" s="767">
        <f t="shared" si="9"/>
        <v>5.9950000000000003E-2</v>
      </c>
      <c r="Q33" s="767">
        <f t="shared" si="9"/>
        <v>5.9950000000000003E-2</v>
      </c>
      <c r="R33" s="130"/>
      <c r="S33" s="92"/>
      <c r="T33"/>
      <c r="U33"/>
      <c r="V33"/>
      <c r="W33"/>
      <c r="X33"/>
      <c r="BG33" s="140"/>
    </row>
    <row r="34" spans="1:59" ht="15.6">
      <c r="B34" s="130" t="s">
        <v>542</v>
      </c>
      <c r="C34" s="134"/>
      <c r="D34" s="130"/>
      <c r="E34" s="773">
        <f>E48*E43/AK45</f>
        <v>6.2053571428571427E-3</v>
      </c>
      <c r="F34" s="773">
        <f>F48*F43/AL45</f>
        <v>8.3067615517275553E-3</v>
      </c>
      <c r="G34" s="773">
        <f>G48*G43/AM45</f>
        <v>1.3151745827414772E-2</v>
      </c>
      <c r="H34" s="774">
        <f>H48*$G$43/H32</f>
        <v>1.6383066409133694E-2</v>
      </c>
      <c r="I34" s="775">
        <f>H34+($Q$34-H34)/5</f>
        <v>1.7106453127306954E-2</v>
      </c>
      <c r="J34" s="775">
        <f t="shared" ref="J34:P34" si="10">I34+($Q$34-I34)/5</f>
        <v>1.7685162501845562E-2</v>
      </c>
      <c r="K34" s="775">
        <f t="shared" si="10"/>
        <v>1.8148130001476449E-2</v>
      </c>
      <c r="L34" s="775">
        <f t="shared" si="10"/>
        <v>1.8518504001181161E-2</v>
      </c>
      <c r="M34" s="775">
        <f t="shared" si="10"/>
        <v>1.8814803200944929E-2</v>
      </c>
      <c r="N34" s="775">
        <f t="shared" si="10"/>
        <v>1.9051842560755945E-2</v>
      </c>
      <c r="O34" s="775">
        <f t="shared" si="10"/>
        <v>1.9241474048604757E-2</v>
      </c>
      <c r="P34" s="775">
        <f t="shared" si="10"/>
        <v>1.9393179238883805E-2</v>
      </c>
      <c r="Q34" s="791">
        <v>0.02</v>
      </c>
      <c r="R34" s="130"/>
      <c r="S34" s="92"/>
      <c r="T34"/>
      <c r="U34"/>
      <c r="V34"/>
      <c r="W34"/>
      <c r="X34"/>
      <c r="BG34" s="140"/>
    </row>
    <row r="35" spans="1:59" ht="15.6">
      <c r="B35" s="130"/>
      <c r="C35" s="134"/>
      <c r="D35" s="130"/>
      <c r="E35" s="139"/>
      <c r="F35" s="139"/>
      <c r="G35" s="139"/>
      <c r="H35" s="764"/>
      <c r="I35" s="761" t="s">
        <v>543</v>
      </c>
      <c r="J35" s="761"/>
      <c r="K35" s="761"/>
      <c r="L35" s="761"/>
      <c r="M35" s="242"/>
      <c r="N35" s="761"/>
      <c r="O35" s="761"/>
      <c r="P35" s="761"/>
      <c r="Q35" s="761"/>
      <c r="R35" s="130"/>
      <c r="S35" s="92"/>
      <c r="T35"/>
      <c r="U35"/>
      <c r="V35"/>
      <c r="W35"/>
      <c r="X35"/>
      <c r="BG35" s="140"/>
    </row>
    <row r="36" spans="1:59" ht="15.6">
      <c r="B36" s="125" t="s">
        <v>544</v>
      </c>
      <c r="C36" s="134"/>
      <c r="D36" s="130"/>
      <c r="E36" s="139"/>
      <c r="F36" s="139"/>
      <c r="G36" s="139"/>
      <c r="H36" s="764"/>
      <c r="I36" s="761"/>
      <c r="J36" s="761"/>
      <c r="K36" s="761"/>
      <c r="L36" s="761"/>
      <c r="M36" s="242"/>
      <c r="N36" s="761"/>
      <c r="O36" s="761"/>
      <c r="P36" s="761"/>
      <c r="Q36" s="761"/>
      <c r="R36" s="130"/>
      <c r="S36" s="92"/>
      <c r="T36"/>
      <c r="U36"/>
      <c r="V36"/>
      <c r="W36"/>
      <c r="X36"/>
      <c r="BG36" s="758"/>
    </row>
    <row r="37" spans="1:59" ht="15.6">
      <c r="B37" s="130" t="s">
        <v>545</v>
      </c>
      <c r="C37" s="134"/>
      <c r="D37" s="130"/>
      <c r="E37" s="768">
        <f>AK19-AK45</f>
        <v>191000</v>
      </c>
      <c r="F37" s="768">
        <f>AL19-AL45</f>
        <v>191500</v>
      </c>
      <c r="G37" s="768">
        <f>AM19-AM45</f>
        <v>191540</v>
      </c>
      <c r="H37" s="763">
        <f>H22-H32</f>
        <v>245591.12</v>
      </c>
      <c r="I37" s="140">
        <f>I22-I32</f>
        <v>255966.71276478126</v>
      </c>
      <c r="J37" s="140">
        <f t="shared" ref="J37:Q37" si="11">J22-J32</f>
        <v>272812.91246726445</v>
      </c>
      <c r="K37" s="140">
        <f t="shared" si="11"/>
        <v>290784.2520925611</v>
      </c>
      <c r="L37" s="140">
        <f t="shared" si="11"/>
        <v>309956.85087797791</v>
      </c>
      <c r="M37" s="140">
        <f t="shared" si="11"/>
        <v>330412.03429846145</v>
      </c>
      <c r="N37" s="140">
        <f t="shared" si="11"/>
        <v>423310.07085731241</v>
      </c>
      <c r="O37" s="140">
        <f t="shared" si="11"/>
        <v>454503.55326577974</v>
      </c>
      <c r="P37" s="140">
        <f t="shared" si="11"/>
        <v>485353.85175107338</v>
      </c>
      <c r="Q37" s="140">
        <f t="shared" si="11"/>
        <v>518292.75155618752</v>
      </c>
      <c r="R37" s="130"/>
      <c r="S37" s="92"/>
      <c r="T37"/>
      <c r="U37"/>
      <c r="V37"/>
      <c r="W37"/>
      <c r="X37"/>
      <c r="BG37" s="759"/>
    </row>
    <row r="38" spans="1:59" ht="15.6">
      <c r="B38" s="130" t="s">
        <v>534</v>
      </c>
      <c r="C38" s="134"/>
      <c r="D38" s="130"/>
      <c r="E38" s="290"/>
      <c r="F38" s="767">
        <f t="shared" ref="F38:H38" si="12">(F37-E37)/E37</f>
        <v>2.617801047120419E-3</v>
      </c>
      <c r="G38" s="767">
        <f t="shared" si="12"/>
        <v>2.0887728459530026E-4</v>
      </c>
      <c r="H38" s="766">
        <f t="shared" si="12"/>
        <v>0.28219233580453168</v>
      </c>
      <c r="I38" s="767">
        <f>(I37-H37)/H37</f>
        <v>4.2247426392213468E-2</v>
      </c>
      <c r="J38" s="767">
        <f t="shared" ref="J38:Q38" si="13">(J37-I37)/I37</f>
        <v>6.5814025271183935E-2</v>
      </c>
      <c r="K38" s="767">
        <f t="shared" si="13"/>
        <v>6.5874226636736186E-2</v>
      </c>
      <c r="L38" s="767">
        <f t="shared" si="13"/>
        <v>6.5934102852701501E-2</v>
      </c>
      <c r="M38" s="767">
        <f t="shared" si="13"/>
        <v>6.5993648349899611E-2</v>
      </c>
      <c r="N38" s="767">
        <f t="shared" si="13"/>
        <v>0.2811581507801138</v>
      </c>
      <c r="O38" s="767">
        <f t="shared" si="13"/>
        <v>7.3689440804685938E-2</v>
      </c>
      <c r="P38" s="767">
        <f t="shared" si="13"/>
        <v>6.7876913752648538E-2</v>
      </c>
      <c r="Q38" s="767">
        <f t="shared" si="13"/>
        <v>6.7865743078531757E-2</v>
      </c>
      <c r="R38" s="130"/>
      <c r="S38" s="92"/>
      <c r="T38"/>
      <c r="U38"/>
      <c r="V38"/>
      <c r="W38"/>
      <c r="X38"/>
      <c r="BG38" s="760"/>
    </row>
    <row r="39" spans="1:59" ht="15.6">
      <c r="B39" s="130" t="s">
        <v>546</v>
      </c>
      <c r="C39" s="134"/>
      <c r="D39" s="130"/>
      <c r="E39" s="773">
        <f>E48*E44/E37</f>
        <v>2.340314136125655E-4</v>
      </c>
      <c r="F39" s="773">
        <f t="shared" ref="F39:G39" si="14">F48*F44/F37</f>
        <v>3.7643626811811529E-4</v>
      </c>
      <c r="G39" s="773">
        <f t="shared" si="14"/>
        <v>8.1384972011394477E-4</v>
      </c>
      <c r="H39" s="774">
        <f>(H48*G44)/H37</f>
        <v>8.1140927289787587E-4</v>
      </c>
      <c r="I39" s="775">
        <f>H39+($Q$39-H39)/5</f>
        <v>1.0491274183183007E-3</v>
      </c>
      <c r="J39" s="775">
        <f t="shared" ref="J39:P39" si="15">I39+($Q$39-I39)/5</f>
        <v>1.2393019346546405E-3</v>
      </c>
      <c r="K39" s="775">
        <f t="shared" si="15"/>
        <v>1.3914415477237125E-3</v>
      </c>
      <c r="L39" s="775">
        <f t="shared" si="15"/>
        <v>1.51315323817897E-3</v>
      </c>
      <c r="M39" s="775">
        <f t="shared" si="15"/>
        <v>1.6105225905431761E-3</v>
      </c>
      <c r="N39" s="775">
        <f t="shared" si="15"/>
        <v>1.6884180724345409E-3</v>
      </c>
      <c r="O39" s="775">
        <f t="shared" si="15"/>
        <v>1.7507344579476328E-3</v>
      </c>
      <c r="P39" s="775">
        <f t="shared" si="15"/>
        <v>1.8005875663581062E-3</v>
      </c>
      <c r="Q39" s="791">
        <v>2E-3</v>
      </c>
      <c r="R39" s="130"/>
      <c r="S39" s="92"/>
      <c r="T39"/>
      <c r="U39"/>
      <c r="V39"/>
      <c r="W39"/>
      <c r="X39"/>
      <c r="BG39" s="760"/>
    </row>
    <row r="40" spans="1:59" ht="15.6">
      <c r="H40" s="765"/>
      <c r="I40" s="761" t="s">
        <v>543</v>
      </c>
      <c r="R40" s="130"/>
      <c r="S40" s="92"/>
      <c r="T40"/>
      <c r="U40"/>
      <c r="V40"/>
      <c r="W40"/>
      <c r="X40"/>
    </row>
    <row r="41" spans="1:59" ht="15.95" thickBot="1">
      <c r="H41" s="765"/>
      <c r="P41" s="762"/>
      <c r="Q41" s="762"/>
      <c r="R41" s="130"/>
      <c r="S41" s="92"/>
      <c r="T41"/>
      <c r="U41"/>
      <c r="V41"/>
      <c r="W41"/>
      <c r="X41"/>
    </row>
    <row r="42" spans="1:59" ht="15.95" thickBot="1">
      <c r="B42" s="130" t="s">
        <v>547</v>
      </c>
      <c r="C42" s="134"/>
      <c r="D42" s="130"/>
      <c r="E42" s="579"/>
      <c r="F42" s="579"/>
      <c r="G42" s="579"/>
      <c r="H42" s="782">
        <f>H32*H34+H37*H39</f>
        <v>1308.9000000000001</v>
      </c>
      <c r="I42" s="783">
        <f>I32*I34+I37*I39</f>
        <v>1496.4472470555245</v>
      </c>
      <c r="J42" s="783">
        <f t="shared" ref="J42:Q42" si="16">J32*J34+J37*J39</f>
        <v>1683.4558649267403</v>
      </c>
      <c r="K42" s="783">
        <f t="shared" si="16"/>
        <v>1867.7453121216429</v>
      </c>
      <c r="L42" s="783">
        <f t="shared" si="16"/>
        <v>2051.2896527869721</v>
      </c>
      <c r="M42" s="783">
        <f t="shared" si="16"/>
        <v>2235.8643225806823</v>
      </c>
      <c r="N42" s="783">
        <f t="shared" si="16"/>
        <v>2543.0836969534575</v>
      </c>
      <c r="O42" s="783">
        <f t="shared" si="16"/>
        <v>2752.6969873743396</v>
      </c>
      <c r="P42" s="783">
        <f t="shared" si="16"/>
        <v>2964.2836608194707</v>
      </c>
      <c r="Q42" s="783">
        <f t="shared" si="16"/>
        <v>3321.2703848206247</v>
      </c>
      <c r="R42" s="798" t="s">
        <v>548</v>
      </c>
      <c r="S42" s="92"/>
      <c r="T42"/>
      <c r="U42"/>
      <c r="V42"/>
      <c r="W42"/>
      <c r="X42"/>
    </row>
    <row r="43" spans="1:59" ht="15.95" customHeight="1">
      <c r="B43" s="130" t="s">
        <v>549</v>
      </c>
      <c r="C43" s="781" t="s">
        <v>550</v>
      </c>
      <c r="E43" s="132">
        <f>Segments!G6/Segments!G13</f>
        <v>0.88602753697093317</v>
      </c>
      <c r="F43" s="784">
        <f>Segments!H6/Segments!H13</f>
        <v>0.87545344619105203</v>
      </c>
      <c r="G43" s="132">
        <f>Segments!D6</f>
        <v>0.84775390625000002</v>
      </c>
      <c r="H43" s="763">
        <f>H34*H32</f>
        <v>1109.6250878906251</v>
      </c>
      <c r="I43" s="140">
        <f>I34*I32</f>
        <v>1227.9055505171875</v>
      </c>
      <c r="J43" s="140">
        <f t="shared" ref="J43:P43" si="17">J34*J32</f>
        <v>1345.3582947072923</v>
      </c>
      <c r="K43" s="140">
        <f t="shared" si="17"/>
        <v>1463.1360223362874</v>
      </c>
      <c r="L43" s="140">
        <f t="shared" si="17"/>
        <v>1582.2774401852037</v>
      </c>
      <c r="M43" s="140">
        <f t="shared" si="17"/>
        <v>1703.7282771556834</v>
      </c>
      <c r="N43" s="140">
        <f t="shared" si="17"/>
        <v>1828.359323074425</v>
      </c>
      <c r="O43" s="140">
        <f t="shared" si="17"/>
        <v>1956.9819554123017</v>
      </c>
      <c r="P43" s="140">
        <f t="shared" si="17"/>
        <v>2090.3615500724723</v>
      </c>
      <c r="Q43" s="140">
        <f>Q34*Q32</f>
        <v>2284.6848817082496</v>
      </c>
      <c r="R43" s="799">
        <f>Q43/Q42</f>
        <v>0.68789487665625304</v>
      </c>
      <c r="S43" s="92"/>
      <c r="T43"/>
      <c r="U43"/>
      <c r="V43"/>
      <c r="W43"/>
      <c r="X43"/>
    </row>
    <row r="44" spans="1:59" ht="15.95" customHeight="1" thickBot="1">
      <c r="B44" s="130"/>
      <c r="C44" s="781" t="s">
        <v>551</v>
      </c>
      <c r="E44" s="132">
        <f>1-E43</f>
        <v>0.11397246302906683</v>
      </c>
      <c r="F44" s="784">
        <f>1-F43</f>
        <v>0.12454655380894797</v>
      </c>
      <c r="G44" s="784">
        <f>1-G43</f>
        <v>0.15224609374999998</v>
      </c>
      <c r="H44" s="763">
        <f>H39*H37</f>
        <v>199.27491210937498</v>
      </c>
      <c r="I44" s="140">
        <f t="shared" ref="I44:P44" si="18">I39*I37</f>
        <v>268.54169653833702</v>
      </c>
      <c r="J44" s="140">
        <f t="shared" si="18"/>
        <v>338.09757021944796</v>
      </c>
      <c r="K44" s="140">
        <f t="shared" si="18"/>
        <v>404.60928978535543</v>
      </c>
      <c r="L44" s="140">
        <f t="shared" si="18"/>
        <v>469.0122126017684</v>
      </c>
      <c r="M44" s="140">
        <f t="shared" si="18"/>
        <v>532.13604542499888</v>
      </c>
      <c r="N44" s="140">
        <f t="shared" si="18"/>
        <v>714.72437387903233</v>
      </c>
      <c r="O44" s="140">
        <f t="shared" si="18"/>
        <v>795.71503196203798</v>
      </c>
      <c r="P44" s="140">
        <f t="shared" si="18"/>
        <v>873.92211074699833</v>
      </c>
      <c r="Q44" s="140">
        <f>Q39*Q37</f>
        <v>1036.5855031123751</v>
      </c>
      <c r="R44" s="800">
        <f>Q44/Q42</f>
        <v>0.31210512334374702</v>
      </c>
      <c r="S44" s="92"/>
      <c r="T44"/>
      <c r="U44"/>
      <c r="V44"/>
      <c r="W44"/>
      <c r="X44"/>
      <c r="AK44" s="56">
        <v>2022</v>
      </c>
      <c r="AL44" s="56">
        <f t="shared" ref="AL44:AS44" si="19">+AK44+1</f>
        <v>2023</v>
      </c>
      <c r="AM44" s="56">
        <f t="shared" si="19"/>
        <v>2024</v>
      </c>
      <c r="AN44" s="56">
        <f t="shared" si="19"/>
        <v>2025</v>
      </c>
      <c r="AO44" s="56">
        <f t="shared" si="19"/>
        <v>2026</v>
      </c>
      <c r="AP44" s="56">
        <f t="shared" si="19"/>
        <v>2027</v>
      </c>
      <c r="AQ44" s="56">
        <f t="shared" si="19"/>
        <v>2028</v>
      </c>
      <c r="AR44" s="56">
        <f t="shared" si="19"/>
        <v>2029</v>
      </c>
      <c r="AS44" s="56">
        <f t="shared" si="19"/>
        <v>2030</v>
      </c>
    </row>
    <row r="45" spans="1:59" ht="15.6">
      <c r="B45" s="144" t="s">
        <v>552</v>
      </c>
      <c r="H45" s="790"/>
      <c r="S45" s="92"/>
      <c r="AK45" s="140">
        <v>56000</v>
      </c>
      <c r="AL45" s="140">
        <v>61000</v>
      </c>
      <c r="AM45" s="140">
        <v>66000</v>
      </c>
      <c r="AN45" s="764">
        <v>67730</v>
      </c>
      <c r="AO45" s="761">
        <f>AN45+AN45*I31</f>
        <v>71780.254000000001</v>
      </c>
      <c r="AP45" s="761">
        <f>AO45+AO45*J31</f>
        <v>76072.713189200003</v>
      </c>
      <c r="AQ45" s="761">
        <f>AP45+AP45*K31</f>
        <v>80621.861437914165</v>
      </c>
      <c r="AR45" s="761">
        <f>AQ45+AQ45*L31</f>
        <v>85443.048751901428</v>
      </c>
      <c r="AS45" s="198">
        <f>AR45+AR45*M31</f>
        <v>90552.543067265127</v>
      </c>
    </row>
    <row r="46" spans="1:59" ht="15.6">
      <c r="A46" s="125" t="s">
        <v>472</v>
      </c>
      <c r="B46" s="51" t="s">
        <v>293</v>
      </c>
      <c r="C46" s="55"/>
      <c r="D46" s="55"/>
      <c r="E46" s="136">
        <v>2022</v>
      </c>
      <c r="F46" s="136">
        <f>+E46+1</f>
        <v>2023</v>
      </c>
      <c r="G46" s="137">
        <f>+F46+1</f>
        <v>2024</v>
      </c>
      <c r="H46" s="99">
        <f t="shared" ref="H46:Q46" si="20">+G46+1</f>
        <v>2025</v>
      </c>
      <c r="I46" s="99">
        <f t="shared" si="20"/>
        <v>2026</v>
      </c>
      <c r="J46" s="99">
        <f t="shared" si="20"/>
        <v>2027</v>
      </c>
      <c r="K46" s="99">
        <f>+J46+1</f>
        <v>2028</v>
      </c>
      <c r="L46" s="99">
        <f t="shared" si="20"/>
        <v>2029</v>
      </c>
      <c r="M46" s="99">
        <f t="shared" si="20"/>
        <v>2030</v>
      </c>
      <c r="N46" s="99">
        <f t="shared" si="20"/>
        <v>2031</v>
      </c>
      <c r="O46" s="99">
        <f t="shared" si="20"/>
        <v>2032</v>
      </c>
      <c r="P46" s="99">
        <f t="shared" si="20"/>
        <v>2033</v>
      </c>
      <c r="Q46" s="99">
        <f t="shared" si="20"/>
        <v>2034</v>
      </c>
      <c r="R46" s="146"/>
      <c r="S46" s="126"/>
      <c r="T46" s="126"/>
      <c r="U46" s="126"/>
      <c r="AU46" s="125" t="s">
        <v>655</v>
      </c>
      <c r="AV46" s="125" t="s">
        <v>234</v>
      </c>
      <c r="AW46" s="125" t="s">
        <v>656</v>
      </c>
      <c r="AX46" s="125" t="s">
        <v>657</v>
      </c>
      <c r="AY46" s="125" t="s">
        <v>658</v>
      </c>
    </row>
    <row r="47" spans="1:59" ht="3.95" customHeight="1">
      <c r="B47" s="68"/>
      <c r="C47" s="68"/>
      <c r="D47" s="68"/>
      <c r="E47" s="68"/>
      <c r="F47" s="68"/>
      <c r="G47" s="138"/>
      <c r="H47" s="68"/>
      <c r="I47" s="68"/>
      <c r="J47" s="68"/>
      <c r="K47" s="68"/>
      <c r="L47" s="68"/>
      <c r="M47" s="68"/>
      <c r="N47" s="68"/>
      <c r="O47" s="68"/>
      <c r="P47" s="68"/>
      <c r="Q47" s="68"/>
    </row>
    <row r="48" spans="1:59" ht="15.6">
      <c r="B48" s="125" t="s">
        <v>553</v>
      </c>
      <c r="D48" s="303">
        <f>+_xlfn.XLOOKUP($B48,Inputs!$B:$B,Inputs!N:N)</f>
        <v>318.10000000000002</v>
      </c>
      <c r="E48" s="148">
        <f>+_xlfn.XLOOKUP($B48,Inputs!$B:$B,Inputs!O:O)</f>
        <v>392.2</v>
      </c>
      <c r="F48" s="148">
        <f>+_xlfn.XLOOKUP($B48,Inputs!$B:$B,Inputs!P:P)</f>
        <v>578.79999999999995</v>
      </c>
      <c r="G48" s="268">
        <f>+_xlfn.XLOOKUP($B48,Inputs!$B:$B,Inputs!Q:Q)</f>
        <v>1023.9</v>
      </c>
      <c r="H48" s="149">
        <v>1308.9000000000001</v>
      </c>
      <c r="I48" s="149">
        <f>I42</f>
        <v>1496.4472470555245</v>
      </c>
      <c r="J48" s="149">
        <f t="shared" ref="J48:P48" si="21">J42</f>
        <v>1683.4558649267403</v>
      </c>
      <c r="K48" s="149">
        <f t="shared" si="21"/>
        <v>1867.7453121216429</v>
      </c>
      <c r="L48" s="149">
        <f t="shared" si="21"/>
        <v>2051.2896527869721</v>
      </c>
      <c r="M48" s="149">
        <f t="shared" si="21"/>
        <v>2235.8643225806823</v>
      </c>
      <c r="N48" s="149">
        <f t="shared" si="21"/>
        <v>2543.0836969534575</v>
      </c>
      <c r="O48" s="149">
        <f t="shared" si="21"/>
        <v>2752.6969873743396</v>
      </c>
      <c r="P48" s="149">
        <f t="shared" si="21"/>
        <v>2964.2836608194707</v>
      </c>
      <c r="Q48" s="149">
        <f>+Q43+Q44</f>
        <v>3321.2703848206247</v>
      </c>
      <c r="AU48" s="125">
        <v>2100000</v>
      </c>
      <c r="AV48" s="125">
        <v>1400000</v>
      </c>
      <c r="AW48" s="125">
        <v>1100000</v>
      </c>
      <c r="AX48" s="125">
        <v>251000</v>
      </c>
      <c r="AY48" s="125">
        <v>40100</v>
      </c>
    </row>
    <row r="49" spans="2:17" s="276" customFormat="1" ht="14.45">
      <c r="B49" s="277" t="s">
        <v>554</v>
      </c>
      <c r="E49" s="279">
        <f>IFERROR((E48-D48)/D48,"")</f>
        <v>0.23294561458660787</v>
      </c>
      <c r="F49" s="279">
        <f>IFERROR((F48-E48)/E48,"")</f>
        <v>0.47577766445690967</v>
      </c>
      <c r="G49" s="280">
        <f>IFERROR((G48-F48)/F48,"")</f>
        <v>0.76900483759502425</v>
      </c>
      <c r="H49" s="281">
        <f>IFERROR(H48/G48-1,"")</f>
        <v>0.27834749487254618</v>
      </c>
      <c r="I49" s="281">
        <f t="shared" ref="I49:Q49" si="22">IFERROR(I48/H48-1,"")</f>
        <v>0.14328615406488221</v>
      </c>
      <c r="J49" s="281">
        <f t="shared" si="22"/>
        <v>0.12496839981441532</v>
      </c>
      <c r="K49" s="281">
        <f t="shared" si="22"/>
        <v>0.10947091101964967</v>
      </c>
      <c r="L49" s="281">
        <f t="shared" si="22"/>
        <v>9.8270540139562268E-2</v>
      </c>
      <c r="M49" s="281">
        <f t="shared" si="22"/>
        <v>8.9979818083194107E-2</v>
      </c>
      <c r="N49" s="281">
        <f t="shared" si="22"/>
        <v>0.13740519550764874</v>
      </c>
      <c r="O49" s="281">
        <f t="shared" si="22"/>
        <v>8.2424849277274337E-2</v>
      </c>
      <c r="P49" s="281">
        <f t="shared" si="22"/>
        <v>7.6865225055865238E-2</v>
      </c>
      <c r="Q49" s="281">
        <f t="shared" si="22"/>
        <v>0.12042933971523695</v>
      </c>
    </row>
    <row r="50" spans="2:17" ht="3.75" customHeight="1">
      <c r="B50" s="150"/>
      <c r="E50" s="152"/>
      <c r="F50" s="152"/>
      <c r="G50" s="153"/>
      <c r="H50" s="151"/>
      <c r="I50" s="151"/>
      <c r="J50" s="151"/>
      <c r="K50" s="151"/>
      <c r="L50" s="151"/>
      <c r="O50" s="154"/>
      <c r="P50" s="154"/>
      <c r="Q50" s="154"/>
    </row>
    <row r="51" spans="2:17" ht="15.6">
      <c r="B51" s="275" t="s">
        <v>300</v>
      </c>
      <c r="E51" s="148">
        <f>+_xlfn.XLOOKUP($B51,Inputs!$B:$B,Inputs!O:O)</f>
        <v>140.4</v>
      </c>
      <c r="F51" s="148">
        <f>+_xlfn.XLOOKUP($B51,Inputs!$B:$B,Inputs!P:P)</f>
        <v>188.4</v>
      </c>
      <c r="G51" s="268">
        <f>+_xlfn.XLOOKUP($B51,Inputs!$B:$B,Inputs!Q:Q)</f>
        <v>299.8</v>
      </c>
      <c r="H51" s="155">
        <f t="shared" ref="H51:Q51" si="23">H52*H$48</f>
        <v>458.11500000000001</v>
      </c>
      <c r="I51" s="155">
        <f>I52*I$48</f>
        <v>486.34535529304537</v>
      </c>
      <c r="J51" s="155">
        <f t="shared" si="23"/>
        <v>526.0799577896064</v>
      </c>
      <c r="K51" s="155">
        <f t="shared" si="23"/>
        <v>571.99700183725315</v>
      </c>
      <c r="L51" s="155">
        <f t="shared" si="23"/>
        <v>621.79717600105084</v>
      </c>
      <c r="M51" s="155">
        <f t="shared" si="23"/>
        <v>674.25283477823689</v>
      </c>
      <c r="N51" s="155">
        <f t="shared" si="23"/>
        <v>764.91189322428215</v>
      </c>
      <c r="O51" s="155">
        <f t="shared" si="23"/>
        <v>826.88436847299511</v>
      </c>
      <c r="P51" s="155">
        <f t="shared" si="23"/>
        <v>889.86405989834498</v>
      </c>
      <c r="Q51" s="155">
        <f t="shared" si="23"/>
        <v>996.38111544618732</v>
      </c>
    </row>
    <row r="52" spans="2:17" s="276" customFormat="1" ht="14.45">
      <c r="B52" s="285" t="s">
        <v>555</v>
      </c>
      <c r="E52" s="278">
        <f>IFERROR(E51/E$48,"")</f>
        <v>0.35798062213156556</v>
      </c>
      <c r="F52" s="278">
        <f t="shared" ref="F52:G52" si="24">IFERROR(F51/F$48,"")</f>
        <v>0.32550103662750524</v>
      </c>
      <c r="G52" s="282">
        <f t="shared" si="24"/>
        <v>0.29280203144838363</v>
      </c>
      <c r="H52" s="304">
        <v>0.35</v>
      </c>
      <c r="I52" s="304">
        <f>(H52+($Q$52-H52)/2)</f>
        <v>0.32499999999999996</v>
      </c>
      <c r="J52" s="304">
        <f t="shared" ref="J52:P52" si="25">(I52+($Q$52-I52)/2)</f>
        <v>0.3125</v>
      </c>
      <c r="K52" s="304">
        <f t="shared" si="25"/>
        <v>0.30625000000000002</v>
      </c>
      <c r="L52" s="304">
        <f t="shared" si="25"/>
        <v>0.30312499999999998</v>
      </c>
      <c r="M52" s="304">
        <f t="shared" si="25"/>
        <v>0.30156249999999996</v>
      </c>
      <c r="N52" s="304">
        <f t="shared" si="25"/>
        <v>0.30078125</v>
      </c>
      <c r="O52" s="304">
        <f t="shared" si="25"/>
        <v>0.30039062500000002</v>
      </c>
      <c r="P52" s="304">
        <f t="shared" si="25"/>
        <v>0.30019531249999998</v>
      </c>
      <c r="Q52" s="304">
        <v>0.3</v>
      </c>
    </row>
    <row r="53" spans="2:17" ht="5.25" customHeight="1">
      <c r="B53" s="150"/>
      <c r="E53" s="152"/>
      <c r="F53" s="152"/>
      <c r="G53" s="153"/>
      <c r="H53" s="158"/>
      <c r="I53" s="158"/>
      <c r="J53" s="158"/>
      <c r="K53" s="158"/>
      <c r="L53" s="158"/>
      <c r="M53" s="158"/>
      <c r="N53" s="158"/>
      <c r="O53" s="158"/>
      <c r="P53" s="158"/>
      <c r="Q53" s="158"/>
    </row>
    <row r="54" spans="2:17" ht="15.6">
      <c r="B54" s="125" t="s">
        <v>301</v>
      </c>
      <c r="E54" s="148">
        <f>+_xlfn.XLOOKUP($B54,Inputs!$B:$B,Inputs!O:O)</f>
        <v>251.79999999999998</v>
      </c>
      <c r="F54" s="148">
        <f>+_xlfn.XLOOKUP($B54,Inputs!$B:$B,Inputs!P:P)</f>
        <v>390.4</v>
      </c>
      <c r="G54" s="268">
        <f>+_xlfn.XLOOKUP($B54,Inputs!$B:$B,Inputs!Q:Q)</f>
        <v>724.09999999999991</v>
      </c>
      <c r="H54" s="155">
        <f>+H48-H51</f>
        <v>850.78500000000008</v>
      </c>
      <c r="I54" s="155">
        <f>+I48-I51</f>
        <v>1010.1018917624791</v>
      </c>
      <c r="J54" s="155">
        <f t="shared" ref="J54:Q54" si="26">+J48-J51</f>
        <v>1157.3759071371339</v>
      </c>
      <c r="K54" s="155">
        <f t="shared" si="26"/>
        <v>1295.7483102843898</v>
      </c>
      <c r="L54" s="155">
        <f t="shared" si="26"/>
        <v>1429.4924767859211</v>
      </c>
      <c r="M54" s="155">
        <f t="shared" si="26"/>
        <v>1561.6114878024455</v>
      </c>
      <c r="N54" s="155">
        <f t="shared" si="26"/>
        <v>1778.1718037291753</v>
      </c>
      <c r="O54" s="155">
        <f t="shared" si="26"/>
        <v>1925.8126189013446</v>
      </c>
      <c r="P54" s="155">
        <f t="shared" si="26"/>
        <v>2074.4196009211255</v>
      </c>
      <c r="Q54" s="155">
        <f t="shared" si="26"/>
        <v>2324.8892693744374</v>
      </c>
    </row>
    <row r="55" spans="2:17" s="276" customFormat="1" ht="14.45">
      <c r="B55" s="276" t="s">
        <v>41</v>
      </c>
      <c r="E55" s="278">
        <f>IFERROR(E54/E$48,"")</f>
        <v>0.64201937786843444</v>
      </c>
      <c r="F55" s="278">
        <f t="shared" ref="F55:Q55" si="27">IFERROR(F54/F$48,"")</f>
        <v>0.67449896337249482</v>
      </c>
      <c r="G55" s="282">
        <f t="shared" si="27"/>
        <v>0.70719796855161632</v>
      </c>
      <c r="H55" s="278">
        <f>IFERROR(H54/H$48,"")</f>
        <v>0.65</v>
      </c>
      <c r="I55" s="278">
        <f>IFERROR(I54/I$48,"")</f>
        <v>0.67500000000000004</v>
      </c>
      <c r="J55" s="278">
        <f t="shared" si="27"/>
        <v>0.6875</v>
      </c>
      <c r="K55" s="278">
        <f t="shared" si="27"/>
        <v>0.69375000000000009</v>
      </c>
      <c r="L55" s="278">
        <f t="shared" si="27"/>
        <v>0.69687500000000002</v>
      </c>
      <c r="M55" s="278">
        <f t="shared" si="27"/>
        <v>0.69843750000000004</v>
      </c>
      <c r="N55" s="278">
        <f t="shared" si="27"/>
        <v>0.69921875</v>
      </c>
      <c r="O55" s="278">
        <f t="shared" si="27"/>
        <v>0.69960937499999998</v>
      </c>
      <c r="P55" s="278">
        <f t="shared" si="27"/>
        <v>0.69980468749999991</v>
      </c>
      <c r="Q55" s="278">
        <f t="shared" si="27"/>
        <v>0.70000000000000007</v>
      </c>
    </row>
    <row r="56" spans="2:17" ht="3.75" customHeight="1">
      <c r="G56" s="156"/>
      <c r="H56" s="130"/>
      <c r="I56" s="130"/>
      <c r="J56" s="130"/>
      <c r="K56" s="130"/>
      <c r="L56" s="130"/>
      <c r="O56" s="130"/>
      <c r="P56" s="130"/>
      <c r="Q56" s="130"/>
    </row>
    <row r="57" spans="2:17" ht="14.25" customHeight="1">
      <c r="B57" s="275" t="s">
        <v>556</v>
      </c>
      <c r="E57" s="148">
        <f>+_xlfn.XLOOKUP($B57,Inputs!$B:$B,Inputs!O:O)</f>
        <v>221.9</v>
      </c>
      <c r="F57" s="148">
        <f>+_xlfn.XLOOKUP($B57,Inputs!$B:$B,Inputs!P:P)</f>
        <v>322.3</v>
      </c>
      <c r="G57" s="268">
        <f>+_xlfn.XLOOKUP($B57,Inputs!$B:$B,Inputs!Q:Q)</f>
        <v>574.4</v>
      </c>
      <c r="H57" s="155">
        <f>IFERROR(G57*(1+H49),"")</f>
        <v>734.28280105479053</v>
      </c>
      <c r="I57" s="155">
        <f t="shared" ref="I57:Q57" si="28">IFERROR(H57*(1+I49),"")</f>
        <v>839.49535961392053</v>
      </c>
      <c r="J57" s="155">
        <f t="shared" si="28"/>
        <v>944.40575135649931</v>
      </c>
      <c r="K57" s="155">
        <f t="shared" si="28"/>
        <v>1047.7907093296919</v>
      </c>
      <c r="L57" s="155">
        <f t="shared" si="28"/>
        <v>1150.7576682887359</v>
      </c>
      <c r="M57" s="155">
        <f t="shared" si="28"/>
        <v>1254.302633939197</v>
      </c>
      <c r="N57" s="155">
        <f t="shared" si="28"/>
        <v>1426.6503325813712</v>
      </c>
      <c r="O57" s="155">
        <f t="shared" si="28"/>
        <v>1544.2417712157639</v>
      </c>
      <c r="P57" s="155">
        <f t="shared" si="28"/>
        <v>1662.9402625009316</v>
      </c>
      <c r="Q57" s="155">
        <f t="shared" si="28"/>
        <v>1863.2070602998015</v>
      </c>
    </row>
    <row r="58" spans="2:17" s="276" customFormat="1" ht="14.45">
      <c r="B58" s="285" t="s">
        <v>43</v>
      </c>
      <c r="E58" s="278">
        <f>IFERROR(E57/E$48,"")</f>
        <v>0.56578276389597149</v>
      </c>
      <c r="F58" s="278">
        <f t="shared" ref="F58:G58" si="29">IFERROR(F57/F$48,"")</f>
        <v>0.55684174153420873</v>
      </c>
      <c r="G58" s="283">
        <f t="shared" si="29"/>
        <v>0.56099228440277371</v>
      </c>
      <c r="H58" s="304">
        <f>IFERROR(AVERAGE(E58:G58),"")</f>
        <v>0.56120559661098468</v>
      </c>
      <c r="I58" s="304">
        <f t="shared" ref="I58:P58" si="30">IFERROR(AVERAGE(F58:H58),"")</f>
        <v>0.55967987418265575</v>
      </c>
      <c r="J58" s="304">
        <f t="shared" si="30"/>
        <v>0.5606259183988046</v>
      </c>
      <c r="K58" s="304">
        <f t="shared" si="30"/>
        <v>0.5605037963974816</v>
      </c>
      <c r="L58" s="304">
        <f t="shared" si="30"/>
        <v>0.56026986299298065</v>
      </c>
      <c r="M58" s="304">
        <f t="shared" si="30"/>
        <v>0.56046652592975565</v>
      </c>
      <c r="N58" s="304">
        <f t="shared" si="30"/>
        <v>0.56041339510673926</v>
      </c>
      <c r="O58" s="304">
        <f t="shared" si="30"/>
        <v>0.56038326134315852</v>
      </c>
      <c r="P58" s="304">
        <f t="shared" si="30"/>
        <v>0.56042106079321785</v>
      </c>
      <c r="Q58" s="304">
        <f>IFERROR(AVERAGE(N58:P58),"")</f>
        <v>0.56040590574770521</v>
      </c>
    </row>
    <row r="59" spans="2:17" ht="3.75" customHeight="1">
      <c r="B59" s="150"/>
      <c r="E59" s="152"/>
      <c r="F59" s="152"/>
      <c r="G59" s="153"/>
      <c r="H59" s="151"/>
      <c r="I59" s="151"/>
      <c r="J59" s="151"/>
      <c r="K59" s="151"/>
      <c r="L59" s="151"/>
      <c r="O59" s="130"/>
      <c r="P59" s="130"/>
      <c r="Q59" s="130"/>
    </row>
    <row r="60" spans="2:17" ht="15.6">
      <c r="B60" s="275" t="s">
        <v>308</v>
      </c>
      <c r="E60" s="148">
        <f>+_xlfn.XLOOKUP($B60,Inputs!$B:$B,Inputs!O:O)</f>
        <v>0</v>
      </c>
      <c r="F60" s="148">
        <f>+_xlfn.XLOOKUP($B60,Inputs!$B:$B,Inputs!P:P)</f>
        <v>0</v>
      </c>
      <c r="G60" s="268">
        <f>+_xlfn.XLOOKUP($B60,Inputs!$B:$B,Inputs!Q:Q)</f>
        <v>0</v>
      </c>
      <c r="H60" s="155">
        <f>H61*H$48</f>
        <v>0</v>
      </c>
      <c r="I60" s="155">
        <f t="shared" ref="I60:Q60" si="31">I61*I$48</f>
        <v>0</v>
      </c>
      <c r="J60" s="155">
        <f t="shared" si="31"/>
        <v>0</v>
      </c>
      <c r="K60" s="155">
        <f t="shared" si="31"/>
        <v>0</v>
      </c>
      <c r="L60" s="155">
        <f t="shared" si="31"/>
        <v>0</v>
      </c>
      <c r="M60" s="155">
        <f t="shared" si="31"/>
        <v>0</v>
      </c>
      <c r="N60" s="155">
        <f t="shared" si="31"/>
        <v>0</v>
      </c>
      <c r="O60" s="155">
        <f t="shared" si="31"/>
        <v>0</v>
      </c>
      <c r="P60" s="155">
        <f t="shared" si="31"/>
        <v>0</v>
      </c>
      <c r="Q60" s="155">
        <f t="shared" si="31"/>
        <v>0</v>
      </c>
    </row>
    <row r="61" spans="2:17" s="276" customFormat="1" ht="14.45">
      <c r="B61" s="285" t="s">
        <v>555</v>
      </c>
      <c r="E61" s="278">
        <f>IFERROR(E60/E48,"")</f>
        <v>0</v>
      </c>
      <c r="F61" s="278">
        <f>IFERROR(F60/F48,"")</f>
        <v>0</v>
      </c>
      <c r="G61" s="283">
        <f>IFERROR(G60/G48,"")</f>
        <v>0</v>
      </c>
      <c r="H61" s="304">
        <v>0</v>
      </c>
      <c r="I61" s="304">
        <v>0</v>
      </c>
      <c r="J61" s="304">
        <v>0</v>
      </c>
      <c r="K61" s="304">
        <v>0</v>
      </c>
      <c r="L61" s="304">
        <v>0</v>
      </c>
      <c r="M61" s="304">
        <v>0</v>
      </c>
      <c r="N61" s="304">
        <v>0</v>
      </c>
      <c r="O61" s="304">
        <v>0</v>
      </c>
      <c r="P61" s="304">
        <v>0</v>
      </c>
      <c r="Q61" s="304">
        <v>0</v>
      </c>
    </row>
    <row r="62" spans="2:17" s="242" customFormat="1" ht="5.25" customHeight="1">
      <c r="B62" s="269"/>
      <c r="E62" s="270"/>
      <c r="F62" s="270"/>
      <c r="G62" s="271"/>
      <c r="H62" s="272"/>
      <c r="I62" s="272"/>
      <c r="J62" s="272"/>
      <c r="K62" s="272"/>
      <c r="L62" s="272"/>
      <c r="O62" s="273"/>
      <c r="P62" s="273"/>
      <c r="Q62" s="273"/>
    </row>
    <row r="63" spans="2:17" ht="15.6">
      <c r="B63" s="474" t="s">
        <v>557</v>
      </c>
      <c r="E63" s="148">
        <f>+_xlfn.XLOOKUP($B63,Inputs!$B:$B,Inputs!O:O)</f>
        <v>0.5</v>
      </c>
      <c r="F63" s="148">
        <f>+_xlfn.XLOOKUP($B63,Inputs!$B:$B,Inputs!P:P)</f>
        <v>0</v>
      </c>
      <c r="G63" s="268">
        <f>+_xlfn.XLOOKUP($B63,Inputs!$B:$B,Inputs!Q:Q)</f>
        <v>0</v>
      </c>
      <c r="H63" s="155">
        <f>IFERROR(AVERAGE(E63:G63)*(1+H49),"")</f>
        <v>0.21305791581209102</v>
      </c>
      <c r="I63" s="155">
        <f t="shared" ref="I63:Q63" si="32">IFERROR(AVERAGE(F63:H63)*(1+I49),"")</f>
        <v>8.1195388387295009E-2</v>
      </c>
      <c r="J63" s="155">
        <f t="shared" si="32"/>
        <v>0.11034188958842922</v>
      </c>
      <c r="K63" s="155">
        <f>IFERROR(AVERAGE(H63:J63)*(1+K49),"")</f>
        <v>0.1496288660819797</v>
      </c>
      <c r="L63" s="155">
        <f t="shared" si="32"/>
        <v>0.12489757510386207</v>
      </c>
      <c r="M63" s="155">
        <f t="shared" si="32"/>
        <v>0.13983290438777415</v>
      </c>
      <c r="N63" s="155">
        <f t="shared" si="32"/>
        <v>0.1570981574875267</v>
      </c>
      <c r="O63" s="155">
        <f t="shared" si="32"/>
        <v>0.1521992662676695</v>
      </c>
      <c r="P63" s="155">
        <f t="shared" si="32"/>
        <v>0.16121761063169812</v>
      </c>
      <c r="Q63" s="155">
        <f t="shared" si="32"/>
        <v>0.17572628310140001</v>
      </c>
    </row>
    <row r="64" spans="2:17" ht="5.25" customHeight="1">
      <c r="B64" s="196"/>
      <c r="E64" s="148"/>
      <c r="F64" s="148"/>
      <c r="G64" s="268"/>
      <c r="H64" s="158"/>
      <c r="I64" s="158"/>
      <c r="J64" s="158"/>
      <c r="K64" s="158"/>
      <c r="L64" s="158"/>
      <c r="O64" s="157"/>
      <c r="P64" s="157"/>
      <c r="Q64" s="157"/>
    </row>
    <row r="65" spans="1:17" ht="15.6">
      <c r="B65" s="196" t="s">
        <v>245</v>
      </c>
      <c r="E65" s="148">
        <f>+_xlfn.XLOOKUP($B65,Inputs!$B:$B,Inputs!O:O)</f>
        <v>29.399999999999977</v>
      </c>
      <c r="F65" s="148">
        <f>+_xlfn.XLOOKUP($B65,Inputs!$B:$B,Inputs!P:P)</f>
        <v>68.099999999999966</v>
      </c>
      <c r="G65" s="268">
        <f>+_xlfn.XLOOKUP($B65,Inputs!$B:$B,Inputs!Q:Q)</f>
        <v>149.69999999999993</v>
      </c>
      <c r="H65" s="155">
        <f>IFERROR(H54-H57-H60-H63,"")</f>
        <v>116.28914102939747</v>
      </c>
      <c r="I65" s="155">
        <f t="shared" ref="I65:Q65" si="33">IFERROR(I54-I57-I60-I63,"")</f>
        <v>170.52533676017129</v>
      </c>
      <c r="J65" s="155">
        <f t="shared" si="33"/>
        <v>212.8598138910462</v>
      </c>
      <c r="K65" s="155">
        <f t="shared" si="33"/>
        <v>247.80797208861594</v>
      </c>
      <c r="L65" s="155">
        <f t="shared" si="33"/>
        <v>278.60991092208133</v>
      </c>
      <c r="M65" s="155">
        <f t="shared" si="33"/>
        <v>307.1690209588607</v>
      </c>
      <c r="N65" s="155">
        <f t="shared" si="33"/>
        <v>351.3643729903165</v>
      </c>
      <c r="O65" s="155">
        <f t="shared" si="33"/>
        <v>381.41864841931306</v>
      </c>
      <c r="P65" s="155">
        <f t="shared" si="33"/>
        <v>411.31812080956223</v>
      </c>
      <c r="Q65" s="155">
        <f t="shared" si="33"/>
        <v>461.50648279153449</v>
      </c>
    </row>
    <row r="66" spans="1:17" s="276" customFormat="1" ht="14.45">
      <c r="B66" s="276" t="s">
        <v>39</v>
      </c>
      <c r="E66" s="278">
        <f>IFERROR(E65/E$48,"")</f>
        <v>7.4961754207037171E-2</v>
      </c>
      <c r="F66" s="278">
        <f t="shared" ref="F66:Q66" si="34">IFERROR(F65/F$48,"")</f>
        <v>0.11765722183828606</v>
      </c>
      <c r="G66" s="282">
        <f t="shared" si="34"/>
        <v>0.14620568414884261</v>
      </c>
      <c r="H66" s="278">
        <f>IFERROR(H65/H$48,"")</f>
        <v>8.8844939284435376E-2</v>
      </c>
      <c r="I66" s="278">
        <f t="shared" si="34"/>
        <v>0.11395345682629605</v>
      </c>
      <c r="J66" s="278">
        <f t="shared" si="34"/>
        <v>0.12644217073092637</v>
      </c>
      <c r="K66" s="278">
        <f t="shared" si="34"/>
        <v>0.13267760356850875</v>
      </c>
      <c r="L66" s="278">
        <f t="shared" si="34"/>
        <v>0.13582182825499542</v>
      </c>
      <c r="M66" s="278">
        <f t="shared" si="34"/>
        <v>0.13738267472523541</v>
      </c>
      <c r="N66" s="278">
        <f t="shared" si="34"/>
        <v>0.13816469092670489</v>
      </c>
      <c r="O66" s="278">
        <f t="shared" si="34"/>
        <v>0.13856179963459375</v>
      </c>
      <c r="P66" s="278">
        <f t="shared" si="34"/>
        <v>0.1387580163957231</v>
      </c>
      <c r="Q66" s="278">
        <f t="shared" si="34"/>
        <v>0.13895480623943826</v>
      </c>
    </row>
    <row r="67" spans="1:17" ht="3.75" customHeight="1">
      <c r="B67" s="150"/>
      <c r="E67" s="152"/>
      <c r="F67" s="152"/>
      <c r="G67" s="160"/>
      <c r="H67" s="152"/>
      <c r="I67" s="152"/>
      <c r="J67" s="152"/>
      <c r="K67" s="152"/>
      <c r="L67" s="152"/>
      <c r="O67" s="157"/>
      <c r="P67" s="157"/>
      <c r="Q67" s="157"/>
    </row>
    <row r="68" spans="1:17" ht="13.5" customHeight="1">
      <c r="B68" s="275" t="s">
        <v>558</v>
      </c>
      <c r="E68" s="148">
        <f>+_xlfn.XLOOKUP($B68,Inputs!$B:$B,Inputs!O:O)</f>
        <v>27.1</v>
      </c>
      <c r="F68" s="148">
        <f>+_xlfn.XLOOKUP($B68,Inputs!$B:$B,Inputs!P:P)</f>
        <v>22.2</v>
      </c>
      <c r="G68" s="268">
        <f>+_xlfn.XLOOKUP($B68,Inputs!$B:$B,Inputs!Q:Q)</f>
        <v>35.9</v>
      </c>
      <c r="H68" s="172">
        <f>H69*(H117+H123)</f>
        <v>37.284731668128309</v>
      </c>
      <c r="I68" s="172">
        <f>I69*(I117+I123)</f>
        <v>38.129056062583771</v>
      </c>
      <c r="J68" s="172">
        <f t="shared" ref="J68:Q68" si="35">J69*(J117+J123)</f>
        <v>39.336933070693604</v>
      </c>
      <c r="K68" s="172">
        <f t="shared" si="35"/>
        <v>40.749709577367838</v>
      </c>
      <c r="L68" s="172">
        <f t="shared" si="35"/>
        <v>42.10108010696797</v>
      </c>
      <c r="M68" s="172">
        <f>M69*(M117+M123)</f>
        <v>71.817938077715354</v>
      </c>
      <c r="N68" s="172">
        <f t="shared" si="35"/>
        <v>73.584442484014616</v>
      </c>
      <c r="O68" s="172">
        <f t="shared" si="35"/>
        <v>75.327130811070006</v>
      </c>
      <c r="P68" s="172">
        <f t="shared" si="35"/>
        <v>77.1661364264762</v>
      </c>
      <c r="Q68" s="172">
        <f t="shared" si="35"/>
        <v>78.346118851714166</v>
      </c>
    </row>
    <row r="69" spans="1:17" ht="13.5" customHeight="1">
      <c r="B69" s="285" t="s">
        <v>559</v>
      </c>
      <c r="E69" s="296">
        <f>IFERROR(E68/AVERAGE(Inputs!O39+Inputs!O42+Inputs!O44,Inputs!N39+Inputs!N42+Inputs!N44),"")</f>
        <v>0.12966879431945416</v>
      </c>
      <c r="F69" s="296">
        <f>IFERROR(F68/AVERAGE(Inputs!P39+Inputs!P42+Inputs!P44,Inputs!O39+Inputs!O42+Inputs!O44),"")</f>
        <v>0.11057070922144772</v>
      </c>
      <c r="G69" s="282">
        <f>IFERROR(G68/AVERAGE(Inputs!Q39+Inputs!Q42+Inputs!Q44,Inputs!P39+Inputs!P42+Inputs!P44),"")</f>
        <v>0.12301682486379054</v>
      </c>
      <c r="H69" s="152">
        <v>0.13</v>
      </c>
      <c r="I69" s="152">
        <f t="shared" ref="I69:P69" si="36">H69+($Q$69-H69)/5</f>
        <v>0.128</v>
      </c>
      <c r="J69" s="152">
        <f t="shared" si="36"/>
        <v>0.12640000000000001</v>
      </c>
      <c r="K69" s="152">
        <f t="shared" si="36"/>
        <v>0.12512000000000001</v>
      </c>
      <c r="L69" s="152">
        <f t="shared" si="36"/>
        <v>0.12409600000000001</v>
      </c>
      <c r="M69" s="152">
        <f t="shared" si="36"/>
        <v>0.12327680000000001</v>
      </c>
      <c r="N69" s="152">
        <f t="shared" si="36"/>
        <v>0.12262144</v>
      </c>
      <c r="O69" s="152">
        <f t="shared" si="36"/>
        <v>0.122097152</v>
      </c>
      <c r="P69" s="152">
        <f t="shared" si="36"/>
        <v>0.1216777216</v>
      </c>
      <c r="Q69" s="152">
        <v>0.12</v>
      </c>
    </row>
    <row r="70" spans="1:17" ht="5.25" customHeight="1">
      <c r="B70" s="150"/>
      <c r="E70" s="152"/>
      <c r="F70" s="152"/>
      <c r="G70" s="160"/>
      <c r="H70" s="152"/>
      <c r="I70" s="152"/>
      <c r="J70" s="152"/>
      <c r="K70" s="152"/>
      <c r="L70" s="152"/>
      <c r="O70" s="157"/>
      <c r="P70" s="157"/>
      <c r="Q70" s="157"/>
    </row>
    <row r="71" spans="1:17" s="150" customFormat="1" ht="15.6" hidden="1">
      <c r="A71" s="755"/>
      <c r="B71" s="299" t="s">
        <v>560</v>
      </c>
      <c r="E71" s="300">
        <f>+_xlfn.XLOOKUP($B71,Inputs!$B:$B,Inputs!O:O)</f>
        <v>0</v>
      </c>
      <c r="F71" s="300">
        <f>+_xlfn.XLOOKUP($B71,Inputs!$B:$B,Inputs!P:P)</f>
        <v>0</v>
      </c>
      <c r="G71" s="301">
        <f>+_xlfn.XLOOKUP($B71,Inputs!$B:$B,Inputs!Q:Q)</f>
        <v>0</v>
      </c>
      <c r="H71" s="302">
        <f>IFERROR(H72*(G118+G119),"")</f>
        <v>0</v>
      </c>
      <c r="I71" s="302">
        <f>IFERROR(I72*(H118+H119),"")</f>
        <v>0</v>
      </c>
      <c r="J71" s="302">
        <f t="shared" ref="J71:Q71" si="37">IFERROR(J72*(I118+I119),"")</f>
        <v>0</v>
      </c>
      <c r="K71" s="302">
        <f t="shared" si="37"/>
        <v>0</v>
      </c>
      <c r="L71" s="302">
        <f t="shared" si="37"/>
        <v>0</v>
      </c>
      <c r="M71" s="302">
        <f t="shared" si="37"/>
        <v>0</v>
      </c>
      <c r="N71" s="302">
        <f t="shared" si="37"/>
        <v>0</v>
      </c>
      <c r="O71" s="302">
        <f t="shared" si="37"/>
        <v>0</v>
      </c>
      <c r="P71" s="302">
        <f t="shared" si="37"/>
        <v>0</v>
      </c>
      <c r="Q71" s="302">
        <f t="shared" si="37"/>
        <v>0</v>
      </c>
    </row>
    <row r="72" spans="1:17" s="276" customFormat="1" ht="14.45" hidden="1">
      <c r="A72" s="756"/>
      <c r="B72" s="298" t="s">
        <v>561</v>
      </c>
      <c r="E72" s="296">
        <f>IFERROR(E71/AVERAGE(Inputs!O40+Inputs!O42,Inputs!N40+Inputs!N42),"")</f>
        <v>0</v>
      </c>
      <c r="F72" s="296">
        <f>IFERROR(F71/AVERAGE(Inputs!P40+Inputs!P42,Inputs!O40+Inputs!O42),"")</f>
        <v>0</v>
      </c>
      <c r="G72" s="282">
        <f>IFERROR(G71/AVERAGE(Inputs!Q40+Inputs!Q42,Inputs!P40+Inputs!P42),"")</f>
        <v>0</v>
      </c>
      <c r="H72" s="304">
        <f>IFERROR(AVERAGE(E72:G72),"")</f>
        <v>0</v>
      </c>
      <c r="I72" s="304">
        <f>IFERROR(AVERAGE(F72:H72),"")</f>
        <v>0</v>
      </c>
      <c r="J72" s="304">
        <f t="shared" ref="J72:Q72" si="38">IFERROR(AVERAGE(G72:I72),"")</f>
        <v>0</v>
      </c>
      <c r="K72" s="304">
        <f t="shared" si="38"/>
        <v>0</v>
      </c>
      <c r="L72" s="304">
        <f t="shared" si="38"/>
        <v>0</v>
      </c>
      <c r="M72" s="304">
        <f t="shared" si="38"/>
        <v>0</v>
      </c>
      <c r="N72" s="304">
        <f t="shared" si="38"/>
        <v>0</v>
      </c>
      <c r="O72" s="304">
        <f t="shared" si="38"/>
        <v>0</v>
      </c>
      <c r="P72" s="304">
        <f t="shared" si="38"/>
        <v>0</v>
      </c>
      <c r="Q72" s="304">
        <f t="shared" si="38"/>
        <v>0</v>
      </c>
    </row>
    <row r="73" spans="1:17" ht="3.75" hidden="1" customHeight="1">
      <c r="A73" s="757"/>
      <c r="B73" s="150"/>
      <c r="E73" s="152"/>
      <c r="F73" s="152"/>
      <c r="G73" s="160"/>
      <c r="H73" s="158"/>
      <c r="I73" s="158"/>
      <c r="J73" s="158"/>
      <c r="K73" s="158"/>
      <c r="L73" s="158"/>
      <c r="M73" s="158"/>
      <c r="N73" s="158"/>
      <c r="O73" s="158"/>
      <c r="P73" s="158"/>
      <c r="Q73" s="158"/>
    </row>
    <row r="74" spans="1:17" s="150" customFormat="1" ht="15.6" hidden="1">
      <c r="A74" s="755"/>
      <c r="B74" s="299" t="s">
        <v>562</v>
      </c>
      <c r="E74" s="300">
        <f>+_xlfn.XLOOKUP($B74,Inputs!$B:$B,Inputs!O:O)</f>
        <v>0</v>
      </c>
      <c r="F74" s="300">
        <f>+_xlfn.XLOOKUP($B74,Inputs!$B:$B,Inputs!P:P)</f>
        <v>0</v>
      </c>
      <c r="G74" s="301">
        <f>+_xlfn.XLOOKUP($B74,Inputs!$B:$B,Inputs!Q:Q)</f>
        <v>0</v>
      </c>
      <c r="H74" s="172">
        <f t="shared" ref="H74:Q74" si="39">+H75*G123</f>
        <v>0</v>
      </c>
      <c r="I74" s="172">
        <f t="shared" si="39"/>
        <v>0</v>
      </c>
      <c r="J74" s="172">
        <f t="shared" si="39"/>
        <v>0</v>
      </c>
      <c r="K74" s="172">
        <f t="shared" si="39"/>
        <v>0</v>
      </c>
      <c r="L74" s="172">
        <f t="shared" si="39"/>
        <v>0</v>
      </c>
      <c r="M74" s="172">
        <f t="shared" si="39"/>
        <v>0</v>
      </c>
      <c r="N74" s="172">
        <f t="shared" si="39"/>
        <v>0</v>
      </c>
      <c r="O74" s="172">
        <f t="shared" si="39"/>
        <v>0</v>
      </c>
      <c r="P74" s="172">
        <f t="shared" si="39"/>
        <v>0</v>
      </c>
      <c r="Q74" s="172">
        <f t="shared" si="39"/>
        <v>0</v>
      </c>
    </row>
    <row r="75" spans="1:17" s="276" customFormat="1" ht="14.45" hidden="1">
      <c r="A75" s="756"/>
      <c r="B75" s="298" t="s">
        <v>563</v>
      </c>
      <c r="E75" s="278">
        <f>IFERROR(E74/AVERAGE(Inputs!N45:O45),"")</f>
        <v>0</v>
      </c>
      <c r="F75" s="278">
        <f>IFERROR(F74/AVERAGE(Inputs!O45:P45),"")</f>
        <v>0</v>
      </c>
      <c r="G75" s="282">
        <f>IFERROR(G74/AVERAGE(Inputs!P45:Q45),"")</f>
        <v>0</v>
      </c>
      <c r="H75" s="304">
        <v>0</v>
      </c>
      <c r="I75" s="304">
        <v>0</v>
      </c>
      <c r="J75" s="304">
        <v>0</v>
      </c>
      <c r="K75" s="304">
        <v>0</v>
      </c>
      <c r="L75" s="304">
        <v>0</v>
      </c>
      <c r="M75" s="304">
        <v>0</v>
      </c>
      <c r="N75" s="304">
        <v>0</v>
      </c>
      <c r="O75" s="304">
        <v>0</v>
      </c>
      <c r="P75" s="304">
        <v>0</v>
      </c>
      <c r="Q75" s="304">
        <v>0</v>
      </c>
    </row>
    <row r="76" spans="1:17" ht="3.95" customHeight="1">
      <c r="G76" s="156"/>
    </row>
    <row r="77" spans="1:17" ht="15.6">
      <c r="B77" s="125" t="s">
        <v>302</v>
      </c>
      <c r="E77" s="148">
        <f>+_xlfn.XLOOKUP($B77,Inputs!$B:$B,Inputs!O:O)</f>
        <v>2.2999999999999758</v>
      </c>
      <c r="F77" s="148">
        <f>+_xlfn.XLOOKUP($B77,Inputs!$B:$B,Inputs!P:P)</f>
        <v>45.899999999999963</v>
      </c>
      <c r="G77" s="268">
        <f>+_xlfn.XLOOKUP($B77,Inputs!$B:$B,Inputs!Q:Q)</f>
        <v>113.79999999999993</v>
      </c>
      <c r="H77" s="159">
        <f>+IFERROR(H65-H68,"")</f>
        <v>79.004409361269154</v>
      </c>
      <c r="I77" s="159">
        <f>+IFERROR(I65-I68,"")</f>
        <v>132.39628069758751</v>
      </c>
      <c r="J77" s="159">
        <f t="shared" ref="J77:Q77" si="40">+IFERROR(J65-J68,"")</f>
        <v>173.52288082035261</v>
      </c>
      <c r="K77" s="159">
        <f t="shared" si="40"/>
        <v>207.0582625112481</v>
      </c>
      <c r="L77" s="159">
        <f t="shared" si="40"/>
        <v>236.50883081511336</v>
      </c>
      <c r="M77" s="159">
        <f t="shared" si="40"/>
        <v>235.35108288114535</v>
      </c>
      <c r="N77" s="159">
        <f t="shared" si="40"/>
        <v>277.77993050630187</v>
      </c>
      <c r="O77" s="159">
        <f t="shared" si="40"/>
        <v>306.09151760824307</v>
      </c>
      <c r="P77" s="159">
        <f t="shared" si="40"/>
        <v>334.15198438308602</v>
      </c>
      <c r="Q77" s="159">
        <f t="shared" si="40"/>
        <v>383.16036393982034</v>
      </c>
    </row>
    <row r="78" spans="1:17" s="286" customFormat="1" ht="14.45">
      <c r="B78" s="276" t="s">
        <v>256</v>
      </c>
      <c r="E78" s="278">
        <f>IFERROR(E77/E$48,"")</f>
        <v>5.8643549209586327E-3</v>
      </c>
      <c r="F78" s="278">
        <f t="shared" ref="F78:G78" si="41">IFERROR(F77/F$48,"")</f>
        <v>7.9302004146509966E-2</v>
      </c>
      <c r="G78" s="282">
        <f t="shared" si="41"/>
        <v>0.11114366637366924</v>
      </c>
      <c r="H78" s="278">
        <f t="shared" ref="H78:Q78" si="42">IFERROR(H77/H48,"")</f>
        <v>6.0359392895766785E-2</v>
      </c>
      <c r="I78" s="278">
        <f t="shared" si="42"/>
        <v>8.8473737352316478E-2</v>
      </c>
      <c r="J78" s="278">
        <f t="shared" si="42"/>
        <v>0.10307539653135123</v>
      </c>
      <c r="K78" s="278">
        <f t="shared" si="42"/>
        <v>0.11086000921402006</v>
      </c>
      <c r="L78" s="278">
        <f t="shared" si="42"/>
        <v>0.11529762776006894</v>
      </c>
      <c r="M78" s="278">
        <f t="shared" si="42"/>
        <v>0.10526179093438823</v>
      </c>
      <c r="N78" s="278">
        <f t="shared" si="42"/>
        <v>0.10922956678109902</v>
      </c>
      <c r="O78" s="278">
        <f t="shared" si="42"/>
        <v>0.11119695302903954</v>
      </c>
      <c r="P78" s="278">
        <f t="shared" si="42"/>
        <v>0.11272604872460495</v>
      </c>
      <c r="Q78" s="278">
        <f t="shared" si="42"/>
        <v>0.11536560398424595</v>
      </c>
    </row>
    <row r="79" spans="1:17" customFormat="1" ht="3.75" customHeight="1">
      <c r="B79" s="125"/>
      <c r="E79" s="278"/>
      <c r="F79" s="278"/>
      <c r="G79" s="283"/>
      <c r="H79" s="103"/>
      <c r="I79" s="103"/>
      <c r="J79" s="103"/>
      <c r="K79" s="103"/>
      <c r="L79" s="103"/>
      <c r="M79" s="103"/>
      <c r="N79" s="103"/>
      <c r="O79" s="103"/>
      <c r="P79" s="103"/>
      <c r="Q79" s="103"/>
    </row>
    <row r="80" spans="1:17" customFormat="1" ht="13.5" customHeight="1">
      <c r="B80" s="275" t="s">
        <v>303</v>
      </c>
      <c r="E80" s="148">
        <f>+_xlfn.XLOOKUP($B80,Inputs!$B:$B,Inputs!O:O)</f>
        <v>2.4</v>
      </c>
      <c r="F80" s="148">
        <f>+_xlfn.XLOOKUP($B80,Inputs!$B:$B,Inputs!P:P)</f>
        <v>2</v>
      </c>
      <c r="G80" s="268">
        <f>+_xlfn.XLOOKUP($B80,Inputs!$B:$B,Inputs!Q:Q)</f>
        <v>7</v>
      </c>
      <c r="H80" s="159">
        <f t="shared" ref="H80:Q80" si="43">H83-H86</f>
        <v>7.3640000000000017</v>
      </c>
      <c r="I80" s="159">
        <f t="shared" si="43"/>
        <v>7.8141236565328986</v>
      </c>
      <c r="J80" s="159">
        <f t="shared" si="43"/>
        <v>5.2884555791235526</v>
      </c>
      <c r="K80" s="159">
        <f t="shared" si="43"/>
        <v>3.1193703863535029</v>
      </c>
      <c r="L80" s="159">
        <f t="shared" si="43"/>
        <v>1.2987354636101296</v>
      </c>
      <c r="M80" s="159">
        <f t="shared" si="43"/>
        <v>0.80593546395622839</v>
      </c>
      <c r="N80" s="159">
        <f t="shared" si="43"/>
        <v>0.76121303358640302</v>
      </c>
      <c r="O80" s="159">
        <f t="shared" si="43"/>
        <v>0.72543508929054279</v>
      </c>
      <c r="P80" s="159">
        <f t="shared" si="43"/>
        <v>0.69681273385385456</v>
      </c>
      <c r="Q80" s="159">
        <f t="shared" si="43"/>
        <v>0.58232331210710153</v>
      </c>
    </row>
    <row r="81" spans="2:17" customFormat="1" ht="13.5" customHeight="1">
      <c r="B81" s="298" t="s">
        <v>564</v>
      </c>
      <c r="E81" s="296">
        <f>IFERROR(E80/AVERAGE(Inputs!N115:O115),"")</f>
        <v>3.2967032967032961E-2</v>
      </c>
      <c r="F81" s="296">
        <f>IFERROR(F80/AVERAGE(Inputs!O115:P115),"")</f>
        <v>0.16949152542372875</v>
      </c>
      <c r="G81" s="282">
        <f>IFERROR(G80/AVERAGE(Inputs!P115:Q115),"")</f>
        <v>0.37037037037037024</v>
      </c>
      <c r="H81" s="296">
        <f>IFERROR(H80/AVERAGE(G134+G136,H134+H136),"")</f>
        <v>3.8151485132608964E-2</v>
      </c>
      <c r="I81" s="296">
        <f t="shared" ref="I81:Q81" si="44">IFERROR(I80/AVERAGE(H134+H136,I134+I136),"")</f>
        <v>3.8594548010142143E-2</v>
      </c>
      <c r="J81" s="296">
        <f t="shared" si="44"/>
        <v>2.8058136121651589E-2</v>
      </c>
      <c r="K81" s="296">
        <f t="shared" si="44"/>
        <v>2.0255439462605645E-2</v>
      </c>
      <c r="L81" s="296">
        <f t="shared" si="44"/>
        <v>1.0770128433299459E-2</v>
      </c>
      <c r="M81" s="296">
        <f t="shared" si="44"/>
        <v>8.1900038034623743E-3</v>
      </c>
      <c r="N81" s="296">
        <f t="shared" si="44"/>
        <v>7.5315961698718915E-3</v>
      </c>
      <c r="O81" s="296">
        <f t="shared" si="44"/>
        <v>6.6329729156227972E-3</v>
      </c>
      <c r="P81" s="296">
        <f t="shared" si="44"/>
        <v>6.0048792323005975E-3</v>
      </c>
      <c r="Q81" s="296">
        <f t="shared" si="44"/>
        <v>4.6424394231031393E-3</v>
      </c>
    </row>
    <row r="82" spans="2:17" customFormat="1" ht="3.75" customHeight="1">
      <c r="B82" s="125"/>
      <c r="E82" s="278"/>
      <c r="F82" s="278"/>
      <c r="G82" s="282"/>
      <c r="H82" s="103"/>
      <c r="I82" s="103"/>
      <c r="J82" s="103"/>
      <c r="K82" s="103"/>
      <c r="L82" s="103"/>
      <c r="M82" s="103"/>
      <c r="N82" s="103"/>
      <c r="O82" s="103"/>
      <c r="P82" s="103"/>
      <c r="Q82" s="103"/>
    </row>
    <row r="83" spans="2:17" customFormat="1" ht="15.6">
      <c r="B83" s="297" t="s">
        <v>565</v>
      </c>
      <c r="E83" s="148">
        <f>+_xlfn.XLOOKUP($B83,Inputs!$B:$B,Inputs!O:O)</f>
        <v>2.4</v>
      </c>
      <c r="F83" s="148">
        <f>+_xlfn.XLOOKUP($B83,Inputs!$B:$B,Inputs!P:P)</f>
        <v>2</v>
      </c>
      <c r="G83" s="268">
        <f>+_xlfn.XLOOKUP($B83,Inputs!$B:$B,Inputs!Q:Q)</f>
        <v>7</v>
      </c>
      <c r="H83" s="159">
        <f>H134*H84</f>
        <v>7.3640000000000017</v>
      </c>
      <c r="I83" s="159">
        <f t="shared" ref="I83:Q83" si="45">I134*I84</f>
        <v>7.8141236565328986</v>
      </c>
      <c r="J83" s="159">
        <f t="shared" si="45"/>
        <v>5.2884555791235526</v>
      </c>
      <c r="K83" s="159">
        <f>K134*K84</f>
        <v>3.1193703863535029</v>
      </c>
      <c r="L83" s="159">
        <f t="shared" si="45"/>
        <v>1.2987354636101296</v>
      </c>
      <c r="M83" s="159">
        <f t="shared" si="45"/>
        <v>0.80593546395622839</v>
      </c>
      <c r="N83" s="159">
        <f t="shared" si="45"/>
        <v>0.76121303358640302</v>
      </c>
      <c r="O83" s="159">
        <f t="shared" si="45"/>
        <v>0.72543508929054279</v>
      </c>
      <c r="P83" s="159">
        <f t="shared" si="45"/>
        <v>0.69681273385385456</v>
      </c>
      <c r="Q83" s="159">
        <f t="shared" si="45"/>
        <v>0.58232331210710153</v>
      </c>
    </row>
    <row r="84" spans="2:17" s="286" customFormat="1" ht="14.45">
      <c r="B84" s="298" t="s">
        <v>566</v>
      </c>
      <c r="E84" s="296">
        <f>+IFERROR(E83/AVERAGE(Inputs!N112:O112),"")</f>
        <v>1.9448946515397081E-2</v>
      </c>
      <c r="F84" s="296">
        <f>+IFERROR(F83/AVERAGE(Inputs!O112:P112),"")</f>
        <v>2.1299254526091587E-2</v>
      </c>
      <c r="G84" s="282">
        <f>+IFERROR(G83/AVERAGE(Inputs!P112:Q112),"")</f>
        <v>5.2473763118440778E-2</v>
      </c>
      <c r="H84" s="306">
        <v>0.05</v>
      </c>
      <c r="I84" s="306">
        <f>H84+(K84-H84)/5</f>
        <v>4.8000000000000001E-2</v>
      </c>
      <c r="J84" s="306">
        <f>I84+(K84-I84)/5</f>
        <v>4.6400000000000004E-2</v>
      </c>
      <c r="K84" s="306">
        <v>0.04</v>
      </c>
      <c r="L84" s="306">
        <f>K84+($Q$84-K84)/5</f>
        <v>3.6999999999999998E-2</v>
      </c>
      <c r="M84" s="306">
        <f t="shared" ref="M84:P84" si="46">L84+($Q$84-L84)/5</f>
        <v>3.4599999999999999E-2</v>
      </c>
      <c r="N84" s="306">
        <f t="shared" si="46"/>
        <v>3.2680000000000001E-2</v>
      </c>
      <c r="O84" s="306">
        <f t="shared" si="46"/>
        <v>3.1144000000000002E-2</v>
      </c>
      <c r="P84" s="306">
        <f t="shared" si="46"/>
        <v>2.9915200000000003E-2</v>
      </c>
      <c r="Q84" s="306">
        <v>2.5000000000000001E-2</v>
      </c>
    </row>
    <row r="85" spans="2:17" customFormat="1" ht="3.75" customHeight="1">
      <c r="B85" s="257"/>
      <c r="E85" s="278"/>
      <c r="F85" s="278"/>
      <c r="G85" s="283"/>
      <c r="H85" s="103"/>
      <c r="I85" s="103"/>
      <c r="J85" s="103"/>
      <c r="K85" s="103"/>
      <c r="L85" s="103"/>
      <c r="M85" s="103"/>
      <c r="N85" s="103"/>
      <c r="O85" s="103"/>
      <c r="P85" s="103"/>
      <c r="Q85" s="103"/>
    </row>
    <row r="86" spans="2:17" customFormat="1" ht="15.6">
      <c r="B86" s="297" t="s">
        <v>567</v>
      </c>
      <c r="E86" s="148">
        <f>+_xlfn.XLOOKUP($B86,Inputs!$B:$B,Inputs!O:O)</f>
        <v>0</v>
      </c>
      <c r="F86" s="148">
        <f>+_xlfn.XLOOKUP($B86,Inputs!$B:$B,Inputs!P:P)</f>
        <v>0</v>
      </c>
      <c r="G86" s="268">
        <f>+_xlfn.XLOOKUP($B86,Inputs!$B:$B,Inputs!Q:Q)</f>
        <v>0</v>
      </c>
      <c r="H86" s="159">
        <v>0</v>
      </c>
      <c r="I86" s="159">
        <v>0</v>
      </c>
      <c r="J86" s="159">
        <v>0</v>
      </c>
      <c r="K86" s="159">
        <v>0</v>
      </c>
      <c r="L86" s="159">
        <v>0</v>
      </c>
      <c r="M86" s="159">
        <v>0</v>
      </c>
      <c r="N86" s="159">
        <v>0</v>
      </c>
      <c r="O86" s="159">
        <v>0</v>
      </c>
      <c r="P86" s="159">
        <v>0</v>
      </c>
      <c r="Q86" s="159">
        <v>0</v>
      </c>
    </row>
    <row r="87" spans="2:17" s="286" customFormat="1" ht="14.45">
      <c r="B87" s="298" t="s">
        <v>568</v>
      </c>
      <c r="E87" s="278">
        <f>IFERROR(E86/+AVERAGE(Inputs!N32:O32),"")</f>
        <v>0</v>
      </c>
      <c r="F87" s="278">
        <f>IFERROR(F86/+AVERAGE(Inputs!O32:P32),"")</f>
        <v>0</v>
      </c>
      <c r="G87" s="282">
        <f>IFERROR(G86/+AVERAGE(Inputs!P32:Q32),"")</f>
        <v>0</v>
      </c>
      <c r="H87" s="306">
        <v>0</v>
      </c>
      <c r="I87" s="306">
        <v>0</v>
      </c>
      <c r="J87" s="306">
        <v>0</v>
      </c>
      <c r="K87" s="306">
        <v>0</v>
      </c>
      <c r="L87" s="306">
        <v>0</v>
      </c>
      <c r="M87" s="306">
        <v>0</v>
      </c>
      <c r="N87" s="306">
        <v>0</v>
      </c>
      <c r="O87" s="306">
        <v>0</v>
      </c>
      <c r="P87" s="306">
        <v>0</v>
      </c>
      <c r="Q87" s="306">
        <v>0</v>
      </c>
    </row>
    <row r="88" spans="2:17" s="286" customFormat="1" ht="3.75" customHeight="1">
      <c r="B88" s="285"/>
      <c r="E88" s="278"/>
      <c r="F88" s="278"/>
      <c r="G88" s="282"/>
      <c r="H88" s="284"/>
      <c r="I88" s="284"/>
      <c r="J88" s="284"/>
      <c r="K88" s="284"/>
      <c r="L88" s="284"/>
      <c r="M88" s="284"/>
      <c r="N88" s="284"/>
      <c r="O88" s="284"/>
      <c r="P88" s="284"/>
      <c r="Q88" s="284"/>
    </row>
    <row r="89" spans="2:17" s="286" customFormat="1" ht="15.6">
      <c r="B89" s="275" t="s">
        <v>569</v>
      </c>
      <c r="E89" s="293">
        <f>+_xlfn.XLOOKUP($B89,Inputs!$B:$B,Inputs!O:O)</f>
        <v>0</v>
      </c>
      <c r="F89" s="293">
        <f>+_xlfn.XLOOKUP($B89,Inputs!$B:$B,Inputs!P:P)</f>
        <v>0</v>
      </c>
      <c r="G89" s="294">
        <f>+_xlfn.XLOOKUP($B89,Inputs!$B:$B,Inputs!Q:Q)</f>
        <v>0</v>
      </c>
      <c r="H89" s="159">
        <f t="shared" ref="H89:O89" si="47">+H90*H$18</f>
        <v>0</v>
      </c>
      <c r="I89" s="159">
        <f t="shared" si="47"/>
        <v>0</v>
      </c>
      <c r="J89" s="159">
        <f t="shared" si="47"/>
        <v>0</v>
      </c>
      <c r="K89" s="159">
        <f t="shared" si="47"/>
        <v>0</v>
      </c>
      <c r="L89" s="159">
        <f t="shared" si="47"/>
        <v>0</v>
      </c>
      <c r="M89" s="159">
        <f t="shared" si="47"/>
        <v>0</v>
      </c>
      <c r="N89" s="159">
        <f t="shared" si="47"/>
        <v>0</v>
      </c>
      <c r="O89" s="159">
        <f t="shared" si="47"/>
        <v>0</v>
      </c>
      <c r="P89" s="159">
        <f>+P90*P$17</f>
        <v>0</v>
      </c>
      <c r="Q89" s="159">
        <f>+Q90*Q$17</f>
        <v>0</v>
      </c>
    </row>
    <row r="90" spans="2:17" s="286" customFormat="1" ht="14.45">
      <c r="B90" s="298" t="s">
        <v>555</v>
      </c>
      <c r="E90" s="278"/>
      <c r="F90" s="278"/>
      <c r="G90" s="282"/>
      <c r="H90" s="306">
        <v>0</v>
      </c>
      <c r="I90" s="306">
        <v>0</v>
      </c>
      <c r="J90" s="306">
        <v>0</v>
      </c>
      <c r="K90" s="306">
        <v>0</v>
      </c>
      <c r="L90" s="306">
        <v>0</v>
      </c>
      <c r="M90" s="306">
        <v>0</v>
      </c>
      <c r="N90" s="306">
        <v>0</v>
      </c>
      <c r="O90" s="306">
        <v>0</v>
      </c>
      <c r="P90" s="306">
        <v>0</v>
      </c>
      <c r="Q90" s="306">
        <v>0</v>
      </c>
    </row>
    <row r="91" spans="2:17" s="286" customFormat="1" ht="5.25" customHeight="1">
      <c r="B91" s="298"/>
      <c r="E91" s="278"/>
      <c r="F91" s="278"/>
      <c r="G91" s="282"/>
      <c r="H91" s="284"/>
      <c r="I91" s="284"/>
      <c r="J91" s="284"/>
      <c r="K91" s="284"/>
      <c r="L91" s="284"/>
      <c r="M91" s="284"/>
      <c r="N91" s="284"/>
      <c r="O91" s="284"/>
      <c r="P91" s="284"/>
      <c r="Q91" s="284"/>
    </row>
    <row r="92" spans="2:17" s="286" customFormat="1" ht="15.6">
      <c r="B92" s="275" t="s">
        <v>570</v>
      </c>
      <c r="E92" s="293">
        <f>+_xlfn.XLOOKUP($B92,Inputs!$B:$B,Inputs!O:O)</f>
        <v>1.4</v>
      </c>
      <c r="F92" s="293">
        <f>+_xlfn.XLOOKUP($B92,Inputs!$B:$B,Inputs!P:P)</f>
        <v>2.1</v>
      </c>
      <c r="G92" s="294">
        <f>+_xlfn.XLOOKUP($B92,Inputs!$B:$B,Inputs!Q:Q)</f>
        <v>1.7</v>
      </c>
      <c r="H92" s="305">
        <f t="shared" ref="H92:Q92" si="48">IFERROR(AVERAGE(E92:G92)*(1+H49),"")</f>
        <v>2.2158023244457468</v>
      </c>
      <c r="I92" s="305">
        <f t="shared" si="48"/>
        <v>2.2925945010433852</v>
      </c>
      <c r="J92" s="305">
        <f t="shared" si="48"/>
        <v>2.3280834140611351</v>
      </c>
      <c r="K92" s="305">
        <f t="shared" si="48"/>
        <v>2.5282919865138895</v>
      </c>
      <c r="L92" s="305">
        <f t="shared" si="48"/>
        <v>2.6171676784306417</v>
      </c>
      <c r="M92" s="305">
        <f t="shared" si="48"/>
        <v>2.7153370418971701</v>
      </c>
      <c r="N92" s="305">
        <f t="shared" si="48"/>
        <v>2.9803036717303888</v>
      </c>
      <c r="O92" s="305">
        <f t="shared" si="48"/>
        <v>2.9993301236148198</v>
      </c>
      <c r="P92" s="305">
        <f t="shared" si="48"/>
        <v>3.1211039091670663</v>
      </c>
      <c r="Q92" s="305">
        <f t="shared" si="48"/>
        <v>3.39891117906275</v>
      </c>
    </row>
    <row r="93" spans="2:17" ht="3.75" customHeight="1">
      <c r="B93" s="150"/>
      <c r="G93" s="145"/>
      <c r="H93" s="130"/>
      <c r="I93" s="130"/>
      <c r="J93" s="130"/>
      <c r="K93" s="130"/>
      <c r="L93" s="130"/>
      <c r="O93" s="130"/>
      <c r="P93" s="130"/>
      <c r="Q93" s="130"/>
    </row>
    <row r="94" spans="2:17" ht="13.5" customHeight="1">
      <c r="B94" s="196" t="s">
        <v>304</v>
      </c>
      <c r="E94" s="293">
        <f>+_xlfn.XLOOKUP($B94,Inputs!$B:$B,Inputs!O:O)</f>
        <v>-1.500000000000024</v>
      </c>
      <c r="F94" s="293">
        <f>+_xlfn.XLOOKUP($B94,Inputs!$B:$B,Inputs!P:P)</f>
        <v>41.799999999999962</v>
      </c>
      <c r="G94" s="294">
        <f>+_xlfn.XLOOKUP($B94,Inputs!$B:$B,Inputs!Q:Q)</f>
        <v>105.09999999999992</v>
      </c>
      <c r="H94" s="155">
        <f>IFERROR(+H77-H80-H89-H92,"")</f>
        <v>69.424607036823403</v>
      </c>
      <c r="I94" s="155">
        <f t="shared" ref="I94:Q94" si="49">IFERROR(+I77-I80-I89-I92,"")</f>
        <v>122.28956254001123</v>
      </c>
      <c r="J94" s="155">
        <f t="shared" si="49"/>
        <v>165.90634182716792</v>
      </c>
      <c r="K94" s="155">
        <f t="shared" si="49"/>
        <v>201.41060013838072</v>
      </c>
      <c r="L94" s="155">
        <f t="shared" si="49"/>
        <v>232.59292767307258</v>
      </c>
      <c r="M94" s="155">
        <f t="shared" si="49"/>
        <v>231.82981037529197</v>
      </c>
      <c r="N94" s="155">
        <f t="shared" si="49"/>
        <v>274.0384138009851</v>
      </c>
      <c r="O94" s="155">
        <f t="shared" si="49"/>
        <v>302.3667523953377</v>
      </c>
      <c r="P94" s="155">
        <f t="shared" si="49"/>
        <v>330.33406774006511</v>
      </c>
      <c r="Q94" s="155">
        <f t="shared" si="49"/>
        <v>379.17912944865049</v>
      </c>
    </row>
    <row r="95" spans="2:17" ht="5.25" customHeight="1">
      <c r="G95" s="145"/>
      <c r="H95" s="130"/>
      <c r="I95" s="130"/>
      <c r="J95" s="130"/>
      <c r="K95" s="130"/>
      <c r="L95" s="130"/>
      <c r="O95" s="130"/>
      <c r="P95" s="130"/>
      <c r="Q95" s="130"/>
    </row>
    <row r="96" spans="2:17" ht="15.6">
      <c r="B96" s="125" t="s">
        <v>305</v>
      </c>
      <c r="E96" s="148">
        <f>+_xlfn.XLOOKUP($B96,Inputs!$B:$B,Inputs!O:O)</f>
        <v>3.7</v>
      </c>
      <c r="F96" s="148">
        <f>+_xlfn.XLOOKUP($B96,Inputs!$B:$B,Inputs!P:P)</f>
        <v>2.5</v>
      </c>
      <c r="G96" s="268">
        <f>+_xlfn.XLOOKUP($B96,Inputs!$B:$B,Inputs!Q:Q)</f>
        <v>13.3</v>
      </c>
      <c r="H96" s="155">
        <f>IFERROR(H97*H$77,"")</f>
        <v>7.3614238319369454</v>
      </c>
      <c r="I96" s="155">
        <f t="shared" ref="I96:Q96" si="50">IFERROR(I97*I$77,"")</f>
        <v>12.80447144416296</v>
      </c>
      <c r="J96" s="155">
        <f t="shared" si="50"/>
        <v>17.327335678050911</v>
      </c>
      <c r="K96" s="155">
        <f t="shared" si="50"/>
        <v>21.254521641770619</v>
      </c>
      <c r="L96" s="155">
        <f t="shared" si="50"/>
        <v>24.864952603410572</v>
      </c>
      <c r="M96" s="155">
        <f t="shared" si="50"/>
        <v>25.262751483312726</v>
      </c>
      <c r="N96" s="155">
        <f t="shared" si="50"/>
        <v>30.362138108770431</v>
      </c>
      <c r="O96" s="155">
        <f t="shared" si="50"/>
        <v>33.990537984789668</v>
      </c>
      <c r="P96" s="155">
        <f t="shared" si="50"/>
        <v>37.624615799107168</v>
      </c>
      <c r="Q96" s="155">
        <f t="shared" si="50"/>
        <v>47.895045492477543</v>
      </c>
    </row>
    <row r="97" spans="1:17" s="276" customFormat="1" ht="14.45">
      <c r="B97" s="276" t="s">
        <v>571</v>
      </c>
      <c r="E97" s="278">
        <f>IFERROR(E96/E94,"")</f>
        <v>-2.4666666666666273</v>
      </c>
      <c r="F97" s="278">
        <f t="shared" ref="F97:G97" si="51">IFERROR(F96/F94,"")</f>
        <v>5.9808612440191443E-2</v>
      </c>
      <c r="G97" s="282">
        <f t="shared" si="51"/>
        <v>0.12654614652711713</v>
      </c>
      <c r="H97" s="304">
        <f>IFERROR(AVERAGE(F97:G97),"")</f>
        <v>9.3177379483654288E-2</v>
      </c>
      <c r="I97" s="304">
        <f t="shared" ref="I97:P97" si="52">H97+($Q$97-H97)/9</f>
        <v>9.6713226207692696E-2</v>
      </c>
      <c r="J97" s="304">
        <f t="shared" si="52"/>
        <v>9.9856201073504625E-2</v>
      </c>
      <c r="K97" s="304">
        <f t="shared" si="52"/>
        <v>0.10264995650978188</v>
      </c>
      <c r="L97" s="304">
        <f t="shared" si="52"/>
        <v>0.10513329467536167</v>
      </c>
      <c r="M97" s="304">
        <f t="shared" si="52"/>
        <v>0.10734070637809927</v>
      </c>
      <c r="N97" s="304">
        <f t="shared" si="52"/>
        <v>0.10930285011386602</v>
      </c>
      <c r="O97" s="304">
        <f t="shared" si="52"/>
        <v>0.11104697787899202</v>
      </c>
      <c r="P97" s="304">
        <f t="shared" si="52"/>
        <v>0.11259731367021514</v>
      </c>
      <c r="Q97" s="304">
        <v>0.125</v>
      </c>
    </row>
    <row r="98" spans="1:17" s="276" customFormat="1" ht="3.75" customHeight="1">
      <c r="E98" s="278"/>
      <c r="F98" s="278"/>
      <c r="G98" s="282"/>
      <c r="H98" s="296"/>
      <c r="I98" s="296"/>
      <c r="J98" s="296"/>
      <c r="K98" s="296"/>
      <c r="L98" s="296"/>
      <c r="M98" s="296"/>
      <c r="N98" s="296"/>
      <c r="O98" s="296"/>
      <c r="P98" s="296"/>
      <c r="Q98" s="296"/>
    </row>
    <row r="99" spans="1:17" s="276" customFormat="1" ht="15.6">
      <c r="B99" s="125" t="s">
        <v>306</v>
      </c>
      <c r="E99" s="148">
        <f>+_xlfn.XLOOKUP($B99,Inputs!$B:$B,Inputs!O:O)</f>
        <v>21.899999999999977</v>
      </c>
      <c r="F99" s="148">
        <f>+_xlfn.XLOOKUP($B99,Inputs!$B:$B,Inputs!P:P)</f>
        <v>61.499999999999957</v>
      </c>
      <c r="G99" s="268">
        <f>+_xlfn.XLOOKUP($B99,Inputs!$B:$B,Inputs!Q:Q)</f>
        <v>127.69999999999993</v>
      </c>
      <c r="H99" s="155">
        <f>IFERROR(+H94-H96,"")</f>
        <v>62.063183204886457</v>
      </c>
      <c r="I99" s="155">
        <f t="shared" ref="I99:Q99" si="53">IFERROR(+I94-I96,"")</f>
        <v>109.48509109584828</v>
      </c>
      <c r="J99" s="155">
        <f t="shared" si="53"/>
        <v>148.57900614911702</v>
      </c>
      <c r="K99" s="155">
        <f t="shared" si="53"/>
        <v>180.15607849661009</v>
      </c>
      <c r="L99" s="155">
        <f t="shared" si="53"/>
        <v>207.72797506966202</v>
      </c>
      <c r="M99" s="155">
        <f t="shared" si="53"/>
        <v>206.56705889197923</v>
      </c>
      <c r="N99" s="155">
        <f t="shared" si="53"/>
        <v>243.67627569221466</v>
      </c>
      <c r="O99" s="155">
        <f t="shared" si="53"/>
        <v>268.37621441054802</v>
      </c>
      <c r="P99" s="155">
        <f t="shared" si="53"/>
        <v>292.70945194095793</v>
      </c>
      <c r="Q99" s="155">
        <f t="shared" si="53"/>
        <v>331.28408395617294</v>
      </c>
    </row>
    <row r="100" spans="1:17" s="276" customFormat="1" ht="14.45">
      <c r="B100" s="276" t="s">
        <v>45</v>
      </c>
      <c r="E100" s="278">
        <f>IFERROR(E99/E$48,"")</f>
        <v>5.5838857725650122E-2</v>
      </c>
      <c r="F100" s="278">
        <f t="shared" ref="F100:Q100" si="54">IFERROR(F99/F$48,"")</f>
        <v>0.10625431928127153</v>
      </c>
      <c r="G100" s="282">
        <f t="shared" si="54"/>
        <v>0.12471921086043553</v>
      </c>
      <c r="H100" s="278">
        <f t="shared" si="54"/>
        <v>4.7416290935049621E-2</v>
      </c>
      <c r="I100" s="278">
        <f t="shared" si="54"/>
        <v>7.3163348264548553E-2</v>
      </c>
      <c r="J100" s="278">
        <f t="shared" si="54"/>
        <v>8.825833171194114E-2</v>
      </c>
      <c r="K100" s="278">
        <f t="shared" si="54"/>
        <v>9.6456447957545113E-2</v>
      </c>
      <c r="L100" s="278">
        <f t="shared" si="54"/>
        <v>0.1012670125778842</v>
      </c>
      <c r="M100" s="278">
        <f t="shared" si="54"/>
        <v>9.2388011564831951E-2</v>
      </c>
      <c r="N100" s="278">
        <f t="shared" si="54"/>
        <v>9.5819211921389758E-2</v>
      </c>
      <c r="O100" s="278">
        <f t="shared" si="54"/>
        <v>9.7495734416645219E-2</v>
      </c>
      <c r="P100" s="278">
        <f t="shared" si="54"/>
        <v>9.8745425685758753E-2</v>
      </c>
      <c r="Q100" s="278">
        <f t="shared" si="54"/>
        <v>9.9746195151788258E-2</v>
      </c>
    </row>
    <row r="101" spans="1:17" ht="3.75" customHeight="1">
      <c r="B101" s="150"/>
      <c r="G101" s="145"/>
    </row>
    <row r="102" spans="1:17" ht="15.6">
      <c r="A102" s="125" t="s">
        <v>472</v>
      </c>
      <c r="B102" s="51" t="s">
        <v>310</v>
      </c>
      <c r="C102" s="55"/>
      <c r="D102" s="55"/>
      <c r="E102" s="136">
        <f t="shared" ref="E102:Q102" si="55">E46</f>
        <v>2022</v>
      </c>
      <c r="F102" s="136">
        <f t="shared" si="55"/>
        <v>2023</v>
      </c>
      <c r="G102" s="137">
        <f t="shared" si="55"/>
        <v>2024</v>
      </c>
      <c r="H102" s="99">
        <f t="shared" si="55"/>
        <v>2025</v>
      </c>
      <c r="I102" s="99">
        <f t="shared" si="55"/>
        <v>2026</v>
      </c>
      <c r="J102" s="99">
        <f t="shared" si="55"/>
        <v>2027</v>
      </c>
      <c r="K102" s="99">
        <f t="shared" si="55"/>
        <v>2028</v>
      </c>
      <c r="L102" s="99">
        <f t="shared" si="55"/>
        <v>2029</v>
      </c>
      <c r="M102" s="99">
        <f t="shared" si="55"/>
        <v>2030</v>
      </c>
      <c r="N102" s="99">
        <f t="shared" si="55"/>
        <v>2031</v>
      </c>
      <c r="O102" s="99">
        <f t="shared" si="55"/>
        <v>2032</v>
      </c>
      <c r="P102" s="99">
        <f t="shared" si="55"/>
        <v>2033</v>
      </c>
      <c r="Q102" s="99">
        <f t="shared" si="55"/>
        <v>2034</v>
      </c>
    </row>
    <row r="103" spans="1:17" ht="3.95" customHeight="1">
      <c r="B103" s="162"/>
      <c r="C103" s="52"/>
      <c r="D103" s="52"/>
      <c r="E103" s="52"/>
      <c r="F103" s="52"/>
      <c r="G103" s="163"/>
      <c r="H103" s="52"/>
      <c r="I103" s="52"/>
      <c r="J103" s="52"/>
      <c r="K103" s="52"/>
      <c r="L103" s="52"/>
      <c r="M103" s="52"/>
      <c r="N103" s="52"/>
      <c r="O103" s="52"/>
      <c r="P103" s="52"/>
      <c r="Q103" s="52"/>
    </row>
    <row r="104" spans="1:17" ht="13.5" customHeight="1">
      <c r="B104" s="147" t="s">
        <v>572</v>
      </c>
      <c r="G104" s="156"/>
    </row>
    <row r="105" spans="1:17" ht="5.25" customHeight="1">
      <c r="B105" s="150"/>
      <c r="G105" s="156"/>
    </row>
    <row r="106" spans="1:17" ht="13.5" customHeight="1">
      <c r="B106" s="125" t="s">
        <v>573</v>
      </c>
      <c r="E106" s="148">
        <f>+_xlfn.XLOOKUP($B106,Inputs!$B:$B,Inputs!O:O)</f>
        <v>43.4</v>
      </c>
      <c r="F106" s="148">
        <f>+_xlfn.XLOOKUP($B106,Inputs!$B:$B,Inputs!P:P)</f>
        <v>120.8</v>
      </c>
      <c r="G106" s="268">
        <f>+_xlfn.XLOOKUP($B106,Inputs!$B:$B,Inputs!Q:Q)</f>
        <v>108.2</v>
      </c>
      <c r="H106" s="166">
        <f>IFERROR(G106+H183,"")</f>
        <v>79.248239695884365</v>
      </c>
      <c r="I106" s="166">
        <f t="shared" ref="I106:Q106" si="56">IFERROR(H106+I183,"")</f>
        <v>251.41274462863629</v>
      </c>
      <c r="J106" s="166">
        <f t="shared" si="56"/>
        <v>441.7622962523385</v>
      </c>
      <c r="K106" s="166">
        <f t="shared" si="56"/>
        <v>627.0934079858763</v>
      </c>
      <c r="L106" s="166">
        <f t="shared" si="56"/>
        <v>859.59782753071408</v>
      </c>
      <c r="M106" s="166">
        <f t="shared" si="56"/>
        <v>788.80745450295467</v>
      </c>
      <c r="N106" s="166">
        <f>IFERROR(M106+N183,"")</f>
        <v>1018.4179942706079</v>
      </c>
      <c r="O106" s="166">
        <f t="shared" si="56"/>
        <v>1286.0998166391037</v>
      </c>
      <c r="P106" s="166">
        <f t="shared" si="56"/>
        <v>1579.5030122811004</v>
      </c>
      <c r="Q106" s="166">
        <f t="shared" si="56"/>
        <v>1883.9486760372147</v>
      </c>
    </row>
    <row r="107" spans="1:17" ht="3.75" customHeight="1">
      <c r="E107" s="148"/>
      <c r="F107" s="148"/>
      <c r="G107" s="268"/>
    </row>
    <row r="108" spans="1:17" ht="15.6">
      <c r="B108" s="125" t="s">
        <v>312</v>
      </c>
      <c r="E108" s="148">
        <f>+_xlfn.XLOOKUP($B108,Inputs!$B:$B,Inputs!O:O)</f>
        <v>45.6</v>
      </c>
      <c r="F108" s="148">
        <f>+_xlfn.XLOOKUP($B108,Inputs!$B:$B,Inputs!P:P)</f>
        <v>67.900000000000006</v>
      </c>
      <c r="G108" s="268">
        <f>+_xlfn.XLOOKUP($B108,Inputs!$B:$B,Inputs!Q:Q)</f>
        <v>123.8</v>
      </c>
      <c r="H108" s="166">
        <f t="shared" ref="H108:Q108" si="57">IFERROR(H109*H48/365,"")</f>
        <v>154.80813878793737</v>
      </c>
      <c r="I108" s="166">
        <f t="shared" si="57"/>
        <v>177.9907530719311</v>
      </c>
      <c r="J108" s="166">
        <f t="shared" si="57"/>
        <v>201.14895201894592</v>
      </c>
      <c r="K108" s="166">
        <f t="shared" si="57"/>
        <v>222.07579652013118</v>
      </c>
      <c r="L108" s="166">
        <f t="shared" si="57"/>
        <v>244.32802810874603</v>
      </c>
      <c r="M108" s="166">
        <f t="shared" si="57"/>
        <v>266.43727308578372</v>
      </c>
      <c r="N108" s="166">
        <f t="shared" si="57"/>
        <v>302.77544805126718</v>
      </c>
      <c r="O108" s="166">
        <f t="shared" si="57"/>
        <v>327.87656924858231</v>
      </c>
      <c r="P108" s="166">
        <f t="shared" si="57"/>
        <v>353.08041316846442</v>
      </c>
      <c r="Q108" s="166">
        <f t="shared" si="57"/>
        <v>395.54222900835924</v>
      </c>
    </row>
    <row r="109" spans="1:17" ht="15.6">
      <c r="B109" s="150" t="s">
        <v>574</v>
      </c>
      <c r="E109" s="311">
        <f>IFERROR(E108/E48*365,"")</f>
        <v>42.437531871494137</v>
      </c>
      <c r="F109" s="311">
        <f>IFERROR(F108/F48*365,"")</f>
        <v>42.818762957843823</v>
      </c>
      <c r="G109" s="312">
        <f>IFERROR(G108/G48*366,"")</f>
        <v>44.253149721652505</v>
      </c>
      <c r="H109" s="313">
        <f>IFERROR(AVERAGE(E109:G109),"")</f>
        <v>43.169814850330148</v>
      </c>
      <c r="I109" s="313">
        <f t="shared" ref="I109:Q109" si="58">IFERROR(AVERAGE(F109:H109),"")</f>
        <v>43.413909176608826</v>
      </c>
      <c r="J109" s="313">
        <f t="shared" si="58"/>
        <v>43.612291249530493</v>
      </c>
      <c r="K109" s="313">
        <f t="shared" si="58"/>
        <v>43.398671758823156</v>
      </c>
      <c r="L109" s="313">
        <f t="shared" si="58"/>
        <v>43.474957394987491</v>
      </c>
      <c r="M109" s="313">
        <f t="shared" si="58"/>
        <v>43.495306801113713</v>
      </c>
      <c r="N109" s="313">
        <f t="shared" si="58"/>
        <v>43.456311984974782</v>
      </c>
      <c r="O109" s="313">
        <f t="shared" si="58"/>
        <v>43.475525393691989</v>
      </c>
      <c r="P109" s="313">
        <f t="shared" si="58"/>
        <v>43.475714726593488</v>
      </c>
      <c r="Q109" s="313">
        <f t="shared" si="58"/>
        <v>43.469184035086755</v>
      </c>
    </row>
    <row r="110" spans="1:17" ht="3.75" customHeight="1">
      <c r="E110" s="167"/>
      <c r="F110" s="167"/>
      <c r="G110" s="168"/>
      <c r="H110" s="166"/>
      <c r="I110" s="166"/>
      <c r="J110" s="166"/>
      <c r="K110" s="166"/>
      <c r="L110" s="166"/>
      <c r="O110" s="166"/>
      <c r="P110" s="166"/>
      <c r="Q110" s="166"/>
    </row>
    <row r="111" spans="1:17" ht="15.6">
      <c r="B111" s="125" t="s">
        <v>575</v>
      </c>
      <c r="E111" s="148">
        <f>+_xlfn.XLOOKUP($B111,Inputs!$B:$B,Inputs!O:O)</f>
        <v>84.5</v>
      </c>
      <c r="F111" s="148">
        <f>+_xlfn.XLOOKUP($B111,Inputs!$B:$B,Inputs!P:P)</f>
        <v>81.3</v>
      </c>
      <c r="G111" s="268">
        <f>+_xlfn.XLOOKUP($B111,Inputs!$B:$B,Inputs!Q:Q)</f>
        <v>191.5</v>
      </c>
      <c r="H111" s="166">
        <f t="shared" ref="H111:Q111" si="59">+IFERROR(H112*H51/365,"")</f>
        <v>255.34409091159458</v>
      </c>
      <c r="I111" s="166">
        <f t="shared" si="59"/>
        <v>263.86954695907679</v>
      </c>
      <c r="J111" s="166">
        <f t="shared" si="59"/>
        <v>304.89752701207203</v>
      </c>
      <c r="K111" s="166">
        <f t="shared" si="59"/>
        <v>320.22314051822821</v>
      </c>
      <c r="L111" s="166">
        <f t="shared" si="59"/>
        <v>348.61152001147428</v>
      </c>
      <c r="M111" s="166">
        <f t="shared" si="59"/>
        <v>382.08786493679276</v>
      </c>
      <c r="N111" s="166">
        <f t="shared" si="59"/>
        <v>430.17840827220743</v>
      </c>
      <c r="O111" s="166">
        <f t="shared" si="59"/>
        <v>465.73555173209877</v>
      </c>
      <c r="P111" s="166">
        <f t="shared" si="59"/>
        <v>501.97655910032756</v>
      </c>
      <c r="Q111" s="166">
        <f t="shared" si="59"/>
        <v>561.20691640834445</v>
      </c>
    </row>
    <row r="112" spans="1:17" ht="15.6">
      <c r="B112" s="150" t="s">
        <v>576</v>
      </c>
      <c r="E112" s="311">
        <f>IFERROR(E111/E51*365,"")</f>
        <v>219.67592592592592</v>
      </c>
      <c r="F112" s="311">
        <f>IFERROR(F111/F51*365,"")</f>
        <v>157.50796178343947</v>
      </c>
      <c r="G112" s="312">
        <f>IFERROR(G111/G51*365,"")</f>
        <v>233.14709806537692</v>
      </c>
      <c r="H112" s="313">
        <f>IFERROR(AVERAGE(E112:G112),"")</f>
        <v>203.4436619249141</v>
      </c>
      <c r="I112" s="313">
        <f t="shared" ref="I112:Q112" si="60">IFERROR(AVERAGE(F112:H112),"")</f>
        <v>198.03290725791018</v>
      </c>
      <c r="J112" s="313">
        <f t="shared" si="60"/>
        <v>211.54122241606706</v>
      </c>
      <c r="K112" s="313">
        <f t="shared" si="60"/>
        <v>204.3392638662971</v>
      </c>
      <c r="L112" s="313">
        <f t="shared" si="60"/>
        <v>204.6377978467581</v>
      </c>
      <c r="M112" s="313">
        <f t="shared" si="60"/>
        <v>206.83942804304073</v>
      </c>
      <c r="N112" s="313">
        <f t="shared" si="60"/>
        <v>205.27216325203199</v>
      </c>
      <c r="O112" s="313">
        <f t="shared" si="60"/>
        <v>205.58312971394358</v>
      </c>
      <c r="P112" s="313">
        <f t="shared" si="60"/>
        <v>205.89824033633874</v>
      </c>
      <c r="Q112" s="313">
        <f t="shared" si="60"/>
        <v>205.58451110077144</v>
      </c>
    </row>
    <row r="113" spans="2:17" ht="3.95" customHeight="1">
      <c r="G113" s="156"/>
    </row>
    <row r="114" spans="2:17" ht="15.6">
      <c r="B114" s="125" t="s">
        <v>577</v>
      </c>
      <c r="E114" s="148">
        <f>+_xlfn.XLOOKUP($B114,Inputs!$B:$B,Inputs!O:O)</f>
        <v>19.5</v>
      </c>
      <c r="F114" s="148">
        <f>+_xlfn.XLOOKUP($B114,Inputs!$B:$B,Inputs!P:P)</f>
        <v>33.299999999999997</v>
      </c>
      <c r="G114" s="268">
        <f>+_xlfn.XLOOKUP($B114,Inputs!$B:$B,Inputs!Q:Q)</f>
        <v>53.600000000000023</v>
      </c>
      <c r="H114" s="166">
        <f t="shared" ref="H114:Q114" si="61">IFERROR(AVERAGE(E114:G114)*(1+H49),"")</f>
        <v>45.338724484812985</v>
      </c>
      <c r="I114" s="166">
        <f t="shared" si="61"/>
        <v>50.395567578229148</v>
      </c>
      <c r="J114" s="166">
        <f t="shared" si="61"/>
        <v>55.998786526526352</v>
      </c>
      <c r="K114" s="166">
        <f t="shared" si="61"/>
        <v>56.114478978194889</v>
      </c>
      <c r="L114" s="166">
        <f t="shared" si="61"/>
        <v>59.492887962487295</v>
      </c>
      <c r="M114" s="166">
        <f t="shared" si="61"/>
        <v>62.34908131271488</v>
      </c>
      <c r="N114" s="166">
        <f t="shared" si="61"/>
        <v>67.469529605833955</v>
      </c>
      <c r="O114" s="166">
        <f t="shared" si="61"/>
        <v>68.305156880920137</v>
      </c>
      <c r="P114" s="166">
        <f t="shared" si="61"/>
        <v>71.117531933430371</v>
      </c>
      <c r="Q114" s="166">
        <f t="shared" si="61"/>
        <v>77.269370558915952</v>
      </c>
    </row>
    <row r="115" spans="2:17" s="276" customFormat="1" ht="14.45">
      <c r="B115" s="276" t="s">
        <v>555</v>
      </c>
      <c r="E115" s="308">
        <f>IFERROR(E114/E$48,"")</f>
        <v>4.9719530851606325E-2</v>
      </c>
      <c r="F115" s="308">
        <f t="shared" ref="F115:G115" si="62">IFERROR(F114/F$48,"")</f>
        <v>5.7532826537664131E-2</v>
      </c>
      <c r="G115" s="309">
        <f t="shared" si="62"/>
        <v>5.2348862193573611E-2</v>
      </c>
      <c r="H115" s="308">
        <f>IFERROR(AVERAGE(E115:G115),"")</f>
        <v>5.3200406527614687E-2</v>
      </c>
      <c r="I115" s="308">
        <f t="shared" ref="I115:Q115" si="63">IFERROR(AVERAGE(F115:H115),"")</f>
        <v>5.4360698419617472E-2</v>
      </c>
      <c r="J115" s="308">
        <f t="shared" si="63"/>
        <v>5.3303322380268588E-2</v>
      </c>
      <c r="K115" s="308">
        <f t="shared" si="63"/>
        <v>5.3621475775833587E-2</v>
      </c>
      <c r="L115" s="308">
        <f t="shared" si="63"/>
        <v>5.3761832191906549E-2</v>
      </c>
      <c r="M115" s="308">
        <f t="shared" si="63"/>
        <v>5.3562210116002908E-2</v>
      </c>
      <c r="N115" s="308">
        <f t="shared" si="63"/>
        <v>5.364850602791435E-2</v>
      </c>
      <c r="O115" s="308">
        <f t="shared" si="63"/>
        <v>5.3657516111941271E-2</v>
      </c>
      <c r="P115" s="308">
        <f t="shared" si="63"/>
        <v>5.3622744085286174E-2</v>
      </c>
      <c r="Q115" s="308">
        <f t="shared" si="63"/>
        <v>5.3642922075047263E-2</v>
      </c>
    </row>
    <row r="116" spans="2:17" ht="3.75" customHeight="1">
      <c r="E116" s="167"/>
      <c r="F116" s="167"/>
      <c r="G116" s="168"/>
      <c r="H116" s="166"/>
      <c r="I116" s="166"/>
      <c r="J116" s="166"/>
      <c r="K116" s="166"/>
      <c r="L116" s="166"/>
      <c r="O116" s="166"/>
      <c r="P116" s="166"/>
      <c r="Q116" s="166"/>
    </row>
    <row r="117" spans="2:17" ht="15.6">
      <c r="B117" s="125" t="s">
        <v>578</v>
      </c>
      <c r="E117" s="148">
        <f>+E118+E119-E121</f>
        <v>33.093999999999994</v>
      </c>
      <c r="F117" s="148">
        <f t="shared" ref="F117:G117" si="64">+F118+F119-F121</f>
        <v>25.259</v>
      </c>
      <c r="G117" s="268">
        <f t="shared" si="64"/>
        <v>46.201000000000001</v>
      </c>
      <c r="H117" s="166">
        <f>IFERROR(H118+H119-H121,"")</f>
        <v>59.454628216371567</v>
      </c>
      <c r="I117" s="166">
        <f t="shared" ref="I117:Q117" si="65">IFERROR(I118+I119-I121,"")</f>
        <v>68.258740488935672</v>
      </c>
      <c r="J117" s="166">
        <f t="shared" si="65"/>
        <v>79.289158433968339</v>
      </c>
      <c r="K117" s="166">
        <f t="shared" si="65"/>
        <v>91.445056349702014</v>
      </c>
      <c r="L117" s="166">
        <f t="shared" si="65"/>
        <v>102.67982269999101</v>
      </c>
      <c r="M117" s="166">
        <f>IFERROR(M118+M119-M121,"")</f>
        <v>145.99228337938047</v>
      </c>
      <c r="N117" s="166">
        <f t="shared" si="65"/>
        <v>159.14623872900171</v>
      </c>
      <c r="O117" s="166">
        <f t="shared" si="65"/>
        <v>171.58654082528253</v>
      </c>
      <c r="P117" s="166">
        <f t="shared" si="65"/>
        <v>184.37334919111325</v>
      </c>
      <c r="Q117" s="166">
        <f t="shared" si="65"/>
        <v>198.5749668830351</v>
      </c>
    </row>
    <row r="118" spans="2:17" ht="15.6">
      <c r="B118" s="275" t="s">
        <v>579</v>
      </c>
      <c r="E118" s="316">
        <f>+_xlfn.XLOOKUP("Gross PP&amp;E (Property, Plant and Equipment)",Inputs!$B:$B,Inputs!O:O)</f>
        <v>53.3</v>
      </c>
      <c r="F118" s="316">
        <f>+_xlfn.XLOOKUP("Gross PP&amp;E (Property, Plant and Equipment)",Inputs!$B:$B,Inputs!P:P)</f>
        <v>45.9</v>
      </c>
      <c r="G118" s="323">
        <f>+_xlfn.XLOOKUP("Gross PP&amp;E (Property, Plant and Equipment)",Inputs!$B:$B,Inputs!Q:Q)</f>
        <v>66.3</v>
      </c>
      <c r="H118" s="321">
        <f>+IFERROR(G118-H152,"")</f>
        <v>75</v>
      </c>
      <c r="I118" s="321">
        <f>+IFERROR(H118-I152,"")</f>
        <v>84.36</v>
      </c>
      <c r="J118" s="321">
        <f>+IFERROR(I118-J152,"")</f>
        <v>94.248000000000005</v>
      </c>
      <c r="K118" s="321">
        <f>+IFERROR(J118-K152,"")</f>
        <v>104.55840000000001</v>
      </c>
      <c r="L118" s="321">
        <f>+IFERROR(K118-L152,"")</f>
        <v>115.20672</v>
      </c>
      <c r="M118" s="321">
        <f>+IFERROR(L118-M152-M163*1/10,"")</f>
        <v>157.29248387416851</v>
      </c>
      <c r="N118" s="321">
        <f t="shared" ref="N118:Q118" si="66">+IFERROR(M118-N152,"")</f>
        <v>168.4274086741685</v>
      </c>
      <c r="O118" s="321">
        <f t="shared" si="66"/>
        <v>179.73534851416849</v>
      </c>
      <c r="P118" s="321">
        <f t="shared" si="66"/>
        <v>191.1817003861685</v>
      </c>
      <c r="Q118" s="321">
        <f t="shared" si="66"/>
        <v>203.1817003861685</v>
      </c>
    </row>
    <row r="119" spans="2:17" ht="15.6">
      <c r="B119" s="314" t="s">
        <v>580</v>
      </c>
      <c r="C119" s="150"/>
      <c r="D119" s="150"/>
      <c r="E119" s="316">
        <f>+_xlfn.XLOOKUP("Right-of-Use Assets",Inputs!$B:$B,Inputs!O:O)</f>
        <v>4.2939999999999996</v>
      </c>
      <c r="F119" s="316">
        <f>+_xlfn.XLOOKUP("Right-of-Use Assets",Inputs!$B:$B,Inputs!P:P)</f>
        <v>3.359</v>
      </c>
      <c r="G119" s="323">
        <f>+_xlfn.XLOOKUP("Right-of-Use Assets",Inputs!$B:$B,Inputs!Q:Q)</f>
        <v>4.8010000000000002</v>
      </c>
      <c r="H119" s="321">
        <f>IFERROR(H120*H$48,"")</f>
        <v>9.3546282163715624</v>
      </c>
      <c r="I119" s="321">
        <f t="shared" ref="I119:Q119" si="67">IFERROR(I120*I$48,"")</f>
        <v>8.7987404889356657</v>
      </c>
      <c r="J119" s="321">
        <f t="shared" si="67"/>
        <v>9.9411584339683419</v>
      </c>
      <c r="K119" s="321">
        <f t="shared" si="67"/>
        <v>11.786656349702</v>
      </c>
      <c r="L119" s="321">
        <f t="shared" si="67"/>
        <v>12.373102699991003</v>
      </c>
      <c r="M119" s="321">
        <f t="shared" si="67"/>
        <v>13.599799505211967</v>
      </c>
      <c r="N119" s="321">
        <f t="shared" si="67"/>
        <v>15.618830054833214</v>
      </c>
      <c r="O119" s="321">
        <f t="shared" si="67"/>
        <v>16.751192311114028</v>
      </c>
      <c r="P119" s="321">
        <f t="shared" si="67"/>
        <v>18.091648804944754</v>
      </c>
      <c r="Q119" s="321">
        <f t="shared" si="67"/>
        <v>20.293266496866611</v>
      </c>
    </row>
    <row r="120" spans="2:17" ht="15.6">
      <c r="B120" s="324" t="s">
        <v>555</v>
      </c>
      <c r="E120" s="308">
        <f>IFERROR(E119/E$48,"")</f>
        <v>1.0948495665476796E-2</v>
      </c>
      <c r="F120" s="308">
        <f t="shared" ref="F120:G120" si="68">IFERROR(F119/F$48,"")</f>
        <v>5.8033863165169322E-3</v>
      </c>
      <c r="G120" s="309">
        <f t="shared" si="68"/>
        <v>4.6889344662564706E-3</v>
      </c>
      <c r="H120" s="307">
        <f>IFERROR(AVERAGE(E120:G120),"")</f>
        <v>7.1469388160833999E-3</v>
      </c>
      <c r="I120" s="307">
        <f t="shared" ref="I120:Q120" si="69">IFERROR(AVERAGE(F120:H120),"")</f>
        <v>5.8797531996189339E-3</v>
      </c>
      <c r="J120" s="307">
        <f t="shared" si="69"/>
        <v>5.9052088273196012E-3</v>
      </c>
      <c r="K120" s="307">
        <f t="shared" si="69"/>
        <v>6.3106336143406447E-3</v>
      </c>
      <c r="L120" s="307">
        <f t="shared" si="69"/>
        <v>6.031865213759726E-3</v>
      </c>
      <c r="M120" s="307">
        <f t="shared" si="69"/>
        <v>6.0825692184733231E-3</v>
      </c>
      <c r="N120" s="307">
        <f t="shared" si="69"/>
        <v>6.1416893488578971E-3</v>
      </c>
      <c r="O120" s="307">
        <f t="shared" si="69"/>
        <v>6.0853745936969815E-3</v>
      </c>
      <c r="P120" s="307">
        <f t="shared" si="69"/>
        <v>6.1032110536760678E-3</v>
      </c>
      <c r="Q120" s="307">
        <f t="shared" si="69"/>
        <v>6.1100916654103152E-3</v>
      </c>
    </row>
    <row r="121" spans="2:17" ht="15.6">
      <c r="B121" s="275" t="s">
        <v>581</v>
      </c>
      <c r="E121" s="316">
        <f>+_xlfn.XLOOKUP($B121,Inputs!$B:$B,Inputs!O:O)</f>
        <v>24.5</v>
      </c>
      <c r="F121" s="316">
        <f>+_xlfn.XLOOKUP($B121,Inputs!$B:$B,Inputs!P:P)</f>
        <v>24</v>
      </c>
      <c r="G121" s="317">
        <f>+_xlfn.XLOOKUP($B121,Inputs!$B:$B,Inputs!Q:Q)</f>
        <v>24.9</v>
      </c>
      <c r="H121" s="318">
        <f>+IFERROR(G121+H71,"")</f>
        <v>24.9</v>
      </c>
      <c r="I121" s="318">
        <f t="shared" ref="I121:Q121" si="70">+IFERROR(H121+I71,"")</f>
        <v>24.9</v>
      </c>
      <c r="J121" s="318">
        <f t="shared" si="70"/>
        <v>24.9</v>
      </c>
      <c r="K121" s="318">
        <f t="shared" si="70"/>
        <v>24.9</v>
      </c>
      <c r="L121" s="318">
        <f t="shared" si="70"/>
        <v>24.9</v>
      </c>
      <c r="M121" s="318">
        <f t="shared" si="70"/>
        <v>24.9</v>
      </c>
      <c r="N121" s="318">
        <f t="shared" si="70"/>
        <v>24.9</v>
      </c>
      <c r="O121" s="318">
        <f t="shared" si="70"/>
        <v>24.9</v>
      </c>
      <c r="P121" s="318">
        <f t="shared" si="70"/>
        <v>24.9</v>
      </c>
      <c r="Q121" s="318">
        <f t="shared" si="70"/>
        <v>24.9</v>
      </c>
    </row>
    <row r="122" spans="2:17" ht="5.25" customHeight="1">
      <c r="E122" s="164"/>
      <c r="F122" s="164"/>
      <c r="G122" s="165"/>
      <c r="H122" s="166"/>
      <c r="I122" s="166"/>
      <c r="J122" s="166"/>
      <c r="K122" s="166"/>
      <c r="L122" s="166"/>
      <c r="M122" s="166"/>
      <c r="N122" s="166"/>
      <c r="O122" s="166"/>
      <c r="P122" s="166"/>
      <c r="Q122" s="166"/>
    </row>
    <row r="123" spans="2:17" ht="15.6">
      <c r="B123" s="125" t="s">
        <v>582</v>
      </c>
      <c r="E123" s="148">
        <f>+_xlfn.XLOOKUP($B123,Inputs!$B:$B,Inputs!O:O)</f>
        <v>86.200000000000017</v>
      </c>
      <c r="F123" s="148">
        <f>+_xlfn.XLOOKUP($B123,Inputs!$B:$B,Inputs!P:P)</f>
        <v>78.099999999999994</v>
      </c>
      <c r="G123" s="268">
        <f>+_xlfn.XLOOKUP($B123,Inputs!$B:$B,Inputs!Q:Q)</f>
        <v>225.10000000000002</v>
      </c>
      <c r="H123" s="166">
        <f t="shared" ref="H123:Q123" si="71">IF(H159=0, +G123+H124*G123, G123-H159*2/3)</f>
        <v>227.35100000000003</v>
      </c>
      <c r="I123" s="166">
        <f t="shared" si="71"/>
        <v>229.62451000000001</v>
      </c>
      <c r="J123" s="166">
        <f t="shared" si="71"/>
        <v>231.92075510000001</v>
      </c>
      <c r="K123" s="166">
        <f t="shared" si="71"/>
        <v>234.23996265100001</v>
      </c>
      <c r="L123" s="166">
        <f t="shared" si="71"/>
        <v>236.58236227751001</v>
      </c>
      <c r="M123" s="166">
        <f t="shared" si="71"/>
        <v>436.58236227751001</v>
      </c>
      <c r="N123" s="166">
        <f t="shared" si="71"/>
        <v>440.94818590028513</v>
      </c>
      <c r="O123" s="166">
        <f t="shared" si="71"/>
        <v>445.35766775928795</v>
      </c>
      <c r="P123" s="166">
        <f t="shared" si="71"/>
        <v>449.81124443688083</v>
      </c>
      <c r="Q123" s="166">
        <f t="shared" si="71"/>
        <v>454.30935688124964</v>
      </c>
    </row>
    <row r="124" spans="2:17" s="83" customFormat="1" ht="14.45">
      <c r="B124" s="83" t="s">
        <v>583</v>
      </c>
      <c r="E124" s="368" t="str">
        <f>IFERROR((E123-Inputs!N45)/E60,"")</f>
        <v/>
      </c>
      <c r="F124" s="368" t="str">
        <f>IFERROR((F123-E123)/F60,"")</f>
        <v/>
      </c>
      <c r="G124" s="369" t="str">
        <f>IFERROR((G123-F123)/G60,"")</f>
        <v/>
      </c>
      <c r="H124" s="307">
        <v>0.01</v>
      </c>
      <c r="I124" s="307">
        <v>0.01</v>
      </c>
      <c r="J124" s="307">
        <v>0.01</v>
      </c>
      <c r="K124" s="307">
        <v>0.01</v>
      </c>
      <c r="L124" s="307">
        <v>0.01</v>
      </c>
      <c r="M124" s="307">
        <f>(M123-L123)/L123</f>
        <v>0.84537155718058532</v>
      </c>
      <c r="N124" s="307">
        <v>0.01</v>
      </c>
      <c r="O124" s="307">
        <v>0.01</v>
      </c>
      <c r="P124" s="307">
        <v>0.01</v>
      </c>
      <c r="Q124" s="307">
        <v>0.01</v>
      </c>
    </row>
    <row r="125" spans="2:17" s="83" customFormat="1" ht="3.75" customHeight="1">
      <c r="E125" s="370"/>
      <c r="F125" s="370"/>
      <c r="G125" s="371"/>
      <c r="H125" s="333"/>
      <c r="I125" s="333"/>
      <c r="J125" s="333"/>
      <c r="K125" s="333"/>
      <c r="L125" s="333"/>
      <c r="M125" s="333"/>
      <c r="N125" s="333"/>
      <c r="O125" s="333"/>
      <c r="P125" s="333"/>
      <c r="Q125" s="333"/>
    </row>
    <row r="126" spans="2:17" ht="13.5" customHeight="1">
      <c r="B126" s="147" t="s">
        <v>584</v>
      </c>
      <c r="E126" s="289"/>
      <c r="F126" s="289"/>
      <c r="G126" s="288"/>
      <c r="H126" s="166"/>
      <c r="I126" s="166"/>
      <c r="J126" s="166"/>
      <c r="K126" s="166"/>
      <c r="L126" s="166"/>
      <c r="M126" s="166"/>
      <c r="N126" s="166"/>
      <c r="O126" s="166"/>
      <c r="P126" s="166"/>
      <c r="Q126" s="166"/>
    </row>
    <row r="127" spans="2:17" ht="5.25" customHeight="1">
      <c r="E127" s="289"/>
      <c r="F127" s="289"/>
      <c r="G127" s="288"/>
      <c r="H127" s="166"/>
      <c r="I127" s="166"/>
      <c r="J127" s="166"/>
      <c r="K127" s="166"/>
      <c r="L127" s="166"/>
      <c r="M127" s="166"/>
      <c r="N127" s="166"/>
      <c r="O127" s="166"/>
      <c r="P127" s="166"/>
      <c r="Q127" s="166"/>
    </row>
    <row r="128" spans="2:17" ht="15.6">
      <c r="B128" s="125" t="s">
        <v>318</v>
      </c>
      <c r="E128" s="148">
        <f>+_xlfn.XLOOKUP($B128,Inputs!$B:$B,Inputs!O:O)</f>
        <v>19.2</v>
      </c>
      <c r="F128" s="148">
        <f>+_xlfn.XLOOKUP($B128,Inputs!$B:$B,Inputs!P:P)</f>
        <v>31.4</v>
      </c>
      <c r="G128" s="268">
        <f>+_xlfn.XLOOKUP($B128,Inputs!$B:$B,Inputs!Q:Q)</f>
        <v>81.099999999999994</v>
      </c>
      <c r="H128" s="166">
        <f t="shared" ref="H128:Q128" si="72">+IFERROR(H129*H51/365,"")</f>
        <v>87.755534006123099</v>
      </c>
      <c r="I128" s="166">
        <f t="shared" si="72"/>
        <v>102.04811883406784</v>
      </c>
      <c r="J128" s="166">
        <f t="shared" si="72"/>
        <v>117.95398817685856</v>
      </c>
      <c r="K128" s="166">
        <f t="shared" si="72"/>
        <v>119.27993860766207</v>
      </c>
      <c r="L128" s="166">
        <f t="shared" si="72"/>
        <v>133.18314048390573</v>
      </c>
      <c r="M128" s="166">
        <f t="shared" si="72"/>
        <v>145.39951009548395</v>
      </c>
      <c r="N128" s="166">
        <f t="shared" si="72"/>
        <v>162.76521545101426</v>
      </c>
      <c r="O128" s="166">
        <f t="shared" si="72"/>
        <v>177.12566730596862</v>
      </c>
      <c r="P128" s="166">
        <f t="shared" si="72"/>
        <v>190.62175068626698</v>
      </c>
      <c r="Q128" s="166">
        <f t="shared" si="72"/>
        <v>212.96399714672907</v>
      </c>
    </row>
    <row r="129" spans="1:17" ht="15.6">
      <c r="B129" s="150" t="s">
        <v>585</v>
      </c>
      <c r="E129" s="311">
        <f>IFERROR(E128/E$51*365,"")</f>
        <v>49.914529914529908</v>
      </c>
      <c r="F129" s="311">
        <f t="shared" ref="F129" si="73">IFERROR(F128/F$51*365,"")</f>
        <v>60.833333333333329</v>
      </c>
      <c r="G129" s="312">
        <f>IFERROR(G128/G$51*366,"")</f>
        <v>99.008005336891244</v>
      </c>
      <c r="H129" s="310">
        <f>IFERROR(AVERAGE(E129:G129),"")</f>
        <v>69.918622861584822</v>
      </c>
      <c r="I129" s="310">
        <f t="shared" ref="I129:Q129" si="74">IFERROR(AVERAGE(F129:H129),"")</f>
        <v>76.58665384393646</v>
      </c>
      <c r="J129" s="310">
        <f t="shared" si="74"/>
        <v>81.83776068080418</v>
      </c>
      <c r="K129" s="310">
        <f t="shared" si="74"/>
        <v>76.114345795441821</v>
      </c>
      <c r="L129" s="310">
        <f t="shared" si="74"/>
        <v>78.179586773394149</v>
      </c>
      <c r="M129" s="310">
        <f t="shared" si="74"/>
        <v>78.710564416546717</v>
      </c>
      <c r="N129" s="310">
        <f t="shared" si="74"/>
        <v>77.66816566179422</v>
      </c>
      <c r="O129" s="310">
        <f t="shared" si="74"/>
        <v>78.186105617245019</v>
      </c>
      <c r="P129" s="310">
        <f t="shared" si="74"/>
        <v>78.188278565195318</v>
      </c>
      <c r="Q129" s="310">
        <f t="shared" si="74"/>
        <v>78.014183281411519</v>
      </c>
    </row>
    <row r="130" spans="1:17" ht="3.75" customHeight="1">
      <c r="E130" s="167"/>
      <c r="F130" s="167"/>
      <c r="G130" s="168"/>
      <c r="H130" s="166"/>
      <c r="I130" s="166"/>
      <c r="J130" s="166"/>
      <c r="K130" s="166"/>
      <c r="L130" s="166"/>
      <c r="O130" s="166"/>
      <c r="P130" s="166"/>
      <c r="Q130" s="166"/>
    </row>
    <row r="131" spans="1:17" ht="15.6">
      <c r="B131" s="125" t="s">
        <v>586</v>
      </c>
      <c r="E131" s="148">
        <f>+_xlfn.XLOOKUP($B131,Inputs!$B:$B,Inputs!O:O)</f>
        <v>41.4</v>
      </c>
      <c r="F131" s="148">
        <f>+_xlfn.XLOOKUP($B131,Inputs!$B:$B,Inputs!P:P)</f>
        <v>72.099999999999994</v>
      </c>
      <c r="G131" s="268">
        <f>+_xlfn.XLOOKUP($B131,Inputs!$B:$B,Inputs!Q:Q)</f>
        <v>211.00000000000003</v>
      </c>
      <c r="H131" s="166">
        <f t="shared" ref="H131:Q131" si="75">IFERROR(AVERAGE(E131:G131)*(1+H49),"")</f>
        <v>138.27458736204707</v>
      </c>
      <c r="I131" s="166">
        <f t="shared" si="75"/>
        <v>160.58391046861053</v>
      </c>
      <c r="J131" s="166">
        <f t="shared" si="75"/>
        <v>191.19156614544548</v>
      </c>
      <c r="K131" s="166">
        <f t="shared" si="75"/>
        <v>181.2320969749349</v>
      </c>
      <c r="L131" s="166">
        <f t="shared" si="75"/>
        <v>195.12883858135285</v>
      </c>
      <c r="M131" s="166">
        <f t="shared" si="75"/>
        <v>206.206924185839</v>
      </c>
      <c r="N131" s="166">
        <f t="shared" si="75"/>
        <v>220.87190346882204</v>
      </c>
      <c r="O131" s="166">
        <f t="shared" si="75"/>
        <v>224.49767978156066</v>
      </c>
      <c r="P131" s="166">
        <f t="shared" si="75"/>
        <v>233.8866941071405</v>
      </c>
      <c r="Q131" s="166">
        <f t="shared" si="75"/>
        <v>253.68622077903987</v>
      </c>
    </row>
    <row r="132" spans="1:17" s="329" customFormat="1" ht="15.6">
      <c r="B132" s="276" t="s">
        <v>587</v>
      </c>
      <c r="E132" s="308">
        <f>IFERROR(E131/E$48,"")</f>
        <v>0.1055583885772565</v>
      </c>
      <c r="F132" s="308">
        <f t="shared" ref="F132:Q132" si="76">IFERROR(F131/F$48,"")</f>
        <v>0.12456807187284036</v>
      </c>
      <c r="G132" s="309">
        <f t="shared" si="76"/>
        <v>0.20607481199335875</v>
      </c>
      <c r="H132" s="308">
        <f>IFERROR(H131/H$48,"")</f>
        <v>0.10564182700133476</v>
      </c>
      <c r="I132" s="308">
        <f t="shared" si="76"/>
        <v>0.10731010450557646</v>
      </c>
      <c r="J132" s="308">
        <f t="shared" si="76"/>
        <v>0.11357088126201968</v>
      </c>
      <c r="K132" s="308">
        <f t="shared" si="76"/>
        <v>9.7032553527903909E-2</v>
      </c>
      <c r="L132" s="308">
        <f t="shared" si="76"/>
        <v>9.5124956300658106E-2</v>
      </c>
      <c r="M132" s="308">
        <f t="shared" si="76"/>
        <v>9.2226939758057666E-2</v>
      </c>
      <c r="N132" s="308">
        <f t="shared" si="76"/>
        <v>8.6851999300463584E-2</v>
      </c>
      <c r="O132" s="308">
        <f t="shared" si="76"/>
        <v>8.1555536556058725E-2</v>
      </c>
      <c r="P132" s="308">
        <f t="shared" si="76"/>
        <v>7.8901590019385306E-2</v>
      </c>
      <c r="Q132" s="308">
        <f t="shared" si="76"/>
        <v>7.6382284904738626E-2</v>
      </c>
    </row>
    <row r="133" spans="1:17" s="242" customFormat="1" ht="5.25" customHeight="1">
      <c r="B133" s="269"/>
      <c r="E133" s="325"/>
      <c r="F133" s="325"/>
      <c r="G133" s="326"/>
      <c r="H133" s="327"/>
      <c r="I133" s="327"/>
      <c r="J133" s="327"/>
      <c r="K133" s="327"/>
      <c r="L133" s="327"/>
      <c r="M133" s="327"/>
      <c r="N133" s="327"/>
      <c r="O133" s="327"/>
      <c r="P133" s="327"/>
      <c r="Q133" s="327"/>
    </row>
    <row r="134" spans="1:17" ht="15.6">
      <c r="B134" s="125" t="s">
        <v>588</v>
      </c>
      <c r="E134" s="293">
        <f>+_xlfn.XLOOKUP($B134,Inputs!$B:$B,Inputs!O:O)</f>
        <v>89.7</v>
      </c>
      <c r="F134" s="293">
        <f>+_xlfn.XLOOKUP($B134,Inputs!$B:$B,Inputs!P:P)</f>
        <v>60.2</v>
      </c>
      <c r="G134" s="294">
        <f>+_xlfn.XLOOKUP($B134,Inputs!$B:$B,Inputs!Q:Q)</f>
        <v>161.80000000000001</v>
      </c>
      <c r="H134" s="166">
        <f>IFERROR(G134+H174-H176,"")</f>
        <v>147.28000000000003</v>
      </c>
      <c r="I134" s="166">
        <f>IFERROR(H134+I174-I176,"")</f>
        <v>162.79424284443539</v>
      </c>
      <c r="J134" s="166">
        <f t="shared" ref="J134:Q134" si="77">IFERROR(I134+J174-J176,"")</f>
        <v>113.97533575697311</v>
      </c>
      <c r="K134" s="166">
        <f t="shared" si="77"/>
        <v>77.984259658837573</v>
      </c>
      <c r="L134" s="166">
        <f t="shared" si="77"/>
        <v>35.100958475949447</v>
      </c>
      <c r="M134" s="166">
        <f t="shared" si="77"/>
        <v>23.292932484284059</v>
      </c>
      <c r="N134" s="166">
        <f t="shared" si="77"/>
        <v>23.292932484284059</v>
      </c>
      <c r="O134" s="166">
        <f t="shared" si="77"/>
        <v>23.292932484284059</v>
      </c>
      <c r="P134" s="166">
        <f t="shared" si="77"/>
        <v>23.292932484284059</v>
      </c>
      <c r="Q134" s="166">
        <f t="shared" si="77"/>
        <v>23.292932484284059</v>
      </c>
    </row>
    <row r="135" spans="1:17" ht="3.75" customHeight="1">
      <c r="B135" s="150"/>
      <c r="E135" s="169"/>
      <c r="F135" s="169"/>
      <c r="G135" s="328"/>
      <c r="H135" s="295"/>
      <c r="I135" s="295"/>
      <c r="J135" s="295"/>
      <c r="K135" s="295"/>
      <c r="L135" s="295"/>
      <c r="M135" s="295"/>
      <c r="N135" s="295"/>
      <c r="O135" s="295"/>
      <c r="P135" s="295"/>
      <c r="Q135" s="295"/>
    </row>
    <row r="136" spans="1:17" ht="15.6">
      <c r="B136" s="125" t="s">
        <v>589</v>
      </c>
      <c r="E136" s="293">
        <f>+_xlfn.XLOOKUP($B136,Inputs!$B:$B,Inputs!O:O)</f>
        <v>21.6</v>
      </c>
      <c r="F136" s="293">
        <f>+_xlfn.XLOOKUP($B136,Inputs!$B:$B,Inputs!P:P)</f>
        <v>16.3</v>
      </c>
      <c r="G136" s="294">
        <f>+_xlfn.XLOOKUP($B136,Inputs!$B:$B,Inputs!Q:Q)</f>
        <v>28.5</v>
      </c>
      <c r="H136" s="166">
        <f t="shared" ref="H136:Q136" si="78">+IFERROR(H137*H48,"")</f>
        <v>48.460017808156984</v>
      </c>
      <c r="I136" s="166">
        <f t="shared" si="78"/>
        <v>46.399806950917217</v>
      </c>
      <c r="J136" s="166">
        <f t="shared" si="78"/>
        <v>53.794754631071314</v>
      </c>
      <c r="K136" s="166">
        <f t="shared" si="78"/>
        <v>62.248879615184251</v>
      </c>
      <c r="L136" s="166">
        <f t="shared" si="78"/>
        <v>65.839528294199951</v>
      </c>
      <c r="M136" s="166">
        <f t="shared" si="78"/>
        <v>72.576126454327792</v>
      </c>
      <c r="N136" s="166">
        <f t="shared" si="78"/>
        <v>82.976576927709345</v>
      </c>
      <c r="O136" s="166">
        <f t="shared" si="78"/>
        <v>89.17359050388761</v>
      </c>
      <c r="P136" s="166">
        <f t="shared" si="78"/>
        <v>96.322725333332315</v>
      </c>
      <c r="Q136" s="166">
        <f t="shared" si="78"/>
        <v>107.9609457481187</v>
      </c>
    </row>
    <row r="137" spans="1:17" ht="15.6">
      <c r="B137" s="150" t="s">
        <v>590</v>
      </c>
      <c r="E137" s="291">
        <f>IFERROR(E136/E$48,"")</f>
        <v>5.50739418663947E-2</v>
      </c>
      <c r="F137" s="291">
        <f>IFERROR(F136/F$48,"")</f>
        <v>2.8161713890808574E-2</v>
      </c>
      <c r="G137" s="292">
        <f>IFERROR(G136/G$48,"")</f>
        <v>2.7834749487254614E-2</v>
      </c>
      <c r="H137" s="142">
        <f>+IFERROR(AVERAGE(E137:G137),"")</f>
        <v>3.7023468414819301E-2</v>
      </c>
      <c r="I137" s="142">
        <f t="shared" ref="I137:Q137" si="79">+IFERROR(AVERAGE(F137:H137),"")</f>
        <v>3.1006643930960826E-2</v>
      </c>
      <c r="J137" s="142">
        <f t="shared" si="79"/>
        <v>3.1954953944344909E-2</v>
      </c>
      <c r="K137" s="142">
        <f t="shared" si="79"/>
        <v>3.332835543004168E-2</v>
      </c>
      <c r="L137" s="142">
        <f t="shared" si="79"/>
        <v>3.2096651101782475E-2</v>
      </c>
      <c r="M137" s="142">
        <f t="shared" si="79"/>
        <v>3.245998682538969E-2</v>
      </c>
      <c r="N137" s="142">
        <f t="shared" si="79"/>
        <v>3.2628331119071284E-2</v>
      </c>
      <c r="O137" s="142">
        <f t="shared" si="79"/>
        <v>3.2394989682081154E-2</v>
      </c>
      <c r="P137" s="142">
        <f t="shared" si="79"/>
        <v>3.2494435875514045E-2</v>
      </c>
      <c r="Q137" s="142">
        <f t="shared" si="79"/>
        <v>3.2505918892222159E-2</v>
      </c>
    </row>
    <row r="138" spans="1:17" ht="3.75" customHeight="1">
      <c r="G138" s="156"/>
    </row>
    <row r="139" spans="1:17" ht="15.6">
      <c r="A139" s="125" t="s">
        <v>472</v>
      </c>
      <c r="B139" s="51" t="s">
        <v>273</v>
      </c>
      <c r="C139" s="51"/>
      <c r="D139" s="51"/>
      <c r="E139" s="136">
        <f t="shared" ref="E139:Q139" si="80">E46</f>
        <v>2022</v>
      </c>
      <c r="F139" s="136">
        <f t="shared" si="80"/>
        <v>2023</v>
      </c>
      <c r="G139" s="161">
        <f t="shared" si="80"/>
        <v>2024</v>
      </c>
      <c r="H139" s="99">
        <f t="shared" si="80"/>
        <v>2025</v>
      </c>
      <c r="I139" s="99">
        <f t="shared" si="80"/>
        <v>2026</v>
      </c>
      <c r="J139" s="99">
        <f t="shared" si="80"/>
        <v>2027</v>
      </c>
      <c r="K139" s="99">
        <f t="shared" si="80"/>
        <v>2028</v>
      </c>
      <c r="L139" s="99">
        <f t="shared" si="80"/>
        <v>2029</v>
      </c>
      <c r="M139" s="99">
        <f t="shared" si="80"/>
        <v>2030</v>
      </c>
      <c r="N139" s="99">
        <f t="shared" si="80"/>
        <v>2031</v>
      </c>
      <c r="O139" s="99">
        <f t="shared" si="80"/>
        <v>2032</v>
      </c>
      <c r="P139" s="99">
        <f t="shared" si="80"/>
        <v>2033</v>
      </c>
      <c r="Q139" s="99">
        <f t="shared" si="80"/>
        <v>2034</v>
      </c>
    </row>
    <row r="140" spans="1:17" ht="3.95" customHeight="1">
      <c r="B140" s="52"/>
      <c r="C140" s="52"/>
      <c r="D140" s="52"/>
      <c r="E140" s="170"/>
      <c r="F140" s="170"/>
      <c r="G140" s="171"/>
      <c r="H140" s="52"/>
      <c r="I140" s="52"/>
      <c r="J140" s="52"/>
      <c r="K140" s="52"/>
      <c r="L140" s="52"/>
      <c r="M140" s="52"/>
      <c r="N140" s="52"/>
      <c r="O140" s="52"/>
      <c r="P140" s="52"/>
      <c r="Q140" s="52"/>
    </row>
    <row r="141" spans="1:17" ht="15.6">
      <c r="B141" s="125" t="s">
        <v>558</v>
      </c>
      <c r="E141" s="164">
        <f>+E68</f>
        <v>27.1</v>
      </c>
      <c r="F141" s="164">
        <f t="shared" ref="F141:Q141" si="81">+F68</f>
        <v>22.2</v>
      </c>
      <c r="G141" s="165">
        <f t="shared" si="81"/>
        <v>35.9</v>
      </c>
      <c r="H141" s="166">
        <f>+H68</f>
        <v>37.284731668128309</v>
      </c>
      <c r="I141" s="166">
        <f>+I68</f>
        <v>38.129056062583771</v>
      </c>
      <c r="J141" s="166">
        <f t="shared" si="81"/>
        <v>39.336933070693604</v>
      </c>
      <c r="K141" s="166">
        <f t="shared" si="81"/>
        <v>40.749709577367838</v>
      </c>
      <c r="L141" s="166">
        <f t="shared" si="81"/>
        <v>42.10108010696797</v>
      </c>
      <c r="M141" s="166">
        <f>+M68</f>
        <v>71.817938077715354</v>
      </c>
      <c r="N141" s="166">
        <f t="shared" si="81"/>
        <v>73.584442484014616</v>
      </c>
      <c r="O141" s="166">
        <f t="shared" si="81"/>
        <v>75.327130811070006</v>
      </c>
      <c r="P141" s="166">
        <f t="shared" si="81"/>
        <v>77.1661364264762</v>
      </c>
      <c r="Q141" s="166">
        <f t="shared" si="81"/>
        <v>78.346118851714166</v>
      </c>
    </row>
    <row r="142" spans="1:17" ht="3.95" customHeight="1">
      <c r="G142" s="145"/>
    </row>
    <row r="143" spans="1:17" ht="13.5" customHeight="1">
      <c r="B143" s="125" t="s">
        <v>591</v>
      </c>
      <c r="E143" s="293">
        <f>+_xlfn.XLOOKUP($B143,Inputs!$B:$B,Inputs!O:O)</f>
        <v>19.600000000000001</v>
      </c>
      <c r="F143" s="293">
        <f>+_xlfn.XLOOKUP($B143,Inputs!$B:$B,Inputs!P:P)</f>
        <v>29.1</v>
      </c>
      <c r="G143" s="294">
        <f>+_xlfn.XLOOKUP($B143,Inputs!$B:$B,Inputs!Q:Q)</f>
        <v>40.6</v>
      </c>
      <c r="H143" s="166">
        <f t="shared" ref="H143:Q143" si="82">IFERROR(H144*H57,"")</f>
        <v>61.018675098724614</v>
      </c>
      <c r="I143" s="166">
        <f t="shared" si="82"/>
        <v>68.298738612345062</v>
      </c>
      <c r="J143" s="166">
        <f t="shared" si="82"/>
        <v>74.022221287011035</v>
      </c>
      <c r="K143" s="166">
        <f t="shared" si="82"/>
        <v>84.813863137315252</v>
      </c>
      <c r="L143" s="166">
        <f t="shared" si="82"/>
        <v>92.322220182314084</v>
      </c>
      <c r="M143" s="166">
        <f t="shared" si="82"/>
        <v>100.15708506177909</v>
      </c>
      <c r="N143" s="166">
        <f t="shared" si="82"/>
        <v>114.61878601975313</v>
      </c>
      <c r="O143" s="166">
        <f t="shared" si="82"/>
        <v>123.75519464468681</v>
      </c>
      <c r="P143" s="166">
        <f t="shared" si="82"/>
        <v>133.21913257575414</v>
      </c>
      <c r="Q143" s="166">
        <f t="shared" si="82"/>
        <v>149.42396681808171</v>
      </c>
    </row>
    <row r="144" spans="1:17" ht="13.5" customHeight="1">
      <c r="B144" s="276" t="s">
        <v>592</v>
      </c>
      <c r="E144" s="291">
        <f>+IFERROR(E143/E57,"")</f>
        <v>8.8328075709779186E-2</v>
      </c>
      <c r="F144" s="291">
        <f>+IFERROR(F143/F57,"")</f>
        <v>9.028855103940428E-2</v>
      </c>
      <c r="G144" s="292">
        <f>+IFERROR(G143/G57,"")</f>
        <v>7.0682451253481896E-2</v>
      </c>
      <c r="H144" s="142">
        <f>IFERROR(AVERAGE(E144:G144),"")</f>
        <v>8.3099692667555125E-2</v>
      </c>
      <c r="I144" s="142">
        <f t="shared" ref="I144:Q144" si="83">IFERROR(AVERAGE(F144:H144),"")</f>
        <v>8.13568983201471E-2</v>
      </c>
      <c r="J144" s="142">
        <f t="shared" si="83"/>
        <v>7.8379680747061364E-2</v>
      </c>
      <c r="K144" s="142">
        <f t="shared" si="83"/>
        <v>8.0945423911587863E-2</v>
      </c>
      <c r="L144" s="142">
        <f t="shared" si="83"/>
        <v>8.0227334326265443E-2</v>
      </c>
      <c r="M144" s="142">
        <f t="shared" si="83"/>
        <v>7.9850812994971557E-2</v>
      </c>
      <c r="N144" s="142">
        <f t="shared" si="83"/>
        <v>8.0341190410941621E-2</v>
      </c>
      <c r="O144" s="142">
        <f t="shared" si="83"/>
        <v>8.0139779244059531E-2</v>
      </c>
      <c r="P144" s="142">
        <f t="shared" si="83"/>
        <v>8.011059421665756E-2</v>
      </c>
      <c r="Q144" s="142">
        <f t="shared" si="83"/>
        <v>8.0197187957219571E-2</v>
      </c>
    </row>
    <row r="145" spans="2:17" ht="3.75" customHeight="1">
      <c r="B145" s="276"/>
      <c r="E145" s="291"/>
      <c r="F145" s="291"/>
      <c r="G145" s="292"/>
      <c r="H145" s="142"/>
      <c r="I145" s="142"/>
      <c r="J145" s="142"/>
      <c r="K145" s="142"/>
      <c r="L145" s="142"/>
      <c r="M145" s="142"/>
      <c r="N145" s="142"/>
      <c r="O145" s="142"/>
      <c r="P145" s="142"/>
      <c r="Q145" s="142"/>
    </row>
    <row r="146" spans="2:17" ht="13.5" customHeight="1">
      <c r="B146" s="125" t="s">
        <v>593</v>
      </c>
      <c r="E146" s="293">
        <f>+_xlfn.XLOOKUP($B146,Inputs!$B:$B,Inputs!O:O)</f>
        <v>-42.4</v>
      </c>
      <c r="F146" s="293">
        <f>+_xlfn.XLOOKUP($B146,Inputs!$B:$B,Inputs!P:P)</f>
        <v>-0.80000000000000071</v>
      </c>
      <c r="G146" s="294">
        <f>+_xlfn.XLOOKUP($B146,Inputs!$B:$B,Inputs!Q:Q)</f>
        <v>-117.5</v>
      </c>
      <c r="H146" s="172">
        <f>IFERROR(-((H108+H111+H114-H128-H131)-(G108+G111+G114-G128-G131)),"")</f>
        <v>-152.66083281617472</v>
      </c>
      <c r="I146" s="172">
        <f t="shared" ref="I146:Q146" si="84">IFERROR(-((I108+I111+I114-I128-I131)-(H108+H111+H114-H128-H131)),"")</f>
        <v>-0.16300549038390955</v>
      </c>
      <c r="J146" s="172">
        <f t="shared" si="84"/>
        <v>-23.275872928681622</v>
      </c>
      <c r="K146" s="172">
        <f t="shared" si="84"/>
        <v>-45.001669198716996</v>
      </c>
      <c r="L146" s="172">
        <f t="shared" si="84"/>
        <v>-26.219076583491699</v>
      </c>
      <c r="M146" s="172">
        <f t="shared" si="84"/>
        <v>-35.147328036519468</v>
      </c>
      <c r="N146" s="172">
        <f t="shared" si="84"/>
        <v>-57.51848195550383</v>
      </c>
      <c r="O146" s="172">
        <f t="shared" si="84"/>
        <v>-43.507663764599613</v>
      </c>
      <c r="P146" s="172">
        <f t="shared" si="84"/>
        <v>-41.372128634742978</v>
      </c>
      <c r="Q146" s="172">
        <f t="shared" si="84"/>
        <v>-65.702238641035649</v>
      </c>
    </row>
    <row r="147" spans="2:17" ht="3.75" customHeight="1">
      <c r="G147" s="145"/>
    </row>
    <row r="148" spans="2:17" ht="13.5" customHeight="1">
      <c r="B148" s="383" t="s">
        <v>594</v>
      </c>
      <c r="C148" s="383"/>
      <c r="D148" s="383"/>
      <c r="E148" s="384">
        <f>+_xlfn.XLOOKUP($B148,Inputs!$B:$B,Inputs!O:O)</f>
        <v>-6.6999999999999815</v>
      </c>
      <c r="F148" s="384">
        <f>+_xlfn.XLOOKUP($B148,Inputs!$B:$B,Inputs!P:P)</f>
        <v>-10.099999999999952</v>
      </c>
      <c r="G148" s="385">
        <f>+_xlfn.XLOOKUP($B148,Inputs!$B:$B,Inputs!Q:Q)</f>
        <v>-15.499999999999922</v>
      </c>
      <c r="H148" s="386">
        <f t="shared" ref="H148:Q148" si="85">IFERROR(AVERAGE(E148:G148)*(1+H49),"")</f>
        <v>-13.763541361461018</v>
      </c>
      <c r="I148" s="386">
        <f t="shared" si="85"/>
        <v>-15.001263937839513</v>
      </c>
      <c r="J148" s="386">
        <f t="shared" si="85"/>
        <v>-16.598835728550227</v>
      </c>
      <c r="K148" s="386">
        <f t="shared" si="85"/>
        <v>-16.776546712779314</v>
      </c>
      <c r="L148" s="386">
        <f t="shared" si="85"/>
        <v>-17.710215182996862</v>
      </c>
      <c r="M148" s="386">
        <f t="shared" si="85"/>
        <v>-18.560756801744851</v>
      </c>
      <c r="N148" s="386">
        <f t="shared" si="85"/>
        <v>-20.112174458449854</v>
      </c>
      <c r="O148" s="386">
        <f t="shared" si="85"/>
        <v>-20.343506263516705</v>
      </c>
      <c r="P148" s="386">
        <f t="shared" si="85"/>
        <v>-21.184249758655632</v>
      </c>
      <c r="Q148" s="386">
        <f t="shared" si="85"/>
        <v>-23.021062202832212</v>
      </c>
    </row>
    <row r="149" spans="2:17" ht="5.25" customHeight="1">
      <c r="E149" s="322"/>
      <c r="F149" s="322"/>
      <c r="G149" s="294"/>
      <c r="H149" s="166"/>
      <c r="I149" s="166"/>
      <c r="J149" s="166"/>
      <c r="K149" s="166"/>
      <c r="L149" s="166"/>
      <c r="M149" s="166"/>
      <c r="N149" s="166"/>
      <c r="O149" s="166"/>
      <c r="P149" s="166"/>
      <c r="Q149" s="166"/>
    </row>
    <row r="150" spans="2:17" ht="13.5" customHeight="1">
      <c r="B150" s="400" t="s">
        <v>324</v>
      </c>
      <c r="C150" s="147"/>
      <c r="D150" s="147"/>
      <c r="E150" s="345">
        <f>+_xlfn.XLOOKUP($B150,Inputs!$B:$B,Inputs!O:O)</f>
        <v>19.5</v>
      </c>
      <c r="F150" s="345">
        <f>+_xlfn.XLOOKUP($B150,Inputs!$B:$B,Inputs!P:P)</f>
        <v>101.9</v>
      </c>
      <c r="G150" s="346">
        <f>+_xlfn.XLOOKUP($B150,Inputs!$B:$B,Inputs!Q:Q)</f>
        <v>71.2</v>
      </c>
      <c r="H150" s="475">
        <f>IFERROR(H99+H141+H143+H146+H148,"")</f>
        <v>-6.0577842058963771</v>
      </c>
      <c r="I150" s="475">
        <f t="shared" ref="I150:Q150" si="86">IFERROR(I99+I141+I143+I146+I148,"")</f>
        <v>200.74861634255367</v>
      </c>
      <c r="J150" s="475">
        <f t="shared" si="86"/>
        <v>222.0634518495898</v>
      </c>
      <c r="K150" s="475">
        <f t="shared" si="86"/>
        <v>243.94143529979684</v>
      </c>
      <c r="L150" s="475">
        <f t="shared" si="86"/>
        <v>298.2219835924555</v>
      </c>
      <c r="M150" s="475">
        <f t="shared" si="86"/>
        <v>324.83399719320937</v>
      </c>
      <c r="N150" s="475">
        <f t="shared" si="86"/>
        <v>354.24884778202875</v>
      </c>
      <c r="O150" s="475">
        <f t="shared" si="86"/>
        <v>403.6073698381885</v>
      </c>
      <c r="P150" s="475">
        <f t="shared" si="86"/>
        <v>440.53834254978966</v>
      </c>
      <c r="Q150" s="475">
        <f t="shared" si="86"/>
        <v>470.33086878210099</v>
      </c>
    </row>
    <row r="151" spans="2:17" ht="3.75" customHeight="1">
      <c r="G151" s="145"/>
    </row>
    <row r="152" spans="2:17" ht="13.5" customHeight="1">
      <c r="B152" s="341" t="s">
        <v>595</v>
      </c>
      <c r="C152" s="341"/>
      <c r="D152" s="341"/>
      <c r="E152" s="342">
        <f>+_xlfn.XLOOKUP($B152,Inputs!$B:$B,Inputs!O:O)</f>
        <v>-4.8</v>
      </c>
      <c r="F152" s="342">
        <f>+_xlfn.XLOOKUP($B152,Inputs!$B:$B,Inputs!P:P)</f>
        <v>-1.7</v>
      </c>
      <c r="G152" s="343">
        <f>+_xlfn.XLOOKUP($B152,Inputs!$B:$B,Inputs!Q:Q)</f>
        <v>-8.6999999999999993</v>
      </c>
      <c r="H152" s="344">
        <f>IFERROR(H154+H156,"")</f>
        <v>-8.6999999999999993</v>
      </c>
      <c r="I152" s="344">
        <f t="shared" ref="I152:Q152" si="87">IFERROR(I154+I156,"")</f>
        <v>-9.36</v>
      </c>
      <c r="J152" s="344">
        <f t="shared" si="87"/>
        <v>-9.8879999999999999</v>
      </c>
      <c r="K152" s="344">
        <f t="shared" si="87"/>
        <v>-10.3104</v>
      </c>
      <c r="L152" s="344">
        <f t="shared" si="87"/>
        <v>-10.64832</v>
      </c>
      <c r="M152" s="344">
        <f t="shared" si="87"/>
        <v>-10.918656</v>
      </c>
      <c r="N152" s="344">
        <f t="shared" si="87"/>
        <v>-11.1349248</v>
      </c>
      <c r="O152" s="344">
        <f t="shared" si="87"/>
        <v>-11.30793984</v>
      </c>
      <c r="P152" s="344">
        <f t="shared" si="87"/>
        <v>-11.446351871999999</v>
      </c>
      <c r="Q152" s="344">
        <f t="shared" si="87"/>
        <v>-12</v>
      </c>
    </row>
    <row r="153" spans="2:17" ht="3.75" customHeight="1">
      <c r="B153" s="150"/>
      <c r="E153" s="152"/>
      <c r="F153" s="152"/>
      <c r="G153" s="153"/>
      <c r="H153" s="152"/>
      <c r="I153" s="152"/>
      <c r="J153" s="152"/>
      <c r="K153" s="152"/>
      <c r="L153" s="152"/>
      <c r="M153" s="152"/>
      <c r="N153" s="152"/>
      <c r="O153" s="152"/>
      <c r="P153" s="152"/>
      <c r="Q153" s="152"/>
    </row>
    <row r="154" spans="2:17" s="150" customFormat="1" ht="15.6">
      <c r="B154" s="275" t="s">
        <v>596</v>
      </c>
      <c r="E154" s="319">
        <f>+_xlfn.XLOOKUP($B154,Inputs!$B:$B,Inputs!O:O)</f>
        <v>-4.8</v>
      </c>
      <c r="F154" s="319">
        <f>+_xlfn.XLOOKUP($B154,Inputs!$B:$B,Inputs!P:P)</f>
        <v>-1.7</v>
      </c>
      <c r="G154" s="320">
        <f>+_xlfn.XLOOKUP($B154,Inputs!$B:$B,Inputs!Q:Q)</f>
        <v>-8.6999999999999993</v>
      </c>
      <c r="H154" s="321">
        <f>G154</f>
        <v>-8.6999999999999993</v>
      </c>
      <c r="I154" s="321">
        <f>H154+($Q$154-H154)/5</f>
        <v>-9.36</v>
      </c>
      <c r="J154" s="321">
        <f t="shared" ref="J154:P154" si="88">I154+($Q$154-I154)/5</f>
        <v>-9.8879999999999999</v>
      </c>
      <c r="K154" s="321">
        <f t="shared" si="88"/>
        <v>-10.3104</v>
      </c>
      <c r="L154" s="321">
        <f t="shared" si="88"/>
        <v>-10.64832</v>
      </c>
      <c r="M154" s="321">
        <f t="shared" si="88"/>
        <v>-10.918656</v>
      </c>
      <c r="N154" s="321">
        <f t="shared" si="88"/>
        <v>-11.1349248</v>
      </c>
      <c r="O154" s="321">
        <f t="shared" si="88"/>
        <v>-11.30793984</v>
      </c>
      <c r="P154" s="321">
        <f t="shared" si="88"/>
        <v>-11.446351871999999</v>
      </c>
      <c r="Q154" s="321">
        <v>-12</v>
      </c>
    </row>
    <row r="155" spans="2:17" ht="3.75" customHeight="1">
      <c r="B155" s="275"/>
      <c r="E155" s="152"/>
      <c r="F155" s="152"/>
      <c r="G155" s="153"/>
      <c r="H155" s="152"/>
      <c r="I155" s="152"/>
      <c r="J155" s="152"/>
      <c r="K155" s="152"/>
      <c r="L155" s="152"/>
      <c r="M155" s="152"/>
      <c r="N155" s="152"/>
      <c r="O155" s="152"/>
      <c r="P155" s="152"/>
      <c r="Q155" s="152"/>
    </row>
    <row r="156" spans="2:17" s="150" customFormat="1" ht="15.6">
      <c r="B156" s="275" t="s">
        <v>597</v>
      </c>
      <c r="E156" s="319">
        <f>+_xlfn.XLOOKUP($B156,Inputs!$B:$B,Inputs!O:O)</f>
        <v>0</v>
      </c>
      <c r="F156" s="319">
        <f>+_xlfn.XLOOKUP($B156,Inputs!$B:$B,Inputs!P:P)</f>
        <v>0</v>
      </c>
      <c r="G156" s="320">
        <f>+_xlfn.XLOOKUP($B156,Inputs!$B:$B,Inputs!Q:Q)</f>
        <v>0</v>
      </c>
      <c r="H156" s="321">
        <f>IFERROR(H157*G118,"")</f>
        <v>0</v>
      </c>
      <c r="I156" s="321">
        <f t="shared" ref="I156:Q156" si="89">IFERROR(I157*H118,"")</f>
        <v>0</v>
      </c>
      <c r="J156" s="321">
        <f t="shared" si="89"/>
        <v>0</v>
      </c>
      <c r="K156" s="321">
        <f t="shared" si="89"/>
        <v>0</v>
      </c>
      <c r="L156" s="321">
        <f t="shared" si="89"/>
        <v>0</v>
      </c>
      <c r="M156" s="321">
        <f t="shared" si="89"/>
        <v>0</v>
      </c>
      <c r="N156" s="321">
        <f t="shared" si="89"/>
        <v>0</v>
      </c>
      <c r="O156" s="321">
        <f t="shared" si="89"/>
        <v>0</v>
      </c>
      <c r="P156" s="321">
        <f t="shared" si="89"/>
        <v>0</v>
      </c>
      <c r="Q156" s="321">
        <f t="shared" si="89"/>
        <v>0</v>
      </c>
    </row>
    <row r="157" spans="2:17" customFormat="1" ht="14.45">
      <c r="B157" s="285" t="s">
        <v>598</v>
      </c>
      <c r="E157" s="284">
        <f>IFERROR(E156/E118,"")</f>
        <v>0</v>
      </c>
      <c r="F157" s="284">
        <f t="shared" ref="F157:G157" si="90">IFERROR(F156/F118,"")</f>
        <v>0</v>
      </c>
      <c r="G157" s="315">
        <f t="shared" si="90"/>
        <v>0</v>
      </c>
      <c r="H157" s="307">
        <f>IFERROR(AVERAGE(E157:G157),"")</f>
        <v>0</v>
      </c>
      <c r="I157" s="307">
        <f t="shared" ref="I157:Q157" si="91">IFERROR(AVERAGE(F157:H157),"")</f>
        <v>0</v>
      </c>
      <c r="J157" s="307">
        <f t="shared" si="91"/>
        <v>0</v>
      </c>
      <c r="K157" s="307">
        <f t="shared" si="91"/>
        <v>0</v>
      </c>
      <c r="L157" s="307">
        <f t="shared" si="91"/>
        <v>0</v>
      </c>
      <c r="M157" s="307">
        <f t="shared" si="91"/>
        <v>0</v>
      </c>
      <c r="N157" s="307">
        <f t="shared" si="91"/>
        <v>0</v>
      </c>
      <c r="O157" s="307">
        <f t="shared" si="91"/>
        <v>0</v>
      </c>
      <c r="P157" s="307">
        <f t="shared" si="91"/>
        <v>0</v>
      </c>
      <c r="Q157" s="307">
        <f t="shared" si="91"/>
        <v>0</v>
      </c>
    </row>
    <row r="158" spans="2:17" ht="3.75" customHeight="1">
      <c r="B158" s="150"/>
      <c r="E158" s="152"/>
      <c r="F158" s="152"/>
      <c r="G158" s="153"/>
      <c r="H158" s="152"/>
      <c r="I158" s="152"/>
      <c r="J158" s="152"/>
      <c r="K158" s="152"/>
      <c r="L158" s="152"/>
      <c r="M158" s="152"/>
      <c r="N158" s="152"/>
      <c r="O158" s="152"/>
      <c r="P158" s="152"/>
      <c r="Q158" s="152"/>
    </row>
    <row r="159" spans="2:17" ht="13.5" customHeight="1">
      <c r="B159" s="196" t="s">
        <v>599</v>
      </c>
      <c r="E159" s="319">
        <f>+_xlfn.XLOOKUP($B159,Inputs!$B:$B,Inputs!O:O)</f>
        <v>0</v>
      </c>
      <c r="F159" s="319">
        <f>+_xlfn.XLOOKUP($B159,Inputs!$B:$B,Inputs!P:P)</f>
        <v>0</v>
      </c>
      <c r="G159" s="320">
        <f>+_xlfn.XLOOKUP($B159,Inputs!$B:$B,Inputs!Q:Q)</f>
        <v>-275</v>
      </c>
      <c r="H159" s="335">
        <v>0</v>
      </c>
      <c r="I159" s="335">
        <v>0</v>
      </c>
      <c r="J159" s="335">
        <v>0</v>
      </c>
      <c r="K159" s="335">
        <v>0</v>
      </c>
      <c r="L159" s="335">
        <v>0</v>
      </c>
      <c r="M159" s="335">
        <v>-300</v>
      </c>
      <c r="N159" s="335">
        <v>0</v>
      </c>
      <c r="O159" s="335">
        <v>0</v>
      </c>
      <c r="P159" s="335">
        <v>0</v>
      </c>
      <c r="Q159" s="335">
        <v>0</v>
      </c>
    </row>
    <row r="160" spans="2:17" ht="3.75" customHeight="1">
      <c r="B160" s="150"/>
      <c r="E160" s="152"/>
      <c r="F160" s="152"/>
      <c r="G160" s="160"/>
      <c r="H160" s="152"/>
      <c r="I160" s="152"/>
      <c r="J160" s="152"/>
      <c r="K160" s="152"/>
      <c r="L160" s="152"/>
      <c r="M160" s="152"/>
      <c r="N160" s="152"/>
      <c r="O160" s="152"/>
      <c r="P160" s="152"/>
      <c r="Q160" s="152"/>
    </row>
    <row r="161" spans="2:20" ht="13.5" customHeight="1">
      <c r="B161" s="383" t="s">
        <v>600</v>
      </c>
      <c r="C161" s="383"/>
      <c r="D161" s="383"/>
      <c r="E161" s="384">
        <f>+_xlfn.XLOOKUP($B161,Inputs!$B:$B,Inputs!O:O)</f>
        <v>0</v>
      </c>
      <c r="F161" s="384">
        <f>+_xlfn.XLOOKUP($B161,Inputs!$B:$B,Inputs!P:P)</f>
        <v>0</v>
      </c>
      <c r="G161" s="385">
        <f>+_xlfn.XLOOKUP($B161,Inputs!$B:$B,Inputs!Q:Q)</f>
        <v>-1</v>
      </c>
      <c r="H161" s="386">
        <f t="shared" ref="H161:Q161" si="92">IFERROR(AVERAGE(E161:G161)*(1+H49),"")</f>
        <v>-0.42611583162418204</v>
      </c>
      <c r="I161" s="386">
        <f t="shared" si="92"/>
        <v>-0.54348616146288398</v>
      </c>
      <c r="J161" s="386">
        <f t="shared" si="92"/>
        <v>-0.7385800008114799</v>
      </c>
      <c r="K161" s="386">
        <f t="shared" si="92"/>
        <v>-0.63172607765266042</v>
      </c>
      <c r="L161" s="386">
        <f t="shared" si="92"/>
        <v>-0.70062054568651866</v>
      </c>
      <c r="M161" s="386">
        <f t="shared" si="92"/>
        <v>-0.75242274168512624</v>
      </c>
      <c r="N161" s="386">
        <f t="shared" si="92"/>
        <v>-0.79040916907127567</v>
      </c>
      <c r="O161" s="386">
        <f t="shared" si="92"/>
        <v>-0.80945622900865299</v>
      </c>
      <c r="P161" s="386">
        <f t="shared" si="92"/>
        <v>-0.8443657656747795</v>
      </c>
      <c r="Q161" s="386">
        <f t="shared" si="92"/>
        <v>-0.91286276963903101</v>
      </c>
    </row>
    <row r="162" spans="2:20" ht="5.25" customHeight="1">
      <c r="E162" s="336"/>
      <c r="F162" s="336"/>
      <c r="G162" s="320"/>
      <c r="H162" s="321"/>
      <c r="I162" s="321"/>
      <c r="J162" s="321"/>
      <c r="K162" s="321"/>
      <c r="L162" s="321"/>
      <c r="M162" s="321"/>
      <c r="N162" s="321"/>
      <c r="O162" s="321"/>
      <c r="P162" s="321"/>
      <c r="Q162" s="321"/>
    </row>
    <row r="163" spans="2:20" ht="13.5" customHeight="1">
      <c r="B163" s="147" t="s">
        <v>325</v>
      </c>
      <c r="C163" s="147"/>
      <c r="D163" s="147"/>
      <c r="E163" s="345">
        <f>+_xlfn.XLOOKUP($B163,Inputs!$B:$B,Inputs!O:O)</f>
        <v>-4.8</v>
      </c>
      <c r="F163" s="345">
        <f>+_xlfn.XLOOKUP($B163,Inputs!$B:$B,Inputs!P:P)</f>
        <v>-1.7</v>
      </c>
      <c r="G163" s="346">
        <f>+_xlfn.XLOOKUP($B163,Inputs!$B:$B,Inputs!Q:Q)</f>
        <v>-284.7</v>
      </c>
      <c r="H163" s="350">
        <f>IFERROR(+H152+H159+H161,"")</f>
        <v>-9.1261158316241815</v>
      </c>
      <c r="I163" s="350">
        <f t="shared" ref="I163:Q163" si="93">IFERROR(+I152+I159+I161,"")</f>
        <v>-9.9034861614628831</v>
      </c>
      <c r="J163" s="350">
        <f t="shared" si="93"/>
        <v>-10.626580000811479</v>
      </c>
      <c r="K163" s="350">
        <f t="shared" si="93"/>
        <v>-10.942126077652659</v>
      </c>
      <c r="L163" s="350">
        <f t="shared" si="93"/>
        <v>-11.348940545686519</v>
      </c>
      <c r="M163" s="350">
        <f t="shared" si="93"/>
        <v>-311.67107874168511</v>
      </c>
      <c r="N163" s="350">
        <f t="shared" si="93"/>
        <v>-11.925333969071277</v>
      </c>
      <c r="O163" s="350">
        <f t="shared" si="93"/>
        <v>-12.117396069008652</v>
      </c>
      <c r="P163" s="350">
        <f t="shared" si="93"/>
        <v>-12.29071763767478</v>
      </c>
      <c r="Q163" s="350">
        <f t="shared" si="93"/>
        <v>-12.91286276963903</v>
      </c>
    </row>
    <row r="164" spans="2:20" ht="3.75" customHeight="1">
      <c r="E164" s="336"/>
      <c r="F164" s="336"/>
      <c r="G164" s="320"/>
      <c r="H164" s="321"/>
      <c r="I164" s="321"/>
      <c r="J164" s="321"/>
      <c r="K164" s="321"/>
      <c r="L164" s="321"/>
      <c r="M164" s="321"/>
      <c r="N164" s="321"/>
      <c r="O164" s="321"/>
      <c r="P164" s="321"/>
      <c r="Q164" s="321"/>
    </row>
    <row r="165" spans="2:20" ht="13.5" customHeight="1">
      <c r="B165" s="341" t="s">
        <v>601</v>
      </c>
      <c r="C165" s="341"/>
      <c r="D165" s="341"/>
      <c r="E165" s="342">
        <f>+_xlfn.XLOOKUP($B165,Inputs!$B:$B,Inputs!O:O)</f>
        <v>0</v>
      </c>
      <c r="F165" s="342">
        <f>+_xlfn.XLOOKUP($B165,Inputs!$B:$B,Inputs!P:P)</f>
        <v>0</v>
      </c>
      <c r="G165" s="343">
        <f>+_xlfn.XLOOKUP($B165,Inputs!$B:$B,Inputs!Q:Q)</f>
        <v>0</v>
      </c>
      <c r="H165" s="341">
        <f t="shared" ref="H165:Q165" si="94">+IFERROR(H166*_xlfn.XLOOKUP("Net Income",$B:$B,$H:$H),"")</f>
        <v>0</v>
      </c>
      <c r="I165" s="341">
        <f t="shared" si="94"/>
        <v>0</v>
      </c>
      <c r="J165" s="341">
        <f t="shared" si="94"/>
        <v>0</v>
      </c>
      <c r="K165" s="341">
        <f t="shared" si="94"/>
        <v>0</v>
      </c>
      <c r="L165" s="341">
        <f t="shared" si="94"/>
        <v>0</v>
      </c>
      <c r="M165" s="341">
        <f t="shared" si="94"/>
        <v>0</v>
      </c>
      <c r="N165" s="341">
        <f t="shared" si="94"/>
        <v>0</v>
      </c>
      <c r="O165" s="341">
        <f t="shared" si="94"/>
        <v>0</v>
      </c>
      <c r="P165" s="341">
        <f t="shared" si="94"/>
        <v>0</v>
      </c>
      <c r="Q165" s="341">
        <f t="shared" si="94"/>
        <v>0</v>
      </c>
    </row>
    <row r="166" spans="2:20" ht="13.5" customHeight="1">
      <c r="B166" s="276" t="s">
        <v>602</v>
      </c>
      <c r="E166" s="337">
        <f>IFERROR(-E165/E$99,"")</f>
        <v>0</v>
      </c>
      <c r="F166" s="337">
        <f t="shared" ref="F166:G166" si="95">IFERROR(-F165/F$99,"")</f>
        <v>0</v>
      </c>
      <c r="G166" s="338">
        <f t="shared" si="95"/>
        <v>0</v>
      </c>
      <c r="H166" s="339">
        <v>0</v>
      </c>
      <c r="I166" s="339">
        <v>0</v>
      </c>
      <c r="J166" s="339">
        <v>0</v>
      </c>
      <c r="K166" s="339">
        <v>0</v>
      </c>
      <c r="L166" s="339">
        <v>0</v>
      </c>
      <c r="M166" s="339">
        <v>0</v>
      </c>
      <c r="N166" s="339">
        <v>0</v>
      </c>
      <c r="O166" s="339">
        <v>0</v>
      </c>
      <c r="P166" s="339">
        <v>0</v>
      </c>
      <c r="Q166" s="339">
        <v>0</v>
      </c>
    </row>
    <row r="167" spans="2:20" ht="3.75" customHeight="1">
      <c r="E167" s="336"/>
      <c r="F167" s="336"/>
      <c r="G167" s="320"/>
      <c r="H167" s="321"/>
      <c r="I167" s="321"/>
      <c r="J167" s="321"/>
      <c r="K167" s="321"/>
      <c r="L167" s="321"/>
      <c r="M167" s="321"/>
      <c r="N167" s="321"/>
      <c r="O167" s="321"/>
      <c r="P167" s="321"/>
      <c r="Q167" s="321"/>
    </row>
    <row r="168" spans="2:20" ht="13.5" customHeight="1">
      <c r="B168" s="125" t="s">
        <v>603</v>
      </c>
      <c r="E168" s="293">
        <f>+_xlfn.XLOOKUP($B168,Inputs!$B:$B,Inputs!O:O)</f>
        <v>1.7</v>
      </c>
      <c r="F168" s="293">
        <f>+_xlfn.XLOOKUP($B168,Inputs!$B:$B,Inputs!P:P)</f>
        <v>8.1</v>
      </c>
      <c r="G168" s="294">
        <f>+_xlfn.XLOOKUP($B168,Inputs!$B:$B,Inputs!Q:Q)</f>
        <v>5.6</v>
      </c>
      <c r="H168" s="166">
        <f t="shared" ref="H168:Q168" si="96">IFERROR(-H169*_xlfn.XLOOKUP("Net Income",$B:$B,H:H),"")</f>
        <v>-33.514118930638688</v>
      </c>
      <c r="I168" s="166">
        <f t="shared" si="96"/>
        <v>-38.319781883546895</v>
      </c>
      <c r="J168" s="166">
        <f t="shared" si="96"/>
        <v>-74.28950307455851</v>
      </c>
      <c r="K168" s="166">
        <f t="shared" si="96"/>
        <v>-90.078039248305046</v>
      </c>
      <c r="L168" s="166">
        <f t="shared" si="96"/>
        <v>-103.86398753483101</v>
      </c>
      <c r="M168" s="166">
        <f t="shared" si="96"/>
        <v>-103.28352944598961</v>
      </c>
      <c r="N168" s="166">
        <f t="shared" si="96"/>
        <v>-121.83813784610733</v>
      </c>
      <c r="O168" s="166">
        <f t="shared" si="96"/>
        <v>-134.18810720527401</v>
      </c>
      <c r="P168" s="166">
        <f t="shared" si="96"/>
        <v>-146.35472597047897</v>
      </c>
      <c r="Q168" s="166">
        <f t="shared" si="96"/>
        <v>-165.64204197808647</v>
      </c>
      <c r="R168" s="125" t="s">
        <v>604</v>
      </c>
    </row>
    <row r="169" spans="2:20" ht="13.5" customHeight="1">
      <c r="B169" s="276" t="s">
        <v>605</v>
      </c>
      <c r="E169" s="337">
        <f>IFERROR(-E168/E$99,"")</f>
        <v>-7.7625570776255787E-2</v>
      </c>
      <c r="F169" s="337">
        <f>IFERROR(-F168/F$99,"")</f>
        <v>-0.13170731707317082</v>
      </c>
      <c r="G169" s="338">
        <f>IFERROR(-G168/G$99,"")</f>
        <v>-4.3852779953014898E-2</v>
      </c>
      <c r="H169" s="339">
        <v>0.54</v>
      </c>
      <c r="I169" s="339">
        <v>0.35</v>
      </c>
      <c r="J169" s="339">
        <v>0.5</v>
      </c>
      <c r="K169" s="339">
        <v>0.5</v>
      </c>
      <c r="L169" s="339">
        <v>0.5</v>
      </c>
      <c r="M169" s="339">
        <v>0.5</v>
      </c>
      <c r="N169" s="339">
        <v>0.5</v>
      </c>
      <c r="O169" s="339">
        <v>0.5</v>
      </c>
      <c r="P169" s="339">
        <v>0.5</v>
      </c>
      <c r="Q169" s="339">
        <v>0.5</v>
      </c>
      <c r="R169" s="166">
        <v>500</v>
      </c>
      <c r="S169" s="125" t="s">
        <v>606</v>
      </c>
    </row>
    <row r="170" spans="2:20" ht="3.75" customHeight="1">
      <c r="E170" s="336"/>
      <c r="F170" s="336"/>
      <c r="G170" s="320"/>
      <c r="H170" s="321"/>
      <c r="I170" s="321"/>
      <c r="J170" s="321"/>
      <c r="K170" s="321"/>
      <c r="L170" s="321"/>
      <c r="M170" s="321"/>
      <c r="N170" s="321"/>
      <c r="O170" s="321"/>
      <c r="P170" s="321"/>
      <c r="Q170" s="321"/>
    </row>
    <row r="171" spans="2:20" ht="15.6">
      <c r="B171" s="125" t="s">
        <v>607</v>
      </c>
      <c r="E171" s="293">
        <f>+_xlfn.XLOOKUP($B171,Inputs!$B:$B,Inputs!O:O)</f>
        <v>4.6859999999999999</v>
      </c>
      <c r="F171" s="293">
        <f>+_xlfn.XLOOKUP($B171,Inputs!$B:$B,Inputs!P:P)</f>
        <v>4.6379999999999999</v>
      </c>
      <c r="G171" s="294">
        <f>+_xlfn.XLOOKUP($B171,Inputs!$B:$B,Inputs!Q:Q)</f>
        <v>7.3410000000000002</v>
      </c>
      <c r="H171" s="166">
        <f>+IFERROR(H172*H119,"")</f>
        <v>14.031942324557344</v>
      </c>
      <c r="I171" s="166">
        <f t="shared" ref="I171:Q171" si="97">+IFERROR(I172*I119,"")</f>
        <v>12.846161113846073</v>
      </c>
      <c r="J171" s="166">
        <f t="shared" si="97"/>
        <v>14.195974243706791</v>
      </c>
      <c r="K171" s="166">
        <f t="shared" si="97"/>
        <v>16.529606864822082</v>
      </c>
      <c r="L171" s="166">
        <f t="shared" si="97"/>
        <v>17.098638083171565</v>
      </c>
      <c r="M171" s="166">
        <f t="shared" si="97"/>
        <v>18.571015817149128</v>
      </c>
      <c r="N171" s="166">
        <f t="shared" si="97"/>
        <v>21.123355588462019</v>
      </c>
      <c r="O171" s="166">
        <f t="shared" si="97"/>
        <v>22.479145933600986</v>
      </c>
      <c r="P171" s="166">
        <f t="shared" si="97"/>
        <v>24.126198446021583</v>
      </c>
      <c r="Q171" s="166">
        <f t="shared" si="97"/>
        <v>26.381246445926596</v>
      </c>
      <c r="S171" s="125" t="s">
        <v>608</v>
      </c>
      <c r="T171" s="166"/>
    </row>
    <row r="172" spans="2:20" ht="15.6">
      <c r="B172" s="276" t="s">
        <v>609</v>
      </c>
      <c r="E172" s="278">
        <f>IFERROR(E171/E119,"")</f>
        <v>1.0912901723334887</v>
      </c>
      <c r="F172" s="278">
        <f>IFERROR(F171/F119,"")</f>
        <v>1.3807680857398035</v>
      </c>
      <c r="G172" s="282">
        <f t="shared" ref="G172" si="98">IFERROR(G171/G119,"")</f>
        <v>1.5290564465736305</v>
      </c>
      <c r="H172" s="307">
        <v>1.5</v>
      </c>
      <c r="I172" s="307">
        <f>H172+($Q$172-H172)/5</f>
        <v>1.46</v>
      </c>
      <c r="J172" s="307">
        <f t="shared" ref="J172:P172" si="99">I172+($Q$172-I172)/5</f>
        <v>1.4279999999999999</v>
      </c>
      <c r="K172" s="307">
        <f t="shared" si="99"/>
        <v>1.4023999999999999</v>
      </c>
      <c r="L172" s="307">
        <f t="shared" si="99"/>
        <v>1.3819199999999998</v>
      </c>
      <c r="M172" s="307">
        <f t="shared" si="99"/>
        <v>1.3655359999999999</v>
      </c>
      <c r="N172" s="307">
        <f t="shared" si="99"/>
        <v>1.3524288</v>
      </c>
      <c r="O172" s="307">
        <f t="shared" si="99"/>
        <v>1.3419430400000001</v>
      </c>
      <c r="P172" s="307">
        <f t="shared" si="99"/>
        <v>1.3335544320000001</v>
      </c>
      <c r="Q172" s="307">
        <v>1.3</v>
      </c>
    </row>
    <row r="173" spans="2:20" ht="3.75" customHeight="1">
      <c r="B173" s="276"/>
      <c r="E173" s="278"/>
      <c r="F173" s="278"/>
      <c r="G173" s="282"/>
      <c r="H173" s="333"/>
      <c r="I173" s="333"/>
      <c r="J173" s="333"/>
      <c r="K173" s="333"/>
      <c r="L173" s="333"/>
      <c r="M173" s="333"/>
      <c r="N173" s="333"/>
      <c r="O173" s="333"/>
      <c r="P173" s="333"/>
      <c r="Q173" s="333"/>
    </row>
    <row r="174" spans="2:20" ht="15.6">
      <c r="B174" s="125" t="s">
        <v>326</v>
      </c>
      <c r="E174" s="148">
        <f>+_xlfn.XLOOKUP($B174,Inputs!$B:$B,Inputs!O:O)</f>
        <v>25.6</v>
      </c>
      <c r="F174" s="148">
        <f>+_xlfn.XLOOKUP($B174,Inputs!$B:$B,Inputs!P:P)</f>
        <v>0</v>
      </c>
      <c r="G174" s="268">
        <f>+_xlfn.XLOOKUP($B174,Inputs!$B:$B,Inputs!Q:Q)</f>
        <v>204.5</v>
      </c>
      <c r="H174" s="321">
        <f>IFERROR(MAX(0,-G262),"")</f>
        <v>0</v>
      </c>
      <c r="I174" s="321">
        <f>IFERROR(MAX(0,-H262),"")</f>
        <v>15.514242844435355</v>
      </c>
      <c r="J174" s="321">
        <f t="shared" ref="J174:Q174" si="100">IFERROR(MAX(0,-I262),"")</f>
        <v>0</v>
      </c>
      <c r="K174" s="321">
        <f>IFERROR(MAX(0,-J262),"")</f>
        <v>0</v>
      </c>
      <c r="L174" s="321">
        <f t="shared" si="100"/>
        <v>0</v>
      </c>
      <c r="M174" s="321">
        <f t="shared" si="100"/>
        <v>0</v>
      </c>
      <c r="N174" s="321">
        <f t="shared" si="100"/>
        <v>0</v>
      </c>
      <c r="O174" s="321">
        <f t="shared" si="100"/>
        <v>0</v>
      </c>
      <c r="P174" s="321">
        <f t="shared" si="100"/>
        <v>0</v>
      </c>
      <c r="Q174" s="321">
        <f t="shared" si="100"/>
        <v>0</v>
      </c>
    </row>
    <row r="175" spans="2:20" ht="3.75" customHeight="1">
      <c r="B175" s="276"/>
      <c r="E175" s="278"/>
      <c r="F175" s="278"/>
      <c r="G175" s="282"/>
      <c r="H175" s="333"/>
      <c r="I175" s="333"/>
      <c r="J175" s="333"/>
      <c r="K175" s="333"/>
      <c r="L175" s="333"/>
      <c r="M175" s="333"/>
      <c r="N175" s="333"/>
      <c r="O175" s="333"/>
      <c r="P175" s="333"/>
      <c r="Q175" s="333"/>
    </row>
    <row r="176" spans="2:20" ht="15.6">
      <c r="B176" s="125" t="s">
        <v>327</v>
      </c>
      <c r="E176" s="148">
        <f>+_xlfn.XLOOKUP($B176,Inputs!$B:$B,Inputs!O:O)</f>
        <v>-54.5</v>
      </c>
      <c r="F176" s="148">
        <f>+_xlfn.XLOOKUP($B176,Inputs!$B:$B,Inputs!P:P)</f>
        <v>-30</v>
      </c>
      <c r="G176" s="268">
        <f>+_xlfn.XLOOKUP($B176,Inputs!$B:$B,Inputs!Q:Q)</f>
        <v>-7.9</v>
      </c>
      <c r="H176" s="321">
        <f>IFERROR(MAX(0,H177*G262),"")</f>
        <v>14.519999999999996</v>
      </c>
      <c r="I176" s="321">
        <f>IFERROR(MAX(0,I177*H262),"")</f>
        <v>0</v>
      </c>
      <c r="J176" s="321">
        <f t="shared" ref="J176:Q176" si="101">IFERROR(MAX(0,J177*I262),"")</f>
        <v>48.818907087462279</v>
      </c>
      <c r="K176" s="321">
        <f>IFERROR(MAX(0,K177*J262),"")</f>
        <v>35.991076098135544</v>
      </c>
      <c r="L176" s="321">
        <f t="shared" si="101"/>
        <v>42.883301182888125</v>
      </c>
      <c r="M176" s="321">
        <f t="shared" si="101"/>
        <v>11.808025991665389</v>
      </c>
      <c r="N176" s="321">
        <f t="shared" si="101"/>
        <v>0</v>
      </c>
      <c r="O176" s="321">
        <f t="shared" si="101"/>
        <v>0</v>
      </c>
      <c r="P176" s="321">
        <f t="shared" si="101"/>
        <v>0</v>
      </c>
      <c r="Q176" s="321">
        <f t="shared" si="101"/>
        <v>0</v>
      </c>
      <c r="R176" s="166">
        <f>SUM(H176:Q176)</f>
        <v>154.02131036015135</v>
      </c>
      <c r="S176" s="125" t="s">
        <v>610</v>
      </c>
    </row>
    <row r="177" spans="1:19" ht="15.6">
      <c r="B177" s="276" t="s">
        <v>611</v>
      </c>
      <c r="E177" s="296">
        <f>IFERROR(E176/E262,"")</f>
        <v>-0.53694581280788189</v>
      </c>
      <c r="F177" s="296">
        <f t="shared" ref="F177:G177" si="102">IFERROR(F176/F262,"")</f>
        <v>-0.21382751247327164</v>
      </c>
      <c r="G177" s="282">
        <f t="shared" si="102"/>
        <v>-2.7203856749311302E-2</v>
      </c>
      <c r="H177" s="307">
        <v>0.05</v>
      </c>
      <c r="I177" s="307">
        <v>0.5</v>
      </c>
      <c r="J177" s="307">
        <v>0.22</v>
      </c>
      <c r="K177" s="307">
        <v>0.2</v>
      </c>
      <c r="L177" s="307">
        <v>0.2</v>
      </c>
      <c r="M177" s="307">
        <v>4.4999999999999998E-2</v>
      </c>
      <c r="N177" s="307"/>
      <c r="O177" s="307"/>
      <c r="P177" s="307"/>
      <c r="Q177" s="307"/>
    </row>
    <row r="178" spans="1:19" ht="3.75" customHeight="1">
      <c r="B178" s="276"/>
      <c r="E178" s="296"/>
      <c r="F178" s="296"/>
      <c r="G178" s="282"/>
      <c r="H178" s="333"/>
      <c r="I178" s="333"/>
      <c r="J178" s="333"/>
      <c r="K178" s="333"/>
      <c r="L178" s="333"/>
      <c r="M178" s="333"/>
      <c r="N178" s="333"/>
      <c r="O178" s="333"/>
      <c r="P178" s="333"/>
      <c r="Q178" s="333"/>
    </row>
    <row r="179" spans="1:19" ht="15.6">
      <c r="B179" s="383" t="s">
        <v>612</v>
      </c>
      <c r="C179" s="383"/>
      <c r="D179" s="383"/>
      <c r="E179" s="384">
        <f>+_xlfn.XLOOKUP($B179,Inputs!$B:$B,Inputs!O:O)</f>
        <v>-6.586000000000003</v>
      </c>
      <c r="F179" s="384">
        <f>+_xlfn.XLOOKUP($B179,Inputs!$B:$B,Inputs!P:P)</f>
        <v>-5.4379999999999988</v>
      </c>
      <c r="G179" s="385">
        <f>+_xlfn.XLOOKUP($B179,Inputs!$B:$B,Inputs!Q:Q)</f>
        <v>-8.6409999999999947</v>
      </c>
      <c r="H179" s="387">
        <f t="shared" ref="H179:Q179" si="103">IFERROR(AVERAGE(E179:G179)*(1+H49),"")</f>
        <v>-8.8056836605137203</v>
      </c>
      <c r="I179" s="387">
        <f t="shared" si="103"/>
        <v>-8.721247323073392</v>
      </c>
      <c r="J179" s="387">
        <f t="shared" si="103"/>
        <v>-9.8126984816866827</v>
      </c>
      <c r="K179" s="387">
        <f t="shared" si="103"/>
        <v>-10.110841203258992</v>
      </c>
      <c r="L179" s="387">
        <f t="shared" si="103"/>
        <v>-10.486575233159938</v>
      </c>
      <c r="M179" s="387">
        <f t="shared" si="103"/>
        <v>-11.048803842108594</v>
      </c>
      <c r="N179" s="387">
        <f t="shared" si="103"/>
        <v>-11.998191787658907</v>
      </c>
      <c r="O179" s="387">
        <f t="shared" si="103"/>
        <v>-12.099190129011008</v>
      </c>
      <c r="P179" s="387">
        <f t="shared" si="103"/>
        <v>-12.615901745660755</v>
      </c>
      <c r="Q179" s="387">
        <f t="shared" si="103"/>
        <v>-13.711546724187784</v>
      </c>
      <c r="S179" s="166"/>
    </row>
    <row r="180" spans="1:19" ht="5.25" customHeight="1">
      <c r="E180" s="340"/>
      <c r="F180" s="340"/>
      <c r="G180" s="268"/>
      <c r="H180" s="321"/>
      <c r="I180" s="321"/>
      <c r="J180" s="321"/>
      <c r="K180" s="321"/>
      <c r="L180" s="321"/>
      <c r="M180" s="321"/>
      <c r="N180" s="321"/>
      <c r="O180" s="321"/>
      <c r="P180" s="321"/>
      <c r="Q180" s="321"/>
    </row>
    <row r="181" spans="1:19" ht="15.6">
      <c r="B181" s="147" t="s">
        <v>328</v>
      </c>
      <c r="C181" s="147"/>
      <c r="D181" s="147"/>
      <c r="E181" s="345">
        <f>+_xlfn.XLOOKUP($B181,Inputs!$B:$B,Inputs!O:O)</f>
        <v>-29.1</v>
      </c>
      <c r="F181" s="345">
        <f>+_xlfn.XLOOKUP($B181,Inputs!$B:$B,Inputs!P:P)</f>
        <v>-22.7</v>
      </c>
      <c r="G181" s="346">
        <f>+_xlfn.XLOOKUP($B181,Inputs!$B:$B,Inputs!Q:Q)</f>
        <v>200.9</v>
      </c>
      <c r="H181" s="350">
        <f>IFERROR(+H165+H168+H171+H174+H176+H179,"")</f>
        <v>-13.76786026659507</v>
      </c>
      <c r="I181" s="350">
        <f t="shared" ref="I181:Q181" si="104">IFERROR(+I165+I168+I171+I174+I176+I179,"")</f>
        <v>-18.68062524833886</v>
      </c>
      <c r="J181" s="350">
        <f t="shared" si="104"/>
        <v>-21.08732022507612</v>
      </c>
      <c r="K181" s="350">
        <f t="shared" si="104"/>
        <v>-47.66819748860641</v>
      </c>
      <c r="L181" s="350">
        <f t="shared" si="104"/>
        <v>-54.36862350193126</v>
      </c>
      <c r="M181" s="350">
        <f t="shared" si="104"/>
        <v>-83.953291479283692</v>
      </c>
      <c r="N181" s="350">
        <f t="shared" si="104"/>
        <v>-112.71297404530422</v>
      </c>
      <c r="O181" s="350">
        <f t="shared" si="104"/>
        <v>-123.80815140068403</v>
      </c>
      <c r="P181" s="350">
        <f t="shared" si="104"/>
        <v>-134.84442927011813</v>
      </c>
      <c r="Q181" s="350">
        <f t="shared" si="104"/>
        <v>-152.97234225634764</v>
      </c>
    </row>
    <row r="182" spans="1:19" ht="3.75" customHeight="1">
      <c r="B182" s="276"/>
      <c r="E182" s="296"/>
      <c r="F182" s="296"/>
      <c r="G182" s="282"/>
      <c r="H182" s="333"/>
      <c r="I182" s="333"/>
      <c r="J182" s="333"/>
      <c r="K182" s="333"/>
      <c r="L182" s="333"/>
      <c r="M182" s="333"/>
      <c r="N182" s="333"/>
      <c r="O182" s="333"/>
      <c r="P182" s="333"/>
      <c r="Q182" s="333"/>
    </row>
    <row r="183" spans="1:19" ht="15.6">
      <c r="B183" s="476" t="s">
        <v>329</v>
      </c>
      <c r="C183" s="341"/>
      <c r="D183" s="341"/>
      <c r="E183" s="347">
        <f>+_xlfn.XLOOKUP($B183,Inputs!$B:$B,Inputs!O:O)</f>
        <v>-14.4</v>
      </c>
      <c r="F183" s="347">
        <f>+_xlfn.XLOOKUP($B183,Inputs!$B:$B,Inputs!P:P)</f>
        <v>77.400000000000006</v>
      </c>
      <c r="G183" s="348">
        <f>+_xlfn.XLOOKUP($B183,Inputs!$B:$B,Inputs!Q:Q)</f>
        <v>-12.6</v>
      </c>
      <c r="H183" s="349">
        <f>IFERROR(+H150+H163+H181,"")</f>
        <v>-28.951760304115631</v>
      </c>
      <c r="I183" s="349">
        <f t="shared" ref="I183:Q183" si="105">IFERROR(+I150+I163+I181,"")</f>
        <v>172.16450493275192</v>
      </c>
      <c r="J183" s="349">
        <f t="shared" si="105"/>
        <v>190.34955162370218</v>
      </c>
      <c r="K183" s="349">
        <f t="shared" si="105"/>
        <v>185.33111173353777</v>
      </c>
      <c r="L183" s="349">
        <f t="shared" si="105"/>
        <v>232.50441954483773</v>
      </c>
      <c r="M183" s="349">
        <f t="shared" si="105"/>
        <v>-70.790373027759429</v>
      </c>
      <c r="N183" s="349">
        <f t="shared" si="105"/>
        <v>229.61053976765322</v>
      </c>
      <c r="O183" s="349">
        <f t="shared" si="105"/>
        <v>267.68182236849583</v>
      </c>
      <c r="P183" s="349">
        <f t="shared" si="105"/>
        <v>293.40319564199672</v>
      </c>
      <c r="Q183" s="349">
        <f t="shared" si="105"/>
        <v>304.4456637561143</v>
      </c>
    </row>
    <row r="184" spans="1:19" ht="15.6">
      <c r="B184" s="276"/>
      <c r="E184" s="322"/>
      <c r="F184" s="296"/>
      <c r="G184" s="282"/>
      <c r="H184" s="333"/>
      <c r="I184" s="333"/>
      <c r="J184" s="333"/>
      <c r="K184" s="333"/>
      <c r="L184" s="333"/>
      <c r="M184" s="333"/>
      <c r="N184" s="333"/>
      <c r="O184" s="333"/>
      <c r="P184" s="333"/>
      <c r="Q184" s="333"/>
    </row>
    <row r="185" spans="1:19" ht="3.75" customHeight="1">
      <c r="G185" s="145"/>
      <c r="H185" s="130"/>
      <c r="I185" s="130"/>
      <c r="J185" s="130"/>
      <c r="K185" s="130"/>
      <c r="L185" s="130"/>
      <c r="O185" s="130"/>
      <c r="P185" s="130"/>
      <c r="Q185" s="130"/>
    </row>
    <row r="186" spans="1:19" ht="15.6">
      <c r="A186" s="125" t="s">
        <v>472</v>
      </c>
      <c r="B186" s="51" t="s">
        <v>613</v>
      </c>
      <c r="C186" s="51"/>
      <c r="D186" s="51"/>
      <c r="E186" s="136">
        <f t="shared" ref="E186:Q186" si="106">E46</f>
        <v>2022</v>
      </c>
      <c r="F186" s="136">
        <f t="shared" si="106"/>
        <v>2023</v>
      </c>
      <c r="G186" s="161">
        <f t="shared" si="106"/>
        <v>2024</v>
      </c>
      <c r="H186" s="99">
        <f t="shared" si="106"/>
        <v>2025</v>
      </c>
      <c r="I186" s="99">
        <f t="shared" si="106"/>
        <v>2026</v>
      </c>
      <c r="J186" s="99">
        <f t="shared" si="106"/>
        <v>2027</v>
      </c>
      <c r="K186" s="99">
        <f t="shared" si="106"/>
        <v>2028</v>
      </c>
      <c r="L186" s="99">
        <f t="shared" si="106"/>
        <v>2029</v>
      </c>
      <c r="M186" s="99">
        <f t="shared" si="106"/>
        <v>2030</v>
      </c>
      <c r="N186" s="99">
        <f t="shared" si="106"/>
        <v>2031</v>
      </c>
      <c r="O186" s="99">
        <f t="shared" si="106"/>
        <v>2032</v>
      </c>
      <c r="P186" s="99">
        <f t="shared" si="106"/>
        <v>2033</v>
      </c>
      <c r="Q186" s="99">
        <f t="shared" si="106"/>
        <v>2034</v>
      </c>
    </row>
    <row r="187" spans="1:19" ht="3.95" customHeight="1">
      <c r="B187" s="52"/>
      <c r="C187" s="52"/>
      <c r="D187" s="52"/>
      <c r="E187" s="52"/>
      <c r="F187" s="52"/>
      <c r="G187" s="163"/>
      <c r="H187" s="52"/>
      <c r="I187" s="52"/>
      <c r="J187" s="52"/>
      <c r="K187" s="52"/>
      <c r="L187" s="52"/>
      <c r="M187" s="52"/>
      <c r="N187" s="52"/>
      <c r="O187" s="52"/>
      <c r="P187" s="52"/>
      <c r="Q187" s="52"/>
    </row>
    <row r="188" spans="1:19" ht="15.6">
      <c r="B188" s="125" t="s">
        <v>183</v>
      </c>
      <c r="E188" s="149">
        <f>$E$48</f>
        <v>392.2</v>
      </c>
      <c r="F188" s="149">
        <f>$F$48</f>
        <v>578.79999999999995</v>
      </c>
      <c r="G188" s="173">
        <f>$G$48</f>
        <v>1023.9</v>
      </c>
      <c r="H188" s="149">
        <f ca="1">IFERROR(G188*(1+H189),"")</f>
        <v>1308.9000000000001</v>
      </c>
      <c r="I188" s="149">
        <f t="shared" ref="I188:Q188" ca="1" si="107">IFERROR(H188*(1+I189),"")</f>
        <v>1496.4472470555245</v>
      </c>
      <c r="J188" s="149">
        <f t="shared" ca="1" si="107"/>
        <v>1683.4558649267403</v>
      </c>
      <c r="K188" s="149">
        <f t="shared" ca="1" si="107"/>
        <v>1867.7453121216429</v>
      </c>
      <c r="L188" s="149">
        <f t="shared" ca="1" si="107"/>
        <v>2051.2896527869721</v>
      </c>
      <c r="M188" s="149">
        <f t="shared" ca="1" si="107"/>
        <v>2235.8643225806823</v>
      </c>
      <c r="N188" s="149">
        <f t="shared" ca="1" si="107"/>
        <v>2543.0836969534575</v>
      </c>
      <c r="O188" s="149">
        <f t="shared" ca="1" si="107"/>
        <v>2752.6969873743401</v>
      </c>
      <c r="P188" s="149">
        <f t="shared" ca="1" si="107"/>
        <v>2964.2836608194712</v>
      </c>
      <c r="Q188" s="149">
        <f t="shared" ca="1" si="107"/>
        <v>3321.2703848206256</v>
      </c>
    </row>
    <row r="189" spans="1:19" ht="15.6">
      <c r="B189" s="276" t="s">
        <v>554</v>
      </c>
      <c r="C189" s="276"/>
      <c r="D189" s="276"/>
      <c r="E189" s="308">
        <f>$E$49</f>
        <v>0.23294561458660787</v>
      </c>
      <c r="F189" s="308">
        <f>$F$49</f>
        <v>0.47577766445690967</v>
      </c>
      <c r="G189" s="309">
        <f>$G$49</f>
        <v>0.76900483759502425</v>
      </c>
      <c r="H189" s="308">
        <f ca="1">+OFFSET($H$189,$C$7,0)</f>
        <v>0.27834749487254618</v>
      </c>
      <c r="I189" s="308">
        <f ca="1">+OFFSET($I$189,$C$7,0)</f>
        <v>0.14328615406488221</v>
      </c>
      <c r="J189" s="308">
        <f ca="1">+OFFSET($J$189,$C$7,0)</f>
        <v>0.12496839981441532</v>
      </c>
      <c r="K189" s="308">
        <f ca="1">+OFFSET($K$189,$C$7,0)</f>
        <v>0.10947091101964967</v>
      </c>
      <c r="L189" s="308">
        <f ca="1">+OFFSET($L$189,$C$7,0)</f>
        <v>9.8270540139562268E-2</v>
      </c>
      <c r="M189" s="308">
        <f ca="1">+OFFSET($M$189,$C$7,0)</f>
        <v>8.9979818083194107E-2</v>
      </c>
      <c r="N189" s="308">
        <f ca="1">+OFFSET($N$189,$C$7,0)</f>
        <v>0.13740519550764874</v>
      </c>
      <c r="O189" s="308">
        <f ca="1">+OFFSET($O$189,$C$7,0)</f>
        <v>8.2424849277274337E-2</v>
      </c>
      <c r="P189" s="308">
        <f ca="1">+OFFSET($P$189,$C$7,0)</f>
        <v>7.6865225055865238E-2</v>
      </c>
      <c r="Q189" s="308">
        <f ca="1">+OFFSET($Q$189,$C$7,0)</f>
        <v>0.12042933971523695</v>
      </c>
    </row>
    <row r="190" spans="1:19" ht="15.6">
      <c r="B190" s="275" t="s">
        <v>515</v>
      </c>
      <c r="G190" s="156"/>
      <c r="H190" s="562">
        <f t="shared" ref="H190:Q190" si="108">IFERROR(+H191+$F$7,"")</f>
        <v>0.21834749487254618</v>
      </c>
      <c r="I190" s="562">
        <f t="shared" si="108"/>
        <v>8.3286154064882212E-2</v>
      </c>
      <c r="J190" s="562">
        <f t="shared" si="108"/>
        <v>6.4968399814415323E-2</v>
      </c>
      <c r="K190" s="562">
        <f t="shared" si="108"/>
        <v>4.9470911019649677E-2</v>
      </c>
      <c r="L190" s="562">
        <f t="shared" si="108"/>
        <v>3.827054013956227E-2</v>
      </c>
      <c r="M190" s="562">
        <f t="shared" si="108"/>
        <v>2.997981808319411E-2</v>
      </c>
      <c r="N190" s="562">
        <f t="shared" si="108"/>
        <v>7.7405195507648739E-2</v>
      </c>
      <c r="O190" s="562">
        <f t="shared" si="108"/>
        <v>2.2424849277274339E-2</v>
      </c>
      <c r="P190" s="562">
        <f t="shared" si="108"/>
        <v>1.6865225055865241E-2</v>
      </c>
      <c r="Q190" s="562">
        <f t="shared" si="108"/>
        <v>6.0429339715236952E-2</v>
      </c>
    </row>
    <row r="191" spans="1:19" ht="15.6">
      <c r="B191" s="275" t="s">
        <v>516</v>
      </c>
      <c r="G191" s="156"/>
      <c r="H191" s="563">
        <f>$H$49</f>
        <v>0.27834749487254618</v>
      </c>
      <c r="I191" s="563">
        <f>$I$49</f>
        <v>0.14328615406488221</v>
      </c>
      <c r="J191" s="563">
        <f>$J$49</f>
        <v>0.12496839981441532</v>
      </c>
      <c r="K191" s="563">
        <f>$K$49</f>
        <v>0.10947091101964967</v>
      </c>
      <c r="L191" s="563">
        <f>$L$49</f>
        <v>9.8270540139562268E-2</v>
      </c>
      <c r="M191" s="563">
        <f>$M$49</f>
        <v>8.9979818083194107E-2</v>
      </c>
      <c r="N191" s="563">
        <f>$N$49</f>
        <v>0.13740519550764874</v>
      </c>
      <c r="O191" s="564">
        <f>$O$49</f>
        <v>8.2424849277274337E-2</v>
      </c>
      <c r="P191" s="563">
        <f>$P$49</f>
        <v>7.6865225055865238E-2</v>
      </c>
      <c r="Q191" s="563">
        <f>$Q$49</f>
        <v>0.12042933971523695</v>
      </c>
    </row>
    <row r="192" spans="1:19" ht="15.6">
      <c r="B192" s="275" t="s">
        <v>517</v>
      </c>
      <c r="G192" s="156"/>
      <c r="H192" s="565">
        <f t="shared" ref="H192:Q192" si="109">IFERROR(+H191+$L$7,"")</f>
        <v>0.31834749487254616</v>
      </c>
      <c r="I192" s="565">
        <f t="shared" si="109"/>
        <v>0.18328615406488222</v>
      </c>
      <c r="J192" s="565">
        <f t="shared" si="109"/>
        <v>0.16496839981441533</v>
      </c>
      <c r="K192" s="565">
        <f t="shared" si="109"/>
        <v>0.14947091101964968</v>
      </c>
      <c r="L192" s="565">
        <f t="shared" si="109"/>
        <v>0.13827054013956228</v>
      </c>
      <c r="M192" s="565">
        <f t="shared" si="109"/>
        <v>0.12997981808319412</v>
      </c>
      <c r="N192" s="565">
        <f t="shared" si="109"/>
        <v>0.17740519550764874</v>
      </c>
      <c r="O192" s="565">
        <f t="shared" si="109"/>
        <v>0.12242484927727434</v>
      </c>
      <c r="P192" s="565">
        <f t="shared" si="109"/>
        <v>0.11686522505586525</v>
      </c>
      <c r="Q192" s="565">
        <f t="shared" si="109"/>
        <v>0.16042933971523696</v>
      </c>
    </row>
    <row r="193" spans="2:29" ht="3.75" customHeight="1">
      <c r="G193" s="156"/>
    </row>
    <row r="194" spans="2:29" ht="15.6">
      <c r="B194" s="125" t="s">
        <v>525</v>
      </c>
      <c r="E194" s="149">
        <f t="shared" ref="E194:G195" si="110">+E77</f>
        <v>2.2999999999999758</v>
      </c>
      <c r="F194" s="149">
        <f t="shared" si="110"/>
        <v>45.899999999999963</v>
      </c>
      <c r="G194" s="173">
        <f t="shared" si="110"/>
        <v>113.79999999999993</v>
      </c>
      <c r="H194" s="174">
        <f ca="1">IFERROR(H195*H188,"")</f>
        <v>79.004409361269154</v>
      </c>
      <c r="I194" s="174">
        <f t="shared" ref="I194:Q194" ca="1" si="111">IFERROR(I195*I188,"")</f>
        <v>132.39628069758751</v>
      </c>
      <c r="J194" s="174">
        <f t="shared" ca="1" si="111"/>
        <v>173.52288082035261</v>
      </c>
      <c r="K194" s="174">
        <f t="shared" ca="1" si="111"/>
        <v>207.0582625112481</v>
      </c>
      <c r="L194" s="174">
        <f t="shared" ca="1" si="111"/>
        <v>236.50883081511336</v>
      </c>
      <c r="M194" s="174">
        <f t="shared" ca="1" si="111"/>
        <v>235.35108288114535</v>
      </c>
      <c r="N194" s="174">
        <f t="shared" ca="1" si="111"/>
        <v>277.77993050630187</v>
      </c>
      <c r="O194" s="174">
        <f t="shared" ca="1" si="111"/>
        <v>306.09151760824312</v>
      </c>
      <c r="P194" s="174">
        <f t="shared" ca="1" si="111"/>
        <v>334.15198438308607</v>
      </c>
      <c r="Q194" s="174">
        <f t="shared" ca="1" si="111"/>
        <v>383.16036393982046</v>
      </c>
    </row>
    <row r="195" spans="2:29" ht="15.6">
      <c r="B195" s="276" t="s">
        <v>555</v>
      </c>
      <c r="C195" s="276"/>
      <c r="D195" s="276"/>
      <c r="E195" s="308">
        <f t="shared" si="110"/>
        <v>5.8643549209586327E-3</v>
      </c>
      <c r="F195" s="308">
        <f t="shared" si="110"/>
        <v>7.9302004146509966E-2</v>
      </c>
      <c r="G195" s="309">
        <f t="shared" si="110"/>
        <v>0.11114366637366924</v>
      </c>
      <c r="H195" s="308">
        <f ca="1">OFFSET(H195,$C$8,0)</f>
        <v>6.0359392895766785E-2</v>
      </c>
      <c r="I195" s="308">
        <f ca="1">+OFFSET(I195,$C$8,0)</f>
        <v>8.8473737352316478E-2</v>
      </c>
      <c r="J195" s="308">
        <f ca="1">+OFFSET(J195,$C$8,0)</f>
        <v>0.10307539653135123</v>
      </c>
      <c r="K195" s="308">
        <f ca="1">+OFFSET(K195,$C$8,0)</f>
        <v>0.11086000921402006</v>
      </c>
      <c r="L195" s="308">
        <f ca="1">+OFFSET(L195,$C$8,0)</f>
        <v>0.11529762776006894</v>
      </c>
      <c r="M195" s="308">
        <f t="shared" ref="M195:Q195" ca="1" si="112">+OFFSET(M195,$C$8,0)</f>
        <v>0.10526179093438823</v>
      </c>
      <c r="N195" s="308">
        <f t="shared" ca="1" si="112"/>
        <v>0.10922956678109902</v>
      </c>
      <c r="O195" s="308">
        <f t="shared" ca="1" si="112"/>
        <v>0.11119695302903954</v>
      </c>
      <c r="P195" s="308">
        <f t="shared" ca="1" si="112"/>
        <v>0.11272604872460495</v>
      </c>
      <c r="Q195" s="308">
        <f t="shared" ca="1" si="112"/>
        <v>0.11536560398424595</v>
      </c>
    </row>
    <row r="196" spans="2:29" ht="15.6">
      <c r="B196" s="275" t="s">
        <v>515</v>
      </c>
      <c r="G196" s="156"/>
      <c r="H196" s="565">
        <f t="shared" ref="H196:Q196" si="113">IFERROR(H197+$F$8,"")</f>
        <v>2.0359392895766784E-2</v>
      </c>
      <c r="I196" s="565">
        <f t="shared" si="113"/>
        <v>4.8473737352316477E-2</v>
      </c>
      <c r="J196" s="565">
        <f t="shared" si="113"/>
        <v>6.3075396531351219E-2</v>
      </c>
      <c r="K196" s="565">
        <f t="shared" si="113"/>
        <v>7.0860009214020053E-2</v>
      </c>
      <c r="L196" s="565">
        <f t="shared" si="113"/>
        <v>7.529762776006893E-2</v>
      </c>
      <c r="M196" s="565">
        <f t="shared" si="113"/>
        <v>6.526179093438822E-2</v>
      </c>
      <c r="N196" s="565">
        <f t="shared" si="113"/>
        <v>6.9229566781099011E-2</v>
      </c>
      <c r="O196" s="565">
        <f t="shared" si="113"/>
        <v>7.1196953029039528E-2</v>
      </c>
      <c r="P196" s="565">
        <f t="shared" si="113"/>
        <v>7.2726048724604947E-2</v>
      </c>
      <c r="Q196" s="565">
        <f t="shared" si="113"/>
        <v>7.5365603984245938E-2</v>
      </c>
    </row>
    <row r="197" spans="2:29" ht="15.6">
      <c r="B197" s="275" t="s">
        <v>516</v>
      </c>
      <c r="G197" s="156"/>
      <c r="H197" s="563">
        <f t="shared" ref="H197:Q197" si="114">IFERROR(VALUE(H78),"")</f>
        <v>6.0359392895766785E-2</v>
      </c>
      <c r="I197" s="563">
        <f t="shared" si="114"/>
        <v>8.8473737352316478E-2</v>
      </c>
      <c r="J197" s="563">
        <f t="shared" si="114"/>
        <v>0.10307539653135123</v>
      </c>
      <c r="K197" s="563">
        <f t="shared" si="114"/>
        <v>0.11086000921402006</v>
      </c>
      <c r="L197" s="563">
        <f t="shared" si="114"/>
        <v>0.11529762776006894</v>
      </c>
      <c r="M197" s="563">
        <f t="shared" si="114"/>
        <v>0.10526179093438823</v>
      </c>
      <c r="N197" s="563">
        <f t="shared" si="114"/>
        <v>0.10922956678109902</v>
      </c>
      <c r="O197" s="563">
        <f t="shared" si="114"/>
        <v>0.11119695302903954</v>
      </c>
      <c r="P197" s="563">
        <f t="shared" si="114"/>
        <v>0.11272604872460495</v>
      </c>
      <c r="Q197" s="563">
        <f t="shared" si="114"/>
        <v>0.11536560398424595</v>
      </c>
    </row>
    <row r="198" spans="2:29" ht="15.6">
      <c r="B198" s="275" t="s">
        <v>517</v>
      </c>
      <c r="G198" s="156"/>
      <c r="H198" s="565">
        <f t="shared" ref="H198:Q198" si="115">+IFERROR(H197+$L$8,"")</f>
        <v>9.0359392895766777E-2</v>
      </c>
      <c r="I198" s="565">
        <f t="shared" si="115"/>
        <v>0.11847373735231648</v>
      </c>
      <c r="J198" s="565">
        <f t="shared" si="115"/>
        <v>0.13307539653135123</v>
      </c>
      <c r="K198" s="565">
        <f t="shared" si="115"/>
        <v>0.14086000921402006</v>
      </c>
      <c r="L198" s="565">
        <f t="shared" si="115"/>
        <v>0.14529762776006894</v>
      </c>
      <c r="M198" s="565">
        <f t="shared" si="115"/>
        <v>0.13526179093438823</v>
      </c>
      <c r="N198" s="565">
        <f t="shared" si="115"/>
        <v>0.13922956678109902</v>
      </c>
      <c r="O198" s="565">
        <f t="shared" si="115"/>
        <v>0.14119695302903953</v>
      </c>
      <c r="P198" s="565">
        <f t="shared" si="115"/>
        <v>0.14272604872460495</v>
      </c>
      <c r="Q198" s="565">
        <f t="shared" si="115"/>
        <v>0.14536560398424594</v>
      </c>
    </row>
    <row r="199" spans="2:29" ht="3.75" customHeight="1">
      <c r="G199" s="156"/>
    </row>
    <row r="200" spans="2:29" ht="15.6">
      <c r="B200" s="176" t="s">
        <v>521</v>
      </c>
      <c r="C200" s="177"/>
      <c r="D200" s="177"/>
      <c r="E200" s="178">
        <f>+IFERROR(E194*(1-E97),"")</f>
        <v>7.9733333333331586</v>
      </c>
      <c r="F200" s="178">
        <f t="shared" ref="F200:G200" si="116">+IFERROR(F194*(1-F97),"")</f>
        <v>43.154784688995178</v>
      </c>
      <c r="G200" s="331">
        <f t="shared" si="116"/>
        <v>99.399048525213999</v>
      </c>
      <c r="H200" s="178">
        <f ca="1">+IFERROR(H194*(1-H97),"")</f>
        <v>71.642985529332208</v>
      </c>
      <c r="I200" s="178">
        <f t="shared" ref="I200:Q200" ca="1" si="117">+IFERROR(I194*(1-I97),"")</f>
        <v>119.59180925342454</v>
      </c>
      <c r="J200" s="178">
        <f t="shared" ca="1" si="117"/>
        <v>156.19554514230168</v>
      </c>
      <c r="K200" s="178">
        <f t="shared" ca="1" si="117"/>
        <v>185.80374086947748</v>
      </c>
      <c r="L200" s="178">
        <f t="shared" ca="1" si="117"/>
        <v>211.64387821170277</v>
      </c>
      <c r="M200" s="178">
        <f t="shared" ca="1" si="117"/>
        <v>210.08833139783263</v>
      </c>
      <c r="N200" s="178">
        <f t="shared" ca="1" si="117"/>
        <v>247.41779239753146</v>
      </c>
      <c r="O200" s="178">
        <f t="shared" ca="1" si="117"/>
        <v>272.10097962345344</v>
      </c>
      <c r="P200" s="178">
        <f t="shared" ca="1" si="117"/>
        <v>296.5273685839789</v>
      </c>
      <c r="Q200" s="330">
        <f t="shared" ca="1" si="117"/>
        <v>335.26531844734291</v>
      </c>
    </row>
    <row r="201" spans="2:29" ht="3.75" customHeight="1">
      <c r="G201" s="156"/>
    </row>
    <row r="202" spans="2:29" ht="15.6">
      <c r="B202" s="125" t="s">
        <v>614</v>
      </c>
      <c r="E202" s="149">
        <f t="shared" ref="E202:Q202" si="118">+E141</f>
        <v>27.1</v>
      </c>
      <c r="F202" s="149">
        <f t="shared" si="118"/>
        <v>22.2</v>
      </c>
      <c r="G202" s="173">
        <f t="shared" si="118"/>
        <v>35.9</v>
      </c>
      <c r="H202" s="179">
        <f t="shared" si="118"/>
        <v>37.284731668128309</v>
      </c>
      <c r="I202" s="179">
        <f>+I141</f>
        <v>38.129056062583771</v>
      </c>
      <c r="J202" s="179">
        <f t="shared" si="118"/>
        <v>39.336933070693604</v>
      </c>
      <c r="K202" s="179">
        <f t="shared" si="118"/>
        <v>40.749709577367838</v>
      </c>
      <c r="L202" s="179">
        <f t="shared" si="118"/>
        <v>42.10108010696797</v>
      </c>
      <c r="M202" s="179">
        <f t="shared" si="118"/>
        <v>71.817938077715354</v>
      </c>
      <c r="N202" s="179">
        <f t="shared" si="118"/>
        <v>73.584442484014616</v>
      </c>
      <c r="O202" s="179">
        <f t="shared" si="118"/>
        <v>75.327130811070006</v>
      </c>
      <c r="P202" s="179">
        <f t="shared" si="118"/>
        <v>77.1661364264762</v>
      </c>
      <c r="Q202" s="179">
        <f t="shared" si="118"/>
        <v>78.346118851714166</v>
      </c>
      <c r="R202" s="126"/>
      <c r="S202" s="126"/>
      <c r="T202" s="126"/>
      <c r="U202" s="126"/>
      <c r="V202" s="126"/>
      <c r="W202" s="126"/>
      <c r="X202" s="126"/>
      <c r="Y202" s="126"/>
      <c r="Z202" s="126"/>
      <c r="AA202" s="126"/>
      <c r="AB202" s="126"/>
      <c r="AC202" s="126"/>
    </row>
    <row r="203" spans="2:29" ht="3.75" customHeight="1">
      <c r="G203" s="156"/>
      <c r="R203" s="126"/>
      <c r="S203" s="126"/>
      <c r="T203" s="126"/>
      <c r="U203" s="126"/>
      <c r="V203" s="126"/>
      <c r="W203" s="126"/>
      <c r="X203" s="126"/>
      <c r="Y203" s="126"/>
      <c r="Z203" s="126"/>
      <c r="AA203" s="126"/>
      <c r="AB203" s="126"/>
      <c r="AC203" s="126"/>
    </row>
    <row r="204" spans="2:29" ht="15.6">
      <c r="B204" s="125" t="s">
        <v>591</v>
      </c>
      <c r="E204" s="149">
        <f t="shared" ref="E204:Q204" si="119">+E143</f>
        <v>19.600000000000001</v>
      </c>
      <c r="F204" s="149">
        <f t="shared" si="119"/>
        <v>29.1</v>
      </c>
      <c r="G204" s="173">
        <f t="shared" si="119"/>
        <v>40.6</v>
      </c>
      <c r="H204" s="149">
        <f t="shared" si="119"/>
        <v>61.018675098724614</v>
      </c>
      <c r="I204" s="149">
        <f t="shared" si="119"/>
        <v>68.298738612345062</v>
      </c>
      <c r="J204" s="149">
        <f t="shared" si="119"/>
        <v>74.022221287011035</v>
      </c>
      <c r="K204" s="149">
        <f t="shared" si="119"/>
        <v>84.813863137315252</v>
      </c>
      <c r="L204" s="149">
        <f t="shared" si="119"/>
        <v>92.322220182314084</v>
      </c>
      <c r="M204" s="149">
        <f t="shared" si="119"/>
        <v>100.15708506177909</v>
      </c>
      <c r="N204" s="149">
        <f t="shared" si="119"/>
        <v>114.61878601975313</v>
      </c>
      <c r="O204" s="149">
        <f t="shared" si="119"/>
        <v>123.75519464468681</v>
      </c>
      <c r="P204" s="149">
        <f t="shared" si="119"/>
        <v>133.21913257575414</v>
      </c>
      <c r="Q204" s="149">
        <f t="shared" si="119"/>
        <v>149.42396681808171</v>
      </c>
      <c r="R204" s="126"/>
      <c r="S204" s="126"/>
      <c r="T204" s="126"/>
      <c r="U204" s="126"/>
      <c r="V204" s="126"/>
      <c r="W204" s="126"/>
      <c r="X204" s="126"/>
      <c r="Y204" s="126"/>
      <c r="Z204" s="126"/>
      <c r="AA204" s="126"/>
      <c r="AB204" s="126"/>
      <c r="AC204" s="126"/>
    </row>
    <row r="205" spans="2:29" ht="3.75" customHeight="1">
      <c r="G205" s="145"/>
      <c r="R205" s="126"/>
      <c r="S205" s="126"/>
      <c r="T205" s="126"/>
      <c r="U205" s="126"/>
      <c r="V205" s="126"/>
      <c r="W205" s="126"/>
      <c r="X205" s="126"/>
      <c r="Y205" s="126"/>
      <c r="Z205" s="126"/>
      <c r="AA205" s="126"/>
      <c r="AB205" s="126"/>
      <c r="AC205" s="126"/>
    </row>
    <row r="206" spans="2:29" ht="15.6">
      <c r="B206" s="125" t="s">
        <v>615</v>
      </c>
      <c r="E206" s="149">
        <f t="shared" ref="E206:Q206" si="120">+E146</f>
        <v>-42.4</v>
      </c>
      <c r="F206" s="149">
        <f t="shared" si="120"/>
        <v>-0.80000000000000071</v>
      </c>
      <c r="G206" s="180">
        <f t="shared" si="120"/>
        <v>-117.5</v>
      </c>
      <c r="H206" s="172">
        <f t="shared" si="120"/>
        <v>-152.66083281617472</v>
      </c>
      <c r="I206" s="172">
        <f t="shared" si="120"/>
        <v>-0.16300549038390955</v>
      </c>
      <c r="J206" s="172">
        <f t="shared" si="120"/>
        <v>-23.275872928681622</v>
      </c>
      <c r="K206" s="172">
        <f t="shared" si="120"/>
        <v>-45.001669198716996</v>
      </c>
      <c r="L206" s="172">
        <f t="shared" si="120"/>
        <v>-26.219076583491699</v>
      </c>
      <c r="M206" s="172">
        <f t="shared" si="120"/>
        <v>-35.147328036519468</v>
      </c>
      <c r="N206" s="172">
        <f t="shared" si="120"/>
        <v>-57.51848195550383</v>
      </c>
      <c r="O206" s="172">
        <f t="shared" si="120"/>
        <v>-43.507663764599613</v>
      </c>
      <c r="P206" s="172">
        <f t="shared" si="120"/>
        <v>-41.372128634742978</v>
      </c>
      <c r="Q206" s="172">
        <f t="shared" si="120"/>
        <v>-65.702238641035649</v>
      </c>
      <c r="R206" s="126"/>
      <c r="S206" s="126"/>
      <c r="T206" s="126"/>
      <c r="U206" s="126"/>
      <c r="V206" s="126"/>
      <c r="W206" s="126"/>
      <c r="X206" s="126"/>
      <c r="Y206" s="126"/>
      <c r="Z206" s="126"/>
      <c r="AA206" s="126"/>
      <c r="AB206" s="126"/>
      <c r="AC206" s="126"/>
    </row>
    <row r="207" spans="2:29" ht="3.75" customHeight="1">
      <c r="G207" s="145"/>
      <c r="R207" s="126"/>
      <c r="S207" s="126"/>
      <c r="T207" s="126"/>
      <c r="U207" s="126"/>
      <c r="V207" s="126"/>
      <c r="W207" s="126"/>
      <c r="X207" s="126"/>
      <c r="Y207" s="126"/>
      <c r="Z207" s="126"/>
      <c r="AA207" s="126"/>
      <c r="AB207" s="126"/>
      <c r="AC207" s="126"/>
    </row>
    <row r="208" spans="2:29" ht="13.5" customHeight="1">
      <c r="B208" s="125" t="s">
        <v>595</v>
      </c>
      <c r="E208" s="149">
        <f t="shared" ref="E208:Q208" si="121">+E152</f>
        <v>-4.8</v>
      </c>
      <c r="F208" s="149">
        <f t="shared" si="121"/>
        <v>-1.7</v>
      </c>
      <c r="G208" s="173">
        <f t="shared" si="121"/>
        <v>-8.6999999999999993</v>
      </c>
      <c r="H208" s="149">
        <f>+H152</f>
        <v>-8.6999999999999993</v>
      </c>
      <c r="I208" s="149">
        <f t="shared" si="121"/>
        <v>-9.36</v>
      </c>
      <c r="J208" s="149">
        <f t="shared" si="121"/>
        <v>-9.8879999999999999</v>
      </c>
      <c r="K208" s="149">
        <f t="shared" si="121"/>
        <v>-10.3104</v>
      </c>
      <c r="L208" s="149">
        <f t="shared" si="121"/>
        <v>-10.64832</v>
      </c>
      <c r="M208" s="149">
        <f t="shared" si="121"/>
        <v>-10.918656</v>
      </c>
      <c r="N208" s="149">
        <f t="shared" si="121"/>
        <v>-11.1349248</v>
      </c>
      <c r="O208" s="149">
        <f t="shared" si="121"/>
        <v>-11.30793984</v>
      </c>
      <c r="P208" s="149">
        <f t="shared" si="121"/>
        <v>-11.446351871999999</v>
      </c>
      <c r="Q208" s="149">
        <f t="shared" si="121"/>
        <v>-12</v>
      </c>
      <c r="R208" s="126"/>
      <c r="S208" s="126"/>
      <c r="T208" s="126"/>
      <c r="U208" s="126"/>
      <c r="V208" s="126"/>
      <c r="W208" s="126"/>
      <c r="X208" s="126"/>
      <c r="Y208" s="126"/>
      <c r="Z208" s="126"/>
      <c r="AA208" s="126"/>
      <c r="AB208" s="126"/>
      <c r="AC208" s="126"/>
    </row>
    <row r="209" spans="2:29" ht="3.75" customHeight="1">
      <c r="B209" s="150"/>
      <c r="E209" s="152"/>
      <c r="F209" s="152"/>
      <c r="G209" s="160"/>
      <c r="H209" s="175"/>
      <c r="I209" s="175"/>
      <c r="J209" s="175"/>
      <c r="K209" s="175"/>
      <c r="L209" s="175"/>
      <c r="M209" s="175"/>
      <c r="N209" s="175"/>
      <c r="O209" s="175"/>
      <c r="P209" s="175"/>
      <c r="Q209" s="175"/>
      <c r="R209" s="126"/>
      <c r="S209" s="126"/>
      <c r="T209" s="126"/>
      <c r="U209" s="126"/>
      <c r="V209" s="126"/>
      <c r="W209" s="126"/>
      <c r="X209" s="126"/>
      <c r="Y209" s="126"/>
      <c r="Z209" s="126"/>
      <c r="AA209" s="126"/>
      <c r="AB209" s="126"/>
      <c r="AC209" s="126"/>
    </row>
    <row r="210" spans="2:29" ht="15.6">
      <c r="B210" s="181" t="s">
        <v>29</v>
      </c>
      <c r="C210" s="182"/>
      <c r="D210" s="182"/>
      <c r="E210" s="183">
        <f t="shared" ref="E210:Q210" si="122">IFERROR(E200+E202+E208+E206+E204,"")</f>
        <v>7.4733333333331622</v>
      </c>
      <c r="F210" s="183">
        <f t="shared" si="122"/>
        <v>91.954784688995176</v>
      </c>
      <c r="G210" s="184">
        <f t="shared" si="122"/>
        <v>49.699048525214003</v>
      </c>
      <c r="H210" s="183">
        <f t="shared" ca="1" si="122"/>
        <v>8.5855594800104029</v>
      </c>
      <c r="I210" s="183">
        <f t="shared" ca="1" si="122"/>
        <v>216.49659843796945</v>
      </c>
      <c r="J210" s="183">
        <f t="shared" ca="1" si="122"/>
        <v>236.39082657132468</v>
      </c>
      <c r="K210" s="183">
        <f t="shared" ca="1" si="122"/>
        <v>256.05524438544359</v>
      </c>
      <c r="L210" s="183">
        <f t="shared" ca="1" si="122"/>
        <v>309.19978191749311</v>
      </c>
      <c r="M210" s="183">
        <f t="shared" ca="1" si="122"/>
        <v>335.99737050080762</v>
      </c>
      <c r="N210" s="183">
        <f t="shared" ca="1" si="122"/>
        <v>366.96761414579538</v>
      </c>
      <c r="O210" s="183">
        <f t="shared" ca="1" si="122"/>
        <v>416.36770147461061</v>
      </c>
      <c r="P210" s="183">
        <f t="shared" ca="1" si="122"/>
        <v>454.0941570794663</v>
      </c>
      <c r="Q210" s="332">
        <f t="shared" ca="1" si="122"/>
        <v>485.33316547610309</v>
      </c>
      <c r="R210" s="126"/>
      <c r="S210" s="126" t="s">
        <v>616</v>
      </c>
      <c r="T210" s="126"/>
      <c r="U210" s="126">
        <f ca="1">+J210/(1+$C$12)^(J213-2)</f>
        <v>234.23852858472068</v>
      </c>
      <c r="V210" s="126">
        <f ca="1">+K210/(1+$C$12)^(K213-2)</f>
        <v>235.42948338534745</v>
      </c>
      <c r="W210" s="126">
        <f ca="1">+L210/(1+$C$12)^(L213-2)</f>
        <v>263.79454809410993</v>
      </c>
      <c r="X210" s="126">
        <f ca="1">+M210/(1+$C$12)^(M213-2)</f>
        <v>265.98795939333445</v>
      </c>
      <c r="Y210" s="126">
        <f ca="1">+N210/(1+$C$12)^(N213-2)</f>
        <v>269.5586667455039</v>
      </c>
      <c r="Z210" s="126"/>
      <c r="AA210" s="126">
        <f ca="1">+O210/(1+$C$12)^(O213-2)</f>
        <v>283.79324678288015</v>
      </c>
      <c r="AB210" s="126">
        <f ca="1">+P210/(1+$C$12)^(P213-2)</f>
        <v>287.19071823596471</v>
      </c>
      <c r="AC210" s="126">
        <f ca="1">+Q210/(1+$C$12)^(Q213-2)</f>
        <v>284.81569537875498</v>
      </c>
    </row>
    <row r="211" spans="2:29" ht="15.6">
      <c r="B211" s="185" t="s">
        <v>617</v>
      </c>
      <c r="C211" s="186"/>
      <c r="D211" s="186"/>
      <c r="E211" s="186"/>
      <c r="F211" s="186"/>
      <c r="G211" s="187"/>
      <c r="H211" s="188">
        <f ca="1">IFERROR(H210/(1+$C$12)^H213,"")</f>
        <v>8.5073894314906919</v>
      </c>
      <c r="I211" s="188">
        <f t="shared" ref="I211:P211" ca="1" si="123">IFERROR(I210/(1+$C$12)^I213,"")</f>
        <v>199.05736532469055</v>
      </c>
      <c r="J211" s="188">
        <f t="shared" ca="1" si="123"/>
        <v>201.67741025643895</v>
      </c>
      <c r="K211" s="188">
        <f t="shared" ca="1" si="123"/>
        <v>202.70281235990203</v>
      </c>
      <c r="L211" s="188">
        <f t="shared" ca="1" si="123"/>
        <v>227.1248953826379</v>
      </c>
      <c r="M211" s="188">
        <f t="shared" ca="1" si="123"/>
        <v>229.01340413108153</v>
      </c>
      <c r="N211" s="188">
        <f t="shared" ca="1" si="123"/>
        <v>232.08775323974535</v>
      </c>
      <c r="O211" s="188">
        <f t="shared" ca="1" si="123"/>
        <v>244.3436073700266</v>
      </c>
      <c r="P211" s="188">
        <f t="shared" ca="1" si="123"/>
        <v>247.26880182124793</v>
      </c>
      <c r="Q211" s="189">
        <f ca="1">IFERROR(Q210/(1+$C$12)^Q213,"")</f>
        <v>245.22392704323434</v>
      </c>
      <c r="R211" s="126"/>
      <c r="S211" s="126" t="s">
        <v>618</v>
      </c>
      <c r="T211" s="367">
        <f t="shared" ref="T211:Y211" ca="1" si="124">+I210/(1+$C$12)^(I213-1)</f>
        <v>214.52543399101043</v>
      </c>
      <c r="U211" s="367">
        <f t="shared" ca="1" si="124"/>
        <v>217.34907367468884</v>
      </c>
      <c r="V211" s="367">
        <f t="shared" ca="1" si="124"/>
        <v>218.45415627689201</v>
      </c>
      <c r="W211" s="367">
        <f t="shared" ca="1" si="124"/>
        <v>244.77399604203256</v>
      </c>
      <c r="X211" s="367">
        <f t="shared" ca="1" si="124"/>
        <v>246.80925436163736</v>
      </c>
      <c r="Y211" s="367">
        <f t="shared" ca="1" si="124"/>
        <v>250.12250064971215</v>
      </c>
      <c r="Z211" s="367"/>
      <c r="AA211" s="367">
        <f ca="1">+O210/(1+$C$12)^(O213-1)</f>
        <v>263.33071538690871</v>
      </c>
      <c r="AB211" s="367">
        <f ca="1">+P210/(1+$C$12)^(P213-1)</f>
        <v>266.48321671803387</v>
      </c>
      <c r="AC211" s="367">
        <f ca="1">+Q210/(1+$C$12)^(Q213-1)</f>
        <v>264.27944169822945</v>
      </c>
    </row>
    <row r="212" spans="2:29" ht="3.75" customHeight="1">
      <c r="G212" s="145"/>
      <c r="R212" s="126"/>
      <c r="S212" s="126"/>
      <c r="T212" s="126"/>
      <c r="U212" s="126"/>
      <c r="V212" s="126"/>
      <c r="W212" s="126"/>
      <c r="X212" s="126"/>
      <c r="Y212" s="126"/>
      <c r="Z212" s="126"/>
      <c r="AA212" s="126"/>
      <c r="AB212" s="126"/>
      <c r="AC212" s="126"/>
    </row>
    <row r="213" spans="2:29" ht="15.6">
      <c r="B213" s="125" t="s">
        <v>619</v>
      </c>
      <c r="G213" s="145"/>
      <c r="H213" s="190">
        <f ca="1">+H214/2</f>
        <v>0.12222222222222222</v>
      </c>
      <c r="I213" s="190">
        <f ca="1">+H213+1</f>
        <v>1.1222222222222222</v>
      </c>
      <c r="J213" s="190">
        <f t="shared" ref="J213:P213" ca="1" si="125">+I213+1</f>
        <v>2.1222222222222222</v>
      </c>
      <c r="K213" s="190">
        <f ca="1">+J213+1</f>
        <v>3.1222222222222222</v>
      </c>
      <c r="L213" s="190">
        <f t="shared" ca="1" si="125"/>
        <v>4.1222222222222218</v>
      </c>
      <c r="M213" s="190">
        <f t="shared" ca="1" si="125"/>
        <v>5.1222222222222218</v>
      </c>
      <c r="N213" s="190">
        <f t="shared" ca="1" si="125"/>
        <v>6.1222222222222218</v>
      </c>
      <c r="O213" s="190">
        <f t="shared" ca="1" si="125"/>
        <v>7.1222222222222218</v>
      </c>
      <c r="P213" s="190">
        <f t="shared" ca="1" si="125"/>
        <v>8.1222222222222218</v>
      </c>
      <c r="Q213" s="190">
        <f ca="1">+P213+1</f>
        <v>9.1222222222222218</v>
      </c>
      <c r="R213" s="126"/>
      <c r="S213" s="126"/>
      <c r="T213" s="126"/>
      <c r="U213" s="126"/>
      <c r="V213" s="126"/>
      <c r="W213" s="126"/>
      <c r="X213" s="126"/>
      <c r="Y213" s="126"/>
      <c r="Z213" s="126"/>
      <c r="AA213" s="126"/>
      <c r="AB213" s="126"/>
      <c r="AC213" s="126"/>
    </row>
    <row r="214" spans="2:29" ht="15.6" hidden="1">
      <c r="B214" s="125" t="s">
        <v>620</v>
      </c>
      <c r="G214" s="145"/>
      <c r="H214" s="190">
        <f ca="1">YEARFRAC(P214,P215)</f>
        <v>0.24444444444444444</v>
      </c>
      <c r="P214" s="191">
        <f ca="1">TODAY()</f>
        <v>45933</v>
      </c>
      <c r="R214" s="126"/>
      <c r="S214" s="126"/>
      <c r="T214" s="126"/>
      <c r="U214" s="126"/>
      <c r="V214" s="126"/>
      <c r="W214" s="126"/>
      <c r="X214" s="126"/>
      <c r="Y214" s="126"/>
      <c r="Z214" s="126"/>
      <c r="AA214" s="126"/>
      <c r="AB214" s="126"/>
      <c r="AC214" s="126"/>
    </row>
    <row r="215" spans="2:29" s="126" customFormat="1" ht="3.75" customHeight="1">
      <c r="G215" s="192"/>
      <c r="P215" s="191">
        <v>46022</v>
      </c>
    </row>
    <row r="216" spans="2:29" ht="15.6">
      <c r="B216" s="125" t="s">
        <v>621</v>
      </c>
      <c r="G216" s="145"/>
      <c r="L216" s="193" t="str">
        <f ca="1">IFERROR((#REF!*(1+$C$13))/($C$12-$C$13),"")</f>
        <v/>
      </c>
      <c r="P216" s="194"/>
      <c r="Q216" s="195">
        <f ca="1">IFERROR(+(Q210*(1+$C$13))/($C$12-$C$13),"")</f>
        <v>8578.5669599417342</v>
      </c>
      <c r="R216" s="126">
        <v>2025</v>
      </c>
      <c r="S216" s="126">
        <v>2026</v>
      </c>
      <c r="T216" s="594"/>
      <c r="U216" s="595"/>
      <c r="V216" s="595"/>
      <c r="W216" s="126"/>
      <c r="X216" s="126"/>
      <c r="Y216" s="126"/>
      <c r="Z216" s="126"/>
      <c r="AA216" s="126"/>
      <c r="AB216" s="126"/>
      <c r="AC216" s="126"/>
    </row>
    <row r="217" spans="2:29" ht="15.6">
      <c r="B217" s="125" t="s">
        <v>622</v>
      </c>
      <c r="G217" s="145"/>
      <c r="L217" s="193" t="str">
        <f ca="1">IFERROR(L216/(1+$C$12)^#REF!,"")</f>
        <v/>
      </c>
      <c r="Q217" s="166">
        <f ca="1">IFERROR(Q216/(1+$C$12)^$Q$213,"")</f>
        <v>4334.4861385201029</v>
      </c>
      <c r="R217" s="647">
        <f ca="1">+Q216/(1+$C$12)^$P$213</f>
        <v>4671.3042668746048</v>
      </c>
      <c r="S217" s="126">
        <f ca="1">+Q216/(1+$C$12)^$O$213</f>
        <v>5034.2953827442916</v>
      </c>
      <c r="T217" s="595"/>
      <c r="U217" s="133"/>
      <c r="V217" s="133"/>
      <c r="W217" s="126"/>
      <c r="X217" s="126"/>
      <c r="Y217" s="126"/>
      <c r="Z217" s="126"/>
      <c r="AA217" s="126"/>
      <c r="AB217" s="126"/>
      <c r="AC217" s="126"/>
    </row>
    <row r="218" spans="2:29" ht="15.6">
      <c r="B218" s="125" t="s">
        <v>623</v>
      </c>
      <c r="G218" s="145"/>
      <c r="L218" s="196"/>
      <c r="Q218" s="166">
        <f ca="1">+SUM(H211:Q211,Q217)</f>
        <v>6371.4935048805983</v>
      </c>
      <c r="R218" s="647">
        <f ca="1">+SUM(T211:AC211,R217)</f>
        <v>6857.4320556737503</v>
      </c>
      <c r="S218" s="126">
        <f ca="1">+SUM(S217,U210:AC210)</f>
        <v>7159.1042293449073</v>
      </c>
      <c r="T218" s="595"/>
      <c r="U218" s="133"/>
      <c r="V218" s="133"/>
      <c r="W218" s="126"/>
      <c r="X218" s="126"/>
      <c r="Y218" s="126"/>
      <c r="Z218" s="126"/>
      <c r="AA218" s="126"/>
      <c r="AB218" s="126"/>
      <c r="AC218" s="126"/>
    </row>
    <row r="219" spans="2:29" ht="15.6">
      <c r="B219" s="125" t="s">
        <v>624</v>
      </c>
      <c r="G219" s="145"/>
      <c r="L219" s="196"/>
      <c r="Q219" s="334"/>
      <c r="R219" s="647">
        <f>+H106</f>
        <v>79.248239695884365</v>
      </c>
      <c r="S219" s="647">
        <f>+I106</f>
        <v>251.41274462863629</v>
      </c>
      <c r="T219" s="130"/>
      <c r="U219" s="130"/>
      <c r="V219" s="130"/>
      <c r="W219" s="126"/>
      <c r="X219" s="126"/>
      <c r="Y219" s="126"/>
      <c r="Z219" s="126"/>
      <c r="AA219" s="126"/>
      <c r="AB219" s="126"/>
      <c r="AC219" s="126"/>
    </row>
    <row r="220" spans="2:29" ht="15.6">
      <c r="B220" s="125" t="s">
        <v>625</v>
      </c>
      <c r="G220" s="145"/>
      <c r="L220" s="196"/>
      <c r="Q220" s="334">
        <v>0</v>
      </c>
      <c r="R220" s="647">
        <f>+Q220</f>
        <v>0</v>
      </c>
      <c r="S220" s="647">
        <f>+Q220</f>
        <v>0</v>
      </c>
      <c r="T220" s="130"/>
      <c r="U220" s="130"/>
      <c r="V220" s="130"/>
      <c r="W220" s="126"/>
      <c r="X220" s="126"/>
      <c r="Y220" s="126"/>
      <c r="Z220" s="126"/>
      <c r="AA220" s="126"/>
      <c r="AB220" s="126"/>
      <c r="AC220" s="126"/>
    </row>
    <row r="221" spans="2:29" ht="15.6">
      <c r="B221" s="125" t="s">
        <v>626</v>
      </c>
      <c r="G221" s="145"/>
      <c r="M221" s="197"/>
      <c r="Q221" s="334">
        <v>0</v>
      </c>
      <c r="R221" s="647">
        <f>+Q221</f>
        <v>0</v>
      </c>
      <c r="S221" s="647">
        <f>+Q221</f>
        <v>0</v>
      </c>
      <c r="T221" s="130"/>
      <c r="U221" s="130"/>
      <c r="V221" s="130"/>
      <c r="W221" s="126"/>
      <c r="X221" s="126"/>
      <c r="Y221" s="126"/>
      <c r="Z221" s="126"/>
      <c r="AA221" s="126"/>
      <c r="AB221" s="126"/>
      <c r="AC221" s="126"/>
    </row>
    <row r="222" spans="2:29" ht="15.6">
      <c r="B222" s="125" t="s">
        <v>627</v>
      </c>
      <c r="G222" s="145"/>
      <c r="Q222" s="334">
        <v>0</v>
      </c>
      <c r="R222" s="647">
        <f>+H134</f>
        <v>147.28000000000003</v>
      </c>
      <c r="S222" s="647">
        <f>+I134</f>
        <v>162.79424284443539</v>
      </c>
      <c r="T222" s="130"/>
      <c r="U222" s="130"/>
      <c r="V222" s="130"/>
      <c r="W222" s="126"/>
      <c r="X222" s="126"/>
      <c r="Y222" s="126"/>
      <c r="Z222" s="126"/>
      <c r="AA222" s="126"/>
      <c r="AB222" s="126"/>
      <c r="AC222" s="126"/>
    </row>
    <row r="223" spans="2:29" ht="15.6">
      <c r="B223" s="125" t="s">
        <v>241</v>
      </c>
      <c r="G223" s="145"/>
      <c r="Q223" s="166">
        <f ca="1">Q218+Q219-Q220-Q221-Q222</f>
        <v>6371.4935048805983</v>
      </c>
      <c r="R223" s="647">
        <f ca="1">R218+R219-R220-R221-R222</f>
        <v>6789.4002953696345</v>
      </c>
      <c r="S223" s="647">
        <f ca="1">S218+S219-S220-S221-S222</f>
        <v>7247.7227311291081</v>
      </c>
      <c r="T223" s="130"/>
      <c r="U223" s="130"/>
      <c r="V223" s="130"/>
      <c r="W223" s="126"/>
      <c r="X223" s="126"/>
      <c r="Y223" s="126"/>
      <c r="Z223" s="126"/>
      <c r="AA223" s="126"/>
      <c r="AB223" s="126"/>
      <c r="AC223" s="126"/>
    </row>
    <row r="224" spans="2:29" ht="3.75" customHeight="1">
      <c r="G224" s="145"/>
      <c r="Q224" s="198"/>
      <c r="R224" s="130"/>
      <c r="S224" s="130"/>
      <c r="T224" s="130"/>
      <c r="U224" s="130"/>
      <c r="V224" s="130"/>
      <c r="W224" s="126"/>
      <c r="X224" s="126"/>
      <c r="Y224" s="126"/>
      <c r="Z224" s="126"/>
      <c r="AA224" s="126"/>
      <c r="AB224" s="126"/>
      <c r="AC224" s="126"/>
    </row>
    <row r="225" spans="1:29" ht="15.6">
      <c r="B225" s="125" t="s">
        <v>628</v>
      </c>
      <c r="G225" s="145"/>
      <c r="O225" s="150"/>
      <c r="Q225" s="195" cm="1">
        <f t="array" aca="1" ref="Q225" ca="1">IFERROR(_FV(R4,"Shares outstanding",TRUE)/1000000,"")</f>
        <v>56.734900000000003</v>
      </c>
      <c r="R225" s="130"/>
      <c r="S225" s="130"/>
      <c r="T225" s="130"/>
      <c r="U225" s="130"/>
      <c r="V225" s="130"/>
      <c r="W225" s="126"/>
      <c r="X225" s="126"/>
      <c r="Y225" s="126"/>
      <c r="Z225" s="126"/>
      <c r="AA225" s="126"/>
      <c r="AB225" s="126"/>
      <c r="AC225" s="126"/>
    </row>
    <row r="226" spans="1:29" ht="15.6">
      <c r="B226" s="147" t="s">
        <v>629</v>
      </c>
      <c r="G226" s="145"/>
      <c r="N226" s="199"/>
      <c r="Q226" s="824">
        <f ca="1">IFERROR(Q223/Q$225,"")</f>
        <v>112.30289477694679</v>
      </c>
      <c r="R226" s="130"/>
      <c r="S226" s="130"/>
      <c r="T226" s="130"/>
      <c r="U226" s="130"/>
      <c r="V226" s="130"/>
      <c r="W226" s="126"/>
      <c r="X226" s="126"/>
      <c r="Y226" s="126"/>
      <c r="Z226" s="126"/>
      <c r="AA226" s="126"/>
      <c r="AB226" s="126"/>
      <c r="AC226" s="126"/>
    </row>
    <row r="227" spans="1:29" ht="3.75" customHeight="1">
      <c r="G227" s="145"/>
      <c r="R227" s="130"/>
      <c r="S227" s="130"/>
      <c r="T227" s="130"/>
      <c r="U227" s="130"/>
      <c r="V227" s="130"/>
      <c r="W227" s="126"/>
      <c r="X227" s="126"/>
      <c r="Y227" s="126"/>
      <c r="Z227" s="126"/>
      <c r="AA227" s="126"/>
      <c r="AB227" s="126"/>
      <c r="AC227" s="126"/>
    </row>
    <row r="228" spans="1:29" ht="15.6">
      <c r="B228" s="125" t="s">
        <v>630</v>
      </c>
      <c r="G228" s="145"/>
      <c r="Q228" s="200" cm="1">
        <f t="array" aca="1" ref="Q228" ca="1">IFERROR(_FV(R4,"Price"),"")</f>
        <v>135.91</v>
      </c>
      <c r="R228" s="126"/>
      <c r="S228" s="126"/>
      <c r="T228" s="126"/>
      <c r="U228" s="126"/>
      <c r="V228" s="126"/>
      <c r="W228" s="126"/>
      <c r="X228" s="126"/>
      <c r="Y228" s="126"/>
      <c r="Z228" s="126"/>
      <c r="AA228" s="126"/>
      <c r="AB228" s="126"/>
      <c r="AC228" s="126"/>
    </row>
    <row r="229" spans="1:29" ht="15.6">
      <c r="B229" s="147" t="s">
        <v>631</v>
      </c>
      <c r="C229" s="147"/>
      <c r="D229" s="147"/>
      <c r="E229" s="147"/>
      <c r="F229" s="147"/>
      <c r="G229" s="201"/>
      <c r="H229" s="147"/>
      <c r="I229" s="147"/>
      <c r="J229" s="147"/>
      <c r="K229" s="147"/>
      <c r="L229" s="147"/>
      <c r="M229" s="147"/>
      <c r="N229" s="147"/>
      <c r="O229" s="147"/>
      <c r="P229" s="147"/>
      <c r="Q229" s="202">
        <f ca="1">IFERROR(Q226/Q228-1,"")</f>
        <v>-0.17369660233281736</v>
      </c>
      <c r="R229" s="126"/>
      <c r="S229" s="126"/>
      <c r="T229" s="126"/>
      <c r="U229" s="126"/>
      <c r="V229" s="126"/>
      <c r="W229" s="126"/>
      <c r="X229" s="126"/>
      <c r="Y229" s="126"/>
      <c r="Z229" s="126"/>
      <c r="AA229" s="126"/>
      <c r="AB229" s="126"/>
      <c r="AC229" s="126"/>
    </row>
    <row r="230" spans="1:29" ht="5.25" customHeight="1">
      <c r="B230" s="147"/>
      <c r="C230" s="147"/>
      <c r="D230" s="147"/>
      <c r="E230" s="147"/>
      <c r="F230" s="147"/>
      <c r="G230" s="201"/>
      <c r="H230" s="147"/>
      <c r="I230" s="147"/>
      <c r="J230" s="147"/>
      <c r="K230" s="147"/>
      <c r="L230" s="147"/>
      <c r="M230" s="147"/>
      <c r="N230" s="147"/>
      <c r="O230" s="147"/>
      <c r="P230" s="147"/>
      <c r="Q230" s="202"/>
      <c r="R230" s="126"/>
      <c r="S230" s="126"/>
      <c r="T230" s="126"/>
      <c r="U230" s="126"/>
      <c r="V230" s="126"/>
      <c r="W230" s="126"/>
      <c r="X230" s="126"/>
      <c r="Y230" s="126"/>
      <c r="Z230" s="126"/>
      <c r="AA230" s="126"/>
      <c r="AB230" s="126"/>
      <c r="AC230" s="126"/>
    </row>
    <row r="231" spans="1:29" ht="15.6">
      <c r="A231" s="125" t="s">
        <v>472</v>
      </c>
      <c r="B231" s="51" t="s">
        <v>632</v>
      </c>
      <c r="C231" s="51"/>
      <c r="D231" s="51"/>
      <c r="E231" s="136">
        <f>E186</f>
        <v>2022</v>
      </c>
      <c r="F231" s="136">
        <f t="shared" ref="F231:Q231" si="126">F186</f>
        <v>2023</v>
      </c>
      <c r="G231" s="136">
        <f t="shared" si="126"/>
        <v>2024</v>
      </c>
      <c r="H231" s="136">
        <f t="shared" si="126"/>
        <v>2025</v>
      </c>
      <c r="I231" s="136">
        <f t="shared" si="126"/>
        <v>2026</v>
      </c>
      <c r="J231" s="136">
        <f t="shared" si="126"/>
        <v>2027</v>
      </c>
      <c r="K231" s="136">
        <f t="shared" si="126"/>
        <v>2028</v>
      </c>
      <c r="L231" s="136">
        <f t="shared" si="126"/>
        <v>2029</v>
      </c>
      <c r="M231" s="136">
        <f t="shared" si="126"/>
        <v>2030</v>
      </c>
      <c r="N231" s="136">
        <f t="shared" si="126"/>
        <v>2031</v>
      </c>
      <c r="O231" s="136">
        <f t="shared" si="126"/>
        <v>2032</v>
      </c>
      <c r="P231" s="136">
        <f t="shared" si="126"/>
        <v>2033</v>
      </c>
      <c r="Q231" s="136">
        <f t="shared" si="126"/>
        <v>2034</v>
      </c>
      <c r="R231" s="126"/>
      <c r="S231" s="126"/>
      <c r="T231" s="126"/>
      <c r="U231" s="126"/>
      <c r="V231" s="126"/>
      <c r="W231" s="126"/>
      <c r="X231" s="126"/>
      <c r="Y231" s="126"/>
      <c r="Z231" s="126"/>
      <c r="AA231" s="126"/>
      <c r="AB231" s="126"/>
      <c r="AC231" s="126"/>
    </row>
    <row r="232" spans="1:29" ht="3.75" customHeight="1">
      <c r="B232" s="52"/>
      <c r="C232" s="52"/>
      <c r="D232" s="52"/>
      <c r="E232" s="52"/>
      <c r="F232" s="52"/>
      <c r="G232" s="163"/>
      <c r="H232" s="52"/>
      <c r="I232" s="52"/>
      <c r="J232" s="52"/>
      <c r="K232" s="52"/>
      <c r="L232" s="52"/>
      <c r="M232" s="52"/>
      <c r="N232" s="52"/>
      <c r="O232" s="52"/>
      <c r="P232" s="52"/>
      <c r="Q232" s="52"/>
      <c r="R232" s="126"/>
      <c r="S232" s="126"/>
      <c r="T232" s="126"/>
      <c r="U232" s="126"/>
      <c r="V232" s="126"/>
      <c r="W232" s="126"/>
      <c r="X232" s="126"/>
      <c r="Y232" s="126"/>
      <c r="Z232" s="126"/>
      <c r="AA232" s="126"/>
      <c r="AB232" s="126"/>
      <c r="AC232" s="126"/>
    </row>
    <row r="233" spans="1:29" ht="15.6">
      <c r="B233" s="181" t="s">
        <v>633</v>
      </c>
      <c r="C233" s="182"/>
      <c r="D233" s="182"/>
      <c r="E233" s="183"/>
      <c r="F233" s="183"/>
      <c r="G233" s="184"/>
      <c r="H233" s="183">
        <f ca="1">IFERROR(H210/(1+WACC!$G$16)^H213,"")</f>
        <v>8.5072400856304338</v>
      </c>
      <c r="I233" s="183">
        <f ca="1">IFERROR(I210/(1+WACC!$G$16)^I213,"")</f>
        <v>199.0252824978829</v>
      </c>
      <c r="J233" s="183">
        <f ca="1">IFERROR(J210/(1+WACC!$G$16)^J213,"")</f>
        <v>201.61594461238388</v>
      </c>
      <c r="K233" s="183">
        <f ca="1">IFERROR(K210/(1+WACC!$G$16)^K213,"")</f>
        <v>202.61193060169168</v>
      </c>
      <c r="L233" s="183">
        <f ca="1">IFERROR(L210/(1+WACC!$G$16)^L213,"")</f>
        <v>226.99045860643082</v>
      </c>
      <c r="M233" s="183">
        <f ca="1">IFERROR(M210/(1+WACC!$G$16)^M213,"")</f>
        <v>228.84497776383213</v>
      </c>
      <c r="N233" s="183">
        <f ca="1">IFERROR(N210/(1+WACC!$G$16)^N213,"")</f>
        <v>231.8837575966356</v>
      </c>
      <c r="O233" s="183">
        <f ca="1">IFERROR(O210/(1+WACC!$G$16)^O213,"")</f>
        <v>244.09377719321009</v>
      </c>
      <c r="P233" s="183">
        <f ca="1">IFERROR(P210/(1+WACC!$G$16)^P213,"")</f>
        <v>246.9805039721054</v>
      </c>
      <c r="Q233" s="592">
        <f ca="1">IFERROR(Q210/(1+WACC!$G$16)^Q213,"")</f>
        <v>244.90283501882783</v>
      </c>
      <c r="R233" s="126"/>
      <c r="S233" s="126"/>
      <c r="T233" s="126"/>
      <c r="U233" s="126"/>
      <c r="V233" s="126"/>
      <c r="W233" s="126"/>
      <c r="X233" s="126"/>
      <c r="Y233" s="126"/>
      <c r="Z233" s="126"/>
      <c r="AA233" s="126"/>
      <c r="AB233" s="126"/>
      <c r="AC233" s="126"/>
    </row>
    <row r="234" spans="1:29" ht="15.6">
      <c r="B234" s="185" t="s">
        <v>634</v>
      </c>
      <c r="C234" s="186"/>
      <c r="D234" s="186"/>
      <c r="E234" s="186"/>
      <c r="F234" s="186"/>
      <c r="G234" s="187"/>
      <c r="H234" s="188">
        <f ca="1">IFERROR((H83*H97)/(1+WACC!$G$20)^H213,"")</f>
        <v>0.68221376549638846</v>
      </c>
      <c r="I234" s="188">
        <f ca="1">IFERROR((I83*I97)/(1+WACC!$G$20)^I213,"")</f>
        <v>0.71676496784670329</v>
      </c>
      <c r="J234" s="188">
        <f ca="1">IFERROR((J83*J97)/(1+WACC!$G$20)^J213,"")</f>
        <v>0.47778106606077714</v>
      </c>
      <c r="K234" s="188">
        <f ca="1">IFERROR((K83*K97)/(1+WACC!$G$20)^K213,"")</f>
        <v>0.27635362351617637</v>
      </c>
      <c r="L234" s="188">
        <f ca="1">IFERROR((L83*L97)/(1+WACC!$G$20)^L213,"")</f>
        <v>0.11241255974204674</v>
      </c>
      <c r="M234" s="188">
        <f ca="1">IFERROR((M83*M97)/(1+WACC!$G$20)^M213,"")</f>
        <v>6.7941165508940887E-2</v>
      </c>
      <c r="N234" s="188">
        <f ca="1">IFERROR((N83*N97)/(1+WACC!$G$20)^N213,"")</f>
        <v>6.2333339332986813E-2</v>
      </c>
      <c r="O234" s="188">
        <f ca="1">IFERROR((O83*O97)/(1+WACC!$G$20)^O213,"")</f>
        <v>5.7570819030957732E-2</v>
      </c>
      <c r="P234" s="188">
        <f ca="1">IFERROR((P83*P97)/(1+WACC!$G$20)^P213,"")</f>
        <v>5.3487909898335087E-2</v>
      </c>
      <c r="Q234" s="593">
        <f ca="1">IFERROR((Q83*Q97)/(1+WACC!$G$20)^Q213,"")</f>
        <v>4.7336933802012482E-2</v>
      </c>
      <c r="R234" s="126"/>
      <c r="S234" s="126"/>
      <c r="T234" s="126"/>
      <c r="U234" s="126"/>
      <c r="V234" s="126"/>
      <c r="W234" s="126"/>
      <c r="X234" s="126"/>
      <c r="Y234" s="126"/>
      <c r="Z234" s="126"/>
      <c r="AA234" s="126"/>
      <c r="AB234" s="126"/>
      <c r="AC234" s="126"/>
    </row>
    <row r="235" spans="1:29" ht="3.75" customHeight="1">
      <c r="B235" s="147"/>
      <c r="C235" s="147"/>
      <c r="D235" s="147"/>
      <c r="E235" s="147"/>
      <c r="F235" s="147"/>
      <c r="G235" s="201"/>
      <c r="H235" s="147"/>
      <c r="I235" s="147"/>
      <c r="J235" s="147"/>
      <c r="K235" s="147"/>
      <c r="L235" s="147"/>
      <c r="M235" s="147"/>
      <c r="N235" s="147"/>
      <c r="O235" s="147"/>
      <c r="P235" s="147"/>
      <c r="Q235" s="202"/>
      <c r="R235" s="126"/>
      <c r="S235" s="126"/>
      <c r="T235" s="126"/>
      <c r="U235" s="126"/>
      <c r="V235" s="126"/>
      <c r="W235" s="126"/>
      <c r="X235" s="126"/>
      <c r="Y235" s="126"/>
      <c r="Z235" s="126"/>
      <c r="AA235" s="126"/>
      <c r="AB235" s="126"/>
      <c r="AC235" s="126"/>
    </row>
    <row r="236" spans="1:29" ht="15.6">
      <c r="B236" s="125" t="s">
        <v>635</v>
      </c>
      <c r="C236" s="147"/>
      <c r="D236" s="147"/>
      <c r="E236" s="147"/>
      <c r="F236" s="147"/>
      <c r="G236" s="201"/>
      <c r="H236" s="147"/>
      <c r="I236" s="147"/>
      <c r="J236" s="147"/>
      <c r="K236" s="147"/>
      <c r="L236" s="147"/>
      <c r="M236" s="147"/>
      <c r="N236" s="147"/>
      <c r="O236" s="147"/>
      <c r="P236" s="147"/>
      <c r="Q236" s="166">
        <f ca="1">IFERROR((Q210*(1+$C$13))/(WACC!$G$16-'DCF (3)'!$C$13),"")</f>
        <v>8555.6156167382469</v>
      </c>
      <c r="R236" s="126"/>
      <c r="S236" s="126"/>
      <c r="T236" s="126"/>
      <c r="U236" s="126"/>
      <c r="V236" s="126"/>
      <c r="W236" s="126"/>
      <c r="X236" s="126"/>
      <c r="Y236" s="126"/>
      <c r="Z236" s="126"/>
      <c r="AA236" s="126"/>
      <c r="AB236" s="126"/>
      <c r="AC236" s="126"/>
    </row>
    <row r="237" spans="1:29" ht="15.6">
      <c r="B237" s="125" t="s">
        <v>636</v>
      </c>
      <c r="C237" s="147"/>
      <c r="D237" s="147"/>
      <c r="E237" s="147"/>
      <c r="F237" s="147"/>
      <c r="G237" s="201"/>
      <c r="H237" s="147"/>
      <c r="I237" s="147"/>
      <c r="J237" s="147"/>
      <c r="K237" s="147"/>
      <c r="L237" s="147"/>
      <c r="M237" s="147"/>
      <c r="N237" s="147"/>
      <c r="O237" s="147"/>
      <c r="P237" s="147"/>
      <c r="Q237" s="166">
        <f ca="1">IFERROR(Q236/(1+WACC!$G$16)^$Q$213,"")</f>
        <v>4317.2292126690072</v>
      </c>
      <c r="R237" s="126"/>
      <c r="S237" s="126"/>
      <c r="T237" s="126"/>
      <c r="U237" s="126"/>
      <c r="V237" s="126"/>
      <c r="W237" s="126"/>
      <c r="X237" s="126"/>
      <c r="Y237" s="126"/>
      <c r="Z237" s="126"/>
      <c r="AA237" s="126"/>
      <c r="AB237" s="126"/>
      <c r="AC237" s="126"/>
    </row>
    <row r="238" spans="1:29" ht="15.6">
      <c r="B238" s="125" t="s">
        <v>637</v>
      </c>
      <c r="C238" s="147"/>
      <c r="D238" s="147"/>
      <c r="E238" s="147"/>
      <c r="F238" s="147"/>
      <c r="G238" s="201"/>
      <c r="H238" s="147"/>
      <c r="I238" s="147"/>
      <c r="J238" s="147"/>
      <c r="K238" s="147"/>
      <c r="L238" s="147"/>
      <c r="M238" s="147"/>
      <c r="N238" s="147"/>
      <c r="O238" s="147"/>
      <c r="P238" s="147"/>
      <c r="Q238" s="166">
        <f ca="1">IFERROR((Q234*(1+$C$13))/(WACC!$G$16-$C$13),"")</f>
        <v>0.83447132587303841</v>
      </c>
      <c r="R238" s="126"/>
      <c r="S238" s="126"/>
      <c r="T238" s="126"/>
      <c r="U238" s="126"/>
      <c r="V238" s="126"/>
      <c r="W238" s="126"/>
      <c r="X238" s="126"/>
      <c r="Y238" s="126"/>
      <c r="Z238" s="126"/>
      <c r="AA238" s="126"/>
      <c r="AB238" s="126"/>
      <c r="AC238" s="126"/>
    </row>
    <row r="239" spans="1:29" ht="15.6">
      <c r="B239" s="125" t="s">
        <v>638</v>
      </c>
      <c r="C239" s="147"/>
      <c r="D239" s="147"/>
      <c r="E239" s="147"/>
      <c r="F239" s="147"/>
      <c r="G239" s="201"/>
      <c r="H239" s="147"/>
      <c r="I239" s="147"/>
      <c r="J239" s="147"/>
      <c r="K239" s="147"/>
      <c r="L239" s="147"/>
      <c r="M239" s="147"/>
      <c r="N239" s="147"/>
      <c r="O239" s="147"/>
      <c r="P239" s="147"/>
      <c r="Q239" s="166">
        <f ca="1">IFERROR(Q238/(1+WACC!$G$18)^$Q$213,"")</f>
        <v>2.7357218131102408E-23</v>
      </c>
      <c r="R239" s="126"/>
      <c r="S239" s="126"/>
      <c r="T239" s="126"/>
      <c r="U239" s="126"/>
      <c r="V239" s="126"/>
      <c r="W239" s="126"/>
      <c r="X239" s="126"/>
      <c r="Y239" s="126"/>
      <c r="Z239" s="126"/>
      <c r="AA239" s="126"/>
      <c r="AB239" s="126"/>
      <c r="AC239" s="126"/>
    </row>
    <row r="240" spans="1:29" ht="15.6">
      <c r="B240" s="125" t="s">
        <v>639</v>
      </c>
      <c r="G240" s="145"/>
      <c r="Q240" s="166">
        <f ca="1">+SUM(H233:Q234,Q237,Q239)</f>
        <v>6355.2401167678736</v>
      </c>
      <c r="R240" s="126"/>
      <c r="S240" s="126"/>
      <c r="T240" s="126"/>
      <c r="U240" s="126"/>
      <c r="V240" s="126"/>
      <c r="W240" s="126"/>
      <c r="X240" s="126"/>
      <c r="Y240" s="126"/>
      <c r="Z240" s="126"/>
      <c r="AA240" s="126"/>
      <c r="AB240" s="126"/>
      <c r="AC240" s="126"/>
    </row>
    <row r="241" spans="1:29" ht="15.6">
      <c r="B241" s="125" t="s">
        <v>241</v>
      </c>
      <c r="G241" s="145"/>
      <c r="Q241" s="166">
        <f ca="1">+Q240-Q219+Q220+Q221+Q222</f>
        <v>6355.2401167678736</v>
      </c>
      <c r="R241" s="126"/>
      <c r="S241" s="126"/>
      <c r="T241" s="126"/>
      <c r="U241" s="126"/>
      <c r="V241" s="126"/>
      <c r="W241" s="126"/>
      <c r="X241" s="126"/>
      <c r="Y241" s="126"/>
      <c r="Z241" s="126"/>
      <c r="AA241" s="126"/>
      <c r="AB241" s="126"/>
      <c r="AC241" s="126"/>
    </row>
    <row r="242" spans="1:29" ht="15.6">
      <c r="B242" s="147" t="s">
        <v>629</v>
      </c>
      <c r="C242" s="147"/>
      <c r="D242" s="147"/>
      <c r="E242" s="147"/>
      <c r="F242" s="147"/>
      <c r="G242" s="201"/>
      <c r="H242" s="147"/>
      <c r="I242" s="147"/>
      <c r="J242" s="147"/>
      <c r="K242" s="147"/>
      <c r="L242" s="147"/>
      <c r="M242" s="147"/>
      <c r="N242" s="147"/>
      <c r="O242" s="147"/>
      <c r="P242" s="147"/>
      <c r="Q242" s="399">
        <f ca="1">IFERROR(Q241/Q225,"")</f>
        <v>112.01641523591076</v>
      </c>
      <c r="R242" s="126"/>
      <c r="S242" s="126"/>
      <c r="T242" s="126"/>
      <c r="U242" s="126"/>
      <c r="V242" s="126"/>
      <c r="W242" s="126"/>
      <c r="X242" s="126"/>
      <c r="Y242" s="126"/>
      <c r="Z242" s="126"/>
      <c r="AA242" s="126"/>
      <c r="AB242" s="126"/>
      <c r="AC242" s="126"/>
    </row>
    <row r="243" spans="1:29" ht="3.75" customHeight="1">
      <c r="B243" s="147"/>
      <c r="C243" s="147"/>
      <c r="D243" s="147"/>
      <c r="E243" s="147"/>
      <c r="F243" s="147"/>
      <c r="G243" s="201"/>
      <c r="H243" s="147"/>
      <c r="I243" s="147"/>
      <c r="J243" s="147"/>
      <c r="K243" s="147"/>
      <c r="L243" s="147"/>
      <c r="M243" s="147"/>
      <c r="N243" s="147"/>
      <c r="O243" s="147"/>
      <c r="P243" s="147"/>
      <c r="Q243" s="399"/>
      <c r="R243" s="126"/>
      <c r="S243" s="126"/>
      <c r="T243" s="126"/>
      <c r="U243" s="126"/>
      <c r="V243" s="126"/>
      <c r="W243" s="126"/>
      <c r="X243" s="126"/>
      <c r="Y243" s="126"/>
      <c r="Z243" s="126"/>
      <c r="AA243" s="126"/>
      <c r="AB243" s="126"/>
      <c r="AC243" s="126"/>
    </row>
    <row r="244" spans="1:29" ht="15.6">
      <c r="B244" s="400" t="s">
        <v>631</v>
      </c>
      <c r="C244" s="147"/>
      <c r="D244" s="147"/>
      <c r="E244" s="147"/>
      <c r="F244" s="147"/>
      <c r="G244" s="201"/>
      <c r="H244" s="147"/>
      <c r="I244" s="147"/>
      <c r="J244" s="147"/>
      <c r="K244" s="147"/>
      <c r="L244" s="147"/>
      <c r="M244" s="147"/>
      <c r="N244" s="147"/>
      <c r="O244" s="147"/>
      <c r="P244" s="147"/>
      <c r="Q244" s="202">
        <f ca="1">IFERROR(Q242/Q228-1,"")</f>
        <v>-0.17580446445507503</v>
      </c>
      <c r="R244" s="126"/>
      <c r="S244" s="126"/>
      <c r="T244" s="126"/>
      <c r="U244" s="126"/>
      <c r="V244" s="126"/>
      <c r="W244" s="126"/>
      <c r="X244" s="126"/>
      <c r="Y244" s="126"/>
      <c r="Z244" s="126"/>
      <c r="AA244" s="126"/>
      <c r="AB244" s="126"/>
      <c r="AC244" s="126"/>
    </row>
    <row r="245" spans="1:29" ht="3.75" customHeight="1">
      <c r="G245" s="145"/>
    </row>
    <row r="246" spans="1:29" ht="15.6">
      <c r="A246" s="125" t="s">
        <v>472</v>
      </c>
      <c r="B246" s="51" t="s">
        <v>640</v>
      </c>
      <c r="C246" s="51"/>
      <c r="D246" s="51"/>
      <c r="E246" s="136">
        <f>E46</f>
        <v>2022</v>
      </c>
      <c r="F246" s="136">
        <f>F46</f>
        <v>2023</v>
      </c>
      <c r="G246" s="137">
        <f>G46</f>
        <v>2024</v>
      </c>
      <c r="H246" s="99">
        <f t="shared" ref="H246:Q246" si="127">1+G246</f>
        <v>2025</v>
      </c>
      <c r="I246" s="99">
        <f t="shared" si="127"/>
        <v>2026</v>
      </c>
      <c r="J246" s="99">
        <f t="shared" si="127"/>
        <v>2027</v>
      </c>
      <c r="K246" s="99">
        <f t="shared" si="127"/>
        <v>2028</v>
      </c>
      <c r="L246" s="99">
        <f t="shared" si="127"/>
        <v>2029</v>
      </c>
      <c r="M246" s="99">
        <f t="shared" si="127"/>
        <v>2030</v>
      </c>
      <c r="N246" s="99">
        <f t="shared" si="127"/>
        <v>2031</v>
      </c>
      <c r="O246" s="99">
        <f t="shared" si="127"/>
        <v>2032</v>
      </c>
      <c r="P246" s="99">
        <f t="shared" si="127"/>
        <v>2033</v>
      </c>
      <c r="Q246" s="99">
        <f t="shared" si="127"/>
        <v>2034</v>
      </c>
    </row>
    <row r="247" spans="1:29" ht="3.75" customHeight="1">
      <c r="B247" s="52"/>
      <c r="C247" s="52"/>
      <c r="D247" s="52"/>
      <c r="E247" s="52"/>
      <c r="F247" s="52"/>
      <c r="G247" s="203"/>
      <c r="H247" s="52"/>
      <c r="I247" s="52"/>
      <c r="J247" s="52"/>
      <c r="K247" s="52"/>
      <c r="L247" s="52"/>
      <c r="M247" s="52"/>
      <c r="N247" s="52"/>
      <c r="O247" s="52"/>
      <c r="P247" s="52"/>
      <c r="Q247" s="52"/>
    </row>
    <row r="248" spans="1:29" ht="15.6">
      <c r="B248" s="125" t="s">
        <v>525</v>
      </c>
      <c r="E248" s="149">
        <f>+E77</f>
        <v>2.2999999999999758</v>
      </c>
      <c r="F248" s="149">
        <f>+F77</f>
        <v>45.899999999999963</v>
      </c>
      <c r="G248" s="180">
        <f>+G77</f>
        <v>113.79999999999993</v>
      </c>
      <c r="H248" s="174">
        <f>+H77</f>
        <v>79.004409361269154</v>
      </c>
      <c r="I248" s="174">
        <f t="shared" ref="I248:Q248" si="128">+I77</f>
        <v>132.39628069758751</v>
      </c>
      <c r="J248" s="174">
        <f t="shared" si="128"/>
        <v>173.52288082035261</v>
      </c>
      <c r="K248" s="174">
        <f t="shared" si="128"/>
        <v>207.0582625112481</v>
      </c>
      <c r="L248" s="174">
        <f t="shared" si="128"/>
        <v>236.50883081511336</v>
      </c>
      <c r="M248" s="174">
        <f t="shared" si="128"/>
        <v>235.35108288114535</v>
      </c>
      <c r="N248" s="174">
        <f t="shared" si="128"/>
        <v>277.77993050630187</v>
      </c>
      <c r="O248" s="174">
        <f t="shared" si="128"/>
        <v>306.09151760824307</v>
      </c>
      <c r="P248" s="174">
        <f t="shared" si="128"/>
        <v>334.15198438308602</v>
      </c>
      <c r="Q248" s="174">
        <f t="shared" si="128"/>
        <v>383.16036393982034</v>
      </c>
    </row>
    <row r="249" spans="1:29" ht="3.75" customHeight="1">
      <c r="G249" s="145"/>
    </row>
    <row r="250" spans="1:29" ht="15" customHeight="1">
      <c r="B250" s="125" t="s">
        <v>306</v>
      </c>
      <c r="E250" s="166">
        <f>+E99</f>
        <v>21.899999999999977</v>
      </c>
      <c r="F250" s="166">
        <f t="shared" ref="F250:Q250" si="129">+F99</f>
        <v>61.499999999999957</v>
      </c>
      <c r="G250" s="204">
        <f t="shared" si="129"/>
        <v>127.69999999999993</v>
      </c>
      <c r="H250" s="166">
        <f t="shared" si="129"/>
        <v>62.063183204886457</v>
      </c>
      <c r="I250" s="166">
        <f t="shared" si="129"/>
        <v>109.48509109584828</v>
      </c>
      <c r="J250" s="166">
        <f t="shared" si="129"/>
        <v>148.57900614911702</v>
      </c>
      <c r="K250" s="166">
        <f t="shared" si="129"/>
        <v>180.15607849661009</v>
      </c>
      <c r="L250" s="166">
        <f t="shared" si="129"/>
        <v>207.72797506966202</v>
      </c>
      <c r="M250" s="166">
        <f t="shared" si="129"/>
        <v>206.56705889197923</v>
      </c>
      <c r="N250" s="166">
        <f t="shared" si="129"/>
        <v>243.67627569221466</v>
      </c>
      <c r="O250" s="166">
        <f t="shared" si="129"/>
        <v>268.37621441054802</v>
      </c>
      <c r="P250" s="166">
        <f t="shared" si="129"/>
        <v>292.70945194095793</v>
      </c>
      <c r="Q250" s="166">
        <f t="shared" si="129"/>
        <v>331.28408395617294</v>
      </c>
    </row>
    <row r="251" spans="1:29" ht="3.75" customHeight="1">
      <c r="G251" s="145"/>
    </row>
    <row r="252" spans="1:29" ht="15" customHeight="1">
      <c r="B252" s="125" t="s">
        <v>558</v>
      </c>
      <c r="E252" s="205">
        <f t="shared" ref="E252:Q252" si="130">+E141</f>
        <v>27.1</v>
      </c>
      <c r="F252" s="205">
        <f t="shared" si="130"/>
        <v>22.2</v>
      </c>
      <c r="G252" s="206">
        <f t="shared" si="130"/>
        <v>35.9</v>
      </c>
      <c r="H252" s="205">
        <f t="shared" si="130"/>
        <v>37.284731668128309</v>
      </c>
      <c r="I252" s="205">
        <f t="shared" si="130"/>
        <v>38.129056062583771</v>
      </c>
      <c r="J252" s="205">
        <f t="shared" si="130"/>
        <v>39.336933070693604</v>
      </c>
      <c r="K252" s="205">
        <f t="shared" si="130"/>
        <v>40.749709577367838</v>
      </c>
      <c r="L252" s="205">
        <f t="shared" si="130"/>
        <v>42.10108010696797</v>
      </c>
      <c r="M252" s="205">
        <f t="shared" si="130"/>
        <v>71.817938077715354</v>
      </c>
      <c r="N252" s="205">
        <f t="shared" si="130"/>
        <v>73.584442484014616</v>
      </c>
      <c r="O252" s="205">
        <f t="shared" si="130"/>
        <v>75.327130811070006</v>
      </c>
      <c r="P252" s="205">
        <f t="shared" si="130"/>
        <v>77.1661364264762</v>
      </c>
      <c r="Q252" s="205">
        <f t="shared" si="130"/>
        <v>78.346118851714166</v>
      </c>
    </row>
    <row r="253" spans="1:29" ht="3.95" customHeight="1">
      <c r="B253" s="150"/>
      <c r="E253" s="207"/>
      <c r="F253" s="207"/>
      <c r="G253" s="208"/>
      <c r="H253" s="209"/>
      <c r="I253" s="209"/>
      <c r="J253" s="209"/>
      <c r="K253" s="209"/>
      <c r="L253" s="209"/>
      <c r="M253" s="209"/>
      <c r="N253" s="209"/>
      <c r="O253" s="209"/>
      <c r="P253" s="209"/>
      <c r="Q253" s="209"/>
    </row>
    <row r="254" spans="1:29" ht="13.5" customHeight="1">
      <c r="B254" s="125" t="s">
        <v>591</v>
      </c>
      <c r="E254" s="166">
        <f>+E143</f>
        <v>19.600000000000001</v>
      </c>
      <c r="F254" s="166">
        <f t="shared" ref="F254:Q254" si="131">+F143</f>
        <v>29.1</v>
      </c>
      <c r="G254" s="204">
        <f t="shared" si="131"/>
        <v>40.6</v>
      </c>
      <c r="H254" s="166">
        <f t="shared" si="131"/>
        <v>61.018675098724614</v>
      </c>
      <c r="I254" s="166">
        <f t="shared" si="131"/>
        <v>68.298738612345062</v>
      </c>
      <c r="J254" s="166">
        <f t="shared" si="131"/>
        <v>74.022221287011035</v>
      </c>
      <c r="K254" s="166">
        <f t="shared" si="131"/>
        <v>84.813863137315252</v>
      </c>
      <c r="L254" s="166">
        <f t="shared" si="131"/>
        <v>92.322220182314084</v>
      </c>
      <c r="M254" s="166">
        <f t="shared" si="131"/>
        <v>100.15708506177909</v>
      </c>
      <c r="N254" s="166">
        <f t="shared" si="131"/>
        <v>114.61878601975313</v>
      </c>
      <c r="O254" s="166">
        <f t="shared" si="131"/>
        <v>123.75519464468681</v>
      </c>
      <c r="P254" s="166">
        <f t="shared" si="131"/>
        <v>133.21913257575414</v>
      </c>
      <c r="Q254" s="166">
        <f t="shared" si="131"/>
        <v>149.42396681808171</v>
      </c>
    </row>
    <row r="255" spans="1:29" ht="3.95" customHeight="1">
      <c r="B255" s="150"/>
      <c r="E255" s="207"/>
      <c r="F255" s="207"/>
      <c r="G255" s="208"/>
      <c r="H255" s="209"/>
      <c r="I255" s="209"/>
      <c r="J255" s="209"/>
      <c r="K255" s="209"/>
      <c r="L255" s="209"/>
      <c r="M255" s="209"/>
      <c r="N255" s="209"/>
      <c r="O255" s="209"/>
      <c r="P255" s="209"/>
      <c r="Q255" s="209"/>
    </row>
    <row r="256" spans="1:29" ht="15" customHeight="1">
      <c r="B256" s="125" t="s">
        <v>615</v>
      </c>
      <c r="E256" s="166">
        <f t="shared" ref="E256:Q256" si="132">E206</f>
        <v>-42.4</v>
      </c>
      <c r="F256" s="166">
        <f t="shared" si="132"/>
        <v>-0.80000000000000071</v>
      </c>
      <c r="G256" s="204">
        <f t="shared" si="132"/>
        <v>-117.5</v>
      </c>
      <c r="H256" s="166">
        <f t="shared" si="132"/>
        <v>-152.66083281617472</v>
      </c>
      <c r="I256" s="166">
        <f t="shared" si="132"/>
        <v>-0.16300549038390955</v>
      </c>
      <c r="J256" s="166">
        <f t="shared" si="132"/>
        <v>-23.275872928681622</v>
      </c>
      <c r="K256" s="166">
        <f t="shared" si="132"/>
        <v>-45.001669198716996</v>
      </c>
      <c r="L256" s="166">
        <f t="shared" si="132"/>
        <v>-26.219076583491699</v>
      </c>
      <c r="M256" s="166">
        <f t="shared" si="132"/>
        <v>-35.147328036519468</v>
      </c>
      <c r="N256" s="166">
        <f t="shared" si="132"/>
        <v>-57.51848195550383</v>
      </c>
      <c r="O256" s="166">
        <f t="shared" si="132"/>
        <v>-43.507663764599613</v>
      </c>
      <c r="P256" s="166">
        <f t="shared" si="132"/>
        <v>-41.372128634742978</v>
      </c>
      <c r="Q256" s="166">
        <f t="shared" si="132"/>
        <v>-65.702238641035649</v>
      </c>
    </row>
    <row r="257" spans="2:17" ht="3.75" customHeight="1">
      <c r="E257" s="166"/>
      <c r="F257" s="166"/>
      <c r="G257" s="204"/>
      <c r="H257" s="166"/>
      <c r="I257" s="166"/>
      <c r="J257" s="166"/>
      <c r="K257" s="166"/>
      <c r="L257" s="166"/>
      <c r="M257" s="166"/>
      <c r="N257" s="166"/>
      <c r="O257" s="166"/>
      <c r="P257" s="166"/>
      <c r="Q257" s="166"/>
    </row>
    <row r="258" spans="2:17" ht="15" customHeight="1">
      <c r="B258" s="125" t="s">
        <v>30</v>
      </c>
      <c r="E258" s="149">
        <f>E152</f>
        <v>-4.8</v>
      </c>
      <c r="F258" s="149">
        <f t="shared" ref="F258:G258" si="133">F152</f>
        <v>-1.7</v>
      </c>
      <c r="G258" s="180">
        <f t="shared" si="133"/>
        <v>-8.6999999999999993</v>
      </c>
      <c r="H258" s="149">
        <f>H208</f>
        <v>-8.6999999999999993</v>
      </c>
      <c r="I258" s="149">
        <f t="shared" ref="I258:Q258" si="134">I208</f>
        <v>-9.36</v>
      </c>
      <c r="J258" s="149">
        <f t="shared" si="134"/>
        <v>-9.8879999999999999</v>
      </c>
      <c r="K258" s="149">
        <f t="shared" si="134"/>
        <v>-10.3104</v>
      </c>
      <c r="L258" s="149">
        <f t="shared" si="134"/>
        <v>-10.64832</v>
      </c>
      <c r="M258" s="149">
        <f t="shared" si="134"/>
        <v>-10.918656</v>
      </c>
      <c r="N258" s="149">
        <f t="shared" si="134"/>
        <v>-11.1349248</v>
      </c>
      <c r="O258" s="149">
        <f t="shared" si="134"/>
        <v>-11.30793984</v>
      </c>
      <c r="P258" s="149">
        <f t="shared" si="134"/>
        <v>-11.446351871999999</v>
      </c>
      <c r="Q258" s="149">
        <f t="shared" si="134"/>
        <v>-12</v>
      </c>
    </row>
    <row r="259" spans="2:17" ht="3.75" customHeight="1">
      <c r="G259" s="145"/>
    </row>
    <row r="260" spans="2:17" ht="15" customHeight="1">
      <c r="B260" s="125" t="s">
        <v>641</v>
      </c>
      <c r="E260" s="205">
        <f>+E174-E176</f>
        <v>80.099999999999994</v>
      </c>
      <c r="F260" s="205">
        <f t="shared" ref="F260:G260" si="135">+F174-F176</f>
        <v>30</v>
      </c>
      <c r="G260" s="206">
        <f t="shared" si="135"/>
        <v>212.4</v>
      </c>
      <c r="H260" s="205">
        <f>IFERROR(H174-H176,"")</f>
        <v>-14.519999999999996</v>
      </c>
      <c r="I260" s="205">
        <f t="shared" ref="I260:Q260" si="136">IFERROR(I174-I176,"")</f>
        <v>15.514242844435355</v>
      </c>
      <c r="J260" s="205">
        <f t="shared" si="136"/>
        <v>-48.818907087462279</v>
      </c>
      <c r="K260" s="205">
        <f t="shared" si="136"/>
        <v>-35.991076098135544</v>
      </c>
      <c r="L260" s="205">
        <f t="shared" si="136"/>
        <v>-42.883301182888125</v>
      </c>
      <c r="M260" s="205">
        <f t="shared" si="136"/>
        <v>-11.808025991665389</v>
      </c>
      <c r="N260" s="205">
        <f t="shared" si="136"/>
        <v>0</v>
      </c>
      <c r="O260" s="205">
        <f t="shared" si="136"/>
        <v>0</v>
      </c>
      <c r="P260" s="205">
        <f t="shared" si="136"/>
        <v>0</v>
      </c>
      <c r="Q260" s="205">
        <f t="shared" si="136"/>
        <v>0</v>
      </c>
    </row>
    <row r="261" spans="2:17" ht="3.95" customHeight="1">
      <c r="G261" s="145"/>
    </row>
    <row r="262" spans="2:17" ht="15" customHeight="1">
      <c r="B262" s="181" t="s">
        <v>518</v>
      </c>
      <c r="C262" s="182"/>
      <c r="D262" s="182"/>
      <c r="E262" s="183">
        <f t="shared" ref="E262:G262" si="137">+E250+E252+E254+E256+E258+E260</f>
        <v>101.49999999999997</v>
      </c>
      <c r="F262" s="183">
        <f t="shared" si="137"/>
        <v>140.29999999999995</v>
      </c>
      <c r="G262" s="184">
        <f t="shared" si="137"/>
        <v>290.39999999999992</v>
      </c>
      <c r="H262" s="183">
        <f>IFERROR(+H250+H252+H254+H256+H258+H260,"")</f>
        <v>-15.514242844435355</v>
      </c>
      <c r="I262" s="183">
        <f t="shared" ref="I262:Q262" si="138">IFERROR(+I250+I252+I254+I256+I258+I260,"")</f>
        <v>221.90412312482854</v>
      </c>
      <c r="J262" s="183">
        <f t="shared" si="138"/>
        <v>179.95538049067773</v>
      </c>
      <c r="K262" s="183">
        <f t="shared" si="138"/>
        <v>214.41650591444062</v>
      </c>
      <c r="L262" s="183">
        <f t="shared" si="138"/>
        <v>262.40057759256422</v>
      </c>
      <c r="M262" s="183">
        <f t="shared" si="138"/>
        <v>320.66807200328884</v>
      </c>
      <c r="N262" s="183">
        <f t="shared" si="138"/>
        <v>363.22609744047855</v>
      </c>
      <c r="O262" s="183">
        <f t="shared" si="138"/>
        <v>412.64293626170519</v>
      </c>
      <c r="P262" s="183">
        <f t="shared" si="138"/>
        <v>450.27624043644533</v>
      </c>
      <c r="Q262" s="332">
        <f t="shared" si="138"/>
        <v>481.35193098493318</v>
      </c>
    </row>
    <row r="263" spans="2:17" ht="15" customHeight="1">
      <c r="B263" s="185" t="s">
        <v>642</v>
      </c>
      <c r="C263" s="186"/>
      <c r="D263" s="186"/>
      <c r="E263" s="186"/>
      <c r="F263" s="186"/>
      <c r="G263" s="187"/>
      <c r="H263" s="188">
        <f t="shared" ref="H263:Q263" ca="1" si="139">IFERROR(H262/(1+$C$12)^H$213,"")</f>
        <v>-15.372988320636443</v>
      </c>
      <c r="I263" s="188">
        <f t="shared" ca="1" si="139"/>
        <v>204.02930310505621</v>
      </c>
      <c r="J263" s="188">
        <f t="shared" ca="1" si="139"/>
        <v>153.52937178432154</v>
      </c>
      <c r="K263" s="188">
        <f t="shared" ca="1" si="139"/>
        <v>169.74004523732961</v>
      </c>
      <c r="L263" s="188">
        <f t="shared" ca="1" si="139"/>
        <v>192.74820753255887</v>
      </c>
      <c r="M263" s="188">
        <f t="shared" ca="1" si="139"/>
        <v>218.5650639353662</v>
      </c>
      <c r="N263" s="188">
        <f t="shared" ca="1" si="139"/>
        <v>229.72144032173139</v>
      </c>
      <c r="O263" s="188">
        <f t="shared" ca="1" si="139"/>
        <v>242.1577448127139</v>
      </c>
      <c r="P263" s="188">
        <f t="shared" ca="1" si="139"/>
        <v>245.18982401663374</v>
      </c>
      <c r="Q263" s="189">
        <f t="shared" ca="1" si="139"/>
        <v>243.21233165711038</v>
      </c>
    </row>
    <row r="264" spans="2:17" ht="3.75" customHeight="1">
      <c r="G264" s="145"/>
    </row>
    <row r="265" spans="2:17" ht="15" customHeight="1">
      <c r="B265" s="125" t="s">
        <v>621</v>
      </c>
      <c r="G265" s="145"/>
      <c r="Q265" s="166">
        <f ca="1">IFERROR((Q262*(1+$C$13))/(WACC!$G$11-$C$13),"")</f>
        <v>8323.871281549089</v>
      </c>
    </row>
    <row r="266" spans="2:17" ht="15" customHeight="1">
      <c r="B266" s="125" t="s">
        <v>622</v>
      </c>
      <c r="G266" s="145"/>
      <c r="Q266" s="210">
        <f ca="1">IFERROR(Q265/(1+WACC!$G$11)^$Q$213,"")</f>
        <v>4160.5763304811198</v>
      </c>
    </row>
    <row r="267" spans="2:17" ht="15" customHeight="1">
      <c r="B267" s="125" t="s">
        <v>241</v>
      </c>
      <c r="G267" s="145"/>
      <c r="Q267" s="166">
        <f ca="1">+SUM(Q266,H263:Q263)</f>
        <v>6044.096674563305</v>
      </c>
    </row>
    <row r="268" spans="2:17" ht="3.75" customHeight="1">
      <c r="G268" s="145"/>
    </row>
    <row r="269" spans="2:17" ht="15" customHeight="1">
      <c r="B269" s="147" t="s">
        <v>629</v>
      </c>
      <c r="G269" s="145"/>
      <c r="N269" s="199"/>
      <c r="Q269" s="200">
        <f ca="1">IFERROR(Q267/Q225,"")</f>
        <v>106.53225218627873</v>
      </c>
    </row>
    <row r="270" spans="2:17" ht="3.75" customHeight="1">
      <c r="G270" s="145"/>
    </row>
    <row r="271" spans="2:17" ht="15" customHeight="1">
      <c r="B271" s="147" t="s">
        <v>631</v>
      </c>
      <c r="C271" s="147"/>
      <c r="D271" s="147"/>
      <c r="E271" s="147"/>
      <c r="F271" s="147"/>
      <c r="G271" s="201"/>
      <c r="H271" s="147"/>
      <c r="I271" s="147"/>
      <c r="J271" s="147"/>
      <c r="K271" s="147"/>
      <c r="L271" s="147"/>
      <c r="M271" s="147"/>
      <c r="N271" s="147"/>
      <c r="O271" s="147"/>
      <c r="P271" s="147"/>
      <c r="Q271" s="202">
        <f ca="1">IFERROR(Q269/Q228-1,"")</f>
        <v>-0.21615589591436446</v>
      </c>
    </row>
    <row r="272" spans="2:17" s="207" customFormat="1" ht="3.75" customHeight="1">
      <c r="G272" s="208"/>
    </row>
    <row r="273" spans="1:17" ht="15" customHeight="1">
      <c r="A273" s="125" t="s">
        <v>472</v>
      </c>
      <c r="B273" s="51" t="s">
        <v>643</v>
      </c>
      <c r="C273" s="51"/>
      <c r="D273" s="51"/>
      <c r="E273" s="136">
        <f>+E246</f>
        <v>2022</v>
      </c>
      <c r="F273" s="136">
        <f>+F246</f>
        <v>2023</v>
      </c>
      <c r="G273" s="137">
        <f>+G246</f>
        <v>2024</v>
      </c>
      <c r="H273" s="99">
        <f t="shared" ref="H273:Q273" si="140">1+G273</f>
        <v>2025</v>
      </c>
      <c r="I273" s="99">
        <f t="shared" si="140"/>
        <v>2026</v>
      </c>
      <c r="J273" s="99">
        <f t="shared" si="140"/>
        <v>2027</v>
      </c>
      <c r="K273" s="99">
        <f t="shared" si="140"/>
        <v>2028</v>
      </c>
      <c r="L273" s="99">
        <f t="shared" si="140"/>
        <v>2029</v>
      </c>
      <c r="M273" s="99">
        <f t="shared" si="140"/>
        <v>2030</v>
      </c>
      <c r="N273" s="99">
        <f t="shared" si="140"/>
        <v>2031</v>
      </c>
      <c r="O273" s="99">
        <f t="shared" si="140"/>
        <v>2032</v>
      </c>
      <c r="P273" s="99">
        <f t="shared" si="140"/>
        <v>2033</v>
      </c>
      <c r="Q273" s="99">
        <f t="shared" si="140"/>
        <v>2034</v>
      </c>
    </row>
    <row r="274" spans="1:17" ht="3.75" customHeight="1">
      <c r="B274" s="52"/>
      <c r="C274" s="52"/>
      <c r="D274" s="52"/>
      <c r="E274" s="52"/>
      <c r="F274" s="52"/>
      <c r="G274" s="203"/>
      <c r="H274" s="52"/>
      <c r="I274" s="52"/>
      <c r="J274" s="52"/>
      <c r="K274" s="52"/>
      <c r="L274" s="52"/>
      <c r="M274" s="52"/>
      <c r="N274" s="52"/>
      <c r="O274" s="52"/>
      <c r="P274" s="52"/>
      <c r="Q274" s="52"/>
    </row>
    <row r="275" spans="1:17" ht="15" customHeight="1">
      <c r="B275" s="125" t="s">
        <v>520</v>
      </c>
      <c r="E275" s="166">
        <f t="shared" ref="E275:G275" si="141">+E168+E165</f>
        <v>1.7</v>
      </c>
      <c r="F275" s="166">
        <f t="shared" si="141"/>
        <v>8.1</v>
      </c>
      <c r="G275" s="204">
        <f t="shared" si="141"/>
        <v>5.6</v>
      </c>
      <c r="H275" s="166">
        <f>IFERROR(H168+H165,"")</f>
        <v>-33.514118930638688</v>
      </c>
      <c r="I275" s="166">
        <f t="shared" ref="I275:P275" si="142">IFERROR(I168+I165,"")</f>
        <v>-38.319781883546895</v>
      </c>
      <c r="J275" s="166">
        <f t="shared" si="142"/>
        <v>-74.28950307455851</v>
      </c>
      <c r="K275" s="166">
        <f t="shared" si="142"/>
        <v>-90.078039248305046</v>
      </c>
      <c r="L275" s="166">
        <f t="shared" si="142"/>
        <v>-103.86398753483101</v>
      </c>
      <c r="M275" s="166">
        <f t="shared" si="142"/>
        <v>-103.28352944598961</v>
      </c>
      <c r="N275" s="166">
        <f t="shared" si="142"/>
        <v>-121.83813784610733</v>
      </c>
      <c r="O275" s="166">
        <f t="shared" si="142"/>
        <v>-134.18810720527401</v>
      </c>
      <c r="P275" s="166">
        <f t="shared" si="142"/>
        <v>-146.35472597047897</v>
      </c>
      <c r="Q275" s="166">
        <f>IFERROR(Q168+Q165,"")</f>
        <v>-165.64204197808647</v>
      </c>
    </row>
    <row r="276" spans="1:17" ht="15" customHeight="1">
      <c r="B276" s="150" t="s">
        <v>644</v>
      </c>
      <c r="E276" s="207">
        <f t="shared" ref="E276:Q276" si="143">IFERROR(_xlfn.XLOOKUP("Repurchase payout",$B:$B,E:E)+_xlfn.XLOOKUP("Dividend payout",$B:$B,E:E),"")</f>
        <v>-7.7625570776255787E-2</v>
      </c>
      <c r="F276" s="207">
        <f t="shared" si="143"/>
        <v>-0.13170731707317082</v>
      </c>
      <c r="G276" s="208">
        <f t="shared" si="143"/>
        <v>-4.3852779953014898E-2</v>
      </c>
      <c r="H276" s="207">
        <f t="shared" si="143"/>
        <v>0.54</v>
      </c>
      <c r="I276" s="207">
        <f t="shared" si="143"/>
        <v>0.35</v>
      </c>
      <c r="J276" s="207">
        <f t="shared" si="143"/>
        <v>0.5</v>
      </c>
      <c r="K276" s="207">
        <f t="shared" si="143"/>
        <v>0.5</v>
      </c>
      <c r="L276" s="207">
        <f t="shared" si="143"/>
        <v>0.5</v>
      </c>
      <c r="M276" s="207">
        <f t="shared" si="143"/>
        <v>0.5</v>
      </c>
      <c r="N276" s="207">
        <f t="shared" si="143"/>
        <v>0.5</v>
      </c>
      <c r="O276" s="207">
        <f t="shared" si="143"/>
        <v>0.5</v>
      </c>
      <c r="P276" s="207">
        <f t="shared" si="143"/>
        <v>0.5</v>
      </c>
      <c r="Q276" s="207">
        <f t="shared" si="143"/>
        <v>0.5</v>
      </c>
    </row>
    <row r="277" spans="1:17" ht="15" customHeight="1">
      <c r="B277" s="125" t="s">
        <v>645</v>
      </c>
      <c r="E277" s="207">
        <f>IFERROR(1-E276,"")</f>
        <v>1.0776255707762559</v>
      </c>
      <c r="F277" s="207">
        <f t="shared" ref="F277:Q277" si="144">IFERROR(1-F276,"")</f>
        <v>1.1317073170731708</v>
      </c>
      <c r="G277" s="208">
        <f t="shared" si="144"/>
        <v>1.0438527799530148</v>
      </c>
      <c r="H277" s="207">
        <f t="shared" si="144"/>
        <v>0.45999999999999996</v>
      </c>
      <c r="I277" s="207">
        <f t="shared" si="144"/>
        <v>0.65</v>
      </c>
      <c r="J277" s="207">
        <f t="shared" si="144"/>
        <v>0.5</v>
      </c>
      <c r="K277" s="207">
        <f t="shared" si="144"/>
        <v>0.5</v>
      </c>
      <c r="L277" s="207">
        <f t="shared" si="144"/>
        <v>0.5</v>
      </c>
      <c r="M277" s="207">
        <f t="shared" si="144"/>
        <v>0.5</v>
      </c>
      <c r="N277" s="207">
        <f t="shared" si="144"/>
        <v>0.5</v>
      </c>
      <c r="O277" s="207">
        <f t="shared" si="144"/>
        <v>0.5</v>
      </c>
      <c r="P277" s="207">
        <f t="shared" si="144"/>
        <v>0.5</v>
      </c>
      <c r="Q277" s="207">
        <f t="shared" si="144"/>
        <v>0.5</v>
      </c>
    </row>
    <row r="278" spans="1:17" ht="3.75" customHeight="1">
      <c r="G278" s="145"/>
    </row>
    <row r="279" spans="1:17" ht="15" customHeight="1">
      <c r="B279" s="211" t="s">
        <v>646</v>
      </c>
      <c r="C279" s="212"/>
      <c r="D279" s="212"/>
      <c r="E279" s="212"/>
      <c r="F279" s="212"/>
      <c r="G279" s="213"/>
      <c r="H279" s="214">
        <f ca="1">IFERROR(-H275/(1+WACC!$G$11)^H$213,"")</f>
        <v>33.20416911360865</v>
      </c>
      <c r="I279" s="214">
        <f ca="1">IFERROR(-I275/(1+WACC!$G$11)^I$213,"")</f>
        <v>35.186223195570719</v>
      </c>
      <c r="J279" s="214">
        <f ca="1">IFERROR(-J275/(1+WACC!$G$11)^J$213,"")</f>
        <v>63.221077344243518</v>
      </c>
      <c r="K279" s="214">
        <f ca="1">IFERROR(-K275/(1+WACC!$G$11)^K$213,"")</f>
        <v>71.045762123034379</v>
      </c>
      <c r="L279" s="214">
        <f ca="1">IFERROR(-L275/(1+WACC!$G$11)^L$213,"")</f>
        <v>75.9222481025691</v>
      </c>
      <c r="M279" s="214">
        <f ca="1">IFERROR(-M275/(1+WACC!$G$11)^M$213,"")</f>
        <v>69.971301478508849</v>
      </c>
      <c r="N279" s="214">
        <f ca="1">IFERROR(-N275/(1+WACC!$G$11)^N$213,"")</f>
        <v>76.499209676531223</v>
      </c>
      <c r="O279" s="214">
        <f ca="1">IFERROR(-O275/(1+WACC!$G$11)^O$213,"")</f>
        <v>78.085885014343816</v>
      </c>
      <c r="P279" s="214">
        <f ca="1">IFERROR(-P275/(1+WACC!$G$11)^P$213,"")</f>
        <v>78.931448901725162</v>
      </c>
      <c r="Q279" s="482">
        <f ca="1">IFERROR(-Q275/(1+WACC!$G$11)^Q$213,"")</f>
        <v>82.793971203544544</v>
      </c>
    </row>
    <row r="280" spans="1:17" ht="3.75" customHeight="1">
      <c r="G280" s="145"/>
    </row>
    <row r="281" spans="1:17" ht="13.5" customHeight="1">
      <c r="B281" s="125" t="s">
        <v>621</v>
      </c>
      <c r="G281" s="145"/>
      <c r="Q281" s="166">
        <f ca="1">IFERROR(+(Q279*(1+$C$13))/(WACC!$G$11-$C$13),"")</f>
        <v>1431.7307458940231</v>
      </c>
    </row>
    <row r="282" spans="1:17" ht="15" customHeight="1">
      <c r="B282" s="125" t="s">
        <v>622</v>
      </c>
      <c r="G282" s="145"/>
      <c r="Q282" s="210">
        <f ca="1">IFERROR(Q281/(1+$C$12)^$Q$213,"")</f>
        <v>723.40952762264635</v>
      </c>
    </row>
    <row r="283" spans="1:17" ht="15" customHeight="1">
      <c r="B283" s="125" t="s">
        <v>241</v>
      </c>
      <c r="G283" s="145"/>
      <c r="Q283" s="166">
        <f ca="1">+SUM(Q282,H279:Q279)</f>
        <v>1388.2708237763266</v>
      </c>
    </row>
    <row r="284" spans="1:17" ht="3.75" customHeight="1">
      <c r="G284" s="145"/>
      <c r="N284" s="199"/>
    </row>
    <row r="285" spans="1:17" ht="15" customHeight="1">
      <c r="B285" s="147" t="s">
        <v>629</v>
      </c>
      <c r="G285" s="145"/>
      <c r="Q285" s="200">
        <f ca="1">IFERROR(Q282/Q$225,"")</f>
        <v>12.750697148010243</v>
      </c>
    </row>
    <row r="286" spans="1:17" ht="3.75" customHeight="1">
      <c r="B286" s="147"/>
      <c r="G286" s="145"/>
    </row>
    <row r="287" spans="1:17" ht="15" customHeight="1">
      <c r="B287" s="147" t="s">
        <v>631</v>
      </c>
      <c r="C287" s="147"/>
      <c r="D287" s="147"/>
      <c r="E287" s="147"/>
      <c r="F287" s="147"/>
      <c r="G287" s="201"/>
      <c r="H287" s="147"/>
      <c r="I287" s="147"/>
      <c r="J287" s="147"/>
      <c r="K287" s="147"/>
      <c r="L287" s="147"/>
      <c r="M287" s="147"/>
      <c r="N287" s="147"/>
      <c r="O287" s="147"/>
      <c r="P287" s="147"/>
      <c r="Q287" s="215">
        <f ca="1">IFERROR(Q285/Q228-1,"")</f>
        <v>-0.90618278899264038</v>
      </c>
    </row>
    <row r="289" spans="1:49" ht="15" customHeight="1">
      <c r="A289" s="125" t="s">
        <v>472</v>
      </c>
      <c r="B289" s="67" t="s">
        <v>145</v>
      </c>
      <c r="C289" s="68"/>
      <c r="D289" s="67"/>
      <c r="E289" s="68"/>
      <c r="F289" s="68"/>
      <c r="G289" s="68"/>
      <c r="H289" s="68"/>
      <c r="I289" s="68"/>
      <c r="J289" s="94"/>
      <c r="K289" s="95"/>
      <c r="L289" s="95"/>
      <c r="M289" s="95"/>
      <c r="N289" s="95"/>
      <c r="O289" s="95"/>
    </row>
    <row r="290" spans="1:49" ht="3.75" customHeight="1">
      <c r="B290" s="69"/>
      <c r="C290" s="69"/>
      <c r="D290" s="69"/>
      <c r="E290" s="69"/>
      <c r="F290" s="69"/>
      <c r="G290" s="69"/>
      <c r="H290" s="69"/>
      <c r="I290" s="69"/>
      <c r="J290" s="96"/>
      <c r="K290" s="96"/>
      <c r="L290" s="96"/>
      <c r="M290" s="96"/>
      <c r="N290" s="96"/>
      <c r="O290" s="96"/>
    </row>
    <row r="291" spans="1:49" ht="75.75" customHeight="1">
      <c r="B291" s="1062" t="s">
        <v>647</v>
      </c>
      <c r="C291" s="1062"/>
      <c r="D291" s="1062"/>
      <c r="E291" s="1062"/>
      <c r="F291" s="1062"/>
      <c r="G291" s="1062"/>
      <c r="H291" s="822"/>
      <c r="I291" s="822"/>
      <c r="J291" s="822"/>
      <c r="K291" s="822"/>
      <c r="L291" s="822"/>
      <c r="M291" s="822"/>
      <c r="N291" s="822"/>
      <c r="O291" s="822"/>
      <c r="AO291" s="202">
        <f ca="1">AP291+0.01</f>
        <v>9.770658795312212E-2</v>
      </c>
      <c r="AP291" s="202">
        <f ca="1">AQ291+0.01</f>
        <v>8.7706587953122125E-2</v>
      </c>
      <c r="AQ291" s="202">
        <f ca="1">WACC!G25</f>
        <v>7.770658795312213E-2</v>
      </c>
      <c r="AR291" s="202">
        <f ca="1">AQ291-0.01</f>
        <v>6.7706587953122135E-2</v>
      </c>
      <c r="AS291" s="202">
        <f ca="1">AR291-0.01</f>
        <v>5.7706587953122133E-2</v>
      </c>
    </row>
    <row r="292" spans="1:49" ht="46.5" customHeight="1">
      <c r="B292" s="1062" t="s">
        <v>648</v>
      </c>
      <c r="C292" s="1062"/>
      <c r="D292" s="1062"/>
      <c r="E292" s="1062"/>
      <c r="F292" s="1062"/>
      <c r="G292" s="1062"/>
      <c r="H292" s="821"/>
      <c r="I292" s="821"/>
      <c r="J292" s="821"/>
      <c r="K292" s="821"/>
      <c r="L292" s="821"/>
      <c r="M292" s="821"/>
      <c r="N292" s="821"/>
      <c r="O292"/>
      <c r="AO292" s="602">
        <v>73.64842392314938</v>
      </c>
      <c r="AP292" s="602">
        <v>85.06052646264807</v>
      </c>
      <c r="AQ292" s="602">
        <v>100.09899730223748</v>
      </c>
      <c r="AR292" s="602">
        <v>120.75856991989281</v>
      </c>
      <c r="AS292" s="602">
        <v>150.81606629510202</v>
      </c>
    </row>
    <row r="293" spans="1:49" ht="39.75" customHeight="1">
      <c r="B293" s="1077"/>
      <c r="C293" s="1077"/>
      <c r="D293" s="1013"/>
      <c r="E293" s="1013"/>
      <c r="F293" s="1013"/>
      <c r="G293" s="1013"/>
      <c r="H293" s="1013"/>
      <c r="I293" s="1013"/>
      <c r="J293" s="1013"/>
      <c r="K293" s="1013"/>
      <c r="L293" s="1013"/>
      <c r="M293" s="1013"/>
      <c r="N293" s="1013"/>
      <c r="O293"/>
      <c r="AO293" s="602">
        <v>79.676273426331136</v>
      </c>
      <c r="AP293" s="602">
        <v>93.576657387108511</v>
      </c>
      <c r="AQ293" s="602">
        <v>112.65728612990976</v>
      </c>
      <c r="AR293" s="602">
        <v>140.39707076214253</v>
      </c>
      <c r="AS293" s="602">
        <v>184.2748550351028</v>
      </c>
    </row>
    <row r="294" spans="1:49" ht="39.75" customHeight="1">
      <c r="B294" s="1077"/>
      <c r="C294" s="1077"/>
      <c r="D294" s="1013"/>
      <c r="E294" s="1013"/>
      <c r="F294" s="1013"/>
      <c r="G294" s="1013"/>
      <c r="H294" s="1013"/>
      <c r="I294" s="1013"/>
      <c r="J294" s="1013"/>
      <c r="K294" s="1013"/>
      <c r="L294" s="1013"/>
      <c r="M294" s="1013"/>
      <c r="N294" s="1013"/>
      <c r="O294"/>
      <c r="AO294" s="602">
        <v>87.56457030703811</v>
      </c>
      <c r="AP294" s="602">
        <v>105.200865291299</v>
      </c>
      <c r="AQ294" s="602">
        <v>130.8219538985071</v>
      </c>
      <c r="AR294" s="602">
        <v>171.32206634131742</v>
      </c>
      <c r="AS294" s="602">
        <v>244.71653792026549</v>
      </c>
    </row>
    <row r="295" spans="1:49" ht="39.75" customHeight="1">
      <c r="B295" s="1077"/>
      <c r="C295" s="1077"/>
      <c r="D295" s="1078"/>
      <c r="E295" s="1078"/>
      <c r="F295" s="1078"/>
      <c r="G295" s="1078"/>
      <c r="H295" s="1078"/>
      <c r="I295" s="1078"/>
      <c r="J295" s="1078"/>
      <c r="K295" s="1078"/>
      <c r="L295" s="1078"/>
      <c r="M295" s="1078"/>
      <c r="N295" s="1078"/>
      <c r="O295" s="1078"/>
      <c r="AO295" s="602">
        <v>98.331807655156425</v>
      </c>
      <c r="AP295" s="602">
        <v>122.01445172414599</v>
      </c>
      <c r="AQ295" s="602">
        <v>159.42608590193061</v>
      </c>
      <c r="AR295" s="602">
        <v>227.186574484343</v>
      </c>
      <c r="AS295" s="602">
        <v>386.83617065024276</v>
      </c>
    </row>
    <row r="296" spans="1:49" ht="39.75" customHeight="1" thickBot="1">
      <c r="B296" s="1077"/>
      <c r="C296" s="1077"/>
      <c r="D296" s="1078"/>
      <c r="E296" s="1078"/>
      <c r="F296" s="1078"/>
      <c r="G296" s="1078"/>
      <c r="H296" s="1078"/>
      <c r="I296" s="1078"/>
      <c r="J296" s="1078"/>
      <c r="K296" s="1078"/>
      <c r="L296" s="1078"/>
      <c r="M296" s="1078"/>
      <c r="N296" s="1078"/>
      <c r="O296" s="1078"/>
      <c r="AO296" s="603">
        <v>113.90584739082752</v>
      </c>
      <c r="AP296" s="603">
        <v>148.49101886552566</v>
      </c>
      <c r="AQ296" s="603">
        <v>211.09806629521165</v>
      </c>
      <c r="AR296" s="603">
        <v>358.54366119902483</v>
      </c>
      <c r="AS296" s="603">
        <v>1121.1209397551254</v>
      </c>
    </row>
    <row r="297" spans="1:49" ht="15" customHeight="1">
      <c r="D297" s="1013"/>
      <c r="E297" s="1013"/>
      <c r="F297" s="1013"/>
      <c r="G297" s="1013"/>
      <c r="H297" s="1013"/>
      <c r="I297" s="1013"/>
      <c r="J297" s="1013"/>
      <c r="K297" s="1013"/>
      <c r="L297" s="1013"/>
      <c r="M297" s="1013"/>
      <c r="N297" s="1013"/>
      <c r="O297"/>
    </row>
    <row r="298" spans="1:49" s="41" customFormat="1" ht="20.100000000000001" customHeight="1">
      <c r="A298" s="125"/>
      <c r="B298" s="1029"/>
      <c r="C298" s="1029"/>
      <c r="D298" s="1013"/>
      <c r="E298" s="1013"/>
      <c r="F298" s="1013"/>
      <c r="G298" s="1013"/>
      <c r="H298" s="1013"/>
      <c r="I298" s="1013"/>
      <c r="J298" s="1013"/>
      <c r="K298" s="1013"/>
      <c r="L298" s="1013"/>
      <c r="M298" s="1013"/>
      <c r="N298" s="1013"/>
      <c r="O298"/>
      <c r="P298" s="125"/>
      <c r="Q298" s="125"/>
      <c r="R298" s="125"/>
      <c r="S298" s="125"/>
      <c r="T298" s="125"/>
      <c r="U298" s="125"/>
      <c r="V298" s="125"/>
      <c r="W298" s="125"/>
      <c r="X298" s="125"/>
      <c r="Y298" s="125"/>
      <c r="Z298" s="125"/>
      <c r="AA298" s="125"/>
      <c r="AB298" s="125"/>
      <c r="AC298" s="125"/>
      <c r="AD298" s="125"/>
      <c r="AE298" s="125"/>
      <c r="AF298" s="125"/>
      <c r="AG298" s="125"/>
      <c r="AH298" s="125"/>
      <c r="AI298" s="125"/>
      <c r="AJ298" s="125"/>
      <c r="AK298" s="125"/>
      <c r="AN298" s="680" t="s">
        <v>649</v>
      </c>
    </row>
    <row r="300" spans="1:49" ht="15" customHeight="1">
      <c r="T300" s="828"/>
      <c r="AN300" s="601" t="str">
        <f>Peers!AM280&amp;" Stock Price - Blended Discount Rate and Terminal Growth Rate"</f>
        <v xml:space="preserve"> Stock Price - Blended Discount Rate and Terminal Growth Rate</v>
      </c>
      <c r="AO300"/>
      <c r="AP300"/>
      <c r="AQ300"/>
      <c r="AR300"/>
      <c r="AS300"/>
      <c r="AT300"/>
      <c r="AW300" s="125">
        <v>1</v>
      </c>
    </row>
    <row r="301" spans="1:49" ht="15" customHeight="1" thickBot="1">
      <c r="AN301" t="s">
        <v>650</v>
      </c>
      <c r="AO301"/>
      <c r="AP301"/>
      <c r="AQ301"/>
      <c r="AR301"/>
      <c r="AS301"/>
      <c r="AT301"/>
      <c r="AW301" s="125">
        <v>2</v>
      </c>
    </row>
    <row r="302" spans="1:49" ht="15" customHeight="1">
      <c r="AN302" s="599"/>
      <c r="AO302" s="600"/>
      <c r="AP302" s="681"/>
      <c r="AQ302" s="599"/>
      <c r="AR302" s="682" t="s">
        <v>527</v>
      </c>
      <c r="AS302" s="599"/>
      <c r="AT302" s="599"/>
      <c r="AW302" s="125">
        <v>3</v>
      </c>
    </row>
    <row r="303" spans="1:49" ht="15" customHeight="1" thickBot="1">
      <c r="AN303" s="591"/>
      <c r="AO303" s="686">
        <f ca="1">Q226</f>
        <v>112.30289477694679</v>
      </c>
      <c r="AP303" s="604">
        <v>0.11</v>
      </c>
      <c r="AQ303" s="604">
        <v>0.1</v>
      </c>
      <c r="AR303" s="604">
        <v>0.09</v>
      </c>
      <c r="AS303" s="604">
        <v>0.08</v>
      </c>
      <c r="AT303" s="604">
        <v>7.0000000000000007E-2</v>
      </c>
      <c r="AW303" s="125">
        <v>4</v>
      </c>
    </row>
    <row r="304" spans="1:49" ht="15" customHeight="1">
      <c r="T304" s="826"/>
      <c r="AN304"/>
      <c r="AO304" s="596">
        <v>0.01</v>
      </c>
      <c r="AP304" s="602">
        <f t="dataTable" ref="AP304:AT308" dt2D="1" dtr="1" r1="I9" r2="I10" ca="1"/>
        <v>64.137856484585868</v>
      </c>
      <c r="AQ304" s="602">
        <v>72.496694376390764</v>
      </c>
      <c r="AR304" s="602">
        <v>83.027604681661174</v>
      </c>
      <c r="AS304" s="602">
        <v>96.66862001036354</v>
      </c>
      <c r="AT304" s="602">
        <v>114.98387985416807</v>
      </c>
      <c r="AW304" s="125">
        <v>5</v>
      </c>
    </row>
    <row r="305" spans="20:49" ht="15" customHeight="1">
      <c r="T305" s="825"/>
      <c r="AN305" s="679"/>
      <c r="AO305" s="596">
        <v>0.02</v>
      </c>
      <c r="AP305" s="602">
        <v>68.210007368823568</v>
      </c>
      <c r="AQ305" s="602">
        <v>77.975130378383994</v>
      </c>
      <c r="AR305" s="602">
        <v>90.613647960559788</v>
      </c>
      <c r="AS305" s="602">
        <v>107.56959181567299</v>
      </c>
      <c r="AT305" s="602">
        <v>131.44300887138056</v>
      </c>
      <c r="AW305" s="125">
        <v>6</v>
      </c>
    </row>
    <row r="306" spans="20:49" ht="15" customHeight="1">
      <c r="AN306" s="24" t="s">
        <v>529</v>
      </c>
      <c r="AO306" s="596">
        <v>0.03</v>
      </c>
      <c r="AP306" s="602">
        <v>73.300195974120669</v>
      </c>
      <c r="AQ306" s="602">
        <v>85.018833809518156</v>
      </c>
      <c r="AR306" s="602">
        <v>100.72837233242458</v>
      </c>
      <c r="AS306" s="602">
        <v>122.83095234310618</v>
      </c>
      <c r="AT306" s="602">
        <v>156.13170239719926</v>
      </c>
      <c r="AW306" s="125">
        <v>7</v>
      </c>
    </row>
    <row r="307" spans="20:49" ht="15" customHeight="1">
      <c r="T307" s="827"/>
      <c r="AN307"/>
      <c r="AO307" s="596">
        <v>0.04</v>
      </c>
      <c r="AP307" s="602">
        <v>79.844724180931237</v>
      </c>
      <c r="AQ307" s="602">
        <v>94.410438384363687</v>
      </c>
      <c r="AR307" s="602">
        <v>114.88898645303533</v>
      </c>
      <c r="AS307" s="602">
        <v>145.722993134256</v>
      </c>
      <c r="AT307" s="602">
        <v>197.27952494023052</v>
      </c>
      <c r="AW307" s="125">
        <v>8</v>
      </c>
    </row>
    <row r="308" spans="20:49" ht="15" customHeight="1" thickBot="1">
      <c r="T308" s="824"/>
      <c r="AN308" s="591"/>
      <c r="AO308" s="597">
        <v>0.05</v>
      </c>
      <c r="AP308" s="603">
        <v>88.570761790012</v>
      </c>
      <c r="AQ308" s="603">
        <v>107.55868478914743</v>
      </c>
      <c r="AR308" s="603">
        <v>136.12990763395143</v>
      </c>
      <c r="AS308" s="603">
        <v>183.87639445283904</v>
      </c>
      <c r="AT308" s="603">
        <v>279.57517002629299</v>
      </c>
      <c r="AW308" s="125">
        <v>9</v>
      </c>
    </row>
    <row r="309" spans="20:49" ht="15" customHeight="1">
      <c r="AN309"/>
      <c r="AO309" s="688"/>
      <c r="AP309"/>
      <c r="AQ309"/>
      <c r="AR309"/>
      <c r="AS309"/>
      <c r="AT309"/>
      <c r="AW309" s="125">
        <v>10</v>
      </c>
    </row>
    <row r="310" spans="20:49" ht="15" customHeight="1">
      <c r="AN310" s="601" t="str">
        <f>Peers!AM280&amp;" Stock Price - Blended Revenue Growth and Operating Margin"</f>
        <v xml:space="preserve"> Stock Price - Blended Revenue Growth and Operating Margin</v>
      </c>
      <c r="AO310"/>
      <c r="AP310"/>
      <c r="AQ310"/>
      <c r="AR310"/>
      <c r="AS310"/>
      <c r="AT310"/>
      <c r="AW310" s="125">
        <v>11</v>
      </c>
    </row>
    <row r="311" spans="20:49" ht="15" customHeight="1" thickBot="1">
      <c r="AN311" t="s">
        <v>650</v>
      </c>
      <c r="AO311"/>
      <c r="AP311"/>
      <c r="AQ311"/>
      <c r="AR311"/>
      <c r="AS311"/>
      <c r="AT311"/>
      <c r="AW311" s="125">
        <v>12</v>
      </c>
    </row>
    <row r="312" spans="20:49" ht="15" customHeight="1">
      <c r="AN312" s="599"/>
      <c r="AO312" s="600"/>
      <c r="AP312" s="599"/>
      <c r="AQ312" s="605" t="s">
        <v>244</v>
      </c>
      <c r="AR312" s="599"/>
      <c r="AS312"/>
      <c r="AT312"/>
      <c r="AW312" s="125">
        <v>13</v>
      </c>
    </row>
    <row r="313" spans="20:49" ht="15" customHeight="1" thickBot="1">
      <c r="AN313" s="591"/>
      <c r="AO313" s="686">
        <f ca="1">Q226</f>
        <v>112.30289477694679</v>
      </c>
      <c r="AP313" s="829">
        <v>1</v>
      </c>
      <c r="AQ313" s="829">
        <v>2</v>
      </c>
      <c r="AR313" s="829">
        <v>3</v>
      </c>
      <c r="AS313"/>
      <c r="AT313"/>
      <c r="AW313" s="125">
        <v>14</v>
      </c>
    </row>
    <row r="314" spans="20:49" ht="15" customHeight="1">
      <c r="AN314"/>
      <c r="AO314" s="830">
        <v>1</v>
      </c>
      <c r="AP314">
        <f t="dataTable" ref="AP314:AR316" dt2D="1" dtr="1" r1="C7" r2="C8" ca="1"/>
        <v>65.680472400539244</v>
      </c>
      <c r="AQ314">
        <v>84.474496495801048</v>
      </c>
      <c r="AR314">
        <v>102.63576167230774</v>
      </c>
      <c r="AS314"/>
      <c r="AT314"/>
      <c r="AW314" s="125">
        <v>15</v>
      </c>
    </row>
    <row r="315" spans="20:49" ht="15" customHeight="1">
      <c r="AN315" s="24" t="s">
        <v>525</v>
      </c>
      <c r="AO315" s="831">
        <v>2</v>
      </c>
      <c r="AP315">
        <v>83.347580196208312</v>
      </c>
      <c r="AQ315">
        <v>112.30289477694679</v>
      </c>
      <c r="AR315">
        <v>140.25029939940737</v>
      </c>
      <c r="AS315"/>
      <c r="AT315"/>
      <c r="AW315" s="125">
        <v>16</v>
      </c>
    </row>
    <row r="316" spans="20:49" ht="15" customHeight="1" thickBot="1">
      <c r="AN316" s="591"/>
      <c r="AO316" s="832">
        <v>3</v>
      </c>
      <c r="AP316" s="591">
        <v>96.597911042960135</v>
      </c>
      <c r="AQ316" s="591">
        <v>133.17419348780612</v>
      </c>
      <c r="AR316" s="591">
        <v>168.46120269473204</v>
      </c>
      <c r="AS316"/>
      <c r="AT316"/>
      <c r="AW316" s="125">
        <v>17</v>
      </c>
    </row>
    <row r="317" spans="20:49" ht="15" customHeight="1">
      <c r="AN317"/>
      <c r="AO317" s="683"/>
      <c r="AP317"/>
      <c r="AQ317"/>
      <c r="AR317"/>
      <c r="AS317"/>
      <c r="AT317"/>
      <c r="AW317" s="125">
        <v>18</v>
      </c>
    </row>
    <row r="318" spans="20:49" ht="15" customHeight="1">
      <c r="AN318" s="609" t="s">
        <v>651</v>
      </c>
      <c r="AO318" s="37"/>
      <c r="AP318" s="37"/>
      <c r="AQ318" s="37"/>
      <c r="AR318" s="37"/>
      <c r="AS318" s="37"/>
      <c r="AT318" s="37"/>
      <c r="AW318" s="125">
        <v>19</v>
      </c>
    </row>
    <row r="319" spans="20:49" ht="15" customHeight="1">
      <c r="AW319" s="125">
        <v>20</v>
      </c>
    </row>
    <row r="320" spans="20:49" ht="15" customHeight="1" thickBot="1">
      <c r="AW320" s="125">
        <v>21</v>
      </c>
    </row>
    <row r="321" spans="36:49" ht="15" customHeight="1" thickBot="1">
      <c r="AJ321" s="700" t="s">
        <v>652</v>
      </c>
      <c r="AK321" s="700" t="s">
        <v>235</v>
      </c>
      <c r="AL321" s="700" t="s">
        <v>653</v>
      </c>
      <c r="AM321" s="147" t="s">
        <v>654</v>
      </c>
      <c r="AR321" s="132"/>
      <c r="AS321" s="132"/>
      <c r="AW321" s="125">
        <v>22</v>
      </c>
    </row>
    <row r="322" spans="36:49" ht="15" customHeight="1">
      <c r="AJ322" t="s">
        <v>527</v>
      </c>
      <c r="AK322" s="17">
        <v>0.1009</v>
      </c>
      <c r="AL322" s="17">
        <v>0.01</v>
      </c>
      <c r="AR322" s="132"/>
      <c r="AS322" s="132"/>
      <c r="AW322" s="125">
        <v>23</v>
      </c>
    </row>
    <row r="323" spans="36:49" ht="15" customHeight="1">
      <c r="AJ323" t="s">
        <v>227</v>
      </c>
      <c r="AK323" s="872"/>
      <c r="AL323" s="32"/>
      <c r="AR323" s="175"/>
      <c r="AS323" s="175"/>
      <c r="AW323" s="125">
        <v>24</v>
      </c>
    </row>
    <row r="324" spans="36:49" ht="15" customHeight="1" thickBot="1">
      <c r="AJ324" s="591" t="s">
        <v>28</v>
      </c>
      <c r="AK324" s="873"/>
      <c r="AL324" s="604"/>
      <c r="AW324" s="125">
        <v>25</v>
      </c>
    </row>
    <row r="325" spans="36:49" ht="15" customHeight="1">
      <c r="AN325" s="147"/>
      <c r="AW325" s="125">
        <v>26</v>
      </c>
    </row>
    <row r="326" spans="36:49" ht="15" customHeight="1">
      <c r="AW326" s="125">
        <v>27</v>
      </c>
    </row>
    <row r="327" spans="36:49" ht="15" customHeight="1">
      <c r="AW327" s="125">
        <v>28</v>
      </c>
    </row>
    <row r="328" spans="36:49" ht="15" customHeight="1">
      <c r="AW328" s="125">
        <v>29</v>
      </c>
    </row>
    <row r="329" spans="36:49" ht="15" customHeight="1">
      <c r="AW329" s="125">
        <v>30</v>
      </c>
    </row>
    <row r="330" spans="36:49" ht="15" customHeight="1">
      <c r="AW330" s="125">
        <v>31</v>
      </c>
    </row>
    <row r="331" spans="36:49" ht="15" customHeight="1">
      <c r="AW331" s="125">
        <v>32</v>
      </c>
    </row>
    <row r="332" spans="36:49" ht="15" customHeight="1">
      <c r="AW332" s="125">
        <v>33</v>
      </c>
    </row>
    <row r="333" spans="36:49" ht="15" customHeight="1">
      <c r="AW333" s="125">
        <v>34</v>
      </c>
    </row>
    <row r="334" spans="36:49" ht="15" customHeight="1">
      <c r="AW334" s="125">
        <v>35</v>
      </c>
    </row>
    <row r="335" spans="36:49" ht="15" customHeight="1">
      <c r="AW335" s="125">
        <v>36</v>
      </c>
    </row>
    <row r="336" spans="36:49" ht="15" customHeight="1">
      <c r="AW336" s="125">
        <v>37</v>
      </c>
    </row>
    <row r="337" spans="49:49" ht="15" customHeight="1">
      <c r="AW337" s="125">
        <v>38</v>
      </c>
    </row>
    <row r="338" spans="49:49" ht="15" customHeight="1">
      <c r="AW338" s="125">
        <v>39</v>
      </c>
    </row>
    <row r="339" spans="49:49" ht="15" customHeight="1">
      <c r="AW339" s="125">
        <v>40</v>
      </c>
    </row>
    <row r="340" spans="49:49" ht="15" customHeight="1">
      <c r="AW340" s="125">
        <v>41</v>
      </c>
    </row>
    <row r="341" spans="49:49" ht="15" customHeight="1">
      <c r="AW341" s="125">
        <v>42</v>
      </c>
    </row>
    <row r="342" spans="49:49" ht="15" customHeight="1">
      <c r="AW342" s="125">
        <v>43</v>
      </c>
    </row>
    <row r="343" spans="49:49" ht="15" customHeight="1">
      <c r="AW343" s="125">
        <v>44</v>
      </c>
    </row>
    <row r="344" spans="49:49" ht="15" customHeight="1">
      <c r="AW344" s="125">
        <v>45</v>
      </c>
    </row>
    <row r="345" spans="49:49" ht="15" customHeight="1">
      <c r="AW345" s="125">
        <v>46</v>
      </c>
    </row>
    <row r="346" spans="49:49" ht="15" customHeight="1">
      <c r="AW346" s="125">
        <v>47</v>
      </c>
    </row>
    <row r="347" spans="49:49" ht="15" customHeight="1">
      <c r="AW347" s="125">
        <v>48</v>
      </c>
    </row>
    <row r="348" spans="49:49" ht="15" customHeight="1">
      <c r="AW348" s="125">
        <v>49</v>
      </c>
    </row>
    <row r="349" spans="49:49" ht="15" customHeight="1">
      <c r="AW349" s="125">
        <v>50</v>
      </c>
    </row>
    <row r="350" spans="49:49" ht="15" customHeight="1">
      <c r="AW350" s="125">
        <v>51</v>
      </c>
    </row>
    <row r="351" spans="49:49" ht="15" customHeight="1">
      <c r="AW351" s="125">
        <v>52</v>
      </c>
    </row>
    <row r="352" spans="49:49" ht="15" customHeight="1">
      <c r="AW352" s="125">
        <v>53</v>
      </c>
    </row>
    <row r="353" spans="49:49" ht="15" customHeight="1">
      <c r="AW353" s="125">
        <v>54</v>
      </c>
    </row>
    <row r="354" spans="49:49" ht="15" customHeight="1">
      <c r="AW354" s="125">
        <v>55</v>
      </c>
    </row>
    <row r="355" spans="49:49" ht="15" customHeight="1">
      <c r="AW355" s="125">
        <v>56</v>
      </c>
    </row>
    <row r="356" spans="49:49" ht="15" customHeight="1">
      <c r="AW356" s="125">
        <v>57</v>
      </c>
    </row>
    <row r="357" spans="49:49" ht="15" customHeight="1">
      <c r="AW357" s="125">
        <v>58</v>
      </c>
    </row>
    <row r="358" spans="49:49" ht="15" customHeight="1">
      <c r="AW358" s="125">
        <v>59</v>
      </c>
    </row>
    <row r="359" spans="49:49" ht="15" customHeight="1">
      <c r="AW359" s="125">
        <v>60</v>
      </c>
    </row>
    <row r="360" spans="49:49" ht="15" customHeight="1">
      <c r="AW360" s="125">
        <v>61</v>
      </c>
    </row>
    <row r="361" spans="49:49" ht="15" customHeight="1">
      <c r="AW361" s="125">
        <v>62</v>
      </c>
    </row>
    <row r="362" spans="49:49" ht="15" customHeight="1">
      <c r="AW362" s="125">
        <v>63</v>
      </c>
    </row>
    <row r="363" spans="49:49" ht="15" customHeight="1">
      <c r="AW363" s="125">
        <v>64</v>
      </c>
    </row>
    <row r="364" spans="49:49" ht="15" customHeight="1">
      <c r="AW364" s="125">
        <v>65</v>
      </c>
    </row>
    <row r="365" spans="49:49" ht="15" customHeight="1">
      <c r="AW365" s="125">
        <v>66</v>
      </c>
    </row>
    <row r="366" spans="49:49" ht="15" customHeight="1">
      <c r="AW366" s="125">
        <v>67</v>
      </c>
    </row>
    <row r="367" spans="49:49" ht="15" customHeight="1">
      <c r="AW367" s="125">
        <v>68</v>
      </c>
    </row>
    <row r="368" spans="49:49" ht="15" customHeight="1">
      <c r="AW368" s="125">
        <v>69</v>
      </c>
    </row>
    <row r="369" spans="49:49" ht="15" customHeight="1">
      <c r="AW369" s="125">
        <v>70</v>
      </c>
    </row>
    <row r="370" spans="49:49" ht="15" customHeight="1">
      <c r="AW370" s="125">
        <v>71</v>
      </c>
    </row>
    <row r="371" spans="49:49" ht="15" customHeight="1">
      <c r="AW371" s="125">
        <v>72</v>
      </c>
    </row>
    <row r="372" spans="49:49" ht="15" customHeight="1">
      <c r="AW372" s="125">
        <v>73</v>
      </c>
    </row>
    <row r="373" spans="49:49" ht="15" customHeight="1">
      <c r="AW373" s="125">
        <v>74</v>
      </c>
    </row>
    <row r="374" spans="49:49" ht="15" customHeight="1">
      <c r="AW374" s="125">
        <v>75</v>
      </c>
    </row>
    <row r="375" spans="49:49" ht="15" customHeight="1">
      <c r="AW375" s="125">
        <v>76</v>
      </c>
    </row>
    <row r="376" spans="49:49" ht="15" customHeight="1">
      <c r="AW376" s="125">
        <v>77</v>
      </c>
    </row>
    <row r="377" spans="49:49" ht="15" customHeight="1">
      <c r="AW377" s="125">
        <v>78</v>
      </c>
    </row>
    <row r="378" spans="49:49" ht="15" customHeight="1">
      <c r="AW378" s="125">
        <v>79</v>
      </c>
    </row>
    <row r="379" spans="49:49" ht="15" customHeight="1">
      <c r="AW379" s="125">
        <v>80</v>
      </c>
    </row>
    <row r="380" spans="49:49" ht="15" customHeight="1">
      <c r="AW380" s="125">
        <v>81</v>
      </c>
    </row>
    <row r="381" spans="49:49" ht="15" customHeight="1">
      <c r="AW381" s="125">
        <v>82</v>
      </c>
    </row>
    <row r="382" spans="49:49" ht="15" customHeight="1">
      <c r="AW382" s="125">
        <v>83</v>
      </c>
    </row>
    <row r="383" spans="49:49" ht="15" customHeight="1">
      <c r="AW383" s="125">
        <v>84</v>
      </c>
    </row>
    <row r="384" spans="49:49" ht="15" customHeight="1">
      <c r="AW384" s="125">
        <v>85</v>
      </c>
    </row>
    <row r="385" spans="49:49" ht="15" customHeight="1">
      <c r="AW385" s="125">
        <v>86</v>
      </c>
    </row>
    <row r="386" spans="49:49" ht="15" customHeight="1">
      <c r="AW386" s="125">
        <v>87</v>
      </c>
    </row>
    <row r="387" spans="49:49" ht="15" customHeight="1">
      <c r="AW387" s="125">
        <v>88</v>
      </c>
    </row>
    <row r="388" spans="49:49" ht="15" customHeight="1">
      <c r="AW388" s="125">
        <v>89</v>
      </c>
    </row>
    <row r="389" spans="49:49" ht="15" customHeight="1">
      <c r="AW389" s="125">
        <v>90</v>
      </c>
    </row>
    <row r="390" spans="49:49" ht="15" customHeight="1">
      <c r="AW390" s="125">
        <v>91</v>
      </c>
    </row>
    <row r="391" spans="49:49" ht="15" customHeight="1">
      <c r="AW391" s="125">
        <v>92</v>
      </c>
    </row>
    <row r="392" spans="49:49" ht="15" customHeight="1">
      <c r="AW392" s="125">
        <v>93</v>
      </c>
    </row>
    <row r="393" spans="49:49" ht="15" customHeight="1">
      <c r="AW393" s="125">
        <v>94</v>
      </c>
    </row>
    <row r="394" spans="49:49" ht="15" customHeight="1">
      <c r="AW394" s="125">
        <v>95</v>
      </c>
    </row>
    <row r="395" spans="49:49" ht="15" customHeight="1">
      <c r="AW395" s="125">
        <v>96</v>
      </c>
    </row>
    <row r="396" spans="49:49" ht="15" customHeight="1">
      <c r="AW396" s="125">
        <v>97</v>
      </c>
    </row>
    <row r="397" spans="49:49" ht="15" customHeight="1">
      <c r="AW397" s="125">
        <v>98</v>
      </c>
    </row>
    <row r="398" spans="49:49" ht="15" customHeight="1">
      <c r="AW398" s="125">
        <v>99</v>
      </c>
    </row>
    <row r="399" spans="49:49" ht="15" customHeight="1">
      <c r="AW399" s="125">
        <v>100</v>
      </c>
    </row>
    <row r="400" spans="49:49" ht="15" customHeight="1">
      <c r="AW400" s="125">
        <v>101</v>
      </c>
    </row>
    <row r="401" spans="49:49" ht="15" customHeight="1">
      <c r="AW401" s="125">
        <v>102</v>
      </c>
    </row>
    <row r="402" spans="49:49" ht="15" customHeight="1">
      <c r="AW402" s="125">
        <v>103</v>
      </c>
    </row>
    <row r="403" spans="49:49" ht="15" customHeight="1">
      <c r="AW403" s="125">
        <v>104</v>
      </c>
    </row>
    <row r="404" spans="49:49" ht="15" customHeight="1">
      <c r="AW404" s="125">
        <v>105</v>
      </c>
    </row>
    <row r="405" spans="49:49" ht="15" customHeight="1">
      <c r="AW405" s="125">
        <v>106</v>
      </c>
    </row>
    <row r="406" spans="49:49" ht="15" customHeight="1">
      <c r="AW406" s="125">
        <v>107</v>
      </c>
    </row>
    <row r="407" spans="49:49" ht="15" customHeight="1">
      <c r="AW407" s="125">
        <v>108</v>
      </c>
    </row>
    <row r="408" spans="49:49" ht="15" customHeight="1">
      <c r="AW408" s="125">
        <v>109</v>
      </c>
    </row>
    <row r="409" spans="49:49" ht="15" customHeight="1">
      <c r="AW409" s="125">
        <v>110</v>
      </c>
    </row>
    <row r="410" spans="49:49" ht="15" customHeight="1">
      <c r="AW410" s="125">
        <v>111</v>
      </c>
    </row>
    <row r="411" spans="49:49" ht="15" customHeight="1">
      <c r="AW411" s="125">
        <v>112</v>
      </c>
    </row>
    <row r="412" spans="49:49" ht="15" customHeight="1">
      <c r="AW412" s="125">
        <v>113</v>
      </c>
    </row>
    <row r="413" spans="49:49" ht="15" customHeight="1">
      <c r="AW413" s="125">
        <v>114</v>
      </c>
    </row>
    <row r="414" spans="49:49" ht="15" customHeight="1">
      <c r="AW414" s="125">
        <v>115</v>
      </c>
    </row>
    <row r="415" spans="49:49" ht="15" customHeight="1">
      <c r="AW415" s="125">
        <v>116</v>
      </c>
    </row>
    <row r="416" spans="49:49" ht="15" customHeight="1">
      <c r="AW416" s="125">
        <v>117</v>
      </c>
    </row>
    <row r="417" spans="49:49" ht="15" customHeight="1">
      <c r="AW417" s="125">
        <v>118</v>
      </c>
    </row>
    <row r="418" spans="49:49" ht="15" customHeight="1">
      <c r="AW418" s="125">
        <v>119</v>
      </c>
    </row>
    <row r="419" spans="49:49" ht="15" customHeight="1">
      <c r="AW419" s="125">
        <v>120</v>
      </c>
    </row>
    <row r="420" spans="49:49" ht="15" customHeight="1">
      <c r="AW420" s="125">
        <v>121</v>
      </c>
    </row>
    <row r="421" spans="49:49" ht="15" customHeight="1">
      <c r="AW421" s="125">
        <v>122</v>
      </c>
    </row>
    <row r="422" spans="49:49" ht="15" customHeight="1">
      <c r="AW422" s="125">
        <v>123</v>
      </c>
    </row>
    <row r="423" spans="49:49" ht="15" customHeight="1">
      <c r="AW423" s="125">
        <v>124</v>
      </c>
    </row>
    <row r="424" spans="49:49" ht="15" customHeight="1">
      <c r="AW424" s="125">
        <v>125</v>
      </c>
    </row>
    <row r="425" spans="49:49" ht="15" customHeight="1">
      <c r="AW425" s="125">
        <v>126</v>
      </c>
    </row>
    <row r="426" spans="49:49" ht="15" customHeight="1">
      <c r="AW426" s="125">
        <v>127</v>
      </c>
    </row>
    <row r="427" spans="49:49" ht="15" customHeight="1">
      <c r="AW427" s="125">
        <v>128</v>
      </c>
    </row>
    <row r="428" spans="49:49" ht="15" customHeight="1">
      <c r="AW428" s="125">
        <v>129</v>
      </c>
    </row>
    <row r="429" spans="49:49" ht="15" customHeight="1">
      <c r="AW429" s="125">
        <v>130</v>
      </c>
    </row>
    <row r="430" spans="49:49" ht="15" customHeight="1">
      <c r="AW430" s="125">
        <v>131</v>
      </c>
    </row>
    <row r="431" spans="49:49" ht="15" customHeight="1">
      <c r="AW431" s="125">
        <v>132</v>
      </c>
    </row>
    <row r="432" spans="49:49" ht="15" customHeight="1">
      <c r="AW432" s="125">
        <v>133</v>
      </c>
    </row>
    <row r="433" spans="49:49" ht="15" customHeight="1">
      <c r="AW433" s="125">
        <v>134</v>
      </c>
    </row>
    <row r="434" spans="49:49" ht="15" customHeight="1">
      <c r="AW434" s="125">
        <v>135</v>
      </c>
    </row>
    <row r="435" spans="49:49" ht="15" customHeight="1">
      <c r="AW435" s="125">
        <v>136</v>
      </c>
    </row>
    <row r="436" spans="49:49" ht="15" customHeight="1">
      <c r="AW436" s="125">
        <v>137</v>
      </c>
    </row>
    <row r="437" spans="49:49" ht="15" customHeight="1">
      <c r="AW437" s="125">
        <v>138</v>
      </c>
    </row>
    <row r="438" spans="49:49" ht="15" customHeight="1">
      <c r="AW438" s="125">
        <v>139</v>
      </c>
    </row>
    <row r="439" spans="49:49" ht="15" customHeight="1">
      <c r="AW439" s="125">
        <v>140</v>
      </c>
    </row>
    <row r="440" spans="49:49" ht="15" customHeight="1">
      <c r="AW440" s="125">
        <v>141</v>
      </c>
    </row>
    <row r="441" spans="49:49" ht="15" customHeight="1">
      <c r="AW441" s="125">
        <v>142</v>
      </c>
    </row>
    <row r="442" spans="49:49" ht="15" customHeight="1">
      <c r="AW442" s="125">
        <v>143</v>
      </c>
    </row>
    <row r="443" spans="49:49" ht="15" customHeight="1">
      <c r="AW443" s="125">
        <v>144</v>
      </c>
    </row>
    <row r="444" spans="49:49" ht="15" customHeight="1">
      <c r="AW444" s="125">
        <v>145</v>
      </c>
    </row>
    <row r="445" spans="49:49" ht="15" customHeight="1">
      <c r="AW445" s="125">
        <v>146</v>
      </c>
    </row>
    <row r="446" spans="49:49" ht="15" customHeight="1">
      <c r="AW446" s="125">
        <v>147</v>
      </c>
    </row>
    <row r="447" spans="49:49" ht="15" customHeight="1">
      <c r="AW447" s="125">
        <v>148</v>
      </c>
    </row>
    <row r="448" spans="49:49" ht="15" customHeight="1">
      <c r="AW448" s="125">
        <v>149</v>
      </c>
    </row>
    <row r="449" spans="49:49" ht="15" customHeight="1">
      <c r="AW449" s="125">
        <v>150</v>
      </c>
    </row>
    <row r="450" spans="49:49" ht="15" customHeight="1">
      <c r="AW450" s="125">
        <v>151</v>
      </c>
    </row>
    <row r="451" spans="49:49" ht="15" customHeight="1">
      <c r="AW451" s="125">
        <v>152</v>
      </c>
    </row>
    <row r="452" spans="49:49" ht="15" customHeight="1">
      <c r="AW452" s="125">
        <v>153</v>
      </c>
    </row>
    <row r="453" spans="49:49" ht="15" customHeight="1">
      <c r="AW453" s="125">
        <v>154</v>
      </c>
    </row>
    <row r="454" spans="49:49" ht="15" customHeight="1">
      <c r="AW454" s="125">
        <v>155</v>
      </c>
    </row>
    <row r="455" spans="49:49" ht="15" customHeight="1">
      <c r="AW455" s="125">
        <v>156</v>
      </c>
    </row>
    <row r="456" spans="49:49" ht="15" customHeight="1">
      <c r="AW456" s="125">
        <v>157</v>
      </c>
    </row>
    <row r="457" spans="49:49" ht="15" customHeight="1">
      <c r="AW457" s="125">
        <v>158</v>
      </c>
    </row>
    <row r="458" spans="49:49" ht="15" customHeight="1">
      <c r="AW458" s="125">
        <v>159</v>
      </c>
    </row>
    <row r="459" spans="49:49" ht="15" customHeight="1">
      <c r="AW459" s="125">
        <v>160</v>
      </c>
    </row>
    <row r="460" spans="49:49" ht="15" customHeight="1">
      <c r="AW460" s="125">
        <v>161</v>
      </c>
    </row>
    <row r="461" spans="49:49" ht="15" customHeight="1">
      <c r="AW461" s="125">
        <v>162</v>
      </c>
    </row>
    <row r="462" spans="49:49" ht="15" customHeight="1">
      <c r="AW462" s="125">
        <v>163</v>
      </c>
    </row>
    <row r="463" spans="49:49" ht="15" customHeight="1">
      <c r="AW463" s="125">
        <v>164</v>
      </c>
    </row>
    <row r="464" spans="49:49" ht="15" customHeight="1">
      <c r="AW464" s="125">
        <v>165</v>
      </c>
    </row>
    <row r="465" spans="49:49" ht="15" customHeight="1">
      <c r="AW465" s="125">
        <v>166</v>
      </c>
    </row>
    <row r="466" spans="49:49" ht="15" customHeight="1">
      <c r="AW466" s="125">
        <v>167</v>
      </c>
    </row>
    <row r="467" spans="49:49" ht="15" customHeight="1">
      <c r="AW467" s="125">
        <v>168</v>
      </c>
    </row>
    <row r="468" spans="49:49" ht="15" customHeight="1">
      <c r="AW468" s="125">
        <v>169</v>
      </c>
    </row>
    <row r="469" spans="49:49" ht="15" customHeight="1">
      <c r="AW469" s="125">
        <v>170</v>
      </c>
    </row>
    <row r="470" spans="49:49" ht="15" customHeight="1">
      <c r="AW470" s="125">
        <v>171</v>
      </c>
    </row>
    <row r="471" spans="49:49" ht="15" customHeight="1">
      <c r="AW471" s="125">
        <v>172</v>
      </c>
    </row>
    <row r="472" spans="49:49" ht="15" customHeight="1">
      <c r="AW472" s="125">
        <v>173</v>
      </c>
    </row>
    <row r="473" spans="49:49" ht="15" customHeight="1">
      <c r="AW473" s="125">
        <v>174</v>
      </c>
    </row>
    <row r="474" spans="49:49" ht="15" customHeight="1">
      <c r="AW474" s="125">
        <v>175</v>
      </c>
    </row>
    <row r="475" spans="49:49" ht="15" customHeight="1">
      <c r="AW475" s="125">
        <v>176</v>
      </c>
    </row>
    <row r="476" spans="49:49" ht="15" customHeight="1">
      <c r="AW476" s="125">
        <v>177</v>
      </c>
    </row>
    <row r="477" spans="49:49" ht="15" customHeight="1">
      <c r="AW477" s="125">
        <v>178</v>
      </c>
    </row>
    <row r="478" spans="49:49" ht="15" customHeight="1">
      <c r="AW478" s="125">
        <v>179</v>
      </c>
    </row>
    <row r="479" spans="49:49" ht="15" customHeight="1">
      <c r="AW479" s="125">
        <v>180</v>
      </c>
    </row>
    <row r="480" spans="49:49" ht="15" customHeight="1">
      <c r="AW480" s="125">
        <v>181</v>
      </c>
    </row>
    <row r="481" spans="49:49" ht="15" customHeight="1">
      <c r="AW481" s="125">
        <v>182</v>
      </c>
    </row>
    <row r="482" spans="49:49" ht="15" customHeight="1">
      <c r="AW482" s="125">
        <v>183</v>
      </c>
    </row>
    <row r="483" spans="49:49" ht="15" customHeight="1">
      <c r="AW483" s="125">
        <v>184</v>
      </c>
    </row>
    <row r="484" spans="49:49" ht="15" customHeight="1">
      <c r="AW484" s="125">
        <v>185</v>
      </c>
    </row>
    <row r="485" spans="49:49" ht="15" customHeight="1">
      <c r="AW485" s="125">
        <v>186</v>
      </c>
    </row>
    <row r="486" spans="49:49" ht="15" customHeight="1">
      <c r="AW486" s="125">
        <v>187</v>
      </c>
    </row>
    <row r="487" spans="49:49" ht="15" customHeight="1">
      <c r="AW487" s="125">
        <v>188</v>
      </c>
    </row>
    <row r="488" spans="49:49" ht="15" customHeight="1">
      <c r="AW488" s="125">
        <v>189</v>
      </c>
    </row>
    <row r="489" spans="49:49" ht="15" customHeight="1">
      <c r="AW489" s="125">
        <v>190</v>
      </c>
    </row>
    <row r="490" spans="49:49" ht="15" customHeight="1">
      <c r="AW490" s="125">
        <v>191</v>
      </c>
    </row>
    <row r="491" spans="49:49" ht="15" customHeight="1">
      <c r="AW491" s="125">
        <v>192</v>
      </c>
    </row>
    <row r="492" spans="49:49" ht="15" customHeight="1">
      <c r="AW492" s="125">
        <v>193</v>
      </c>
    </row>
    <row r="493" spans="49:49" ht="15" customHeight="1">
      <c r="AW493" s="125">
        <v>194</v>
      </c>
    </row>
    <row r="494" spans="49:49" ht="15" customHeight="1">
      <c r="AW494" s="125">
        <v>195</v>
      </c>
    </row>
    <row r="495" spans="49:49" ht="15" customHeight="1">
      <c r="AW495" s="125">
        <v>196</v>
      </c>
    </row>
    <row r="496" spans="49:49" ht="15" customHeight="1">
      <c r="AW496" s="125">
        <v>197</v>
      </c>
    </row>
    <row r="497" spans="49:49" ht="15" customHeight="1">
      <c r="AW497" s="125">
        <v>198</v>
      </c>
    </row>
    <row r="498" spans="49:49" ht="15" customHeight="1">
      <c r="AW498" s="125">
        <v>199</v>
      </c>
    </row>
    <row r="499" spans="49:49" ht="15" customHeight="1">
      <c r="AW499" s="125">
        <v>200</v>
      </c>
    </row>
    <row r="500" spans="49:49" ht="15" customHeight="1">
      <c r="AW500" s="125">
        <v>201</v>
      </c>
    </row>
    <row r="501" spans="49:49" ht="15" customHeight="1">
      <c r="AW501" s="125">
        <v>202</v>
      </c>
    </row>
    <row r="502" spans="49:49" ht="15" customHeight="1">
      <c r="AW502" s="125">
        <v>203</v>
      </c>
    </row>
    <row r="503" spans="49:49" ht="15" customHeight="1">
      <c r="AW503" s="125">
        <v>204</v>
      </c>
    </row>
    <row r="504" spans="49:49" ht="15" customHeight="1">
      <c r="AW504" s="125">
        <v>205</v>
      </c>
    </row>
    <row r="505" spans="49:49" ht="15" customHeight="1">
      <c r="AW505" s="125">
        <v>206</v>
      </c>
    </row>
    <row r="506" spans="49:49" ht="15" customHeight="1">
      <c r="AW506" s="125">
        <v>207</v>
      </c>
    </row>
    <row r="507" spans="49:49" ht="15" customHeight="1">
      <c r="AW507" s="125">
        <v>208</v>
      </c>
    </row>
    <row r="508" spans="49:49" ht="15" customHeight="1">
      <c r="AW508" s="125">
        <v>209</v>
      </c>
    </row>
    <row r="509" spans="49:49" ht="15" customHeight="1">
      <c r="AW509" s="125">
        <v>210</v>
      </c>
    </row>
    <row r="510" spans="49:49" ht="15" customHeight="1">
      <c r="AW510" s="125">
        <v>211</v>
      </c>
    </row>
    <row r="511" spans="49:49" ht="15" customHeight="1">
      <c r="AW511" s="125">
        <v>212</v>
      </c>
    </row>
    <row r="512" spans="49:49" ht="15" customHeight="1">
      <c r="AW512" s="125">
        <v>213</v>
      </c>
    </row>
    <row r="513" spans="49:49" ht="15" customHeight="1">
      <c r="AW513" s="125">
        <v>214</v>
      </c>
    </row>
    <row r="514" spans="49:49" ht="15" customHeight="1">
      <c r="AW514" s="125">
        <v>215</v>
      </c>
    </row>
    <row r="515" spans="49:49" ht="15" customHeight="1">
      <c r="AW515" s="125">
        <v>216</v>
      </c>
    </row>
    <row r="516" spans="49:49" ht="15" customHeight="1">
      <c r="AW516" s="125">
        <v>217</v>
      </c>
    </row>
    <row r="517" spans="49:49" ht="15" customHeight="1">
      <c r="AW517" s="125">
        <v>218</v>
      </c>
    </row>
    <row r="518" spans="49:49" ht="15" customHeight="1">
      <c r="AW518" s="125">
        <v>219</v>
      </c>
    </row>
    <row r="519" spans="49:49" ht="15" customHeight="1">
      <c r="AW519" s="125">
        <v>220</v>
      </c>
    </row>
    <row r="520" spans="49:49" ht="15" customHeight="1">
      <c r="AW520" s="125">
        <v>221</v>
      </c>
    </row>
    <row r="521" spans="49:49" ht="15" customHeight="1">
      <c r="AW521" s="125">
        <v>222</v>
      </c>
    </row>
    <row r="522" spans="49:49" ht="15" customHeight="1">
      <c r="AW522" s="125">
        <v>223</v>
      </c>
    </row>
    <row r="523" spans="49:49" ht="15" customHeight="1">
      <c r="AW523" s="125">
        <v>224</v>
      </c>
    </row>
    <row r="524" spans="49:49" ht="15" customHeight="1">
      <c r="AW524" s="125">
        <v>225</v>
      </c>
    </row>
    <row r="525" spans="49:49" ht="15" customHeight="1">
      <c r="AW525" s="125">
        <v>226</v>
      </c>
    </row>
    <row r="526" spans="49:49" ht="15" customHeight="1">
      <c r="AW526" s="125">
        <v>227</v>
      </c>
    </row>
    <row r="527" spans="49:49" ht="15" customHeight="1">
      <c r="AW527" s="125">
        <v>228</v>
      </c>
    </row>
    <row r="528" spans="49:49" ht="15" customHeight="1">
      <c r="AW528" s="125">
        <v>229</v>
      </c>
    </row>
    <row r="529" spans="49:49" ht="15" customHeight="1">
      <c r="AW529" s="125">
        <v>230</v>
      </c>
    </row>
    <row r="530" spans="49:49" ht="15" customHeight="1">
      <c r="AW530" s="125">
        <v>231</v>
      </c>
    </row>
    <row r="531" spans="49:49" ht="15" customHeight="1">
      <c r="AW531" s="125">
        <v>232</v>
      </c>
    </row>
    <row r="532" spans="49:49" ht="15" customHeight="1">
      <c r="AW532" s="125">
        <v>233</v>
      </c>
    </row>
    <row r="533" spans="49:49" ht="15" customHeight="1">
      <c r="AW533" s="125">
        <v>234</v>
      </c>
    </row>
    <row r="534" spans="49:49" ht="15" customHeight="1">
      <c r="AW534" s="125">
        <v>235</v>
      </c>
    </row>
    <row r="535" spans="49:49" ht="15" customHeight="1">
      <c r="AW535" s="125">
        <v>236</v>
      </c>
    </row>
    <row r="536" spans="49:49" ht="15" customHeight="1">
      <c r="AW536" s="125">
        <v>237</v>
      </c>
    </row>
    <row r="537" spans="49:49" ht="15" customHeight="1">
      <c r="AW537" s="125">
        <v>238</v>
      </c>
    </row>
    <row r="538" spans="49:49" ht="15" customHeight="1">
      <c r="AW538" s="125">
        <v>239</v>
      </c>
    </row>
    <row r="539" spans="49:49" ht="15" customHeight="1">
      <c r="AW539" s="125">
        <v>240</v>
      </c>
    </row>
    <row r="540" spans="49:49" ht="15" customHeight="1">
      <c r="AW540" s="125">
        <v>241</v>
      </c>
    </row>
    <row r="541" spans="49:49" ht="15" customHeight="1">
      <c r="AW541" s="125">
        <v>242</v>
      </c>
    </row>
    <row r="542" spans="49:49" ht="15" customHeight="1">
      <c r="AW542" s="125">
        <v>243</v>
      </c>
    </row>
    <row r="543" spans="49:49" ht="15" customHeight="1">
      <c r="AW543" s="125">
        <v>244</v>
      </c>
    </row>
    <row r="544" spans="49:49" ht="15" customHeight="1">
      <c r="AW544" s="125">
        <v>245</v>
      </c>
    </row>
    <row r="545" spans="49:49" ht="15" customHeight="1">
      <c r="AW545" s="125">
        <v>246</v>
      </c>
    </row>
    <row r="546" spans="49:49" ht="15" customHeight="1">
      <c r="AW546" s="125">
        <v>247</v>
      </c>
    </row>
    <row r="547" spans="49:49" ht="15" customHeight="1">
      <c r="AW547" s="125">
        <v>248</v>
      </c>
    </row>
    <row r="548" spans="49:49" ht="15" customHeight="1">
      <c r="AW548" s="125">
        <v>249</v>
      </c>
    </row>
    <row r="549" spans="49:49" ht="15" customHeight="1">
      <c r="AW549" s="125">
        <v>250</v>
      </c>
    </row>
    <row r="550" spans="49:49" ht="15" customHeight="1">
      <c r="AW550" s="125">
        <v>251</v>
      </c>
    </row>
    <row r="551" spans="49:49" ht="15" customHeight="1">
      <c r="AW551" s="125">
        <v>252</v>
      </c>
    </row>
    <row r="552" spans="49:49" ht="15" customHeight="1">
      <c r="AW552" s="125">
        <v>253</v>
      </c>
    </row>
    <row r="553" spans="49:49" ht="15" customHeight="1">
      <c r="AW553" s="125">
        <v>254</v>
      </c>
    </row>
    <row r="554" spans="49:49" ht="15" customHeight="1">
      <c r="AW554" s="125">
        <v>255</v>
      </c>
    </row>
    <row r="555" spans="49:49" ht="15" customHeight="1">
      <c r="AW555" s="125">
        <v>256</v>
      </c>
    </row>
    <row r="556" spans="49:49" ht="15" customHeight="1">
      <c r="AW556" s="125">
        <v>257</v>
      </c>
    </row>
    <row r="557" spans="49:49" ht="15" customHeight="1">
      <c r="AW557" s="125">
        <v>258</v>
      </c>
    </row>
    <row r="558" spans="49:49" ht="15" customHeight="1">
      <c r="AW558" s="125">
        <v>259</v>
      </c>
    </row>
    <row r="559" spans="49:49" ht="15" customHeight="1">
      <c r="AW559" s="125">
        <v>260</v>
      </c>
    </row>
    <row r="560" spans="49:49" ht="15" customHeight="1">
      <c r="AW560" s="125">
        <v>261</v>
      </c>
    </row>
    <row r="561" spans="49:49" ht="15" customHeight="1">
      <c r="AW561" s="125">
        <v>262</v>
      </c>
    </row>
    <row r="562" spans="49:49" ht="15" customHeight="1">
      <c r="AW562" s="125">
        <v>263</v>
      </c>
    </row>
    <row r="563" spans="49:49" ht="15" customHeight="1">
      <c r="AW563" s="125">
        <v>264</v>
      </c>
    </row>
    <row r="564" spans="49:49" ht="15" customHeight="1">
      <c r="AW564" s="125">
        <v>265</v>
      </c>
    </row>
    <row r="565" spans="49:49" ht="15" customHeight="1">
      <c r="AW565" s="125">
        <v>266</v>
      </c>
    </row>
    <row r="566" spans="49:49" ht="15" customHeight="1">
      <c r="AW566" s="125">
        <v>267</v>
      </c>
    </row>
    <row r="567" spans="49:49" ht="15" customHeight="1">
      <c r="AW567" s="125">
        <v>268</v>
      </c>
    </row>
    <row r="568" spans="49:49" ht="15" customHeight="1">
      <c r="AW568" s="125">
        <v>269</v>
      </c>
    </row>
    <row r="569" spans="49:49" ht="15" customHeight="1">
      <c r="AW569" s="125">
        <v>270</v>
      </c>
    </row>
    <row r="570" spans="49:49" ht="15" customHeight="1">
      <c r="AW570" s="125">
        <v>271</v>
      </c>
    </row>
    <row r="571" spans="49:49" ht="15" customHeight="1">
      <c r="AW571" s="125">
        <v>272</v>
      </c>
    </row>
    <row r="572" spans="49:49" ht="15" customHeight="1">
      <c r="AW572" s="125">
        <v>273</v>
      </c>
    </row>
    <row r="573" spans="49:49" ht="15" customHeight="1">
      <c r="AW573" s="125">
        <v>274</v>
      </c>
    </row>
    <row r="574" spans="49:49" ht="15" customHeight="1">
      <c r="AW574" s="125">
        <v>275</v>
      </c>
    </row>
    <row r="575" spans="49:49" ht="15" customHeight="1">
      <c r="AW575" s="125">
        <v>276</v>
      </c>
    </row>
    <row r="576" spans="49:49" ht="15" customHeight="1">
      <c r="AW576" s="125">
        <v>277</v>
      </c>
    </row>
    <row r="577" spans="49:49" ht="15" customHeight="1">
      <c r="AW577" s="125">
        <v>278</v>
      </c>
    </row>
    <row r="578" spans="49:49" ht="15" customHeight="1">
      <c r="AW578" s="125">
        <v>279</v>
      </c>
    </row>
    <row r="579" spans="49:49" ht="15" customHeight="1">
      <c r="AW579" s="125">
        <v>280</v>
      </c>
    </row>
    <row r="580" spans="49:49" ht="15" customHeight="1">
      <c r="AW580" s="125">
        <v>281</v>
      </c>
    </row>
    <row r="581" spans="49:49" ht="15" customHeight="1">
      <c r="AW581" s="125">
        <v>282</v>
      </c>
    </row>
    <row r="582" spans="49:49" ht="15" customHeight="1">
      <c r="AW582" s="125">
        <v>283</v>
      </c>
    </row>
    <row r="583" spans="49:49" ht="15" customHeight="1">
      <c r="AW583" s="125">
        <v>284</v>
      </c>
    </row>
    <row r="584" spans="49:49" ht="15" customHeight="1">
      <c r="AW584" s="125">
        <v>285</v>
      </c>
    </row>
    <row r="585" spans="49:49" ht="15" customHeight="1">
      <c r="AW585" s="125">
        <v>286</v>
      </c>
    </row>
    <row r="586" spans="49:49" ht="15" customHeight="1">
      <c r="AW586" s="125">
        <v>287</v>
      </c>
    </row>
    <row r="587" spans="49:49" ht="15" customHeight="1">
      <c r="AW587" s="125">
        <v>288</v>
      </c>
    </row>
    <row r="588" spans="49:49" ht="15" customHeight="1">
      <c r="AW588" s="125">
        <v>289</v>
      </c>
    </row>
    <row r="589" spans="49:49" ht="15" customHeight="1">
      <c r="AW589" s="125">
        <v>290</v>
      </c>
    </row>
    <row r="590" spans="49:49" ht="15" customHeight="1">
      <c r="AW590" s="125">
        <v>291</v>
      </c>
    </row>
    <row r="591" spans="49:49" ht="15" customHeight="1">
      <c r="AW591" s="125">
        <v>292</v>
      </c>
    </row>
    <row r="592" spans="49:49" ht="15" customHeight="1">
      <c r="AW592" s="125">
        <v>293</v>
      </c>
    </row>
    <row r="593" spans="49:49" ht="15" customHeight="1">
      <c r="AW593" s="125">
        <v>294</v>
      </c>
    </row>
    <row r="594" spans="49:49" ht="15" customHeight="1">
      <c r="AW594" s="125">
        <v>295</v>
      </c>
    </row>
    <row r="595" spans="49:49" ht="15" customHeight="1">
      <c r="AW595" s="125">
        <v>296</v>
      </c>
    </row>
    <row r="596" spans="49:49" ht="15" customHeight="1">
      <c r="AW596" s="125">
        <v>297</v>
      </c>
    </row>
    <row r="597" spans="49:49" ht="15" customHeight="1">
      <c r="AW597" s="125">
        <v>298</v>
      </c>
    </row>
    <row r="598" spans="49:49" ht="15" customHeight="1">
      <c r="AW598" s="125">
        <v>299</v>
      </c>
    </row>
    <row r="599" spans="49:49" ht="15" customHeight="1">
      <c r="AW599" s="125">
        <v>300</v>
      </c>
    </row>
    <row r="600" spans="49:49" ht="15" customHeight="1">
      <c r="AW600" s="125">
        <v>301</v>
      </c>
    </row>
    <row r="601" spans="49:49" ht="15" customHeight="1">
      <c r="AW601" s="125">
        <v>302</v>
      </c>
    </row>
    <row r="602" spans="49:49" ht="15" customHeight="1">
      <c r="AW602" s="125">
        <v>303</v>
      </c>
    </row>
    <row r="603" spans="49:49" ht="15" customHeight="1">
      <c r="AW603" s="125">
        <v>304</v>
      </c>
    </row>
    <row r="604" spans="49:49" ht="15" customHeight="1">
      <c r="AW604" s="125">
        <v>305</v>
      </c>
    </row>
    <row r="605" spans="49:49" ht="15" customHeight="1">
      <c r="AW605" s="125">
        <v>306</v>
      </c>
    </row>
    <row r="606" spans="49:49" ht="15" customHeight="1">
      <c r="AW606" s="125">
        <v>307</v>
      </c>
    </row>
    <row r="607" spans="49:49" ht="15" customHeight="1">
      <c r="AW607" s="125">
        <v>308</v>
      </c>
    </row>
    <row r="608" spans="49:49" ht="15" customHeight="1">
      <c r="AW608" s="125">
        <v>309</v>
      </c>
    </row>
    <row r="609" spans="49:49" ht="15" customHeight="1">
      <c r="AW609" s="125">
        <v>310</v>
      </c>
    </row>
    <row r="610" spans="49:49" ht="15" customHeight="1">
      <c r="AW610" s="125">
        <v>311</v>
      </c>
    </row>
    <row r="611" spans="49:49" ht="15" customHeight="1">
      <c r="AW611" s="125">
        <v>312</v>
      </c>
    </row>
    <row r="612" spans="49:49" ht="15" customHeight="1">
      <c r="AW612" s="125">
        <v>313</v>
      </c>
    </row>
    <row r="613" spans="49:49" ht="15" customHeight="1">
      <c r="AW613" s="125">
        <v>314</v>
      </c>
    </row>
    <row r="614" spans="49:49" ht="15" customHeight="1">
      <c r="AW614" s="125">
        <v>315</v>
      </c>
    </row>
    <row r="615" spans="49:49" ht="15" customHeight="1">
      <c r="AW615" s="125">
        <v>316</v>
      </c>
    </row>
    <row r="616" spans="49:49" ht="15" customHeight="1">
      <c r="AW616" s="125">
        <v>317</v>
      </c>
    </row>
    <row r="617" spans="49:49" ht="15" customHeight="1">
      <c r="AW617" s="125">
        <v>318</v>
      </c>
    </row>
    <row r="618" spans="49:49" ht="15" customHeight="1">
      <c r="AW618" s="125">
        <v>319</v>
      </c>
    </row>
    <row r="619" spans="49:49" ht="15" customHeight="1">
      <c r="AW619" s="125">
        <v>320</v>
      </c>
    </row>
    <row r="620" spans="49:49" ht="15" customHeight="1">
      <c r="AW620" s="125">
        <v>321</v>
      </c>
    </row>
    <row r="621" spans="49:49" ht="15" customHeight="1">
      <c r="AW621" s="125">
        <v>322</v>
      </c>
    </row>
    <row r="622" spans="49:49" ht="15" customHeight="1">
      <c r="AW622" s="125">
        <v>323</v>
      </c>
    </row>
    <row r="623" spans="49:49" ht="15" customHeight="1">
      <c r="AW623" s="125">
        <v>324</v>
      </c>
    </row>
    <row r="624" spans="49:49" ht="15" customHeight="1">
      <c r="AW624" s="125">
        <v>325</v>
      </c>
    </row>
    <row r="625" spans="49:49" ht="15" customHeight="1">
      <c r="AW625" s="125">
        <v>326</v>
      </c>
    </row>
    <row r="626" spans="49:49" ht="15" customHeight="1">
      <c r="AW626" s="125">
        <v>327</v>
      </c>
    </row>
    <row r="627" spans="49:49" ht="15" customHeight="1">
      <c r="AW627" s="125">
        <v>328</v>
      </c>
    </row>
    <row r="628" spans="49:49" ht="15" customHeight="1">
      <c r="AW628" s="125">
        <v>329</v>
      </c>
    </row>
    <row r="629" spans="49:49" ht="15" customHeight="1">
      <c r="AW629" s="125">
        <v>330</v>
      </c>
    </row>
    <row r="630" spans="49:49" ht="15" customHeight="1">
      <c r="AW630" s="125">
        <v>331</v>
      </c>
    </row>
    <row r="631" spans="49:49" ht="15" customHeight="1">
      <c r="AW631" s="125">
        <v>332</v>
      </c>
    </row>
    <row r="632" spans="49:49" ht="15" customHeight="1">
      <c r="AW632" s="125">
        <v>333</v>
      </c>
    </row>
    <row r="633" spans="49:49" ht="15" customHeight="1">
      <c r="AW633" s="125">
        <v>334</v>
      </c>
    </row>
    <row r="634" spans="49:49" ht="15" customHeight="1">
      <c r="AW634" s="125">
        <v>335</v>
      </c>
    </row>
    <row r="635" spans="49:49" ht="15" customHeight="1">
      <c r="AW635" s="125">
        <v>336</v>
      </c>
    </row>
    <row r="636" spans="49:49" ht="15" customHeight="1">
      <c r="AW636" s="125">
        <v>337</v>
      </c>
    </row>
    <row r="637" spans="49:49" ht="15" customHeight="1">
      <c r="AW637" s="125">
        <v>338</v>
      </c>
    </row>
    <row r="638" spans="49:49" ht="15" customHeight="1">
      <c r="AW638" s="125">
        <v>339</v>
      </c>
    </row>
    <row r="639" spans="49:49" ht="15" customHeight="1">
      <c r="AW639" s="125">
        <v>340</v>
      </c>
    </row>
    <row r="640" spans="49:49" ht="15" customHeight="1">
      <c r="AW640" s="125">
        <v>341</v>
      </c>
    </row>
    <row r="641" spans="49:49" ht="15" customHeight="1">
      <c r="AW641" s="125">
        <v>342</v>
      </c>
    </row>
    <row r="642" spans="49:49" ht="15" customHeight="1">
      <c r="AW642" s="125">
        <v>343</v>
      </c>
    </row>
    <row r="643" spans="49:49" ht="15" customHeight="1">
      <c r="AW643" s="125">
        <v>344</v>
      </c>
    </row>
    <row r="644" spans="49:49" ht="15" customHeight="1">
      <c r="AW644" s="125">
        <v>345</v>
      </c>
    </row>
    <row r="645" spans="49:49" ht="15" customHeight="1">
      <c r="AW645" s="125">
        <v>346</v>
      </c>
    </row>
    <row r="646" spans="49:49" ht="15" customHeight="1">
      <c r="AW646" s="125">
        <v>347</v>
      </c>
    </row>
    <row r="647" spans="49:49" ht="15" customHeight="1">
      <c r="AW647" s="125">
        <v>348</v>
      </c>
    </row>
    <row r="648" spans="49:49" ht="15" customHeight="1">
      <c r="AW648" s="125">
        <v>349</v>
      </c>
    </row>
    <row r="649" spans="49:49" ht="15" customHeight="1">
      <c r="AW649" s="125">
        <v>350</v>
      </c>
    </row>
    <row r="650" spans="49:49" ht="15" customHeight="1">
      <c r="AW650" s="125">
        <v>351</v>
      </c>
    </row>
    <row r="651" spans="49:49" ht="15" customHeight="1">
      <c r="AW651" s="125">
        <v>352</v>
      </c>
    </row>
    <row r="652" spans="49:49" ht="15" customHeight="1">
      <c r="AW652" s="125">
        <v>353</v>
      </c>
    </row>
    <row r="653" spans="49:49" ht="15" customHeight="1">
      <c r="AW653" s="125">
        <v>354</v>
      </c>
    </row>
    <row r="654" spans="49:49" ht="15" customHeight="1">
      <c r="AW654" s="125">
        <v>355</v>
      </c>
    </row>
    <row r="655" spans="49:49" ht="15" customHeight="1">
      <c r="AW655" s="125">
        <v>356</v>
      </c>
    </row>
    <row r="656" spans="49:49" ht="15" customHeight="1">
      <c r="AW656" s="125">
        <v>357</v>
      </c>
    </row>
    <row r="657" spans="49:49" ht="15" customHeight="1">
      <c r="AW657" s="125">
        <v>358</v>
      </c>
    </row>
    <row r="658" spans="49:49" ht="15" customHeight="1">
      <c r="AW658" s="125">
        <v>359</v>
      </c>
    </row>
    <row r="659" spans="49:49" ht="15" customHeight="1">
      <c r="AW659" s="125">
        <v>360</v>
      </c>
    </row>
    <row r="660" spans="49:49" ht="15" customHeight="1">
      <c r="AW660" s="125">
        <v>361</v>
      </c>
    </row>
    <row r="661" spans="49:49" ht="15" customHeight="1">
      <c r="AW661" s="125">
        <v>362</v>
      </c>
    </row>
    <row r="662" spans="49:49" ht="15" customHeight="1">
      <c r="AW662" s="125">
        <v>363</v>
      </c>
    </row>
    <row r="663" spans="49:49" ht="15" customHeight="1">
      <c r="AW663" s="125">
        <v>364</v>
      </c>
    </row>
    <row r="664" spans="49:49" ht="15" customHeight="1">
      <c r="AW664" s="125">
        <v>365</v>
      </c>
    </row>
    <row r="665" spans="49:49" ht="15" customHeight="1">
      <c r="AW665" s="125">
        <v>366</v>
      </c>
    </row>
    <row r="666" spans="49:49" ht="15" customHeight="1">
      <c r="AW666" s="125">
        <v>367</v>
      </c>
    </row>
    <row r="667" spans="49:49" ht="15" customHeight="1">
      <c r="AW667" s="125">
        <v>368</v>
      </c>
    </row>
    <row r="668" spans="49:49" ht="15" customHeight="1">
      <c r="AW668" s="125">
        <v>369</v>
      </c>
    </row>
    <row r="669" spans="49:49" ht="15" customHeight="1">
      <c r="AW669" s="125">
        <v>370</v>
      </c>
    </row>
    <row r="670" spans="49:49" ht="15" customHeight="1">
      <c r="AW670" s="125">
        <v>371</v>
      </c>
    </row>
    <row r="671" spans="49:49" ht="15" customHeight="1">
      <c r="AW671" s="125">
        <v>372</v>
      </c>
    </row>
    <row r="672" spans="49:49" ht="15" customHeight="1">
      <c r="AW672" s="125">
        <v>373</v>
      </c>
    </row>
    <row r="673" spans="49:49" ht="15" customHeight="1">
      <c r="AW673" s="125">
        <v>374</v>
      </c>
    </row>
    <row r="674" spans="49:49" ht="15" customHeight="1">
      <c r="AW674" s="125">
        <v>375</v>
      </c>
    </row>
    <row r="675" spans="49:49" ht="15" customHeight="1">
      <c r="AW675" s="125">
        <v>376</v>
      </c>
    </row>
    <row r="676" spans="49:49" ht="15" customHeight="1">
      <c r="AW676" s="125">
        <v>377</v>
      </c>
    </row>
    <row r="677" spans="49:49" ht="15" customHeight="1">
      <c r="AW677" s="125">
        <v>378</v>
      </c>
    </row>
    <row r="678" spans="49:49" ht="15" customHeight="1">
      <c r="AW678" s="125">
        <v>379</v>
      </c>
    </row>
    <row r="679" spans="49:49" ht="15" customHeight="1">
      <c r="AW679" s="125">
        <v>380</v>
      </c>
    </row>
    <row r="680" spans="49:49" ht="15" customHeight="1">
      <c r="AW680" s="125">
        <v>381</v>
      </c>
    </row>
    <row r="681" spans="49:49" ht="15" customHeight="1">
      <c r="AW681" s="125">
        <v>382</v>
      </c>
    </row>
    <row r="682" spans="49:49" ht="15" customHeight="1">
      <c r="AW682" s="125">
        <v>383</v>
      </c>
    </row>
    <row r="683" spans="49:49" ht="15" customHeight="1">
      <c r="AW683" s="125">
        <v>384</v>
      </c>
    </row>
    <row r="684" spans="49:49" ht="15" customHeight="1">
      <c r="AW684" s="125">
        <v>385</v>
      </c>
    </row>
    <row r="685" spans="49:49" ht="15" customHeight="1">
      <c r="AW685" s="125">
        <v>386</v>
      </c>
    </row>
    <row r="686" spans="49:49" ht="15" customHeight="1">
      <c r="AW686" s="125">
        <v>387</v>
      </c>
    </row>
    <row r="687" spans="49:49" ht="15" customHeight="1">
      <c r="AW687" s="125">
        <v>388</v>
      </c>
    </row>
    <row r="688" spans="49:49" ht="15" customHeight="1">
      <c r="AW688" s="125">
        <v>389</v>
      </c>
    </row>
    <row r="689" spans="49:49" ht="15" customHeight="1">
      <c r="AW689" s="125">
        <v>390</v>
      </c>
    </row>
    <row r="690" spans="49:49" ht="15" customHeight="1">
      <c r="AW690" s="125">
        <v>391</v>
      </c>
    </row>
    <row r="691" spans="49:49" ht="15" customHeight="1">
      <c r="AW691" s="125">
        <v>392</v>
      </c>
    </row>
    <row r="692" spans="49:49" ht="15" customHeight="1">
      <c r="AW692" s="125">
        <v>393</v>
      </c>
    </row>
    <row r="693" spans="49:49" ht="15" customHeight="1">
      <c r="AW693" s="125">
        <v>394</v>
      </c>
    </row>
    <row r="694" spans="49:49" ht="15" customHeight="1">
      <c r="AW694" s="125">
        <v>395</v>
      </c>
    </row>
    <row r="695" spans="49:49" ht="15" customHeight="1">
      <c r="AW695" s="125">
        <v>396</v>
      </c>
    </row>
    <row r="696" spans="49:49" ht="15" customHeight="1">
      <c r="AW696" s="125">
        <v>397</v>
      </c>
    </row>
    <row r="697" spans="49:49" ht="15" customHeight="1">
      <c r="AW697" s="125">
        <v>398</v>
      </c>
    </row>
    <row r="698" spans="49:49" ht="15" customHeight="1">
      <c r="AW698" s="125">
        <v>399</v>
      </c>
    </row>
    <row r="699" spans="49:49" ht="15" customHeight="1">
      <c r="AW699" s="125">
        <v>400</v>
      </c>
    </row>
    <row r="700" spans="49:49" ht="15" customHeight="1">
      <c r="AW700" s="125">
        <v>401</v>
      </c>
    </row>
    <row r="701" spans="49:49" ht="15" customHeight="1">
      <c r="AW701" s="125">
        <v>402</v>
      </c>
    </row>
    <row r="702" spans="49:49" ht="15" customHeight="1">
      <c r="AW702" s="125">
        <v>403</v>
      </c>
    </row>
    <row r="703" spans="49:49" ht="15" customHeight="1">
      <c r="AW703" s="125">
        <v>404</v>
      </c>
    </row>
    <row r="704" spans="49:49" ht="15" customHeight="1">
      <c r="AW704" s="125">
        <v>405</v>
      </c>
    </row>
    <row r="705" spans="49:49" ht="15" customHeight="1">
      <c r="AW705" s="125">
        <v>406</v>
      </c>
    </row>
    <row r="706" spans="49:49" ht="15" customHeight="1">
      <c r="AW706" s="125">
        <v>407</v>
      </c>
    </row>
    <row r="707" spans="49:49" ht="15" customHeight="1">
      <c r="AW707" s="125">
        <v>408</v>
      </c>
    </row>
    <row r="708" spans="49:49" ht="15" customHeight="1">
      <c r="AW708" s="125">
        <v>409</v>
      </c>
    </row>
    <row r="709" spans="49:49" ht="15" customHeight="1">
      <c r="AW709" s="125">
        <v>410</v>
      </c>
    </row>
    <row r="710" spans="49:49" ht="15" customHeight="1">
      <c r="AW710" s="125">
        <v>411</v>
      </c>
    </row>
    <row r="711" spans="49:49" ht="15" customHeight="1">
      <c r="AW711" s="125">
        <v>412</v>
      </c>
    </row>
    <row r="712" spans="49:49" ht="15" customHeight="1">
      <c r="AW712" s="125">
        <v>413</v>
      </c>
    </row>
    <row r="713" spans="49:49" ht="15" customHeight="1">
      <c r="AW713" s="125">
        <v>414</v>
      </c>
    </row>
    <row r="714" spans="49:49" ht="15" customHeight="1">
      <c r="AW714" s="125">
        <v>415</v>
      </c>
    </row>
    <row r="715" spans="49:49" ht="15" customHeight="1">
      <c r="AW715" s="125">
        <v>416</v>
      </c>
    </row>
    <row r="716" spans="49:49" ht="15" customHeight="1">
      <c r="AW716" s="125">
        <v>417</v>
      </c>
    </row>
    <row r="717" spans="49:49" ht="15" customHeight="1">
      <c r="AW717" s="125">
        <v>418</v>
      </c>
    </row>
    <row r="718" spans="49:49" ht="15" customHeight="1">
      <c r="AW718" s="125">
        <v>419</v>
      </c>
    </row>
    <row r="719" spans="49:49" ht="15" customHeight="1">
      <c r="AW719" s="125">
        <v>420</v>
      </c>
    </row>
    <row r="720" spans="49:49" ht="15" customHeight="1">
      <c r="AW720" s="125">
        <v>421</v>
      </c>
    </row>
    <row r="721" spans="49:49" ht="15" customHeight="1">
      <c r="AW721" s="125">
        <v>422</v>
      </c>
    </row>
    <row r="722" spans="49:49" ht="15" customHeight="1">
      <c r="AW722" s="125">
        <v>423</v>
      </c>
    </row>
    <row r="723" spans="49:49" ht="15" customHeight="1">
      <c r="AW723" s="125">
        <v>424</v>
      </c>
    </row>
    <row r="724" spans="49:49" ht="15" customHeight="1">
      <c r="AW724" s="125">
        <v>425</v>
      </c>
    </row>
    <row r="725" spans="49:49" ht="15" customHeight="1">
      <c r="AW725" s="125">
        <v>426</v>
      </c>
    </row>
    <row r="726" spans="49:49" ht="15" customHeight="1">
      <c r="AW726" s="125">
        <v>427</v>
      </c>
    </row>
    <row r="727" spans="49:49" ht="15" customHeight="1">
      <c r="AW727" s="125">
        <v>428</v>
      </c>
    </row>
    <row r="728" spans="49:49" ht="15" customHeight="1">
      <c r="AW728" s="125">
        <v>429</v>
      </c>
    </row>
    <row r="729" spans="49:49" ht="15" customHeight="1">
      <c r="AW729" s="125">
        <v>430</v>
      </c>
    </row>
    <row r="730" spans="49:49" ht="15" customHeight="1">
      <c r="AW730" s="125">
        <v>431</v>
      </c>
    </row>
    <row r="731" spans="49:49" ht="15" customHeight="1">
      <c r="AW731" s="125">
        <v>432</v>
      </c>
    </row>
    <row r="732" spans="49:49" ht="15" customHeight="1">
      <c r="AW732" s="125">
        <v>433</v>
      </c>
    </row>
    <row r="733" spans="49:49" ht="15" customHeight="1">
      <c r="AW733" s="125">
        <v>434</v>
      </c>
    </row>
    <row r="734" spans="49:49" ht="15" customHeight="1">
      <c r="AW734" s="125">
        <v>435</v>
      </c>
    </row>
    <row r="735" spans="49:49" ht="15" customHeight="1">
      <c r="AW735" s="125">
        <v>436</v>
      </c>
    </row>
    <row r="736" spans="49:49" ht="15" customHeight="1">
      <c r="AW736" s="125">
        <v>437</v>
      </c>
    </row>
    <row r="737" spans="49:49" ht="15" customHeight="1">
      <c r="AW737" s="125">
        <v>438</v>
      </c>
    </row>
    <row r="738" spans="49:49" ht="15" customHeight="1">
      <c r="AW738" s="125">
        <v>439</v>
      </c>
    </row>
    <row r="739" spans="49:49" ht="15" customHeight="1">
      <c r="AW739" s="125">
        <v>440</v>
      </c>
    </row>
    <row r="740" spans="49:49" ht="15" customHeight="1">
      <c r="AW740" s="125">
        <v>441</v>
      </c>
    </row>
    <row r="741" spans="49:49" ht="15" customHeight="1">
      <c r="AW741" s="125">
        <v>442</v>
      </c>
    </row>
    <row r="742" spans="49:49" ht="15" customHeight="1">
      <c r="AW742" s="125">
        <v>443</v>
      </c>
    </row>
    <row r="743" spans="49:49" ht="15" customHeight="1">
      <c r="AW743" s="125">
        <v>444</v>
      </c>
    </row>
    <row r="744" spans="49:49" ht="15" customHeight="1">
      <c r="AW744" s="125">
        <v>445</v>
      </c>
    </row>
    <row r="745" spans="49:49" ht="15" customHeight="1">
      <c r="AW745" s="125">
        <v>446</v>
      </c>
    </row>
    <row r="746" spans="49:49" ht="15" customHeight="1">
      <c r="AW746" s="125">
        <v>447</v>
      </c>
    </row>
    <row r="747" spans="49:49" ht="15" customHeight="1">
      <c r="AW747" s="125">
        <v>448</v>
      </c>
    </row>
    <row r="748" spans="49:49" ht="15" customHeight="1">
      <c r="AW748" s="125">
        <v>449</v>
      </c>
    </row>
    <row r="749" spans="49:49" ht="15" customHeight="1">
      <c r="AW749" s="125">
        <v>450</v>
      </c>
    </row>
    <row r="750" spans="49:49" ht="15" customHeight="1">
      <c r="AW750" s="125">
        <v>451</v>
      </c>
    </row>
    <row r="751" spans="49:49" ht="15" customHeight="1">
      <c r="AW751" s="125">
        <v>452</v>
      </c>
    </row>
    <row r="752" spans="49:49" ht="15" customHeight="1">
      <c r="AW752" s="125">
        <v>453</v>
      </c>
    </row>
    <row r="753" spans="49:49" ht="15" customHeight="1">
      <c r="AW753" s="125">
        <v>454</v>
      </c>
    </row>
    <row r="754" spans="49:49" ht="15" customHeight="1">
      <c r="AW754" s="125">
        <v>455</v>
      </c>
    </row>
    <row r="755" spans="49:49" ht="15" customHeight="1">
      <c r="AW755" s="125">
        <v>456</v>
      </c>
    </row>
    <row r="756" spans="49:49" ht="15" customHeight="1">
      <c r="AW756" s="125">
        <v>457</v>
      </c>
    </row>
    <row r="757" spans="49:49" ht="15" customHeight="1">
      <c r="AW757" s="125">
        <v>458</v>
      </c>
    </row>
    <row r="758" spans="49:49" ht="15" customHeight="1">
      <c r="AW758" s="125">
        <v>459</v>
      </c>
    </row>
    <row r="759" spans="49:49" ht="15" customHeight="1">
      <c r="AW759" s="125">
        <v>460</v>
      </c>
    </row>
    <row r="760" spans="49:49" ht="15" customHeight="1">
      <c r="AW760" s="125">
        <v>461</v>
      </c>
    </row>
    <row r="761" spans="49:49" ht="15" customHeight="1">
      <c r="AW761" s="125">
        <v>462</v>
      </c>
    </row>
    <row r="762" spans="49:49" ht="15" customHeight="1">
      <c r="AW762" s="125">
        <v>463</v>
      </c>
    </row>
    <row r="763" spans="49:49" ht="15" customHeight="1">
      <c r="AW763" s="125">
        <v>464</v>
      </c>
    </row>
    <row r="764" spans="49:49" ht="15" customHeight="1">
      <c r="AW764" s="125">
        <v>465</v>
      </c>
    </row>
    <row r="765" spans="49:49" ht="15" customHeight="1">
      <c r="AW765" s="125">
        <v>466</v>
      </c>
    </row>
    <row r="766" spans="49:49" ht="15" customHeight="1">
      <c r="AW766" s="125">
        <v>467</v>
      </c>
    </row>
    <row r="767" spans="49:49" ht="15" customHeight="1">
      <c r="AW767" s="125">
        <v>468</v>
      </c>
    </row>
    <row r="768" spans="49:49" ht="15" customHeight="1">
      <c r="AW768" s="125">
        <v>469</v>
      </c>
    </row>
    <row r="769" spans="49:49" ht="15" customHeight="1">
      <c r="AW769" s="125">
        <v>470</v>
      </c>
    </row>
    <row r="770" spans="49:49" ht="15" customHeight="1">
      <c r="AW770" s="125">
        <v>471</v>
      </c>
    </row>
    <row r="771" spans="49:49" ht="15" customHeight="1">
      <c r="AW771" s="125">
        <v>472</v>
      </c>
    </row>
    <row r="772" spans="49:49" ht="15" customHeight="1">
      <c r="AW772" s="125">
        <v>473</v>
      </c>
    </row>
    <row r="773" spans="49:49" ht="15" customHeight="1">
      <c r="AW773" s="125">
        <v>474</v>
      </c>
    </row>
    <row r="774" spans="49:49" ht="15" customHeight="1">
      <c r="AW774" s="125">
        <v>475</v>
      </c>
    </row>
    <row r="775" spans="49:49" ht="15" customHeight="1">
      <c r="AW775" s="125">
        <v>476</v>
      </c>
    </row>
    <row r="776" spans="49:49" ht="15" customHeight="1">
      <c r="AW776" s="125">
        <v>477</v>
      </c>
    </row>
    <row r="777" spans="49:49" ht="15" customHeight="1">
      <c r="AW777" s="125">
        <v>478</v>
      </c>
    </row>
    <row r="778" spans="49:49" ht="15" customHeight="1">
      <c r="AW778" s="125">
        <v>479</v>
      </c>
    </row>
    <row r="779" spans="49:49" ht="15" customHeight="1">
      <c r="AW779" s="125">
        <v>480</v>
      </c>
    </row>
    <row r="780" spans="49:49" ht="15" customHeight="1">
      <c r="AW780" s="125">
        <v>481</v>
      </c>
    </row>
    <row r="781" spans="49:49" ht="15" customHeight="1">
      <c r="AW781" s="125">
        <v>482</v>
      </c>
    </row>
    <row r="782" spans="49:49" ht="15" customHeight="1">
      <c r="AW782" s="125">
        <v>483</v>
      </c>
    </row>
    <row r="783" spans="49:49" ht="15" customHeight="1">
      <c r="AW783" s="125">
        <v>484</v>
      </c>
    </row>
    <row r="784" spans="49:49" ht="15" customHeight="1">
      <c r="AW784" s="125">
        <v>485</v>
      </c>
    </row>
    <row r="785" spans="49:49" ht="15" customHeight="1">
      <c r="AW785" s="125">
        <v>486</v>
      </c>
    </row>
    <row r="786" spans="49:49" ht="15" customHeight="1">
      <c r="AW786" s="125">
        <v>487</v>
      </c>
    </row>
    <row r="787" spans="49:49" ht="15" customHeight="1">
      <c r="AW787" s="125">
        <v>488</v>
      </c>
    </row>
    <row r="788" spans="49:49" ht="15" customHeight="1">
      <c r="AW788" s="125">
        <v>489</v>
      </c>
    </row>
    <row r="789" spans="49:49" ht="15" customHeight="1">
      <c r="AW789" s="125">
        <v>490</v>
      </c>
    </row>
    <row r="790" spans="49:49" ht="15" customHeight="1">
      <c r="AW790" s="125">
        <v>491</v>
      </c>
    </row>
    <row r="791" spans="49:49" ht="15" customHeight="1">
      <c r="AW791" s="125">
        <v>492</v>
      </c>
    </row>
    <row r="792" spans="49:49" ht="15" customHeight="1">
      <c r="AW792" s="125">
        <v>493</v>
      </c>
    </row>
    <row r="793" spans="49:49" ht="15" customHeight="1">
      <c r="AW793" s="125">
        <v>494</v>
      </c>
    </row>
    <row r="794" spans="49:49" ht="15" customHeight="1">
      <c r="AW794" s="125">
        <v>495</v>
      </c>
    </row>
    <row r="795" spans="49:49" ht="15" customHeight="1">
      <c r="AW795" s="125">
        <v>496</v>
      </c>
    </row>
    <row r="796" spans="49:49" ht="15" customHeight="1">
      <c r="AW796" s="125">
        <v>497</v>
      </c>
    </row>
    <row r="797" spans="49:49" ht="15" customHeight="1">
      <c r="AW797" s="125">
        <v>498</v>
      </c>
    </row>
    <row r="798" spans="49:49" ht="15" customHeight="1">
      <c r="AW798" s="125">
        <v>499</v>
      </c>
    </row>
    <row r="799" spans="49:49" ht="15" customHeight="1">
      <c r="AW799" s="125">
        <v>500</v>
      </c>
    </row>
    <row r="800" spans="49:49" ht="15" customHeight="1">
      <c r="AW800" s="125">
        <v>501</v>
      </c>
    </row>
    <row r="801" spans="49:49" ht="15" customHeight="1">
      <c r="AW801" s="125">
        <v>502</v>
      </c>
    </row>
    <row r="802" spans="49:49" ht="15" customHeight="1">
      <c r="AW802" s="125">
        <v>503</v>
      </c>
    </row>
    <row r="803" spans="49:49" ht="15" customHeight="1">
      <c r="AW803" s="125">
        <v>504</v>
      </c>
    </row>
    <row r="804" spans="49:49" ht="15" customHeight="1">
      <c r="AW804" s="125">
        <v>505</v>
      </c>
    </row>
    <row r="805" spans="49:49" ht="15" customHeight="1">
      <c r="AW805" s="125">
        <v>506</v>
      </c>
    </row>
    <row r="806" spans="49:49" ht="15" customHeight="1">
      <c r="AW806" s="125">
        <v>507</v>
      </c>
    </row>
    <row r="807" spans="49:49" ht="15" customHeight="1">
      <c r="AW807" s="125">
        <v>508</v>
      </c>
    </row>
    <row r="808" spans="49:49" ht="15" customHeight="1">
      <c r="AW808" s="125">
        <v>509</v>
      </c>
    </row>
    <row r="809" spans="49:49" ht="15" customHeight="1">
      <c r="AW809" s="125">
        <v>510</v>
      </c>
    </row>
    <row r="810" spans="49:49" ht="15" customHeight="1">
      <c r="AW810" s="125">
        <v>511</v>
      </c>
    </row>
    <row r="811" spans="49:49" ht="15" customHeight="1">
      <c r="AW811" s="125">
        <v>512</v>
      </c>
    </row>
    <row r="812" spans="49:49" ht="15" customHeight="1">
      <c r="AW812" s="125">
        <v>513</v>
      </c>
    </row>
    <row r="813" spans="49:49" ht="15" customHeight="1">
      <c r="AW813" s="125">
        <v>514</v>
      </c>
    </row>
    <row r="814" spans="49:49" ht="15" customHeight="1">
      <c r="AW814" s="125">
        <v>515</v>
      </c>
    </row>
    <row r="815" spans="49:49" ht="15" customHeight="1">
      <c r="AW815" s="125">
        <v>516</v>
      </c>
    </row>
    <row r="816" spans="49:49" ht="15" customHeight="1">
      <c r="AW816" s="125">
        <v>517</v>
      </c>
    </row>
    <row r="817" spans="49:49" ht="15" customHeight="1">
      <c r="AW817" s="125">
        <v>518</v>
      </c>
    </row>
    <row r="818" spans="49:49" ht="15" customHeight="1">
      <c r="AW818" s="125">
        <v>519</v>
      </c>
    </row>
    <row r="819" spans="49:49" ht="15" customHeight="1">
      <c r="AW819" s="125">
        <v>520</v>
      </c>
    </row>
    <row r="820" spans="49:49" ht="15" customHeight="1">
      <c r="AW820" s="125">
        <v>521</v>
      </c>
    </row>
    <row r="821" spans="49:49" ht="15" customHeight="1">
      <c r="AW821" s="125">
        <v>522</v>
      </c>
    </row>
    <row r="822" spans="49:49" ht="15" customHeight="1">
      <c r="AW822" s="125">
        <v>523</v>
      </c>
    </row>
    <row r="823" spans="49:49" ht="15" customHeight="1">
      <c r="AW823" s="125">
        <v>524</v>
      </c>
    </row>
    <row r="824" spans="49:49" ht="15" customHeight="1">
      <c r="AW824" s="125">
        <v>525</v>
      </c>
    </row>
    <row r="825" spans="49:49" ht="15" customHeight="1">
      <c r="AW825" s="125">
        <v>526</v>
      </c>
    </row>
    <row r="826" spans="49:49" ht="15" customHeight="1">
      <c r="AW826" s="125">
        <v>527</v>
      </c>
    </row>
    <row r="827" spans="49:49" ht="15" customHeight="1">
      <c r="AW827" s="125">
        <v>528</v>
      </c>
    </row>
    <row r="828" spans="49:49" ht="15" customHeight="1">
      <c r="AW828" s="125">
        <v>529</v>
      </c>
    </row>
    <row r="829" spans="49:49" ht="15" customHeight="1">
      <c r="AW829" s="125">
        <v>530</v>
      </c>
    </row>
    <row r="830" spans="49:49" ht="15" customHeight="1">
      <c r="AW830" s="125">
        <v>531</v>
      </c>
    </row>
    <row r="831" spans="49:49" ht="15" customHeight="1">
      <c r="AW831" s="125">
        <v>532</v>
      </c>
    </row>
    <row r="832" spans="49:49" ht="15" customHeight="1">
      <c r="AW832" s="125">
        <v>533</v>
      </c>
    </row>
    <row r="833" spans="49:49" ht="15" customHeight="1">
      <c r="AW833" s="125">
        <v>534</v>
      </c>
    </row>
    <row r="834" spans="49:49" ht="15" customHeight="1">
      <c r="AW834" s="125">
        <v>535</v>
      </c>
    </row>
    <row r="835" spans="49:49" ht="15" customHeight="1">
      <c r="AW835" s="125">
        <v>536</v>
      </c>
    </row>
    <row r="836" spans="49:49" ht="15" customHeight="1">
      <c r="AW836" s="125">
        <v>537</v>
      </c>
    </row>
    <row r="837" spans="49:49" ht="15" customHeight="1">
      <c r="AW837" s="125">
        <v>538</v>
      </c>
    </row>
    <row r="838" spans="49:49" ht="15" customHeight="1">
      <c r="AW838" s="125">
        <v>539</v>
      </c>
    </row>
    <row r="839" spans="49:49" ht="15" customHeight="1">
      <c r="AW839" s="125">
        <v>540</v>
      </c>
    </row>
    <row r="840" spans="49:49" ht="15" customHeight="1">
      <c r="AW840" s="125">
        <v>541</v>
      </c>
    </row>
    <row r="841" spans="49:49" ht="15" customHeight="1">
      <c r="AW841" s="125">
        <v>542</v>
      </c>
    </row>
    <row r="842" spans="49:49" ht="15" customHeight="1">
      <c r="AW842" s="125">
        <v>543</v>
      </c>
    </row>
    <row r="843" spans="49:49" ht="15" customHeight="1">
      <c r="AW843" s="125">
        <v>544</v>
      </c>
    </row>
    <row r="844" spans="49:49" ht="15" customHeight="1">
      <c r="AW844" s="125">
        <v>545</v>
      </c>
    </row>
    <row r="845" spans="49:49" ht="15" customHeight="1">
      <c r="AW845" s="125">
        <v>546</v>
      </c>
    </row>
    <row r="846" spans="49:49" ht="15" customHeight="1">
      <c r="AW846" s="125">
        <v>547</v>
      </c>
    </row>
    <row r="847" spans="49:49" ht="15" customHeight="1">
      <c r="AW847" s="125">
        <v>548</v>
      </c>
    </row>
    <row r="848" spans="49:49" ht="15" customHeight="1">
      <c r="AW848" s="125">
        <v>549</v>
      </c>
    </row>
    <row r="849" spans="49:49" ht="15" customHeight="1">
      <c r="AW849" s="125">
        <v>550</v>
      </c>
    </row>
    <row r="850" spans="49:49" ht="15" customHeight="1">
      <c r="AW850" s="125">
        <v>551</v>
      </c>
    </row>
    <row r="851" spans="49:49" ht="15" customHeight="1">
      <c r="AW851" s="125">
        <v>552</v>
      </c>
    </row>
    <row r="852" spans="49:49" ht="15" customHeight="1">
      <c r="AW852" s="125">
        <v>553</v>
      </c>
    </row>
    <row r="853" spans="49:49" ht="15" customHeight="1">
      <c r="AW853" s="125">
        <v>554</v>
      </c>
    </row>
    <row r="854" spans="49:49" ht="15" customHeight="1">
      <c r="AW854" s="125">
        <v>555</v>
      </c>
    </row>
    <row r="855" spans="49:49" ht="15" customHeight="1">
      <c r="AW855" s="125">
        <v>556</v>
      </c>
    </row>
    <row r="856" spans="49:49" ht="15" customHeight="1">
      <c r="AW856" s="125">
        <v>557</v>
      </c>
    </row>
    <row r="857" spans="49:49" ht="15" customHeight="1">
      <c r="AW857" s="125">
        <v>558</v>
      </c>
    </row>
    <row r="858" spans="49:49" ht="15" customHeight="1">
      <c r="AW858" s="125">
        <v>559</v>
      </c>
    </row>
    <row r="859" spans="49:49" ht="15" customHeight="1">
      <c r="AW859" s="125">
        <v>560</v>
      </c>
    </row>
    <row r="860" spans="49:49" ht="15" customHeight="1">
      <c r="AW860" s="125">
        <v>561</v>
      </c>
    </row>
    <row r="861" spans="49:49" ht="15" customHeight="1">
      <c r="AW861" s="125">
        <v>562</v>
      </c>
    </row>
    <row r="862" spans="49:49" ht="15" customHeight="1">
      <c r="AW862" s="125">
        <v>563</v>
      </c>
    </row>
    <row r="863" spans="49:49" ht="15" customHeight="1">
      <c r="AW863" s="125">
        <v>564</v>
      </c>
    </row>
    <row r="864" spans="49:49" ht="15" customHeight="1">
      <c r="AW864" s="125">
        <v>565</v>
      </c>
    </row>
    <row r="865" spans="49:49" ht="15" customHeight="1">
      <c r="AW865" s="125">
        <v>566</v>
      </c>
    </row>
    <row r="866" spans="49:49" ht="15" customHeight="1">
      <c r="AW866" s="125">
        <v>567</v>
      </c>
    </row>
    <row r="867" spans="49:49" ht="15" customHeight="1">
      <c r="AW867" s="125">
        <v>568</v>
      </c>
    </row>
    <row r="868" spans="49:49" ht="15" customHeight="1">
      <c r="AW868" s="125">
        <v>569</v>
      </c>
    </row>
    <row r="869" spans="49:49" ht="15" customHeight="1">
      <c r="AW869" s="125">
        <v>570</v>
      </c>
    </row>
    <row r="870" spans="49:49" ht="15" customHeight="1">
      <c r="AW870" s="125">
        <v>571</v>
      </c>
    </row>
    <row r="871" spans="49:49" ht="15" customHeight="1">
      <c r="AW871" s="125">
        <v>572</v>
      </c>
    </row>
    <row r="872" spans="49:49" ht="15" customHeight="1">
      <c r="AW872" s="125">
        <v>573</v>
      </c>
    </row>
    <row r="873" spans="49:49" ht="15" customHeight="1">
      <c r="AW873" s="125">
        <v>574</v>
      </c>
    </row>
    <row r="874" spans="49:49" ht="15" customHeight="1">
      <c r="AW874" s="125">
        <v>575</v>
      </c>
    </row>
    <row r="875" spans="49:49" ht="15" customHeight="1">
      <c r="AW875" s="125">
        <v>576</v>
      </c>
    </row>
    <row r="876" spans="49:49" ht="15" customHeight="1">
      <c r="AW876" s="125">
        <v>577</v>
      </c>
    </row>
    <row r="877" spans="49:49" ht="15" customHeight="1">
      <c r="AW877" s="125">
        <v>578</v>
      </c>
    </row>
    <row r="878" spans="49:49" ht="15" customHeight="1">
      <c r="AW878" s="125">
        <v>579</v>
      </c>
    </row>
    <row r="879" spans="49:49" ht="15" customHeight="1">
      <c r="AW879" s="125">
        <v>580</v>
      </c>
    </row>
    <row r="880" spans="49:49" ht="15" customHeight="1">
      <c r="AW880" s="125">
        <v>581</v>
      </c>
    </row>
    <row r="881" spans="49:49" ht="15" customHeight="1">
      <c r="AW881" s="125">
        <v>582</v>
      </c>
    </row>
    <row r="882" spans="49:49" ht="15" customHeight="1">
      <c r="AW882" s="125">
        <v>583</v>
      </c>
    </row>
    <row r="883" spans="49:49" ht="15" customHeight="1">
      <c r="AW883" s="125">
        <v>584</v>
      </c>
    </row>
    <row r="884" spans="49:49" ht="15" customHeight="1">
      <c r="AW884" s="125">
        <v>585</v>
      </c>
    </row>
    <row r="885" spans="49:49" ht="15" customHeight="1">
      <c r="AW885" s="125">
        <v>586</v>
      </c>
    </row>
    <row r="886" spans="49:49" ht="15" customHeight="1">
      <c r="AW886" s="125">
        <v>587</v>
      </c>
    </row>
    <row r="887" spans="49:49" ht="15" customHeight="1">
      <c r="AW887" s="125">
        <v>588</v>
      </c>
    </row>
    <row r="888" spans="49:49" ht="15" customHeight="1">
      <c r="AW888" s="125">
        <v>589</v>
      </c>
    </row>
    <row r="889" spans="49:49" ht="15" customHeight="1">
      <c r="AW889" s="125">
        <v>590</v>
      </c>
    </row>
    <row r="890" spans="49:49" ht="15" customHeight="1">
      <c r="AW890" s="125">
        <v>591</v>
      </c>
    </row>
    <row r="891" spans="49:49" ht="15" customHeight="1">
      <c r="AW891" s="125">
        <v>592</v>
      </c>
    </row>
    <row r="892" spans="49:49" ht="15" customHeight="1">
      <c r="AW892" s="125">
        <v>593</v>
      </c>
    </row>
    <row r="893" spans="49:49" ht="15" customHeight="1">
      <c r="AW893" s="125">
        <v>594</v>
      </c>
    </row>
    <row r="894" spans="49:49" ht="15" customHeight="1">
      <c r="AW894" s="125">
        <v>595</v>
      </c>
    </row>
    <row r="895" spans="49:49" ht="15" customHeight="1">
      <c r="AW895" s="125">
        <v>596</v>
      </c>
    </row>
    <row r="896" spans="49:49" ht="15" customHeight="1">
      <c r="AW896" s="125">
        <v>597</v>
      </c>
    </row>
    <row r="897" spans="49:49" ht="15" customHeight="1">
      <c r="AW897" s="125">
        <v>598</v>
      </c>
    </row>
    <row r="898" spans="49:49" ht="15" customHeight="1">
      <c r="AW898" s="125">
        <v>599</v>
      </c>
    </row>
    <row r="899" spans="49:49" ht="15" customHeight="1">
      <c r="AW899" s="125">
        <v>600</v>
      </c>
    </row>
    <row r="900" spans="49:49" ht="15" customHeight="1">
      <c r="AW900" s="125">
        <v>601</v>
      </c>
    </row>
    <row r="901" spans="49:49" ht="15" customHeight="1">
      <c r="AW901" s="125">
        <v>602</v>
      </c>
    </row>
    <row r="902" spans="49:49" ht="15" customHeight="1">
      <c r="AW902" s="125">
        <v>603</v>
      </c>
    </row>
    <row r="903" spans="49:49" ht="15" customHeight="1">
      <c r="AW903" s="125">
        <v>604</v>
      </c>
    </row>
    <row r="904" spans="49:49" ht="15" customHeight="1">
      <c r="AW904" s="125">
        <v>605</v>
      </c>
    </row>
    <row r="905" spans="49:49" ht="15" customHeight="1">
      <c r="AW905" s="125">
        <v>606</v>
      </c>
    </row>
    <row r="906" spans="49:49" ht="15" customHeight="1">
      <c r="AW906" s="125">
        <v>607</v>
      </c>
    </row>
    <row r="907" spans="49:49" ht="15" customHeight="1">
      <c r="AW907" s="125">
        <v>608</v>
      </c>
    </row>
    <row r="908" spans="49:49" ht="15" customHeight="1">
      <c r="AW908" s="125">
        <v>609</v>
      </c>
    </row>
    <row r="909" spans="49:49" ht="15" customHeight="1">
      <c r="AW909" s="125">
        <v>610</v>
      </c>
    </row>
    <row r="910" spans="49:49" ht="15" customHeight="1">
      <c r="AW910" s="125">
        <v>611</v>
      </c>
    </row>
    <row r="911" spans="49:49" ht="15" customHeight="1">
      <c r="AW911" s="125">
        <v>612</v>
      </c>
    </row>
    <row r="912" spans="49:49" ht="15" customHeight="1">
      <c r="AW912" s="125">
        <v>613</v>
      </c>
    </row>
    <row r="913" spans="49:49" ht="15" customHeight="1">
      <c r="AW913" s="125">
        <v>614</v>
      </c>
    </row>
    <row r="914" spans="49:49" ht="15" customHeight="1">
      <c r="AW914" s="125">
        <v>615</v>
      </c>
    </row>
    <row r="915" spans="49:49" ht="15" customHeight="1">
      <c r="AW915" s="125">
        <v>616</v>
      </c>
    </row>
    <row r="916" spans="49:49" ht="15" customHeight="1">
      <c r="AW916" s="125">
        <v>617</v>
      </c>
    </row>
    <row r="917" spans="49:49" ht="15" customHeight="1">
      <c r="AW917" s="125">
        <v>618</v>
      </c>
    </row>
    <row r="918" spans="49:49" ht="15" customHeight="1">
      <c r="AW918" s="125">
        <v>619</v>
      </c>
    </row>
    <row r="919" spans="49:49" ht="15" customHeight="1">
      <c r="AW919" s="125">
        <v>620</v>
      </c>
    </row>
    <row r="920" spans="49:49" ht="15" customHeight="1">
      <c r="AW920" s="125">
        <v>621</v>
      </c>
    </row>
    <row r="921" spans="49:49" ht="15" customHeight="1">
      <c r="AW921" s="125">
        <v>622</v>
      </c>
    </row>
    <row r="922" spans="49:49" ht="15" customHeight="1">
      <c r="AW922" s="125">
        <v>623</v>
      </c>
    </row>
    <row r="923" spans="49:49" ht="15" customHeight="1">
      <c r="AW923" s="125">
        <v>624</v>
      </c>
    </row>
    <row r="924" spans="49:49" ht="15" customHeight="1">
      <c r="AW924" s="125">
        <v>625</v>
      </c>
    </row>
    <row r="925" spans="49:49" ht="15" customHeight="1">
      <c r="AW925" s="125">
        <v>626</v>
      </c>
    </row>
    <row r="926" spans="49:49" ht="15" customHeight="1">
      <c r="AW926" s="125">
        <v>627</v>
      </c>
    </row>
    <row r="927" spans="49:49" ht="15" customHeight="1">
      <c r="AW927" s="125">
        <v>628</v>
      </c>
    </row>
    <row r="928" spans="49:49" ht="15" customHeight="1">
      <c r="AW928" s="125">
        <v>629</v>
      </c>
    </row>
    <row r="929" spans="49:49" ht="15" customHeight="1">
      <c r="AW929" s="125">
        <v>630</v>
      </c>
    </row>
    <row r="930" spans="49:49" ht="15" customHeight="1">
      <c r="AW930" s="125">
        <v>631</v>
      </c>
    </row>
    <row r="931" spans="49:49" ht="15" customHeight="1">
      <c r="AW931" s="125">
        <v>632</v>
      </c>
    </row>
    <row r="932" spans="49:49" ht="15" customHeight="1">
      <c r="AW932" s="125">
        <v>633</v>
      </c>
    </row>
    <row r="933" spans="49:49" ht="15" customHeight="1">
      <c r="AW933" s="125">
        <v>634</v>
      </c>
    </row>
    <row r="934" spans="49:49" ht="15" customHeight="1">
      <c r="AW934" s="125">
        <v>635</v>
      </c>
    </row>
    <row r="935" spans="49:49" ht="15" customHeight="1">
      <c r="AW935" s="125">
        <v>636</v>
      </c>
    </row>
    <row r="936" spans="49:49" ht="15" customHeight="1">
      <c r="AW936" s="125">
        <v>637</v>
      </c>
    </row>
    <row r="937" spans="49:49" ht="15" customHeight="1">
      <c r="AW937" s="125">
        <v>638</v>
      </c>
    </row>
    <row r="938" spans="49:49" ht="15" customHeight="1">
      <c r="AW938" s="125">
        <v>639</v>
      </c>
    </row>
    <row r="939" spans="49:49" ht="15" customHeight="1">
      <c r="AW939" s="125">
        <v>640</v>
      </c>
    </row>
    <row r="940" spans="49:49" ht="15" customHeight="1">
      <c r="AW940" s="125">
        <v>641</v>
      </c>
    </row>
    <row r="941" spans="49:49" ht="15" customHeight="1">
      <c r="AW941" s="125">
        <v>642</v>
      </c>
    </row>
    <row r="942" spans="49:49" ht="15" customHeight="1">
      <c r="AW942" s="125">
        <v>643</v>
      </c>
    </row>
    <row r="943" spans="49:49" ht="15" customHeight="1">
      <c r="AW943" s="125">
        <v>644</v>
      </c>
    </row>
    <row r="944" spans="49:49" ht="15" customHeight="1">
      <c r="AW944" s="125">
        <v>645</v>
      </c>
    </row>
    <row r="945" spans="49:49" ht="15" customHeight="1">
      <c r="AW945" s="125">
        <v>646</v>
      </c>
    </row>
    <row r="946" spans="49:49" ht="15" customHeight="1">
      <c r="AW946" s="125">
        <v>647</v>
      </c>
    </row>
    <row r="947" spans="49:49" ht="15" customHeight="1">
      <c r="AW947" s="125">
        <v>648</v>
      </c>
    </row>
    <row r="948" spans="49:49" ht="15" customHeight="1">
      <c r="AW948" s="125">
        <v>649</v>
      </c>
    </row>
    <row r="949" spans="49:49" ht="15" customHeight="1">
      <c r="AW949" s="125">
        <v>650</v>
      </c>
    </row>
    <row r="950" spans="49:49" ht="15" customHeight="1">
      <c r="AW950" s="125">
        <v>651</v>
      </c>
    </row>
    <row r="951" spans="49:49" ht="15" customHeight="1">
      <c r="AW951" s="125">
        <v>652</v>
      </c>
    </row>
    <row r="952" spans="49:49" ht="15" customHeight="1">
      <c r="AW952" s="125">
        <v>653</v>
      </c>
    </row>
    <row r="953" spans="49:49" ht="15" customHeight="1">
      <c r="AW953" s="125">
        <v>654</v>
      </c>
    </row>
    <row r="954" spans="49:49" ht="15" customHeight="1">
      <c r="AW954" s="125">
        <v>655</v>
      </c>
    </row>
    <row r="955" spans="49:49" ht="15" customHeight="1">
      <c r="AW955" s="125">
        <v>656</v>
      </c>
    </row>
    <row r="956" spans="49:49" ht="15" customHeight="1">
      <c r="AW956" s="125">
        <v>657</v>
      </c>
    </row>
    <row r="957" spans="49:49" ht="15" customHeight="1">
      <c r="AW957" s="125">
        <v>658</v>
      </c>
    </row>
    <row r="958" spans="49:49" ht="15" customHeight="1">
      <c r="AW958" s="125">
        <v>659</v>
      </c>
    </row>
    <row r="959" spans="49:49" ht="15" customHeight="1">
      <c r="AW959" s="125">
        <v>660</v>
      </c>
    </row>
    <row r="960" spans="49:49" ht="15" customHeight="1">
      <c r="AW960" s="125">
        <v>661</v>
      </c>
    </row>
    <row r="961" spans="49:49" ht="15" customHeight="1">
      <c r="AW961" s="125">
        <v>662</v>
      </c>
    </row>
    <row r="962" spans="49:49" ht="15" customHeight="1">
      <c r="AW962" s="125">
        <v>663</v>
      </c>
    </row>
    <row r="963" spans="49:49" ht="15" customHeight="1">
      <c r="AW963" s="125">
        <v>664</v>
      </c>
    </row>
    <row r="964" spans="49:49" ht="15" customHeight="1">
      <c r="AW964" s="125">
        <v>665</v>
      </c>
    </row>
    <row r="965" spans="49:49" ht="15" customHeight="1">
      <c r="AW965" s="125">
        <v>666</v>
      </c>
    </row>
    <row r="966" spans="49:49" ht="15" customHeight="1">
      <c r="AW966" s="125">
        <v>667</v>
      </c>
    </row>
    <row r="967" spans="49:49" ht="15" customHeight="1">
      <c r="AW967" s="125">
        <v>668</v>
      </c>
    </row>
    <row r="968" spans="49:49" ht="15" customHeight="1">
      <c r="AW968" s="125">
        <v>669</v>
      </c>
    </row>
    <row r="969" spans="49:49" ht="15" customHeight="1">
      <c r="AW969" s="125">
        <v>670</v>
      </c>
    </row>
    <row r="970" spans="49:49" ht="15" customHeight="1">
      <c r="AW970" s="125">
        <v>671</v>
      </c>
    </row>
    <row r="971" spans="49:49" ht="15" customHeight="1">
      <c r="AW971" s="125">
        <v>672</v>
      </c>
    </row>
    <row r="972" spans="49:49" ht="15" customHeight="1">
      <c r="AW972" s="125">
        <v>673</v>
      </c>
    </row>
    <row r="973" spans="49:49" ht="15" customHeight="1">
      <c r="AW973" s="125">
        <v>674</v>
      </c>
    </row>
    <row r="974" spans="49:49" ht="15" customHeight="1">
      <c r="AW974" s="125">
        <v>675</v>
      </c>
    </row>
    <row r="975" spans="49:49" ht="15" customHeight="1">
      <c r="AW975" s="125">
        <v>676</v>
      </c>
    </row>
    <row r="976" spans="49:49" ht="15" customHeight="1">
      <c r="AW976" s="125">
        <v>677</v>
      </c>
    </row>
    <row r="977" spans="49:49" ht="15" customHeight="1">
      <c r="AW977" s="125">
        <v>678</v>
      </c>
    </row>
    <row r="978" spans="49:49" ht="15" customHeight="1">
      <c r="AW978" s="125">
        <v>679</v>
      </c>
    </row>
    <row r="979" spans="49:49" ht="15" customHeight="1">
      <c r="AW979" s="125">
        <v>680</v>
      </c>
    </row>
    <row r="980" spans="49:49" ht="15" customHeight="1">
      <c r="AW980" s="125">
        <v>681</v>
      </c>
    </row>
    <row r="981" spans="49:49" ht="15" customHeight="1">
      <c r="AW981" s="125">
        <v>682</v>
      </c>
    </row>
    <row r="982" spans="49:49" ht="15" customHeight="1">
      <c r="AW982" s="125">
        <v>683</v>
      </c>
    </row>
    <row r="983" spans="49:49" ht="15" customHeight="1">
      <c r="AW983" s="125">
        <v>684</v>
      </c>
    </row>
    <row r="984" spans="49:49" ht="15" customHeight="1">
      <c r="AW984" s="125">
        <v>685</v>
      </c>
    </row>
    <row r="985" spans="49:49" ht="15" customHeight="1">
      <c r="AW985" s="125">
        <v>686</v>
      </c>
    </row>
    <row r="986" spans="49:49" ht="15" customHeight="1">
      <c r="AW986" s="125">
        <v>687</v>
      </c>
    </row>
    <row r="987" spans="49:49" ht="15" customHeight="1">
      <c r="AW987" s="125">
        <v>688</v>
      </c>
    </row>
    <row r="988" spans="49:49" ht="15" customHeight="1">
      <c r="AW988" s="125">
        <v>689</v>
      </c>
    </row>
    <row r="989" spans="49:49" ht="15" customHeight="1">
      <c r="AW989" s="125">
        <v>690</v>
      </c>
    </row>
    <row r="990" spans="49:49" ht="15" customHeight="1">
      <c r="AW990" s="125">
        <v>691</v>
      </c>
    </row>
    <row r="991" spans="49:49" ht="15" customHeight="1">
      <c r="AW991" s="125">
        <v>692</v>
      </c>
    </row>
    <row r="992" spans="49:49" ht="15" customHeight="1">
      <c r="AW992" s="125">
        <v>693</v>
      </c>
    </row>
    <row r="993" spans="49:49" ht="15" customHeight="1">
      <c r="AW993" s="125">
        <v>694</v>
      </c>
    </row>
    <row r="994" spans="49:49" ht="15" customHeight="1">
      <c r="AW994" s="125">
        <v>695</v>
      </c>
    </row>
    <row r="995" spans="49:49" ht="15" customHeight="1">
      <c r="AW995" s="125">
        <v>696</v>
      </c>
    </row>
    <row r="996" spans="49:49" ht="15" customHeight="1">
      <c r="AW996" s="125">
        <v>697</v>
      </c>
    </row>
    <row r="997" spans="49:49" ht="15" customHeight="1">
      <c r="AW997" s="125">
        <v>698</v>
      </c>
    </row>
    <row r="998" spans="49:49" ht="15" customHeight="1">
      <c r="AW998" s="125">
        <v>699</v>
      </c>
    </row>
    <row r="999" spans="49:49" ht="15" customHeight="1">
      <c r="AW999" s="125">
        <v>700</v>
      </c>
    </row>
    <row r="1000" spans="49:49" ht="15" customHeight="1">
      <c r="AW1000" s="125">
        <v>701</v>
      </c>
    </row>
    <row r="1001" spans="49:49" ht="15" customHeight="1">
      <c r="AW1001" s="125">
        <v>702</v>
      </c>
    </row>
    <row r="1002" spans="49:49" ht="15" customHeight="1">
      <c r="AW1002" s="125">
        <v>703</v>
      </c>
    </row>
    <row r="1003" spans="49:49" ht="15" customHeight="1">
      <c r="AW1003" s="125">
        <v>704</v>
      </c>
    </row>
    <row r="1004" spans="49:49" ht="15" customHeight="1">
      <c r="AW1004" s="125">
        <v>705</v>
      </c>
    </row>
    <row r="1005" spans="49:49" ht="15" customHeight="1">
      <c r="AW1005" s="125">
        <v>706</v>
      </c>
    </row>
    <row r="1006" spans="49:49" ht="15" customHeight="1">
      <c r="AW1006" s="125">
        <v>707</v>
      </c>
    </row>
    <row r="1007" spans="49:49" ht="15" customHeight="1">
      <c r="AW1007" s="125">
        <v>708</v>
      </c>
    </row>
    <row r="1008" spans="49:49" ht="15" customHeight="1">
      <c r="AW1008" s="125">
        <v>709</v>
      </c>
    </row>
    <row r="1009" spans="49:49" ht="15" customHeight="1">
      <c r="AW1009" s="125">
        <v>710</v>
      </c>
    </row>
    <row r="1010" spans="49:49" ht="15" customHeight="1">
      <c r="AW1010" s="125">
        <v>711</v>
      </c>
    </row>
    <row r="1011" spans="49:49" ht="15" customHeight="1">
      <c r="AW1011" s="125">
        <v>712</v>
      </c>
    </row>
    <row r="1012" spans="49:49" ht="15" customHeight="1">
      <c r="AW1012" s="125">
        <v>713</v>
      </c>
    </row>
    <row r="1013" spans="49:49" ht="15" customHeight="1">
      <c r="AW1013" s="125">
        <v>714</v>
      </c>
    </row>
    <row r="1014" spans="49:49" ht="15" customHeight="1">
      <c r="AW1014" s="125">
        <v>715</v>
      </c>
    </row>
    <row r="1015" spans="49:49" ht="15" customHeight="1">
      <c r="AW1015" s="125">
        <v>716</v>
      </c>
    </row>
    <row r="1016" spans="49:49" ht="15" customHeight="1">
      <c r="AW1016" s="125">
        <v>717</v>
      </c>
    </row>
    <row r="1017" spans="49:49" ht="15" customHeight="1">
      <c r="AW1017" s="125">
        <v>718</v>
      </c>
    </row>
    <row r="1018" spans="49:49" ht="15" customHeight="1">
      <c r="AW1018" s="125">
        <v>719</v>
      </c>
    </row>
    <row r="1019" spans="49:49" ht="15" customHeight="1">
      <c r="AW1019" s="125">
        <v>720</v>
      </c>
    </row>
    <row r="1020" spans="49:49" ht="15" customHeight="1">
      <c r="AW1020" s="125">
        <v>721</v>
      </c>
    </row>
    <row r="1021" spans="49:49" ht="15" customHeight="1">
      <c r="AW1021" s="125">
        <v>722</v>
      </c>
    </row>
    <row r="1022" spans="49:49" ht="15" customHeight="1">
      <c r="AW1022" s="125">
        <v>723</v>
      </c>
    </row>
    <row r="1023" spans="49:49" ht="15" customHeight="1">
      <c r="AW1023" s="125">
        <v>724</v>
      </c>
    </row>
    <row r="1024" spans="49:49" ht="15" customHeight="1">
      <c r="AW1024" s="125">
        <v>725</v>
      </c>
    </row>
    <row r="1025" spans="49:49" ht="15" customHeight="1">
      <c r="AW1025" s="125">
        <v>726</v>
      </c>
    </row>
    <row r="1026" spans="49:49" ht="15" customHeight="1">
      <c r="AW1026" s="125">
        <v>727</v>
      </c>
    </row>
    <row r="1027" spans="49:49" ht="15" customHeight="1">
      <c r="AW1027" s="125">
        <v>728</v>
      </c>
    </row>
    <row r="1028" spans="49:49" ht="15" customHeight="1">
      <c r="AW1028" s="125">
        <v>729</v>
      </c>
    </row>
    <row r="1029" spans="49:49" ht="15" customHeight="1">
      <c r="AW1029" s="125">
        <v>730</v>
      </c>
    </row>
    <row r="1030" spans="49:49" ht="15" customHeight="1">
      <c r="AW1030" s="125">
        <v>731</v>
      </c>
    </row>
    <row r="1031" spans="49:49" ht="15" customHeight="1">
      <c r="AW1031" s="125">
        <v>732</v>
      </c>
    </row>
    <row r="1032" spans="49:49" ht="15" customHeight="1">
      <c r="AW1032" s="125">
        <v>733</v>
      </c>
    </row>
    <row r="1033" spans="49:49" ht="15" customHeight="1">
      <c r="AW1033" s="125">
        <v>734</v>
      </c>
    </row>
    <row r="1034" spans="49:49" ht="15" customHeight="1">
      <c r="AW1034" s="125">
        <v>735</v>
      </c>
    </row>
    <row r="1035" spans="49:49" ht="15" customHeight="1">
      <c r="AW1035" s="125">
        <v>736</v>
      </c>
    </row>
    <row r="1036" spans="49:49" ht="15" customHeight="1">
      <c r="AW1036" s="125">
        <v>737</v>
      </c>
    </row>
    <row r="1037" spans="49:49" ht="15" customHeight="1">
      <c r="AW1037" s="125">
        <v>738</v>
      </c>
    </row>
    <row r="1038" spans="49:49" ht="15" customHeight="1">
      <c r="AW1038" s="125">
        <v>739</v>
      </c>
    </row>
    <row r="1039" spans="49:49" ht="15" customHeight="1">
      <c r="AW1039" s="125">
        <v>740</v>
      </c>
    </row>
    <row r="1040" spans="49:49" ht="15" customHeight="1">
      <c r="AW1040" s="125">
        <v>741</v>
      </c>
    </row>
    <row r="1041" spans="49:49" ht="15" customHeight="1">
      <c r="AW1041" s="125">
        <v>742</v>
      </c>
    </row>
    <row r="1042" spans="49:49" ht="15" customHeight="1">
      <c r="AW1042" s="125">
        <v>743</v>
      </c>
    </row>
    <row r="1043" spans="49:49" ht="15" customHeight="1">
      <c r="AW1043" s="125">
        <v>744</v>
      </c>
    </row>
    <row r="1044" spans="49:49" ht="15" customHeight="1">
      <c r="AW1044" s="125">
        <v>745</v>
      </c>
    </row>
    <row r="1045" spans="49:49" ht="15" customHeight="1">
      <c r="AW1045" s="125">
        <v>746</v>
      </c>
    </row>
    <row r="1046" spans="49:49" ht="15" customHeight="1">
      <c r="AW1046" s="125">
        <v>747</v>
      </c>
    </row>
    <row r="1047" spans="49:49" ht="15" customHeight="1">
      <c r="AW1047" s="125">
        <v>748</v>
      </c>
    </row>
    <row r="1048" spans="49:49" ht="15" customHeight="1">
      <c r="AW1048" s="125">
        <v>749</v>
      </c>
    </row>
    <row r="1049" spans="49:49" ht="15" customHeight="1">
      <c r="AW1049" s="125">
        <v>750</v>
      </c>
    </row>
    <row r="1050" spans="49:49" ht="15" customHeight="1">
      <c r="AW1050" s="125">
        <v>751</v>
      </c>
    </row>
    <row r="1051" spans="49:49" ht="15" customHeight="1">
      <c r="AW1051" s="125">
        <v>752</v>
      </c>
    </row>
    <row r="1052" spans="49:49" ht="15" customHeight="1">
      <c r="AW1052" s="125">
        <v>753</v>
      </c>
    </row>
    <row r="1053" spans="49:49" ht="15" customHeight="1">
      <c r="AW1053" s="125">
        <v>754</v>
      </c>
    </row>
    <row r="1054" spans="49:49" ht="15" customHeight="1">
      <c r="AW1054" s="125">
        <v>755</v>
      </c>
    </row>
    <row r="1055" spans="49:49" ht="15" customHeight="1">
      <c r="AW1055" s="125">
        <v>756</v>
      </c>
    </row>
    <row r="1056" spans="49:49" ht="15" customHeight="1">
      <c r="AW1056" s="125">
        <v>757</v>
      </c>
    </row>
    <row r="1057" spans="49:49" ht="15" customHeight="1">
      <c r="AW1057" s="125">
        <v>758</v>
      </c>
    </row>
    <row r="1058" spans="49:49" ht="15" customHeight="1">
      <c r="AW1058" s="125">
        <v>759</v>
      </c>
    </row>
    <row r="1059" spans="49:49" ht="15" customHeight="1">
      <c r="AW1059" s="125">
        <v>760</v>
      </c>
    </row>
    <row r="1060" spans="49:49" ht="15" customHeight="1">
      <c r="AW1060" s="125">
        <v>761</v>
      </c>
    </row>
    <row r="1061" spans="49:49" ht="15" customHeight="1">
      <c r="AW1061" s="125">
        <v>762</v>
      </c>
    </row>
    <row r="1062" spans="49:49" ht="15" customHeight="1">
      <c r="AW1062" s="125">
        <v>763</v>
      </c>
    </row>
    <row r="1063" spans="49:49" ht="15" customHeight="1">
      <c r="AW1063" s="125">
        <v>764</v>
      </c>
    </row>
    <row r="1064" spans="49:49" ht="15" customHeight="1">
      <c r="AW1064" s="125">
        <v>765</v>
      </c>
    </row>
    <row r="1065" spans="49:49" ht="15" customHeight="1">
      <c r="AW1065" s="125">
        <v>766</v>
      </c>
    </row>
    <row r="1066" spans="49:49" ht="15" customHeight="1">
      <c r="AW1066" s="125">
        <v>767</v>
      </c>
    </row>
    <row r="1067" spans="49:49" ht="15" customHeight="1">
      <c r="AW1067" s="125">
        <v>768</v>
      </c>
    </row>
    <row r="1068" spans="49:49" ht="15" customHeight="1">
      <c r="AW1068" s="125">
        <v>769</v>
      </c>
    </row>
    <row r="1069" spans="49:49" ht="15" customHeight="1">
      <c r="AW1069" s="125">
        <v>770</v>
      </c>
    </row>
    <row r="1070" spans="49:49" ht="15" customHeight="1">
      <c r="AW1070" s="125">
        <v>771</v>
      </c>
    </row>
    <row r="1071" spans="49:49" ht="15" customHeight="1">
      <c r="AW1071" s="125">
        <v>772</v>
      </c>
    </row>
    <row r="1072" spans="49:49" ht="15" customHeight="1">
      <c r="AW1072" s="125">
        <v>773</v>
      </c>
    </row>
    <row r="1073" spans="49:49" ht="15" customHeight="1">
      <c r="AW1073" s="125">
        <v>774</v>
      </c>
    </row>
    <row r="1074" spans="49:49" ht="15" customHeight="1">
      <c r="AW1074" s="125">
        <v>775</v>
      </c>
    </row>
    <row r="1075" spans="49:49" ht="15" customHeight="1">
      <c r="AW1075" s="125">
        <v>776</v>
      </c>
    </row>
    <row r="1076" spans="49:49" ht="15" customHeight="1">
      <c r="AW1076" s="125">
        <v>777</v>
      </c>
    </row>
    <row r="1077" spans="49:49" ht="15" customHeight="1">
      <c r="AW1077" s="125">
        <v>778</v>
      </c>
    </row>
    <row r="1078" spans="49:49" ht="15" customHeight="1">
      <c r="AW1078" s="125">
        <v>779</v>
      </c>
    </row>
    <row r="1079" spans="49:49" ht="15" customHeight="1">
      <c r="AW1079" s="125">
        <v>780</v>
      </c>
    </row>
    <row r="1080" spans="49:49" ht="15" customHeight="1">
      <c r="AW1080" s="125">
        <v>781</v>
      </c>
    </row>
    <row r="1081" spans="49:49" ht="15" customHeight="1">
      <c r="AW1081" s="125">
        <v>782</v>
      </c>
    </row>
    <row r="1082" spans="49:49" ht="15" customHeight="1">
      <c r="AW1082" s="125">
        <v>783</v>
      </c>
    </row>
    <row r="1083" spans="49:49" ht="15" customHeight="1">
      <c r="AW1083" s="125">
        <v>784</v>
      </c>
    </row>
    <row r="1084" spans="49:49" ht="15" customHeight="1">
      <c r="AW1084" s="125">
        <v>785</v>
      </c>
    </row>
    <row r="1085" spans="49:49" ht="15" customHeight="1">
      <c r="AW1085" s="125">
        <v>786</v>
      </c>
    </row>
    <row r="1086" spans="49:49" ht="15" customHeight="1">
      <c r="AW1086" s="125">
        <v>787</v>
      </c>
    </row>
    <row r="1087" spans="49:49" ht="15" customHeight="1">
      <c r="AW1087" s="125">
        <v>788</v>
      </c>
    </row>
    <row r="1088" spans="49:49" ht="15" customHeight="1">
      <c r="AW1088" s="125">
        <v>789</v>
      </c>
    </row>
    <row r="1089" spans="49:49" ht="15" customHeight="1">
      <c r="AW1089" s="125">
        <v>790</v>
      </c>
    </row>
    <row r="1090" spans="49:49" ht="15" customHeight="1">
      <c r="AW1090" s="125">
        <v>791</v>
      </c>
    </row>
    <row r="1091" spans="49:49" ht="15" customHeight="1">
      <c r="AW1091" s="125">
        <v>792</v>
      </c>
    </row>
    <row r="1092" spans="49:49" ht="15" customHeight="1">
      <c r="AW1092" s="125">
        <v>793</v>
      </c>
    </row>
    <row r="1093" spans="49:49" ht="15" customHeight="1">
      <c r="AW1093" s="125">
        <v>794</v>
      </c>
    </row>
    <row r="1094" spans="49:49" ht="15" customHeight="1">
      <c r="AW1094" s="125">
        <v>795</v>
      </c>
    </row>
    <row r="1095" spans="49:49" ht="15" customHeight="1">
      <c r="AW1095" s="125">
        <v>796</v>
      </c>
    </row>
    <row r="1096" spans="49:49" ht="15" customHeight="1">
      <c r="AW1096" s="125">
        <v>797</v>
      </c>
    </row>
    <row r="1097" spans="49:49" ht="15" customHeight="1">
      <c r="AW1097" s="125">
        <v>798</v>
      </c>
    </row>
    <row r="1098" spans="49:49" ht="15" customHeight="1">
      <c r="AW1098" s="125">
        <v>799</v>
      </c>
    </row>
    <row r="1099" spans="49:49" ht="15" customHeight="1">
      <c r="AW1099" s="125">
        <v>800</v>
      </c>
    </row>
    <row r="1100" spans="49:49" ht="15" customHeight="1">
      <c r="AW1100" s="125">
        <v>801</v>
      </c>
    </row>
    <row r="1101" spans="49:49" ht="15" customHeight="1">
      <c r="AW1101" s="125">
        <v>802</v>
      </c>
    </row>
    <row r="1102" spans="49:49" ht="15" customHeight="1">
      <c r="AW1102" s="125">
        <v>803</v>
      </c>
    </row>
    <row r="1103" spans="49:49" ht="15" customHeight="1">
      <c r="AW1103" s="125">
        <v>804</v>
      </c>
    </row>
    <row r="1104" spans="49:49" ht="15" customHeight="1">
      <c r="AW1104" s="125">
        <v>805</v>
      </c>
    </row>
    <row r="1105" spans="49:49" ht="15" customHeight="1">
      <c r="AW1105" s="125">
        <v>806</v>
      </c>
    </row>
    <row r="1106" spans="49:49" ht="15" customHeight="1">
      <c r="AW1106" s="125">
        <v>807</v>
      </c>
    </row>
    <row r="1107" spans="49:49" ht="15" customHeight="1">
      <c r="AW1107" s="125">
        <v>808</v>
      </c>
    </row>
    <row r="1108" spans="49:49" ht="15" customHeight="1">
      <c r="AW1108" s="125">
        <v>809</v>
      </c>
    </row>
    <row r="1109" spans="49:49" ht="15" customHeight="1">
      <c r="AW1109" s="125">
        <v>810</v>
      </c>
    </row>
    <row r="1110" spans="49:49" ht="15" customHeight="1">
      <c r="AW1110" s="125">
        <v>811</v>
      </c>
    </row>
    <row r="1111" spans="49:49" ht="15" customHeight="1">
      <c r="AW1111" s="125">
        <v>812</v>
      </c>
    </row>
    <row r="1112" spans="49:49" ht="15" customHeight="1">
      <c r="AW1112" s="125">
        <v>813</v>
      </c>
    </row>
    <row r="1113" spans="49:49" ht="15" customHeight="1">
      <c r="AW1113" s="125">
        <v>814</v>
      </c>
    </row>
    <row r="1114" spans="49:49" ht="15" customHeight="1">
      <c r="AW1114" s="125">
        <v>815</v>
      </c>
    </row>
    <row r="1115" spans="49:49" ht="15" customHeight="1">
      <c r="AW1115" s="125">
        <v>816</v>
      </c>
    </row>
    <row r="1116" spans="49:49" ht="15" customHeight="1">
      <c r="AW1116" s="125">
        <v>817</v>
      </c>
    </row>
    <row r="1117" spans="49:49" ht="15" customHeight="1">
      <c r="AW1117" s="125">
        <v>818</v>
      </c>
    </row>
    <row r="1118" spans="49:49" ht="15" customHeight="1">
      <c r="AW1118" s="125">
        <v>819</v>
      </c>
    </row>
    <row r="1119" spans="49:49" ht="15" customHeight="1">
      <c r="AW1119" s="125">
        <v>820</v>
      </c>
    </row>
    <row r="1120" spans="49:49" ht="15" customHeight="1">
      <c r="AW1120" s="125">
        <v>821</v>
      </c>
    </row>
    <row r="1121" spans="49:49" ht="15" customHeight="1">
      <c r="AW1121" s="125">
        <v>822</v>
      </c>
    </row>
    <row r="1122" spans="49:49" ht="15" customHeight="1">
      <c r="AW1122" s="125">
        <v>823</v>
      </c>
    </row>
    <row r="1123" spans="49:49" ht="15" customHeight="1">
      <c r="AW1123" s="125">
        <v>824</v>
      </c>
    </row>
    <row r="1124" spans="49:49" ht="15" customHeight="1">
      <c r="AW1124" s="125">
        <v>825</v>
      </c>
    </row>
    <row r="1125" spans="49:49" ht="15" customHeight="1">
      <c r="AW1125" s="125">
        <v>826</v>
      </c>
    </row>
    <row r="1126" spans="49:49" ht="15" customHeight="1">
      <c r="AW1126" s="125">
        <v>827</v>
      </c>
    </row>
    <row r="1127" spans="49:49" ht="15" customHeight="1">
      <c r="AW1127" s="125">
        <v>828</v>
      </c>
    </row>
    <row r="1128" spans="49:49" ht="15" customHeight="1">
      <c r="AW1128" s="125">
        <v>829</v>
      </c>
    </row>
    <row r="1129" spans="49:49" ht="15" customHeight="1">
      <c r="AW1129" s="125">
        <v>830</v>
      </c>
    </row>
    <row r="1130" spans="49:49" ht="15" customHeight="1">
      <c r="AW1130" s="125">
        <v>831</v>
      </c>
    </row>
    <row r="1131" spans="49:49" ht="15" customHeight="1">
      <c r="AW1131" s="125">
        <v>832</v>
      </c>
    </row>
    <row r="1132" spans="49:49" ht="15" customHeight="1">
      <c r="AW1132" s="125">
        <v>833</v>
      </c>
    </row>
    <row r="1133" spans="49:49" ht="15" customHeight="1">
      <c r="AW1133" s="125">
        <v>834</v>
      </c>
    </row>
    <row r="1134" spans="49:49" ht="15" customHeight="1">
      <c r="AW1134" s="125">
        <v>835</v>
      </c>
    </row>
    <row r="1135" spans="49:49" ht="15" customHeight="1">
      <c r="AW1135" s="125">
        <v>836</v>
      </c>
    </row>
    <row r="1136" spans="49:49" ht="15" customHeight="1">
      <c r="AW1136" s="125">
        <v>837</v>
      </c>
    </row>
    <row r="1137" spans="49:49" ht="15" customHeight="1">
      <c r="AW1137" s="125">
        <v>838</v>
      </c>
    </row>
    <row r="1138" spans="49:49" ht="15" customHeight="1">
      <c r="AW1138" s="125">
        <v>839</v>
      </c>
    </row>
    <row r="1139" spans="49:49" ht="15" customHeight="1">
      <c r="AW1139" s="125">
        <v>840</v>
      </c>
    </row>
    <row r="1140" spans="49:49" ht="15" customHeight="1">
      <c r="AW1140" s="125">
        <v>841</v>
      </c>
    </row>
    <row r="1141" spans="49:49" ht="15" customHeight="1">
      <c r="AW1141" s="125">
        <v>842</v>
      </c>
    </row>
    <row r="1142" spans="49:49" ht="15" customHeight="1">
      <c r="AW1142" s="125">
        <v>843</v>
      </c>
    </row>
    <row r="1143" spans="49:49" ht="15" customHeight="1">
      <c r="AW1143" s="125">
        <v>844</v>
      </c>
    </row>
    <row r="1144" spans="49:49" ht="15" customHeight="1">
      <c r="AW1144" s="125">
        <v>845</v>
      </c>
    </row>
    <row r="1145" spans="49:49" ht="15" customHeight="1">
      <c r="AW1145" s="125">
        <v>846</v>
      </c>
    </row>
    <row r="1146" spans="49:49" ht="15" customHeight="1">
      <c r="AW1146" s="125">
        <v>847</v>
      </c>
    </row>
    <row r="1147" spans="49:49" ht="15" customHeight="1">
      <c r="AW1147" s="125">
        <v>848</v>
      </c>
    </row>
    <row r="1148" spans="49:49" ht="15" customHeight="1">
      <c r="AW1148" s="125">
        <v>849</v>
      </c>
    </row>
    <row r="1149" spans="49:49" ht="15" customHeight="1">
      <c r="AW1149" s="125">
        <v>850</v>
      </c>
    </row>
    <row r="1150" spans="49:49" ht="15" customHeight="1">
      <c r="AW1150" s="125">
        <v>851</v>
      </c>
    </row>
    <row r="1151" spans="49:49" ht="15" customHeight="1">
      <c r="AW1151" s="125">
        <v>852</v>
      </c>
    </row>
    <row r="1152" spans="49:49" ht="15" customHeight="1">
      <c r="AW1152" s="125">
        <v>853</v>
      </c>
    </row>
    <row r="1153" spans="49:49" ht="15" customHeight="1">
      <c r="AW1153" s="125">
        <v>854</v>
      </c>
    </row>
    <row r="1154" spans="49:49" ht="15" customHeight="1">
      <c r="AW1154" s="125">
        <v>855</v>
      </c>
    </row>
    <row r="1155" spans="49:49" ht="15" customHeight="1">
      <c r="AW1155" s="125">
        <v>856</v>
      </c>
    </row>
    <row r="1156" spans="49:49" ht="15" customHeight="1">
      <c r="AW1156" s="125">
        <v>857</v>
      </c>
    </row>
    <row r="1157" spans="49:49" ht="15" customHeight="1">
      <c r="AW1157" s="125">
        <v>858</v>
      </c>
    </row>
    <row r="1158" spans="49:49" ht="15" customHeight="1">
      <c r="AW1158" s="125">
        <v>859</v>
      </c>
    </row>
    <row r="1159" spans="49:49" ht="15" customHeight="1">
      <c r="AW1159" s="125">
        <v>860</v>
      </c>
    </row>
    <row r="1160" spans="49:49" ht="15" customHeight="1">
      <c r="AW1160" s="125">
        <v>861</v>
      </c>
    </row>
    <row r="1161" spans="49:49" ht="15" customHeight="1">
      <c r="AW1161" s="125">
        <v>862</v>
      </c>
    </row>
    <row r="1162" spans="49:49" ht="15" customHeight="1">
      <c r="AW1162" s="125">
        <v>863</v>
      </c>
    </row>
    <row r="1163" spans="49:49" ht="15" customHeight="1">
      <c r="AW1163" s="125">
        <v>864</v>
      </c>
    </row>
    <row r="1164" spans="49:49" ht="15" customHeight="1">
      <c r="AW1164" s="125">
        <v>865</v>
      </c>
    </row>
    <row r="1165" spans="49:49" ht="15" customHeight="1">
      <c r="AW1165" s="125">
        <v>866</v>
      </c>
    </row>
    <row r="1166" spans="49:49" ht="15" customHeight="1">
      <c r="AW1166" s="125">
        <v>867</v>
      </c>
    </row>
    <row r="1167" spans="49:49" ht="15" customHeight="1">
      <c r="AW1167" s="125">
        <v>868</v>
      </c>
    </row>
    <row r="1168" spans="49:49" ht="15" customHeight="1">
      <c r="AW1168" s="125">
        <v>869</v>
      </c>
    </row>
    <row r="1169" spans="49:49" ht="15" customHeight="1">
      <c r="AW1169" s="125">
        <v>870</v>
      </c>
    </row>
    <row r="1170" spans="49:49" ht="15" customHeight="1">
      <c r="AW1170" s="125">
        <v>871</v>
      </c>
    </row>
    <row r="1171" spans="49:49" ht="15" customHeight="1">
      <c r="AW1171" s="125">
        <v>872</v>
      </c>
    </row>
    <row r="1172" spans="49:49" ht="15" customHeight="1">
      <c r="AW1172" s="125">
        <v>873</v>
      </c>
    </row>
    <row r="1173" spans="49:49" ht="15" customHeight="1">
      <c r="AW1173" s="125">
        <v>874</v>
      </c>
    </row>
    <row r="1174" spans="49:49" ht="15" customHeight="1">
      <c r="AW1174" s="125">
        <v>875</v>
      </c>
    </row>
    <row r="1175" spans="49:49" ht="15" customHeight="1">
      <c r="AW1175" s="125">
        <v>876</v>
      </c>
    </row>
    <row r="1176" spans="49:49" ht="15" customHeight="1">
      <c r="AW1176" s="125">
        <v>877</v>
      </c>
    </row>
    <row r="1177" spans="49:49" ht="15" customHeight="1">
      <c r="AW1177" s="125">
        <v>878</v>
      </c>
    </row>
    <row r="1178" spans="49:49" ht="15" customHeight="1">
      <c r="AW1178" s="125">
        <v>879</v>
      </c>
    </row>
    <row r="1179" spans="49:49" ht="15" customHeight="1">
      <c r="AW1179" s="125">
        <v>880</v>
      </c>
    </row>
    <row r="1180" spans="49:49" ht="15" customHeight="1">
      <c r="AW1180" s="125">
        <v>881</v>
      </c>
    </row>
    <row r="1181" spans="49:49" ht="15" customHeight="1">
      <c r="AW1181" s="125">
        <v>882</v>
      </c>
    </row>
    <row r="1182" spans="49:49" ht="15" customHeight="1">
      <c r="AW1182" s="125">
        <v>883</v>
      </c>
    </row>
    <row r="1183" spans="49:49" ht="15" customHeight="1">
      <c r="AW1183" s="125">
        <v>884</v>
      </c>
    </row>
    <row r="1184" spans="49:49" ht="15" customHeight="1">
      <c r="AW1184" s="125">
        <v>885</v>
      </c>
    </row>
    <row r="1185" spans="49:49" ht="15" customHeight="1">
      <c r="AW1185" s="125">
        <v>886</v>
      </c>
    </row>
    <row r="1186" spans="49:49" ht="15" customHeight="1">
      <c r="AW1186" s="125">
        <v>887</v>
      </c>
    </row>
    <row r="1187" spans="49:49" ht="15" customHeight="1">
      <c r="AW1187" s="125">
        <v>888</v>
      </c>
    </row>
    <row r="1188" spans="49:49" ht="15" customHeight="1">
      <c r="AW1188" s="125">
        <v>889</v>
      </c>
    </row>
    <row r="1189" spans="49:49" ht="15" customHeight="1">
      <c r="AW1189" s="125">
        <v>890</v>
      </c>
    </row>
    <row r="1190" spans="49:49" ht="15" customHeight="1">
      <c r="AW1190" s="125">
        <v>891</v>
      </c>
    </row>
    <row r="1191" spans="49:49" ht="15" customHeight="1">
      <c r="AW1191" s="125">
        <v>892</v>
      </c>
    </row>
    <row r="1192" spans="49:49" ht="15" customHeight="1">
      <c r="AW1192" s="125">
        <v>893</v>
      </c>
    </row>
    <row r="1193" spans="49:49" ht="15" customHeight="1">
      <c r="AW1193" s="125">
        <v>894</v>
      </c>
    </row>
    <row r="1194" spans="49:49" ht="15" customHeight="1">
      <c r="AW1194" s="125">
        <v>895</v>
      </c>
    </row>
    <row r="1195" spans="49:49" ht="15" customHeight="1">
      <c r="AW1195" s="125">
        <v>896</v>
      </c>
    </row>
    <row r="1196" spans="49:49" ht="15" customHeight="1">
      <c r="AW1196" s="125">
        <v>897</v>
      </c>
    </row>
    <row r="1197" spans="49:49" ht="15" customHeight="1">
      <c r="AW1197" s="125">
        <v>898</v>
      </c>
    </row>
    <row r="1198" spans="49:49" ht="15" customHeight="1">
      <c r="AW1198" s="125">
        <v>899</v>
      </c>
    </row>
    <row r="1199" spans="49:49" ht="15" customHeight="1">
      <c r="AW1199" s="125">
        <v>900</v>
      </c>
    </row>
    <row r="1200" spans="49:49" ht="15" customHeight="1">
      <c r="AW1200" s="125">
        <v>901</v>
      </c>
    </row>
    <row r="1201" spans="49:49" ht="15" customHeight="1">
      <c r="AW1201" s="125">
        <v>902</v>
      </c>
    </row>
    <row r="1202" spans="49:49" ht="15" customHeight="1">
      <c r="AW1202" s="125">
        <v>903</v>
      </c>
    </row>
    <row r="1203" spans="49:49" ht="15" customHeight="1">
      <c r="AW1203" s="125">
        <v>904</v>
      </c>
    </row>
    <row r="1204" spans="49:49" ht="15" customHeight="1">
      <c r="AW1204" s="125">
        <v>905</v>
      </c>
    </row>
    <row r="1205" spans="49:49" ht="15" customHeight="1">
      <c r="AW1205" s="125">
        <v>906</v>
      </c>
    </row>
    <row r="1206" spans="49:49" ht="15" customHeight="1">
      <c r="AW1206" s="125">
        <v>907</v>
      </c>
    </row>
    <row r="1207" spans="49:49" ht="15" customHeight="1">
      <c r="AW1207" s="125">
        <v>908</v>
      </c>
    </row>
    <row r="1208" spans="49:49" ht="15" customHeight="1">
      <c r="AW1208" s="125">
        <v>909</v>
      </c>
    </row>
    <row r="1209" spans="49:49" ht="15" customHeight="1">
      <c r="AW1209" s="125">
        <v>910</v>
      </c>
    </row>
    <row r="1210" spans="49:49" ht="15" customHeight="1">
      <c r="AW1210" s="125">
        <v>911</v>
      </c>
    </row>
    <row r="1211" spans="49:49" ht="15" customHeight="1">
      <c r="AW1211" s="125">
        <v>912</v>
      </c>
    </row>
    <row r="1212" spans="49:49" ht="15" customHeight="1">
      <c r="AW1212" s="125">
        <v>913</v>
      </c>
    </row>
    <row r="1213" spans="49:49" ht="15" customHeight="1">
      <c r="AW1213" s="125">
        <v>914</v>
      </c>
    </row>
    <row r="1214" spans="49:49" ht="15" customHeight="1">
      <c r="AW1214" s="125">
        <v>915</v>
      </c>
    </row>
    <row r="1215" spans="49:49" ht="15" customHeight="1">
      <c r="AW1215" s="125">
        <v>916</v>
      </c>
    </row>
    <row r="1216" spans="49:49" ht="15" customHeight="1">
      <c r="AW1216" s="125">
        <v>917</v>
      </c>
    </row>
    <row r="1217" spans="49:49" ht="15" customHeight="1">
      <c r="AW1217" s="125">
        <v>918</v>
      </c>
    </row>
    <row r="1218" spans="49:49" ht="15" customHeight="1">
      <c r="AW1218" s="125">
        <v>919</v>
      </c>
    </row>
    <row r="1219" spans="49:49" ht="15" customHeight="1">
      <c r="AW1219" s="125">
        <v>920</v>
      </c>
    </row>
    <row r="1220" spans="49:49" ht="15" customHeight="1">
      <c r="AW1220" s="125">
        <v>921</v>
      </c>
    </row>
    <row r="1221" spans="49:49" ht="15" customHeight="1">
      <c r="AW1221" s="125">
        <v>922</v>
      </c>
    </row>
    <row r="1222" spans="49:49" ht="15" customHeight="1">
      <c r="AW1222" s="125">
        <v>923</v>
      </c>
    </row>
    <row r="1223" spans="49:49" ht="15" customHeight="1">
      <c r="AW1223" s="125">
        <v>924</v>
      </c>
    </row>
    <row r="1224" spans="49:49" ht="15" customHeight="1">
      <c r="AW1224" s="125">
        <v>925</v>
      </c>
    </row>
    <row r="1225" spans="49:49" ht="15" customHeight="1">
      <c r="AW1225" s="125">
        <v>926</v>
      </c>
    </row>
    <row r="1226" spans="49:49" ht="15" customHeight="1">
      <c r="AW1226" s="125">
        <v>927</v>
      </c>
    </row>
    <row r="1227" spans="49:49" ht="15" customHeight="1">
      <c r="AW1227" s="125">
        <v>928</v>
      </c>
    </row>
    <row r="1228" spans="49:49" ht="15" customHeight="1">
      <c r="AW1228" s="125">
        <v>929</v>
      </c>
    </row>
    <row r="1229" spans="49:49" ht="15" customHeight="1">
      <c r="AW1229" s="125">
        <v>930</v>
      </c>
    </row>
    <row r="1230" spans="49:49" ht="15" customHeight="1">
      <c r="AW1230" s="125">
        <v>931</v>
      </c>
    </row>
    <row r="1231" spans="49:49" ht="15" customHeight="1">
      <c r="AW1231" s="125">
        <v>932</v>
      </c>
    </row>
    <row r="1232" spans="49:49" ht="15" customHeight="1">
      <c r="AW1232" s="125">
        <v>933</v>
      </c>
    </row>
    <row r="1233" spans="49:49" ht="15" customHeight="1">
      <c r="AW1233" s="125">
        <v>934</v>
      </c>
    </row>
    <row r="1234" spans="49:49" ht="15" customHeight="1">
      <c r="AW1234" s="125">
        <v>935</v>
      </c>
    </row>
    <row r="1235" spans="49:49" ht="15" customHeight="1">
      <c r="AW1235" s="125">
        <v>936</v>
      </c>
    </row>
    <row r="1236" spans="49:49" ht="15" customHeight="1">
      <c r="AW1236" s="125">
        <v>937</v>
      </c>
    </row>
    <row r="1237" spans="49:49" ht="15" customHeight="1">
      <c r="AW1237" s="125">
        <v>938</v>
      </c>
    </row>
    <row r="1238" spans="49:49" ht="15" customHeight="1">
      <c r="AW1238" s="125">
        <v>939</v>
      </c>
    </row>
    <row r="1239" spans="49:49" ht="15" customHeight="1">
      <c r="AW1239" s="125">
        <v>940</v>
      </c>
    </row>
    <row r="1240" spans="49:49" ht="15" customHeight="1">
      <c r="AW1240" s="125">
        <v>941</v>
      </c>
    </row>
    <row r="1241" spans="49:49" ht="15" customHeight="1">
      <c r="AW1241" s="125">
        <v>942</v>
      </c>
    </row>
    <row r="1242" spans="49:49" ht="15" customHeight="1">
      <c r="AW1242" s="125">
        <v>943</v>
      </c>
    </row>
    <row r="1243" spans="49:49" ht="15" customHeight="1">
      <c r="AW1243" s="125">
        <v>944</v>
      </c>
    </row>
    <row r="1244" spans="49:49" ht="15" customHeight="1">
      <c r="AW1244" s="125">
        <v>945</v>
      </c>
    </row>
    <row r="1245" spans="49:49" ht="15" customHeight="1">
      <c r="AW1245" s="125">
        <v>946</v>
      </c>
    </row>
    <row r="1246" spans="49:49" ht="15" customHeight="1">
      <c r="AW1246" s="125">
        <v>947</v>
      </c>
    </row>
    <row r="1247" spans="49:49" ht="15" customHeight="1">
      <c r="AW1247" s="125">
        <v>948</v>
      </c>
    </row>
    <row r="1248" spans="49:49" ht="15" customHeight="1">
      <c r="AW1248" s="125">
        <v>949</v>
      </c>
    </row>
    <row r="1249" spans="49:49" ht="15" customHeight="1">
      <c r="AW1249" s="125">
        <v>950</v>
      </c>
    </row>
    <row r="1250" spans="49:49" ht="15" customHeight="1">
      <c r="AW1250" s="125">
        <v>951</v>
      </c>
    </row>
    <row r="1251" spans="49:49" ht="15" customHeight="1">
      <c r="AW1251" s="125">
        <v>952</v>
      </c>
    </row>
    <row r="1252" spans="49:49" ht="15" customHeight="1">
      <c r="AW1252" s="125">
        <v>953</v>
      </c>
    </row>
    <row r="1253" spans="49:49" ht="15" customHeight="1">
      <c r="AW1253" s="125">
        <v>954</v>
      </c>
    </row>
    <row r="1254" spans="49:49" ht="15" customHeight="1">
      <c r="AW1254" s="125">
        <v>955</v>
      </c>
    </row>
    <row r="1255" spans="49:49" ht="15" customHeight="1">
      <c r="AW1255" s="125">
        <v>956</v>
      </c>
    </row>
    <row r="1256" spans="49:49" ht="15" customHeight="1">
      <c r="AW1256" s="125">
        <v>957</v>
      </c>
    </row>
    <row r="1257" spans="49:49" ht="15" customHeight="1">
      <c r="AW1257" s="125">
        <v>958</v>
      </c>
    </row>
    <row r="1258" spans="49:49" ht="15" customHeight="1">
      <c r="AW1258" s="125">
        <v>959</v>
      </c>
    </row>
    <row r="1259" spans="49:49" ht="15" customHeight="1">
      <c r="AW1259" s="125">
        <v>960</v>
      </c>
    </row>
    <row r="1260" spans="49:49" ht="15" customHeight="1">
      <c r="AW1260" s="125">
        <v>961</v>
      </c>
    </row>
    <row r="1261" spans="49:49" ht="15" customHeight="1">
      <c r="AW1261" s="125">
        <v>962</v>
      </c>
    </row>
    <row r="1262" spans="49:49" ht="15" customHeight="1">
      <c r="AW1262" s="125">
        <v>963</v>
      </c>
    </row>
    <row r="1263" spans="49:49" ht="15" customHeight="1">
      <c r="AW1263" s="125">
        <v>964</v>
      </c>
    </row>
    <row r="1264" spans="49:49" ht="15" customHeight="1">
      <c r="AW1264" s="125">
        <v>965</v>
      </c>
    </row>
    <row r="1265" spans="49:49" ht="15" customHeight="1">
      <c r="AW1265" s="125">
        <v>966</v>
      </c>
    </row>
    <row r="1266" spans="49:49" ht="15" customHeight="1">
      <c r="AW1266" s="125">
        <v>967</v>
      </c>
    </row>
    <row r="1267" spans="49:49" ht="15" customHeight="1">
      <c r="AW1267" s="125">
        <v>968</v>
      </c>
    </row>
    <row r="1268" spans="49:49" ht="15" customHeight="1">
      <c r="AW1268" s="125">
        <v>969</v>
      </c>
    </row>
    <row r="1269" spans="49:49" ht="15" customHeight="1">
      <c r="AW1269" s="125">
        <v>970</v>
      </c>
    </row>
    <row r="1270" spans="49:49" ht="15" customHeight="1">
      <c r="AW1270" s="125">
        <v>971</v>
      </c>
    </row>
    <row r="1271" spans="49:49" ht="15" customHeight="1">
      <c r="AW1271" s="125">
        <v>972</v>
      </c>
    </row>
    <row r="1272" spans="49:49" ht="15" customHeight="1">
      <c r="AW1272" s="125">
        <v>973</v>
      </c>
    </row>
    <row r="1273" spans="49:49" ht="15" customHeight="1">
      <c r="AW1273" s="125">
        <v>974</v>
      </c>
    </row>
    <row r="1274" spans="49:49" ht="15" customHeight="1">
      <c r="AW1274" s="125">
        <v>975</v>
      </c>
    </row>
    <row r="1275" spans="49:49" ht="15" customHeight="1">
      <c r="AW1275" s="125">
        <v>976</v>
      </c>
    </row>
    <row r="1276" spans="49:49" ht="15" customHeight="1">
      <c r="AW1276" s="125">
        <v>977</v>
      </c>
    </row>
    <row r="1277" spans="49:49" ht="15" customHeight="1">
      <c r="AW1277" s="125">
        <v>978</v>
      </c>
    </row>
    <row r="1278" spans="49:49" ht="15" customHeight="1">
      <c r="AW1278" s="125">
        <v>979</v>
      </c>
    </row>
    <row r="1279" spans="49:49" ht="15" customHeight="1">
      <c r="AW1279" s="125">
        <v>980</v>
      </c>
    </row>
    <row r="1280" spans="49:49" ht="15" customHeight="1">
      <c r="AW1280" s="125">
        <v>981</v>
      </c>
    </row>
    <row r="1281" spans="49:49" ht="15" customHeight="1">
      <c r="AW1281" s="125">
        <v>982</v>
      </c>
    </row>
    <row r="1282" spans="49:49" ht="15" customHeight="1">
      <c r="AW1282" s="125">
        <v>983</v>
      </c>
    </row>
    <row r="1283" spans="49:49" ht="15" customHeight="1">
      <c r="AW1283" s="125">
        <v>984</v>
      </c>
    </row>
    <row r="1284" spans="49:49" ht="15" customHeight="1">
      <c r="AW1284" s="125">
        <v>985</v>
      </c>
    </row>
    <row r="1285" spans="49:49" ht="15" customHeight="1">
      <c r="AW1285" s="125">
        <v>986</v>
      </c>
    </row>
    <row r="1286" spans="49:49" ht="15" customHeight="1">
      <c r="AW1286" s="125">
        <v>987</v>
      </c>
    </row>
    <row r="1287" spans="49:49" ht="15" customHeight="1">
      <c r="AW1287" s="125">
        <v>988</v>
      </c>
    </row>
    <row r="1288" spans="49:49" ht="15" customHeight="1">
      <c r="AW1288" s="125">
        <v>989</v>
      </c>
    </row>
    <row r="1289" spans="49:49" ht="15" customHeight="1">
      <c r="AW1289" s="125">
        <v>990</v>
      </c>
    </row>
    <row r="1290" spans="49:49" ht="15" customHeight="1">
      <c r="AW1290" s="125">
        <v>991</v>
      </c>
    </row>
    <row r="1291" spans="49:49" ht="15" customHeight="1">
      <c r="AW1291" s="125">
        <v>992</v>
      </c>
    </row>
    <row r="1292" spans="49:49" ht="15" customHeight="1">
      <c r="AW1292" s="125">
        <v>993</v>
      </c>
    </row>
    <row r="1293" spans="49:49" ht="15" customHeight="1">
      <c r="AW1293" s="125">
        <v>994</v>
      </c>
    </row>
    <row r="1294" spans="49:49" ht="15" customHeight="1">
      <c r="AW1294" s="125">
        <v>995</v>
      </c>
    </row>
    <row r="1295" spans="49:49" ht="15" customHeight="1">
      <c r="AW1295" s="125">
        <v>996</v>
      </c>
    </row>
    <row r="1296" spans="49:49" ht="15" customHeight="1">
      <c r="AW1296" s="125">
        <v>997</v>
      </c>
    </row>
    <row r="1297" spans="49:49" ht="15" customHeight="1">
      <c r="AW1297" s="125">
        <v>998</v>
      </c>
    </row>
    <row r="1298" spans="49:49" ht="15" customHeight="1">
      <c r="AW1298" s="125">
        <v>999</v>
      </c>
    </row>
    <row r="1299" spans="49:49" ht="15" customHeight="1">
      <c r="AW1299" s="125">
        <v>1000</v>
      </c>
    </row>
    <row r="1300" spans="49:49" ht="15" customHeight="1">
      <c r="AW1300" s="125">
        <v>1001</v>
      </c>
    </row>
    <row r="1301" spans="49:49" ht="15" customHeight="1">
      <c r="AW1301" s="125">
        <v>1002</v>
      </c>
    </row>
    <row r="1302" spans="49:49" ht="15" customHeight="1">
      <c r="AW1302" s="125">
        <v>1003</v>
      </c>
    </row>
    <row r="1303" spans="49:49" ht="15" customHeight="1">
      <c r="AW1303" s="125">
        <v>1004</v>
      </c>
    </row>
    <row r="1304" spans="49:49" ht="15" customHeight="1">
      <c r="AW1304" s="125">
        <v>1005</v>
      </c>
    </row>
    <row r="1305" spans="49:49" ht="15" customHeight="1">
      <c r="AW1305" s="125">
        <v>1006</v>
      </c>
    </row>
    <row r="1306" spans="49:49" ht="15" customHeight="1">
      <c r="AW1306" s="125">
        <v>1007</v>
      </c>
    </row>
    <row r="1307" spans="49:49" ht="15" customHeight="1">
      <c r="AW1307" s="125">
        <v>1008</v>
      </c>
    </row>
    <row r="1308" spans="49:49" ht="15" customHeight="1">
      <c r="AW1308" s="125">
        <v>1009</v>
      </c>
    </row>
    <row r="1309" spans="49:49" ht="15" customHeight="1">
      <c r="AW1309" s="125">
        <v>1010</v>
      </c>
    </row>
    <row r="1310" spans="49:49" ht="15" customHeight="1">
      <c r="AW1310" s="125">
        <v>1011</v>
      </c>
    </row>
    <row r="1311" spans="49:49" ht="15" customHeight="1">
      <c r="AW1311" s="125">
        <v>1012</v>
      </c>
    </row>
    <row r="1312" spans="49:49" ht="15" customHeight="1">
      <c r="AW1312" s="125">
        <v>1013</v>
      </c>
    </row>
    <row r="1313" spans="49:49" ht="15" customHeight="1">
      <c r="AW1313" s="125">
        <v>1014</v>
      </c>
    </row>
    <row r="1314" spans="49:49" ht="15" customHeight="1">
      <c r="AW1314" s="125">
        <v>1015</v>
      </c>
    </row>
    <row r="1315" spans="49:49" ht="15" customHeight="1">
      <c r="AW1315" s="125">
        <v>1016</v>
      </c>
    </row>
    <row r="1316" spans="49:49" ht="15" customHeight="1">
      <c r="AW1316" s="125">
        <v>1017</v>
      </c>
    </row>
    <row r="1317" spans="49:49" ht="15" customHeight="1">
      <c r="AW1317" s="125">
        <v>1018</v>
      </c>
    </row>
    <row r="1318" spans="49:49" ht="15" customHeight="1">
      <c r="AW1318" s="125">
        <v>1019</v>
      </c>
    </row>
    <row r="1319" spans="49:49" ht="15" customHeight="1">
      <c r="AW1319" s="125">
        <v>1020</v>
      </c>
    </row>
    <row r="1320" spans="49:49" ht="15" customHeight="1">
      <c r="AW1320" s="125">
        <v>1021</v>
      </c>
    </row>
    <row r="1321" spans="49:49" ht="15" customHeight="1">
      <c r="AW1321" s="125">
        <v>1022</v>
      </c>
    </row>
    <row r="1322" spans="49:49" ht="15" customHeight="1">
      <c r="AW1322" s="125">
        <v>1023</v>
      </c>
    </row>
    <row r="1323" spans="49:49" ht="15" customHeight="1">
      <c r="AW1323" s="125">
        <v>1024</v>
      </c>
    </row>
    <row r="1324" spans="49:49" ht="15" customHeight="1">
      <c r="AW1324" s="125">
        <v>1025</v>
      </c>
    </row>
    <row r="1325" spans="49:49" ht="15" customHeight="1">
      <c r="AW1325" s="125">
        <v>1026</v>
      </c>
    </row>
    <row r="1326" spans="49:49" ht="15" customHeight="1">
      <c r="AW1326" s="125">
        <v>1027</v>
      </c>
    </row>
    <row r="1327" spans="49:49" ht="15" customHeight="1">
      <c r="AW1327" s="125">
        <v>1028</v>
      </c>
    </row>
    <row r="1328" spans="49:49" ht="15" customHeight="1">
      <c r="AW1328" s="125">
        <v>1029</v>
      </c>
    </row>
    <row r="1329" spans="49:49" ht="15" customHeight="1">
      <c r="AW1329" s="125">
        <v>1030</v>
      </c>
    </row>
    <row r="1330" spans="49:49" ht="15" customHeight="1">
      <c r="AW1330" s="125">
        <v>1031</v>
      </c>
    </row>
    <row r="1331" spans="49:49" ht="15" customHeight="1">
      <c r="AW1331" s="125">
        <v>1032</v>
      </c>
    </row>
    <row r="1332" spans="49:49" ht="15" customHeight="1">
      <c r="AW1332" s="125">
        <v>1033</v>
      </c>
    </row>
    <row r="1333" spans="49:49" ht="15" customHeight="1">
      <c r="AW1333" s="125">
        <v>1034</v>
      </c>
    </row>
    <row r="1334" spans="49:49" ht="15" customHeight="1">
      <c r="AW1334" s="125">
        <v>1035</v>
      </c>
    </row>
    <row r="1335" spans="49:49" ht="15" customHeight="1">
      <c r="AW1335" s="125">
        <v>1036</v>
      </c>
    </row>
    <row r="1336" spans="49:49" ht="15" customHeight="1">
      <c r="AW1336" s="125">
        <v>1037</v>
      </c>
    </row>
    <row r="1337" spans="49:49" ht="15" customHeight="1">
      <c r="AW1337" s="125">
        <v>1038</v>
      </c>
    </row>
    <row r="1338" spans="49:49" ht="15" customHeight="1">
      <c r="AW1338" s="125">
        <v>1039</v>
      </c>
    </row>
    <row r="1339" spans="49:49" ht="15" customHeight="1">
      <c r="AW1339" s="125">
        <v>1040</v>
      </c>
    </row>
    <row r="1340" spans="49:49" ht="15" customHeight="1">
      <c r="AW1340" s="125">
        <v>1041</v>
      </c>
    </row>
    <row r="1341" spans="49:49" ht="15" customHeight="1">
      <c r="AW1341" s="125">
        <v>1042</v>
      </c>
    </row>
    <row r="1342" spans="49:49" ht="15" customHeight="1">
      <c r="AW1342" s="125">
        <v>1043</v>
      </c>
    </row>
    <row r="1343" spans="49:49" ht="15" customHeight="1">
      <c r="AW1343" s="125">
        <v>1044</v>
      </c>
    </row>
    <row r="1344" spans="49:49" ht="15" customHeight="1">
      <c r="AW1344" s="125">
        <v>1045</v>
      </c>
    </row>
    <row r="1345" spans="49:49" ht="15" customHeight="1">
      <c r="AW1345" s="125">
        <v>1046</v>
      </c>
    </row>
    <row r="1346" spans="49:49" ht="15" customHeight="1">
      <c r="AW1346" s="125">
        <v>1047</v>
      </c>
    </row>
    <row r="1347" spans="49:49" ht="15" customHeight="1">
      <c r="AW1347" s="125">
        <v>1048</v>
      </c>
    </row>
    <row r="1348" spans="49:49" ht="15" customHeight="1">
      <c r="AW1348" s="125">
        <v>1049</v>
      </c>
    </row>
    <row r="1349" spans="49:49" ht="15" customHeight="1">
      <c r="AW1349" s="125">
        <v>1050</v>
      </c>
    </row>
    <row r="1350" spans="49:49" ht="15" customHeight="1">
      <c r="AW1350" s="125">
        <v>1051</v>
      </c>
    </row>
    <row r="1351" spans="49:49" ht="15" customHeight="1">
      <c r="AW1351" s="125">
        <v>1052</v>
      </c>
    </row>
    <row r="1352" spans="49:49" ht="15" customHeight="1">
      <c r="AW1352" s="125">
        <v>1053</v>
      </c>
    </row>
    <row r="1353" spans="49:49" ht="15" customHeight="1">
      <c r="AW1353" s="125">
        <v>1054</v>
      </c>
    </row>
    <row r="1354" spans="49:49" ht="15" customHeight="1">
      <c r="AW1354" s="125">
        <v>1055</v>
      </c>
    </row>
    <row r="1355" spans="49:49" ht="15" customHeight="1">
      <c r="AW1355" s="125">
        <v>1056</v>
      </c>
    </row>
    <row r="1356" spans="49:49" ht="15" customHeight="1">
      <c r="AW1356" s="125">
        <v>1057</v>
      </c>
    </row>
    <row r="1357" spans="49:49" ht="15" customHeight="1">
      <c r="AW1357" s="125">
        <v>1058</v>
      </c>
    </row>
    <row r="1358" spans="49:49" ht="15" customHeight="1">
      <c r="AW1358" s="125">
        <v>1059</v>
      </c>
    </row>
    <row r="1359" spans="49:49" ht="15" customHeight="1">
      <c r="AW1359" s="125">
        <v>1060</v>
      </c>
    </row>
    <row r="1360" spans="49:49" ht="15" customHeight="1">
      <c r="AW1360" s="125">
        <v>1061</v>
      </c>
    </row>
    <row r="1361" spans="49:49" ht="15" customHeight="1">
      <c r="AW1361" s="125">
        <v>1062</v>
      </c>
    </row>
    <row r="1362" spans="49:49" ht="15" customHeight="1">
      <c r="AW1362" s="125">
        <v>1063</v>
      </c>
    </row>
    <row r="1363" spans="49:49" ht="15" customHeight="1">
      <c r="AW1363" s="125">
        <v>1064</v>
      </c>
    </row>
    <row r="1364" spans="49:49" ht="15" customHeight="1">
      <c r="AW1364" s="125">
        <v>1065</v>
      </c>
    </row>
    <row r="1365" spans="49:49" ht="15" customHeight="1">
      <c r="AW1365" s="125">
        <v>1066</v>
      </c>
    </row>
    <row r="1366" spans="49:49" ht="15" customHeight="1">
      <c r="AW1366" s="125">
        <v>1067</v>
      </c>
    </row>
    <row r="1367" spans="49:49" ht="15" customHeight="1">
      <c r="AW1367" s="125">
        <v>1068</v>
      </c>
    </row>
    <row r="1368" spans="49:49" ht="15" customHeight="1">
      <c r="AW1368" s="125">
        <v>1069</v>
      </c>
    </row>
    <row r="1369" spans="49:49" ht="15" customHeight="1">
      <c r="AW1369" s="125">
        <v>1070</v>
      </c>
    </row>
    <row r="1370" spans="49:49" ht="15" customHeight="1">
      <c r="AW1370" s="125">
        <v>1071</v>
      </c>
    </row>
    <row r="1371" spans="49:49" ht="15" customHeight="1">
      <c r="AW1371" s="125">
        <v>1072</v>
      </c>
    </row>
    <row r="1372" spans="49:49" ht="15" customHeight="1">
      <c r="AW1372" s="125">
        <v>1073</v>
      </c>
    </row>
    <row r="1373" spans="49:49" ht="15" customHeight="1">
      <c r="AW1373" s="125">
        <v>1074</v>
      </c>
    </row>
    <row r="1374" spans="49:49" ht="15" customHeight="1">
      <c r="AW1374" s="125">
        <v>1075</v>
      </c>
    </row>
    <row r="1375" spans="49:49" ht="15" customHeight="1">
      <c r="AW1375" s="125">
        <v>1076</v>
      </c>
    </row>
    <row r="1376" spans="49:49" ht="15" customHeight="1">
      <c r="AW1376" s="125">
        <v>1077</v>
      </c>
    </row>
    <row r="1377" spans="49:49" ht="15" customHeight="1">
      <c r="AW1377" s="125">
        <v>1078</v>
      </c>
    </row>
    <row r="1378" spans="49:49" ht="15" customHeight="1">
      <c r="AW1378" s="125">
        <v>1079</v>
      </c>
    </row>
    <row r="1379" spans="49:49" ht="15" customHeight="1">
      <c r="AW1379" s="125">
        <v>1080</v>
      </c>
    </row>
    <row r="1380" spans="49:49" ht="15" customHeight="1">
      <c r="AW1380" s="125">
        <v>1081</v>
      </c>
    </row>
    <row r="1381" spans="49:49" ht="15" customHeight="1">
      <c r="AW1381" s="125">
        <v>1082</v>
      </c>
    </row>
    <row r="1382" spans="49:49" ht="15" customHeight="1">
      <c r="AW1382" s="125">
        <v>1083</v>
      </c>
    </row>
    <row r="1383" spans="49:49" ht="15" customHeight="1">
      <c r="AW1383" s="125">
        <v>1084</v>
      </c>
    </row>
    <row r="1384" spans="49:49" ht="15" customHeight="1">
      <c r="AW1384" s="125">
        <v>1085</v>
      </c>
    </row>
    <row r="1385" spans="49:49" ht="15" customHeight="1">
      <c r="AW1385" s="125">
        <v>1086</v>
      </c>
    </row>
    <row r="1386" spans="49:49" ht="15" customHeight="1">
      <c r="AW1386" s="125">
        <v>1087</v>
      </c>
    </row>
    <row r="1387" spans="49:49" ht="15" customHeight="1">
      <c r="AW1387" s="125">
        <v>1088</v>
      </c>
    </row>
    <row r="1388" spans="49:49" ht="15" customHeight="1">
      <c r="AW1388" s="125">
        <v>1089</v>
      </c>
    </row>
    <row r="1389" spans="49:49" ht="15" customHeight="1">
      <c r="AW1389" s="125">
        <v>1090</v>
      </c>
    </row>
    <row r="1390" spans="49:49" ht="15" customHeight="1">
      <c r="AW1390" s="125">
        <v>1091</v>
      </c>
    </row>
    <row r="1391" spans="49:49" ht="15" customHeight="1">
      <c r="AW1391" s="125">
        <v>1092</v>
      </c>
    </row>
    <row r="1392" spans="49:49" ht="15" customHeight="1">
      <c r="AW1392" s="125">
        <v>1093</v>
      </c>
    </row>
    <row r="1393" spans="49:49" ht="15" customHeight="1">
      <c r="AW1393" s="125">
        <v>1094</v>
      </c>
    </row>
    <row r="1394" spans="49:49" ht="15" customHeight="1">
      <c r="AW1394" s="125">
        <v>1095</v>
      </c>
    </row>
    <row r="1395" spans="49:49" ht="15" customHeight="1">
      <c r="AW1395" s="125">
        <v>1096</v>
      </c>
    </row>
    <row r="1396" spans="49:49" ht="15" customHeight="1">
      <c r="AW1396" s="125">
        <v>1097</v>
      </c>
    </row>
    <row r="1397" spans="49:49" ht="15" customHeight="1">
      <c r="AW1397" s="125">
        <v>1098</v>
      </c>
    </row>
    <row r="1398" spans="49:49" ht="15" customHeight="1">
      <c r="AW1398" s="125">
        <v>1099</v>
      </c>
    </row>
    <row r="1399" spans="49:49" ht="15" customHeight="1">
      <c r="AW1399" s="125">
        <v>1100</v>
      </c>
    </row>
    <row r="1400" spans="49:49" ht="15" customHeight="1">
      <c r="AW1400" s="125">
        <v>1101</v>
      </c>
    </row>
    <row r="1401" spans="49:49" ht="15" customHeight="1">
      <c r="AW1401" s="125">
        <v>1102</v>
      </c>
    </row>
    <row r="1402" spans="49:49" ht="15" customHeight="1">
      <c r="AW1402" s="125">
        <v>1103</v>
      </c>
    </row>
    <row r="1403" spans="49:49" ht="15" customHeight="1">
      <c r="AW1403" s="125">
        <v>1104</v>
      </c>
    </row>
    <row r="1404" spans="49:49" ht="15" customHeight="1">
      <c r="AW1404" s="125">
        <v>1105</v>
      </c>
    </row>
    <row r="1405" spans="49:49" ht="15" customHeight="1">
      <c r="AW1405" s="125">
        <v>1106</v>
      </c>
    </row>
    <row r="1406" spans="49:49" ht="15" customHeight="1">
      <c r="AW1406" s="125">
        <v>1107</v>
      </c>
    </row>
    <row r="1407" spans="49:49" ht="15" customHeight="1">
      <c r="AW1407" s="125">
        <v>1108</v>
      </c>
    </row>
    <row r="1408" spans="49:49" ht="15" customHeight="1">
      <c r="AW1408" s="125">
        <v>1109</v>
      </c>
    </row>
    <row r="1409" spans="49:49" ht="15" customHeight="1">
      <c r="AW1409" s="125">
        <v>1110</v>
      </c>
    </row>
    <row r="1410" spans="49:49" ht="15" customHeight="1">
      <c r="AW1410" s="125">
        <v>1111</v>
      </c>
    </row>
    <row r="1411" spans="49:49" ht="15" customHeight="1">
      <c r="AW1411" s="125">
        <v>1112</v>
      </c>
    </row>
    <row r="1412" spans="49:49" ht="15" customHeight="1">
      <c r="AW1412" s="125">
        <v>1113</v>
      </c>
    </row>
    <row r="1413" spans="49:49" ht="15" customHeight="1">
      <c r="AW1413" s="125">
        <v>1114</v>
      </c>
    </row>
    <row r="1414" spans="49:49" ht="15" customHeight="1">
      <c r="AW1414" s="125">
        <v>1115</v>
      </c>
    </row>
    <row r="1415" spans="49:49" ht="15" customHeight="1">
      <c r="AW1415" s="125">
        <v>1116</v>
      </c>
    </row>
    <row r="1416" spans="49:49" ht="15" customHeight="1">
      <c r="AW1416" s="125">
        <v>1117</v>
      </c>
    </row>
    <row r="1417" spans="49:49" ht="15" customHeight="1">
      <c r="AW1417" s="125">
        <v>1118</v>
      </c>
    </row>
    <row r="1418" spans="49:49" ht="15" customHeight="1">
      <c r="AW1418" s="125">
        <v>1119</v>
      </c>
    </row>
    <row r="1419" spans="49:49" ht="15" customHeight="1">
      <c r="AW1419" s="125">
        <v>1120</v>
      </c>
    </row>
    <row r="1420" spans="49:49" ht="15" customHeight="1">
      <c r="AW1420" s="125">
        <v>1121</v>
      </c>
    </row>
    <row r="1421" spans="49:49" ht="15" customHeight="1">
      <c r="AW1421" s="125">
        <v>1122</v>
      </c>
    </row>
    <row r="1422" spans="49:49" ht="15" customHeight="1">
      <c r="AW1422" s="125">
        <v>1123</v>
      </c>
    </row>
    <row r="1423" spans="49:49" ht="15" customHeight="1">
      <c r="AW1423" s="125">
        <v>1124</v>
      </c>
    </row>
    <row r="1424" spans="49:49" ht="15" customHeight="1">
      <c r="AW1424" s="125">
        <v>1125</v>
      </c>
    </row>
    <row r="1425" spans="49:49" ht="15" customHeight="1">
      <c r="AW1425" s="125">
        <v>1126</v>
      </c>
    </row>
    <row r="1426" spans="49:49" ht="15" customHeight="1">
      <c r="AW1426" s="125">
        <v>1127</v>
      </c>
    </row>
    <row r="1427" spans="49:49" ht="15" customHeight="1">
      <c r="AW1427" s="125">
        <v>1128</v>
      </c>
    </row>
    <row r="1428" spans="49:49" ht="15" customHeight="1">
      <c r="AW1428" s="125">
        <v>1129</v>
      </c>
    </row>
    <row r="1429" spans="49:49" ht="15" customHeight="1">
      <c r="AW1429" s="125">
        <v>1130</v>
      </c>
    </row>
    <row r="1430" spans="49:49" ht="15" customHeight="1">
      <c r="AW1430" s="125">
        <v>1131</v>
      </c>
    </row>
    <row r="1431" spans="49:49" ht="15" customHeight="1">
      <c r="AW1431" s="125">
        <v>1132</v>
      </c>
    </row>
    <row r="1432" spans="49:49" ht="15" customHeight="1">
      <c r="AW1432" s="125">
        <v>1133</v>
      </c>
    </row>
    <row r="1433" spans="49:49" ht="15" customHeight="1">
      <c r="AW1433" s="125">
        <v>1134</v>
      </c>
    </row>
    <row r="1434" spans="49:49" ht="15" customHeight="1">
      <c r="AW1434" s="125">
        <v>1135</v>
      </c>
    </row>
    <row r="1435" spans="49:49" ht="15" customHeight="1">
      <c r="AW1435" s="125">
        <v>1136</v>
      </c>
    </row>
    <row r="1436" spans="49:49" ht="15" customHeight="1">
      <c r="AW1436" s="125">
        <v>1137</v>
      </c>
    </row>
    <row r="1437" spans="49:49" ht="15" customHeight="1">
      <c r="AW1437" s="125">
        <v>1138</v>
      </c>
    </row>
    <row r="1438" spans="49:49" ht="15" customHeight="1">
      <c r="AW1438" s="125">
        <v>1139</v>
      </c>
    </row>
    <row r="1439" spans="49:49" ht="15" customHeight="1">
      <c r="AW1439" s="125">
        <v>1140</v>
      </c>
    </row>
    <row r="1440" spans="49:49" ht="15" customHeight="1">
      <c r="AW1440" s="125">
        <v>1141</v>
      </c>
    </row>
    <row r="1441" spans="49:49" ht="15" customHeight="1">
      <c r="AW1441" s="125">
        <v>1142</v>
      </c>
    </row>
    <row r="1442" spans="49:49" ht="15" customHeight="1">
      <c r="AW1442" s="125">
        <v>1143</v>
      </c>
    </row>
    <row r="1443" spans="49:49" ht="15" customHeight="1">
      <c r="AW1443" s="125">
        <v>1144</v>
      </c>
    </row>
    <row r="1444" spans="49:49" ht="15" customHeight="1">
      <c r="AW1444" s="125">
        <v>1145</v>
      </c>
    </row>
    <row r="1445" spans="49:49" ht="15" customHeight="1">
      <c r="AW1445" s="125">
        <v>1146</v>
      </c>
    </row>
    <row r="1446" spans="49:49" ht="15" customHeight="1">
      <c r="AW1446" s="125">
        <v>1147</v>
      </c>
    </row>
    <row r="1447" spans="49:49" ht="15" customHeight="1">
      <c r="AW1447" s="125">
        <v>1148</v>
      </c>
    </row>
    <row r="1448" spans="49:49" ht="15" customHeight="1">
      <c r="AW1448" s="125">
        <v>1149</v>
      </c>
    </row>
    <row r="1449" spans="49:49" ht="15" customHeight="1">
      <c r="AW1449" s="125">
        <v>1150</v>
      </c>
    </row>
    <row r="1450" spans="49:49" ht="15" customHeight="1">
      <c r="AW1450" s="125">
        <v>1151</v>
      </c>
    </row>
    <row r="1451" spans="49:49" ht="15" customHeight="1">
      <c r="AW1451" s="125">
        <v>1152</v>
      </c>
    </row>
    <row r="1452" spans="49:49" ht="15" customHeight="1">
      <c r="AW1452" s="125">
        <v>1153</v>
      </c>
    </row>
    <row r="1453" spans="49:49" ht="15" customHeight="1">
      <c r="AW1453" s="125">
        <v>1154</v>
      </c>
    </row>
    <row r="1454" spans="49:49" ht="15" customHeight="1">
      <c r="AW1454" s="125">
        <v>1155</v>
      </c>
    </row>
    <row r="1455" spans="49:49" ht="15" customHeight="1">
      <c r="AW1455" s="125">
        <v>1156</v>
      </c>
    </row>
    <row r="1456" spans="49:49" ht="15" customHeight="1">
      <c r="AW1456" s="125">
        <v>1157</v>
      </c>
    </row>
    <row r="1457" spans="49:49" ht="15" customHeight="1">
      <c r="AW1457" s="125">
        <v>1158</v>
      </c>
    </row>
    <row r="1458" spans="49:49" ht="15" customHeight="1">
      <c r="AW1458" s="125">
        <v>1159</v>
      </c>
    </row>
    <row r="1459" spans="49:49" ht="15" customHeight="1">
      <c r="AW1459" s="125">
        <v>1160</v>
      </c>
    </row>
    <row r="1460" spans="49:49" ht="15" customHeight="1">
      <c r="AW1460" s="125">
        <v>1161</v>
      </c>
    </row>
    <row r="1461" spans="49:49" ht="15" customHeight="1">
      <c r="AW1461" s="125">
        <v>1162</v>
      </c>
    </row>
    <row r="1462" spans="49:49" ht="15" customHeight="1">
      <c r="AW1462" s="125">
        <v>1163</v>
      </c>
    </row>
    <row r="1463" spans="49:49" ht="15" customHeight="1">
      <c r="AW1463" s="125">
        <v>1164</v>
      </c>
    </row>
    <row r="1464" spans="49:49" ht="15" customHeight="1">
      <c r="AW1464" s="125">
        <v>1165</v>
      </c>
    </row>
    <row r="1465" spans="49:49" ht="15" customHeight="1">
      <c r="AW1465" s="125">
        <v>1166</v>
      </c>
    </row>
    <row r="1466" spans="49:49" ht="15" customHeight="1">
      <c r="AW1466" s="125">
        <v>1167</v>
      </c>
    </row>
    <row r="1467" spans="49:49" ht="15" customHeight="1">
      <c r="AW1467" s="125">
        <v>1168</v>
      </c>
    </row>
    <row r="1468" spans="49:49" ht="15" customHeight="1">
      <c r="AW1468" s="125">
        <v>1169</v>
      </c>
    </row>
    <row r="1469" spans="49:49" ht="15" customHeight="1">
      <c r="AW1469" s="125">
        <v>1170</v>
      </c>
    </row>
    <row r="1470" spans="49:49" ht="15" customHeight="1">
      <c r="AW1470" s="125">
        <v>1171</v>
      </c>
    </row>
    <row r="1471" spans="49:49" ht="15" customHeight="1">
      <c r="AW1471" s="125">
        <v>1172</v>
      </c>
    </row>
    <row r="1472" spans="49:49" ht="15" customHeight="1">
      <c r="AW1472" s="125">
        <v>1173</v>
      </c>
    </row>
    <row r="1473" spans="49:49" ht="15" customHeight="1">
      <c r="AW1473" s="125">
        <v>1174</v>
      </c>
    </row>
    <row r="1474" spans="49:49" ht="15" customHeight="1">
      <c r="AW1474" s="125">
        <v>1175</v>
      </c>
    </row>
    <row r="1475" spans="49:49" ht="15" customHeight="1">
      <c r="AW1475" s="125">
        <v>1176</v>
      </c>
    </row>
    <row r="1476" spans="49:49" ht="15" customHeight="1">
      <c r="AW1476" s="125">
        <v>1177</v>
      </c>
    </row>
    <row r="1477" spans="49:49" ht="15" customHeight="1">
      <c r="AW1477" s="125">
        <v>1178</v>
      </c>
    </row>
    <row r="1478" spans="49:49" ht="15" customHeight="1">
      <c r="AW1478" s="125">
        <v>1179</v>
      </c>
    </row>
    <row r="1479" spans="49:49" ht="15" customHeight="1">
      <c r="AW1479" s="125">
        <v>1180</v>
      </c>
    </row>
    <row r="1480" spans="49:49" ht="15" customHeight="1">
      <c r="AW1480" s="125">
        <v>1181</v>
      </c>
    </row>
    <row r="1481" spans="49:49" ht="15" customHeight="1">
      <c r="AW1481" s="125">
        <v>1182</v>
      </c>
    </row>
    <row r="1482" spans="49:49" ht="15" customHeight="1">
      <c r="AW1482" s="125">
        <v>1183</v>
      </c>
    </row>
    <row r="1483" spans="49:49" ht="15" customHeight="1">
      <c r="AW1483" s="125">
        <v>1184</v>
      </c>
    </row>
    <row r="1484" spans="49:49" ht="15" customHeight="1">
      <c r="AW1484" s="125">
        <v>1185</v>
      </c>
    </row>
    <row r="1485" spans="49:49" ht="15" customHeight="1">
      <c r="AW1485" s="125">
        <v>1186</v>
      </c>
    </row>
    <row r="1486" spans="49:49" ht="15" customHeight="1">
      <c r="AW1486" s="125">
        <v>1187</v>
      </c>
    </row>
    <row r="1487" spans="49:49" ht="15" customHeight="1">
      <c r="AW1487" s="125">
        <v>1188</v>
      </c>
    </row>
    <row r="1488" spans="49:49" ht="15" customHeight="1">
      <c r="AW1488" s="125">
        <v>1189</v>
      </c>
    </row>
    <row r="1489" spans="49:49" ht="15" customHeight="1">
      <c r="AW1489" s="125">
        <v>1190</v>
      </c>
    </row>
    <row r="1490" spans="49:49" ht="15" customHeight="1">
      <c r="AW1490" s="125">
        <v>1191</v>
      </c>
    </row>
    <row r="1491" spans="49:49" ht="15" customHeight="1">
      <c r="AW1491" s="125">
        <v>1192</v>
      </c>
    </row>
    <row r="1492" spans="49:49" ht="15" customHeight="1">
      <c r="AW1492" s="125">
        <v>1193</v>
      </c>
    </row>
    <row r="1493" spans="49:49" ht="15" customHeight="1">
      <c r="AW1493" s="125">
        <v>1194</v>
      </c>
    </row>
    <row r="1494" spans="49:49" ht="15" customHeight="1">
      <c r="AW1494" s="125">
        <v>1195</v>
      </c>
    </row>
    <row r="1495" spans="49:49" ht="15" customHeight="1">
      <c r="AW1495" s="125">
        <v>1196</v>
      </c>
    </row>
    <row r="1496" spans="49:49" ht="15" customHeight="1">
      <c r="AW1496" s="125">
        <v>1197</v>
      </c>
    </row>
    <row r="1497" spans="49:49" ht="15" customHeight="1">
      <c r="AW1497" s="125">
        <v>1198</v>
      </c>
    </row>
    <row r="1498" spans="49:49" ht="15" customHeight="1">
      <c r="AW1498" s="125">
        <v>1199</v>
      </c>
    </row>
    <row r="1499" spans="49:49" ht="15" customHeight="1">
      <c r="AW1499" s="125">
        <v>1200</v>
      </c>
    </row>
    <row r="1500" spans="49:49" ht="15" customHeight="1">
      <c r="AW1500" s="125">
        <v>1201</v>
      </c>
    </row>
    <row r="1501" spans="49:49" ht="15" customHeight="1">
      <c r="AW1501" s="125">
        <v>1202</v>
      </c>
    </row>
    <row r="1502" spans="49:49" ht="15" customHeight="1">
      <c r="AW1502" s="125">
        <v>1203</v>
      </c>
    </row>
    <row r="1503" spans="49:49" ht="15" customHeight="1">
      <c r="AW1503" s="125">
        <v>1204</v>
      </c>
    </row>
    <row r="1504" spans="49:49" ht="15" customHeight="1">
      <c r="AW1504" s="125">
        <v>1205</v>
      </c>
    </row>
    <row r="1505" spans="49:49" ht="15" customHeight="1">
      <c r="AW1505" s="125">
        <v>1206</v>
      </c>
    </row>
    <row r="1506" spans="49:49" ht="15" customHeight="1">
      <c r="AW1506" s="125">
        <v>1207</v>
      </c>
    </row>
    <row r="1507" spans="49:49" ht="15" customHeight="1">
      <c r="AW1507" s="125">
        <v>1208</v>
      </c>
    </row>
    <row r="1508" spans="49:49" ht="15" customHeight="1">
      <c r="AW1508" s="125">
        <v>1209</v>
      </c>
    </row>
    <row r="1509" spans="49:49" ht="15" customHeight="1">
      <c r="AW1509" s="125">
        <v>1210</v>
      </c>
    </row>
    <row r="1510" spans="49:49" ht="15" customHeight="1">
      <c r="AW1510" s="125">
        <v>1211</v>
      </c>
    </row>
    <row r="1511" spans="49:49" ht="15" customHeight="1">
      <c r="AW1511" s="125">
        <v>1212</v>
      </c>
    </row>
    <row r="1512" spans="49:49" ht="15" customHeight="1">
      <c r="AW1512" s="125">
        <v>1213</v>
      </c>
    </row>
    <row r="1513" spans="49:49" ht="15" customHeight="1">
      <c r="AW1513" s="125">
        <v>1214</v>
      </c>
    </row>
    <row r="1514" spans="49:49" ht="15" customHeight="1">
      <c r="AW1514" s="125">
        <v>1215</v>
      </c>
    </row>
    <row r="1515" spans="49:49" ht="15" customHeight="1">
      <c r="AW1515" s="125">
        <v>1216</v>
      </c>
    </row>
    <row r="1516" spans="49:49" ht="15" customHeight="1">
      <c r="AW1516" s="125">
        <v>1217</v>
      </c>
    </row>
    <row r="1517" spans="49:49" ht="15" customHeight="1">
      <c r="AW1517" s="125">
        <v>1218</v>
      </c>
    </row>
    <row r="1518" spans="49:49" ht="15" customHeight="1">
      <c r="AW1518" s="125">
        <v>1219</v>
      </c>
    </row>
    <row r="1519" spans="49:49" ht="15" customHeight="1">
      <c r="AW1519" s="125">
        <v>1220</v>
      </c>
    </row>
    <row r="1520" spans="49:49" ht="15" customHeight="1">
      <c r="AW1520" s="125">
        <v>1221</v>
      </c>
    </row>
    <row r="1521" spans="49:49" ht="15" customHeight="1">
      <c r="AW1521" s="125">
        <v>1222</v>
      </c>
    </row>
    <row r="1522" spans="49:49" ht="15" customHeight="1">
      <c r="AW1522" s="125">
        <v>1223</v>
      </c>
    </row>
    <row r="1523" spans="49:49" ht="15" customHeight="1">
      <c r="AW1523" s="125">
        <v>1224</v>
      </c>
    </row>
    <row r="1524" spans="49:49" ht="15" customHeight="1">
      <c r="AW1524" s="125">
        <v>1225</v>
      </c>
    </row>
    <row r="1525" spans="49:49" ht="15" customHeight="1">
      <c r="AW1525" s="125">
        <v>1226</v>
      </c>
    </row>
    <row r="1526" spans="49:49" ht="15" customHeight="1">
      <c r="AW1526" s="125">
        <v>1227</v>
      </c>
    </row>
    <row r="1527" spans="49:49" ht="15" customHeight="1">
      <c r="AW1527" s="125">
        <v>1228</v>
      </c>
    </row>
    <row r="1528" spans="49:49" ht="15" customHeight="1">
      <c r="AW1528" s="125">
        <v>1229</v>
      </c>
    </row>
    <row r="1529" spans="49:49" ht="15" customHeight="1">
      <c r="AW1529" s="125">
        <v>1230</v>
      </c>
    </row>
    <row r="1530" spans="49:49" ht="15" customHeight="1">
      <c r="AW1530" s="125">
        <v>1231</v>
      </c>
    </row>
    <row r="1531" spans="49:49" ht="15" customHeight="1">
      <c r="AW1531" s="125">
        <v>1232</v>
      </c>
    </row>
    <row r="1532" spans="49:49" ht="15" customHeight="1">
      <c r="AW1532" s="125">
        <v>1233</v>
      </c>
    </row>
    <row r="1533" spans="49:49" ht="15" customHeight="1">
      <c r="AW1533" s="125">
        <v>1234</v>
      </c>
    </row>
    <row r="1534" spans="49:49" ht="15" customHeight="1">
      <c r="AW1534" s="125">
        <v>1235</v>
      </c>
    </row>
    <row r="1535" spans="49:49" ht="15" customHeight="1">
      <c r="AW1535" s="125">
        <v>1236</v>
      </c>
    </row>
    <row r="1536" spans="49:49" ht="15" customHeight="1">
      <c r="AW1536" s="125">
        <v>1237</v>
      </c>
    </row>
    <row r="1537" spans="49:49" ht="15" customHeight="1">
      <c r="AW1537" s="125">
        <v>1238</v>
      </c>
    </row>
    <row r="1538" spans="49:49" ht="15" customHeight="1">
      <c r="AW1538" s="125">
        <v>1239</v>
      </c>
    </row>
    <row r="1539" spans="49:49" ht="15" customHeight="1">
      <c r="AW1539" s="125">
        <v>1240</v>
      </c>
    </row>
    <row r="1540" spans="49:49" ht="15" customHeight="1">
      <c r="AW1540" s="125">
        <v>1241</v>
      </c>
    </row>
    <row r="1541" spans="49:49" ht="15" customHeight="1">
      <c r="AW1541" s="125">
        <v>1242</v>
      </c>
    </row>
    <row r="1542" spans="49:49" ht="15" customHeight="1">
      <c r="AW1542" s="125">
        <v>1243</v>
      </c>
    </row>
    <row r="1543" spans="49:49" ht="15" customHeight="1">
      <c r="AW1543" s="125">
        <v>1244</v>
      </c>
    </row>
    <row r="1544" spans="49:49" ht="15" customHeight="1">
      <c r="AW1544" s="125">
        <v>1245</v>
      </c>
    </row>
    <row r="1545" spans="49:49" ht="15" customHeight="1">
      <c r="AW1545" s="125">
        <v>1246</v>
      </c>
    </row>
    <row r="1546" spans="49:49" ht="15" customHeight="1">
      <c r="AW1546" s="125">
        <v>1247</v>
      </c>
    </row>
    <row r="1547" spans="49:49" ht="15" customHeight="1">
      <c r="AW1547" s="125">
        <v>1248</v>
      </c>
    </row>
    <row r="1548" spans="49:49" ht="15" customHeight="1">
      <c r="AW1548" s="125">
        <v>1249</v>
      </c>
    </row>
    <row r="1549" spans="49:49" ht="15" customHeight="1">
      <c r="AW1549" s="125">
        <v>1250</v>
      </c>
    </row>
    <row r="1550" spans="49:49" ht="15" customHeight="1">
      <c r="AW1550" s="125">
        <v>1251</v>
      </c>
    </row>
    <row r="1551" spans="49:49" ht="15" customHeight="1">
      <c r="AW1551" s="125">
        <v>1252</v>
      </c>
    </row>
    <row r="1552" spans="49:49" ht="15" customHeight="1">
      <c r="AW1552" s="125">
        <v>1253</v>
      </c>
    </row>
    <row r="1553" spans="49:49" ht="15" customHeight="1">
      <c r="AW1553" s="125">
        <v>1254</v>
      </c>
    </row>
    <row r="1554" spans="49:49" ht="15" customHeight="1">
      <c r="AW1554" s="125">
        <v>1255</v>
      </c>
    </row>
    <row r="1555" spans="49:49" ht="15" customHeight="1">
      <c r="AW1555" s="125">
        <v>1256</v>
      </c>
    </row>
    <row r="1556" spans="49:49" ht="15" customHeight="1">
      <c r="AW1556" s="125">
        <v>1257</v>
      </c>
    </row>
    <row r="1557" spans="49:49" ht="15" customHeight="1">
      <c r="AW1557" s="125">
        <v>1258</v>
      </c>
    </row>
    <row r="1558" spans="49:49" ht="15" customHeight="1">
      <c r="AW1558" s="125">
        <v>1259</v>
      </c>
    </row>
    <row r="1559" spans="49:49" ht="15" customHeight="1">
      <c r="AW1559" s="125">
        <v>1260</v>
      </c>
    </row>
    <row r="1560" spans="49:49" ht="15" customHeight="1">
      <c r="AW1560" s="125">
        <v>1261</v>
      </c>
    </row>
    <row r="1561" spans="49:49" ht="15" customHeight="1">
      <c r="AW1561" s="125">
        <v>1262</v>
      </c>
    </row>
    <row r="1562" spans="49:49" ht="15" customHeight="1">
      <c r="AW1562" s="125">
        <v>1263</v>
      </c>
    </row>
    <row r="1563" spans="49:49" ht="15" customHeight="1">
      <c r="AW1563" s="125">
        <v>1264</v>
      </c>
    </row>
    <row r="1564" spans="49:49" ht="15" customHeight="1">
      <c r="AW1564" s="125">
        <v>1265</v>
      </c>
    </row>
    <row r="1565" spans="49:49" ht="15" customHeight="1">
      <c r="AW1565" s="125">
        <v>1266</v>
      </c>
    </row>
    <row r="1566" spans="49:49" ht="15" customHeight="1">
      <c r="AW1566" s="125">
        <v>1267</v>
      </c>
    </row>
    <row r="1567" spans="49:49" ht="15" customHeight="1">
      <c r="AW1567" s="125">
        <v>1268</v>
      </c>
    </row>
    <row r="1568" spans="49:49" ht="15" customHeight="1">
      <c r="AW1568" s="125">
        <v>1269</v>
      </c>
    </row>
    <row r="1569" spans="49:49" ht="15" customHeight="1">
      <c r="AW1569" s="125">
        <v>1270</v>
      </c>
    </row>
    <row r="1570" spans="49:49" ht="15" customHeight="1">
      <c r="AW1570" s="125">
        <v>1271</v>
      </c>
    </row>
    <row r="1571" spans="49:49" ht="15" customHeight="1">
      <c r="AW1571" s="125">
        <v>1272</v>
      </c>
    </row>
    <row r="1572" spans="49:49" ht="15" customHeight="1">
      <c r="AW1572" s="125">
        <v>1273</v>
      </c>
    </row>
    <row r="1573" spans="49:49" ht="15" customHeight="1">
      <c r="AW1573" s="125">
        <v>1274</v>
      </c>
    </row>
    <row r="1574" spans="49:49" ht="15" customHeight="1">
      <c r="AW1574" s="125">
        <v>1275</v>
      </c>
    </row>
    <row r="1575" spans="49:49" ht="15" customHeight="1">
      <c r="AW1575" s="125">
        <v>1276</v>
      </c>
    </row>
    <row r="1576" spans="49:49" ht="15" customHeight="1">
      <c r="AW1576" s="125">
        <v>1277</v>
      </c>
    </row>
    <row r="1577" spans="49:49" ht="15" customHeight="1">
      <c r="AW1577" s="125">
        <v>1278</v>
      </c>
    </row>
    <row r="1578" spans="49:49" ht="15" customHeight="1">
      <c r="AW1578" s="125">
        <v>1279</v>
      </c>
    </row>
    <row r="1579" spans="49:49" ht="15" customHeight="1">
      <c r="AW1579" s="125">
        <v>1280</v>
      </c>
    </row>
    <row r="1580" spans="49:49" ht="15" customHeight="1">
      <c r="AW1580" s="125">
        <v>1281</v>
      </c>
    </row>
    <row r="1581" spans="49:49" ht="15" customHeight="1">
      <c r="AW1581" s="125">
        <v>1282</v>
      </c>
    </row>
    <row r="1582" spans="49:49" ht="15" customHeight="1">
      <c r="AW1582" s="125">
        <v>1283</v>
      </c>
    </row>
    <row r="1583" spans="49:49" ht="15" customHeight="1">
      <c r="AW1583" s="125">
        <v>1284</v>
      </c>
    </row>
    <row r="1584" spans="49:49" ht="15" customHeight="1">
      <c r="AW1584" s="125">
        <v>1285</v>
      </c>
    </row>
    <row r="1585" spans="49:49" ht="15" customHeight="1">
      <c r="AW1585" s="125">
        <v>1286</v>
      </c>
    </row>
    <row r="1586" spans="49:49" ht="15" customHeight="1">
      <c r="AW1586" s="125">
        <v>1287</v>
      </c>
    </row>
    <row r="1587" spans="49:49" ht="15" customHeight="1">
      <c r="AW1587" s="125">
        <v>1288</v>
      </c>
    </row>
    <row r="1588" spans="49:49" ht="15" customHeight="1">
      <c r="AW1588" s="125">
        <v>1289</v>
      </c>
    </row>
    <row r="1589" spans="49:49" ht="15" customHeight="1">
      <c r="AW1589" s="125">
        <v>1290</v>
      </c>
    </row>
    <row r="1590" spans="49:49" ht="15" customHeight="1">
      <c r="AW1590" s="125">
        <v>1291</v>
      </c>
    </row>
    <row r="1591" spans="49:49" ht="15" customHeight="1">
      <c r="AW1591" s="125">
        <v>1292</v>
      </c>
    </row>
    <row r="1592" spans="49:49" ht="15" customHeight="1">
      <c r="AW1592" s="125">
        <v>1293</v>
      </c>
    </row>
    <row r="1593" spans="49:49" ht="15" customHeight="1">
      <c r="AW1593" s="125">
        <v>1294</v>
      </c>
    </row>
    <row r="1594" spans="49:49" ht="15" customHeight="1">
      <c r="AW1594" s="125">
        <v>1295</v>
      </c>
    </row>
    <row r="1595" spans="49:49" ht="15" customHeight="1">
      <c r="AW1595" s="125">
        <v>1296</v>
      </c>
    </row>
    <row r="1596" spans="49:49" ht="15" customHeight="1">
      <c r="AW1596" s="125">
        <v>1297</v>
      </c>
    </row>
    <row r="1597" spans="49:49" ht="15" customHeight="1">
      <c r="AW1597" s="125">
        <v>1298</v>
      </c>
    </row>
    <row r="1598" spans="49:49" ht="15" customHeight="1">
      <c r="AW1598" s="125">
        <v>1299</v>
      </c>
    </row>
    <row r="1599" spans="49:49" ht="15" customHeight="1">
      <c r="AW1599" s="125">
        <v>1300</v>
      </c>
    </row>
    <row r="1600" spans="49:49" ht="15" customHeight="1">
      <c r="AW1600" s="125">
        <v>1301</v>
      </c>
    </row>
    <row r="1601" spans="49:49" ht="15" customHeight="1">
      <c r="AW1601" s="125">
        <v>1302</v>
      </c>
    </row>
    <row r="1602" spans="49:49" ht="15" customHeight="1">
      <c r="AW1602" s="125">
        <v>1303</v>
      </c>
    </row>
    <row r="1603" spans="49:49" ht="15" customHeight="1">
      <c r="AW1603" s="125">
        <v>1304</v>
      </c>
    </row>
    <row r="1604" spans="49:49" ht="15" customHeight="1">
      <c r="AW1604" s="125">
        <v>1305</v>
      </c>
    </row>
    <row r="1605" spans="49:49" ht="15" customHeight="1">
      <c r="AW1605" s="125">
        <v>1306</v>
      </c>
    </row>
    <row r="1606" spans="49:49" ht="15" customHeight="1">
      <c r="AW1606" s="125">
        <v>1307</v>
      </c>
    </row>
    <row r="1607" spans="49:49" ht="15" customHeight="1">
      <c r="AW1607" s="125">
        <v>1308</v>
      </c>
    </row>
    <row r="1608" spans="49:49" ht="15" customHeight="1">
      <c r="AW1608" s="125">
        <v>1309</v>
      </c>
    </row>
    <row r="1609" spans="49:49" ht="15" customHeight="1">
      <c r="AW1609" s="125">
        <v>1310</v>
      </c>
    </row>
    <row r="1610" spans="49:49" ht="15" customHeight="1">
      <c r="AW1610" s="125">
        <v>1311</v>
      </c>
    </row>
    <row r="1611" spans="49:49" ht="15" customHeight="1">
      <c r="AW1611" s="125">
        <v>1312</v>
      </c>
    </row>
    <row r="1612" spans="49:49" ht="15" customHeight="1">
      <c r="AW1612" s="125">
        <v>1313</v>
      </c>
    </row>
    <row r="1613" spans="49:49" ht="15" customHeight="1">
      <c r="AW1613" s="125">
        <v>1314</v>
      </c>
    </row>
    <row r="1614" spans="49:49" ht="15" customHeight="1">
      <c r="AW1614" s="125">
        <v>1315</v>
      </c>
    </row>
    <row r="1615" spans="49:49" ht="15" customHeight="1">
      <c r="AW1615" s="125">
        <v>1316</v>
      </c>
    </row>
    <row r="1616" spans="49:49" ht="15" customHeight="1">
      <c r="AW1616" s="125">
        <v>1317</v>
      </c>
    </row>
    <row r="1617" spans="49:49" ht="15" customHeight="1">
      <c r="AW1617" s="125">
        <v>1318</v>
      </c>
    </row>
    <row r="1618" spans="49:49" ht="15" customHeight="1">
      <c r="AW1618" s="125">
        <v>1319</v>
      </c>
    </row>
    <row r="1619" spans="49:49" ht="15" customHeight="1">
      <c r="AW1619" s="125">
        <v>1320</v>
      </c>
    </row>
    <row r="1620" spans="49:49" ht="15" customHeight="1">
      <c r="AW1620" s="125">
        <v>1321</v>
      </c>
    </row>
    <row r="1621" spans="49:49" ht="15" customHeight="1">
      <c r="AW1621" s="125">
        <v>1322</v>
      </c>
    </row>
    <row r="1622" spans="49:49" ht="15" customHeight="1">
      <c r="AW1622" s="125">
        <v>1323</v>
      </c>
    </row>
    <row r="1623" spans="49:49" ht="15" customHeight="1">
      <c r="AW1623" s="125">
        <v>1324</v>
      </c>
    </row>
    <row r="1624" spans="49:49" ht="15" customHeight="1">
      <c r="AW1624" s="125">
        <v>1325</v>
      </c>
    </row>
    <row r="1625" spans="49:49" ht="15" customHeight="1">
      <c r="AW1625" s="125">
        <v>1326</v>
      </c>
    </row>
    <row r="1626" spans="49:49" ht="15" customHeight="1">
      <c r="AW1626" s="125">
        <v>1327</v>
      </c>
    </row>
    <row r="1627" spans="49:49" ht="15" customHeight="1">
      <c r="AW1627" s="125">
        <v>1328</v>
      </c>
    </row>
    <row r="1628" spans="49:49" ht="15" customHeight="1">
      <c r="AW1628" s="125">
        <v>1329</v>
      </c>
    </row>
    <row r="1629" spans="49:49" ht="15" customHeight="1">
      <c r="AW1629" s="125">
        <v>1330</v>
      </c>
    </row>
    <row r="1630" spans="49:49" ht="15" customHeight="1">
      <c r="AW1630" s="125">
        <v>1331</v>
      </c>
    </row>
    <row r="1631" spans="49:49" ht="15" customHeight="1">
      <c r="AW1631" s="125">
        <v>1332</v>
      </c>
    </row>
    <row r="1632" spans="49:49" ht="15" customHeight="1">
      <c r="AW1632" s="125">
        <v>1333</v>
      </c>
    </row>
    <row r="1633" spans="49:49" ht="15" customHeight="1">
      <c r="AW1633" s="125">
        <v>1334</v>
      </c>
    </row>
    <row r="1634" spans="49:49" ht="15" customHeight="1">
      <c r="AW1634" s="125">
        <v>1335</v>
      </c>
    </row>
    <row r="1635" spans="49:49" ht="15" customHeight="1">
      <c r="AW1635" s="125">
        <v>1336</v>
      </c>
    </row>
    <row r="1636" spans="49:49" ht="15" customHeight="1">
      <c r="AW1636" s="125">
        <v>1337</v>
      </c>
    </row>
    <row r="1637" spans="49:49" ht="15" customHeight="1">
      <c r="AW1637" s="125">
        <v>1338</v>
      </c>
    </row>
    <row r="1638" spans="49:49" ht="15" customHeight="1">
      <c r="AW1638" s="125">
        <v>1339</v>
      </c>
    </row>
    <row r="1639" spans="49:49" ht="15" customHeight="1">
      <c r="AW1639" s="125">
        <v>1340</v>
      </c>
    </row>
    <row r="1640" spans="49:49" ht="15" customHeight="1">
      <c r="AW1640" s="125">
        <v>1341</v>
      </c>
    </row>
    <row r="1641" spans="49:49" ht="15" customHeight="1">
      <c r="AW1641" s="125">
        <v>1342</v>
      </c>
    </row>
    <row r="1642" spans="49:49" ht="15" customHeight="1">
      <c r="AW1642" s="125">
        <v>1343</v>
      </c>
    </row>
    <row r="1643" spans="49:49" ht="15" customHeight="1">
      <c r="AW1643" s="125">
        <v>1344</v>
      </c>
    </row>
    <row r="1644" spans="49:49" ht="15" customHeight="1">
      <c r="AW1644" s="125">
        <v>1345</v>
      </c>
    </row>
    <row r="1645" spans="49:49" ht="15" customHeight="1">
      <c r="AW1645" s="125">
        <v>1346</v>
      </c>
    </row>
    <row r="1646" spans="49:49" ht="15" customHeight="1">
      <c r="AW1646" s="125">
        <v>1347</v>
      </c>
    </row>
    <row r="1647" spans="49:49" ht="15" customHeight="1">
      <c r="AW1647" s="125">
        <v>1348</v>
      </c>
    </row>
    <row r="1648" spans="49:49" ht="15" customHeight="1">
      <c r="AW1648" s="125">
        <v>1349</v>
      </c>
    </row>
    <row r="1649" spans="49:49" ht="15" customHeight="1">
      <c r="AW1649" s="125">
        <v>1350</v>
      </c>
    </row>
    <row r="1650" spans="49:49" ht="15" customHeight="1">
      <c r="AW1650" s="125">
        <v>1351</v>
      </c>
    </row>
    <row r="1651" spans="49:49" ht="15" customHeight="1">
      <c r="AW1651" s="125">
        <v>1352</v>
      </c>
    </row>
    <row r="1652" spans="49:49" ht="15" customHeight="1">
      <c r="AW1652" s="125">
        <v>1353</v>
      </c>
    </row>
    <row r="1653" spans="49:49" ht="15" customHeight="1">
      <c r="AW1653" s="125">
        <v>1354</v>
      </c>
    </row>
    <row r="1654" spans="49:49" ht="15" customHeight="1">
      <c r="AW1654" s="125">
        <v>1355</v>
      </c>
    </row>
    <row r="1655" spans="49:49" ht="15" customHeight="1">
      <c r="AW1655" s="125">
        <v>1356</v>
      </c>
    </row>
    <row r="1656" spans="49:49" ht="15" customHeight="1">
      <c r="AW1656" s="125">
        <v>1357</v>
      </c>
    </row>
    <row r="1657" spans="49:49" ht="15" customHeight="1">
      <c r="AW1657" s="125">
        <v>1358</v>
      </c>
    </row>
    <row r="1658" spans="49:49" ht="15" customHeight="1">
      <c r="AW1658" s="125">
        <v>1359</v>
      </c>
    </row>
    <row r="1659" spans="49:49" ht="15" customHeight="1">
      <c r="AW1659" s="125">
        <v>1360</v>
      </c>
    </row>
    <row r="1660" spans="49:49" ht="15" customHeight="1">
      <c r="AW1660" s="125">
        <v>1361</v>
      </c>
    </row>
    <row r="1661" spans="49:49" ht="15" customHeight="1">
      <c r="AW1661" s="125">
        <v>1362</v>
      </c>
    </row>
    <row r="1662" spans="49:49" ht="15" customHeight="1">
      <c r="AW1662" s="125">
        <v>1363</v>
      </c>
    </row>
    <row r="1663" spans="49:49" ht="15" customHeight="1">
      <c r="AW1663" s="125">
        <v>1364</v>
      </c>
    </row>
    <row r="1664" spans="49:49" ht="15" customHeight="1">
      <c r="AW1664" s="125">
        <v>1365</v>
      </c>
    </row>
    <row r="1665" spans="49:49" ht="15" customHeight="1">
      <c r="AW1665" s="125">
        <v>1366</v>
      </c>
    </row>
    <row r="1666" spans="49:49" ht="15" customHeight="1">
      <c r="AW1666" s="125">
        <v>1367</v>
      </c>
    </row>
    <row r="1667" spans="49:49" ht="15" customHeight="1">
      <c r="AW1667" s="125">
        <v>1368</v>
      </c>
    </row>
    <row r="1668" spans="49:49" ht="15" customHeight="1">
      <c r="AW1668" s="125">
        <v>1369</v>
      </c>
    </row>
    <row r="1669" spans="49:49" ht="15" customHeight="1">
      <c r="AW1669" s="125">
        <v>1370</v>
      </c>
    </row>
    <row r="1670" spans="49:49" ht="15" customHeight="1">
      <c r="AW1670" s="125">
        <v>1371</v>
      </c>
    </row>
    <row r="1671" spans="49:49" ht="15" customHeight="1">
      <c r="AW1671" s="125">
        <v>1372</v>
      </c>
    </row>
    <row r="1672" spans="49:49" ht="15" customHeight="1">
      <c r="AW1672" s="125">
        <v>1373</v>
      </c>
    </row>
    <row r="1673" spans="49:49" ht="15" customHeight="1">
      <c r="AW1673" s="125">
        <v>1374</v>
      </c>
    </row>
    <row r="1674" spans="49:49" ht="15" customHeight="1">
      <c r="AW1674" s="125">
        <v>1375</v>
      </c>
    </row>
    <row r="1675" spans="49:49" ht="15" customHeight="1">
      <c r="AW1675" s="125">
        <v>1376</v>
      </c>
    </row>
    <row r="1676" spans="49:49" ht="15" customHeight="1">
      <c r="AW1676" s="125">
        <v>1377</v>
      </c>
    </row>
    <row r="1677" spans="49:49" ht="15" customHeight="1">
      <c r="AW1677" s="125">
        <v>1378</v>
      </c>
    </row>
    <row r="1678" spans="49:49" ht="15" customHeight="1">
      <c r="AW1678" s="125">
        <v>1379</v>
      </c>
    </row>
    <row r="1679" spans="49:49" ht="15" customHeight="1">
      <c r="AW1679" s="125">
        <v>1380</v>
      </c>
    </row>
    <row r="1680" spans="49:49" ht="15" customHeight="1">
      <c r="AW1680" s="125">
        <v>1381</v>
      </c>
    </row>
    <row r="1681" spans="49:49" ht="15" customHeight="1">
      <c r="AW1681" s="125">
        <v>1382</v>
      </c>
    </row>
    <row r="1682" spans="49:49" ht="15" customHeight="1">
      <c r="AW1682" s="125">
        <v>1383</v>
      </c>
    </row>
    <row r="1683" spans="49:49" ht="15" customHeight="1">
      <c r="AW1683" s="125">
        <v>1384</v>
      </c>
    </row>
    <row r="1684" spans="49:49" ht="15" customHeight="1">
      <c r="AW1684" s="125">
        <v>1385</v>
      </c>
    </row>
    <row r="1685" spans="49:49" ht="15" customHeight="1">
      <c r="AW1685" s="125">
        <v>1386</v>
      </c>
    </row>
    <row r="1686" spans="49:49" ht="15" customHeight="1">
      <c r="AW1686" s="125">
        <v>1387</v>
      </c>
    </row>
    <row r="1687" spans="49:49" ht="15" customHeight="1">
      <c r="AW1687" s="125">
        <v>1388</v>
      </c>
    </row>
    <row r="1688" spans="49:49" ht="15" customHeight="1">
      <c r="AW1688" s="125">
        <v>1389</v>
      </c>
    </row>
    <row r="1689" spans="49:49" ht="15" customHeight="1">
      <c r="AW1689" s="125">
        <v>1390</v>
      </c>
    </row>
    <row r="1690" spans="49:49" ht="15" customHeight="1">
      <c r="AW1690" s="125">
        <v>1391</v>
      </c>
    </row>
    <row r="1691" spans="49:49" ht="15" customHeight="1">
      <c r="AW1691" s="125">
        <v>1392</v>
      </c>
    </row>
    <row r="1692" spans="49:49" ht="15" customHeight="1">
      <c r="AW1692" s="125">
        <v>1393</v>
      </c>
    </row>
    <row r="1693" spans="49:49" ht="15" customHeight="1">
      <c r="AW1693" s="125">
        <v>1394</v>
      </c>
    </row>
    <row r="1694" spans="49:49" ht="15" customHeight="1">
      <c r="AW1694" s="125">
        <v>1395</v>
      </c>
    </row>
    <row r="1695" spans="49:49" ht="15" customHeight="1">
      <c r="AW1695" s="125">
        <v>1396</v>
      </c>
    </row>
    <row r="1696" spans="49:49" ht="15" customHeight="1">
      <c r="AW1696" s="125">
        <v>1397</v>
      </c>
    </row>
    <row r="1697" spans="49:49" ht="15" customHeight="1">
      <c r="AW1697" s="125">
        <v>1398</v>
      </c>
    </row>
    <row r="1698" spans="49:49" ht="15" customHeight="1">
      <c r="AW1698" s="125">
        <v>1399</v>
      </c>
    </row>
    <row r="1699" spans="49:49" ht="15" customHeight="1">
      <c r="AW1699" s="125">
        <v>1400</v>
      </c>
    </row>
    <row r="1700" spans="49:49" ht="15" customHeight="1">
      <c r="AW1700" s="125">
        <v>1401</v>
      </c>
    </row>
    <row r="1701" spans="49:49" ht="15" customHeight="1">
      <c r="AW1701" s="125">
        <v>1402</v>
      </c>
    </row>
    <row r="1702" spans="49:49" ht="15" customHeight="1">
      <c r="AW1702" s="125">
        <v>1403</v>
      </c>
    </row>
    <row r="1703" spans="49:49" ht="15" customHeight="1">
      <c r="AW1703" s="125">
        <v>1404</v>
      </c>
    </row>
    <row r="1704" spans="49:49" ht="15" customHeight="1">
      <c r="AW1704" s="125">
        <v>1405</v>
      </c>
    </row>
    <row r="1705" spans="49:49" ht="15" customHeight="1">
      <c r="AW1705" s="125">
        <v>1406</v>
      </c>
    </row>
    <row r="1706" spans="49:49" ht="15" customHeight="1">
      <c r="AW1706" s="125">
        <v>1407</v>
      </c>
    </row>
    <row r="1707" spans="49:49" ht="15" customHeight="1">
      <c r="AW1707" s="125">
        <v>1408</v>
      </c>
    </row>
    <row r="1708" spans="49:49" ht="15" customHeight="1">
      <c r="AW1708" s="125">
        <v>1409</v>
      </c>
    </row>
    <row r="1709" spans="49:49" ht="15" customHeight="1">
      <c r="AW1709" s="125">
        <v>1410</v>
      </c>
    </row>
    <row r="1710" spans="49:49" ht="15" customHeight="1">
      <c r="AW1710" s="125">
        <v>1411</v>
      </c>
    </row>
    <row r="1711" spans="49:49" ht="15" customHeight="1">
      <c r="AW1711" s="125">
        <v>1412</v>
      </c>
    </row>
    <row r="1712" spans="49:49" ht="15" customHeight="1">
      <c r="AW1712" s="125">
        <v>1413</v>
      </c>
    </row>
    <row r="1713" spans="49:49" ht="15" customHeight="1">
      <c r="AW1713" s="125">
        <v>1414</v>
      </c>
    </row>
    <row r="1714" spans="49:49" ht="15" customHeight="1">
      <c r="AW1714" s="125">
        <v>1415</v>
      </c>
    </row>
    <row r="1715" spans="49:49" ht="15" customHeight="1">
      <c r="AW1715" s="125">
        <v>1416</v>
      </c>
    </row>
    <row r="1716" spans="49:49" ht="15" customHeight="1">
      <c r="AW1716" s="125">
        <v>1417</v>
      </c>
    </row>
    <row r="1717" spans="49:49" ht="15" customHeight="1">
      <c r="AW1717" s="125">
        <v>1418</v>
      </c>
    </row>
    <row r="1718" spans="49:49" ht="15" customHeight="1">
      <c r="AW1718" s="125">
        <v>1419</v>
      </c>
    </row>
    <row r="1719" spans="49:49" ht="15" customHeight="1">
      <c r="AW1719" s="125">
        <v>1420</v>
      </c>
    </row>
    <row r="1720" spans="49:49" ht="15" customHeight="1">
      <c r="AW1720" s="125">
        <v>1421</v>
      </c>
    </row>
    <row r="1721" spans="49:49" ht="15" customHeight="1">
      <c r="AW1721" s="125">
        <v>1422</v>
      </c>
    </row>
    <row r="1722" spans="49:49" ht="15" customHeight="1">
      <c r="AW1722" s="125">
        <v>1423</v>
      </c>
    </row>
    <row r="1723" spans="49:49" ht="15" customHeight="1">
      <c r="AW1723" s="125">
        <v>1424</v>
      </c>
    </row>
    <row r="1724" spans="49:49" ht="15" customHeight="1">
      <c r="AW1724" s="125">
        <v>1425</v>
      </c>
    </row>
    <row r="1725" spans="49:49" ht="15" customHeight="1">
      <c r="AW1725" s="125">
        <v>1426</v>
      </c>
    </row>
    <row r="1726" spans="49:49" ht="15" customHeight="1">
      <c r="AW1726" s="125">
        <v>1427</v>
      </c>
    </row>
    <row r="1727" spans="49:49" ht="15" customHeight="1">
      <c r="AW1727" s="125">
        <v>1428</v>
      </c>
    </row>
    <row r="1728" spans="49:49" ht="15" customHeight="1">
      <c r="AW1728" s="125">
        <v>1429</v>
      </c>
    </row>
    <row r="1729" spans="49:49" ht="15" customHeight="1">
      <c r="AW1729" s="125">
        <v>1430</v>
      </c>
    </row>
    <row r="1730" spans="49:49" ht="15" customHeight="1">
      <c r="AW1730" s="125">
        <v>1431</v>
      </c>
    </row>
    <row r="1731" spans="49:49" ht="15" customHeight="1">
      <c r="AW1731" s="125">
        <v>1432</v>
      </c>
    </row>
    <row r="1732" spans="49:49" ht="15" customHeight="1">
      <c r="AW1732" s="125">
        <v>1433</v>
      </c>
    </row>
    <row r="1733" spans="49:49" ht="15" customHeight="1">
      <c r="AW1733" s="125">
        <v>1434</v>
      </c>
    </row>
    <row r="1734" spans="49:49" ht="15" customHeight="1">
      <c r="AW1734" s="125">
        <v>1435</v>
      </c>
    </row>
    <row r="1735" spans="49:49" ht="15" customHeight="1">
      <c r="AW1735" s="125">
        <v>1436</v>
      </c>
    </row>
    <row r="1736" spans="49:49" ht="15" customHeight="1">
      <c r="AW1736" s="125">
        <v>1437</v>
      </c>
    </row>
    <row r="1737" spans="49:49" ht="15" customHeight="1">
      <c r="AW1737" s="125">
        <v>1438</v>
      </c>
    </row>
    <row r="1738" spans="49:49" ht="15" customHeight="1">
      <c r="AW1738" s="125">
        <v>1439</v>
      </c>
    </row>
    <row r="1739" spans="49:49" ht="15" customHeight="1">
      <c r="AW1739" s="125">
        <v>1440</v>
      </c>
    </row>
    <row r="1740" spans="49:49" ht="15" customHeight="1">
      <c r="AW1740" s="125">
        <v>1441</v>
      </c>
    </row>
    <row r="1741" spans="49:49" ht="15" customHeight="1">
      <c r="AW1741" s="125">
        <v>1442</v>
      </c>
    </row>
    <row r="1742" spans="49:49" ht="15" customHeight="1">
      <c r="AW1742" s="125">
        <v>1443</v>
      </c>
    </row>
    <row r="1743" spans="49:49" ht="15" customHeight="1">
      <c r="AW1743" s="125">
        <v>1444</v>
      </c>
    </row>
    <row r="1744" spans="49:49" ht="15" customHeight="1">
      <c r="AW1744" s="125">
        <v>1445</v>
      </c>
    </row>
    <row r="1745" spans="49:49" ht="15" customHeight="1">
      <c r="AW1745" s="125">
        <v>1446</v>
      </c>
    </row>
    <row r="1746" spans="49:49" ht="15" customHeight="1">
      <c r="AW1746" s="125">
        <v>1447</v>
      </c>
    </row>
    <row r="1747" spans="49:49" ht="15" customHeight="1">
      <c r="AW1747" s="125">
        <v>1448</v>
      </c>
    </row>
    <row r="1748" spans="49:49" ht="15" customHeight="1">
      <c r="AW1748" s="125">
        <v>1449</v>
      </c>
    </row>
    <row r="1749" spans="49:49" ht="15" customHeight="1">
      <c r="AW1749" s="125">
        <v>1450</v>
      </c>
    </row>
    <row r="1750" spans="49:49" ht="15" customHeight="1">
      <c r="AW1750" s="125">
        <v>1451</v>
      </c>
    </row>
    <row r="1751" spans="49:49" ht="15" customHeight="1">
      <c r="AW1751" s="125">
        <v>1452</v>
      </c>
    </row>
    <row r="1752" spans="49:49" ht="15" customHeight="1">
      <c r="AW1752" s="125">
        <v>1453</v>
      </c>
    </row>
    <row r="1753" spans="49:49" ht="15" customHeight="1">
      <c r="AW1753" s="125">
        <v>1454</v>
      </c>
    </row>
    <row r="1754" spans="49:49" ht="15" customHeight="1">
      <c r="AW1754" s="125">
        <v>1455</v>
      </c>
    </row>
    <row r="1755" spans="49:49" ht="15" customHeight="1">
      <c r="AW1755" s="125">
        <v>1456</v>
      </c>
    </row>
    <row r="1756" spans="49:49" ht="15" customHeight="1">
      <c r="AW1756" s="125">
        <v>1457</v>
      </c>
    </row>
    <row r="1757" spans="49:49" ht="15" customHeight="1">
      <c r="AW1757" s="125">
        <v>1458</v>
      </c>
    </row>
    <row r="1758" spans="49:49" ht="15" customHeight="1">
      <c r="AW1758" s="125">
        <v>1459</v>
      </c>
    </row>
    <row r="1759" spans="49:49" ht="15" customHeight="1">
      <c r="AW1759" s="125">
        <v>1460</v>
      </c>
    </row>
    <row r="1760" spans="49:49" ht="15" customHeight="1">
      <c r="AW1760" s="125">
        <v>1461</v>
      </c>
    </row>
    <row r="1761" spans="49:49" ht="15" customHeight="1">
      <c r="AW1761" s="125">
        <v>1462</v>
      </c>
    </row>
    <row r="1762" spans="49:49" ht="15" customHeight="1">
      <c r="AW1762" s="125">
        <v>1463</v>
      </c>
    </row>
    <row r="1763" spans="49:49" ht="15" customHeight="1">
      <c r="AW1763" s="125">
        <v>1464</v>
      </c>
    </row>
    <row r="1764" spans="49:49" ht="15" customHeight="1">
      <c r="AW1764" s="125">
        <v>1465</v>
      </c>
    </row>
    <row r="1765" spans="49:49" ht="15" customHeight="1">
      <c r="AW1765" s="125">
        <v>1466</v>
      </c>
    </row>
    <row r="1766" spans="49:49" ht="15" customHeight="1">
      <c r="AW1766" s="125">
        <v>1467</v>
      </c>
    </row>
    <row r="1767" spans="49:49" ht="15" customHeight="1">
      <c r="AW1767" s="125">
        <v>1468</v>
      </c>
    </row>
    <row r="1768" spans="49:49" ht="15" customHeight="1">
      <c r="AW1768" s="125">
        <v>1469</v>
      </c>
    </row>
    <row r="1769" spans="49:49" ht="15" customHeight="1">
      <c r="AW1769" s="125">
        <v>1470</v>
      </c>
    </row>
    <row r="1770" spans="49:49" ht="15" customHeight="1">
      <c r="AW1770" s="125">
        <v>1471</v>
      </c>
    </row>
    <row r="1771" spans="49:49" ht="15" customHeight="1">
      <c r="AW1771" s="125">
        <v>1472</v>
      </c>
    </row>
    <row r="1772" spans="49:49" ht="15" customHeight="1">
      <c r="AW1772" s="125">
        <v>1473</v>
      </c>
    </row>
    <row r="1773" spans="49:49" ht="15" customHeight="1">
      <c r="AW1773" s="125">
        <v>1474</v>
      </c>
    </row>
    <row r="1774" spans="49:49" ht="15" customHeight="1">
      <c r="AW1774" s="125">
        <v>1475</v>
      </c>
    </row>
    <row r="1775" spans="49:49" ht="15" customHeight="1">
      <c r="AW1775" s="125">
        <v>1476</v>
      </c>
    </row>
    <row r="1776" spans="49:49" ht="15" customHeight="1">
      <c r="AW1776" s="125">
        <v>1477</v>
      </c>
    </row>
    <row r="1777" spans="49:49" ht="15" customHeight="1">
      <c r="AW1777" s="125">
        <v>1478</v>
      </c>
    </row>
    <row r="1778" spans="49:49" ht="15" customHeight="1">
      <c r="AW1778" s="125">
        <v>1479</v>
      </c>
    </row>
    <row r="1779" spans="49:49" ht="15" customHeight="1">
      <c r="AW1779" s="125">
        <v>1480</v>
      </c>
    </row>
    <row r="1780" spans="49:49" ht="15" customHeight="1">
      <c r="AW1780" s="125">
        <v>1481</v>
      </c>
    </row>
    <row r="1781" spans="49:49" ht="15" customHeight="1">
      <c r="AW1781" s="125">
        <v>1482</v>
      </c>
    </row>
    <row r="1782" spans="49:49" ht="15" customHeight="1">
      <c r="AW1782" s="125">
        <v>1483</v>
      </c>
    </row>
    <row r="1783" spans="49:49" ht="15" customHeight="1">
      <c r="AW1783" s="125">
        <v>1484</v>
      </c>
    </row>
    <row r="1784" spans="49:49" ht="15" customHeight="1">
      <c r="AW1784" s="125">
        <v>1485</v>
      </c>
    </row>
    <row r="1785" spans="49:49" ht="15" customHeight="1">
      <c r="AW1785" s="125">
        <v>1486</v>
      </c>
    </row>
    <row r="1786" spans="49:49" ht="15" customHeight="1">
      <c r="AW1786" s="125">
        <v>1487</v>
      </c>
    </row>
    <row r="1787" spans="49:49" ht="15" customHeight="1">
      <c r="AW1787" s="125">
        <v>1488</v>
      </c>
    </row>
    <row r="1788" spans="49:49" ht="15" customHeight="1">
      <c r="AW1788" s="125">
        <v>1489</v>
      </c>
    </row>
    <row r="1789" spans="49:49" ht="15" customHeight="1">
      <c r="AW1789" s="125">
        <v>1490</v>
      </c>
    </row>
    <row r="1790" spans="49:49" ht="15" customHeight="1">
      <c r="AW1790" s="125">
        <v>1491</v>
      </c>
    </row>
    <row r="1791" spans="49:49" ht="15" customHeight="1">
      <c r="AW1791" s="125">
        <v>1492</v>
      </c>
    </row>
  </sheetData>
  <mergeCells count="14">
    <mergeCell ref="B298:C298"/>
    <mergeCell ref="D298:N298"/>
    <mergeCell ref="C28:F28"/>
    <mergeCell ref="B291:G291"/>
    <mergeCell ref="B292:G292"/>
    <mergeCell ref="B293:C293"/>
    <mergeCell ref="D293:N293"/>
    <mergeCell ref="B294:C294"/>
    <mergeCell ref="D294:N294"/>
    <mergeCell ref="B295:C295"/>
    <mergeCell ref="D295:O295"/>
    <mergeCell ref="B296:C296"/>
    <mergeCell ref="D296:O296"/>
    <mergeCell ref="D297:N297"/>
  </mergeCells>
  <conditionalFormatting sqref="AO292:AS296">
    <cfRule type="colorScale" priority="1">
      <colorScale>
        <cfvo type="formula" val="$Q$228*0.5"/>
        <cfvo type="num" val="0"/>
        <cfvo type="formula" val="$AR$295"/>
        <color rgb="FFF8696B"/>
        <color rgb="FFFCFCFF"/>
        <color rgb="FF63BE7B"/>
      </colorScale>
    </cfRule>
  </conditionalFormatting>
  <conditionalFormatting sqref="AP304:AT308">
    <cfRule type="colorScale" priority="2">
      <colorScale>
        <cfvo type="formula" val="$Q$228*0.5"/>
        <cfvo type="num" val="0"/>
        <cfvo type="formula" val="$AT$308"/>
        <color rgb="FFF8696B"/>
        <color rgb="FFFCFCFF"/>
        <color rgb="FF63BE7B"/>
      </colorScale>
    </cfRule>
  </conditionalFormatting>
  <conditionalFormatting sqref="AP317:AT318 AP314:AR316 AS312:AT316">
    <cfRule type="colorScale" priority="3">
      <colorScale>
        <cfvo type="formula" val="$Q$228*0.5"/>
        <cfvo type="num" val="$Q$2+$Q$228"/>
        <cfvo type="formula" val="$AR$314"/>
        <color rgb="FFF8696B"/>
        <color rgb="FFFCFCFF"/>
        <color rgb="FF63BE7B"/>
      </colorScale>
    </cfRule>
  </conditionalFormatting>
  <hyperlinks>
    <hyperlink ref="B18" r:id="rId1" xr:uid="{D1235384-ED88-45A7-B0D8-5D8D247C90C2}"/>
    <hyperlink ref="B20" r:id="rId2" xr:uid="{B66D45E4-0DE5-4562-AC42-E142C012ACCD}"/>
    <hyperlink ref="B28" r:id="rId3" xr:uid="{C30FD1BC-4681-453B-BC6B-302D132B9629}"/>
    <hyperlink ref="B30" r:id="rId4" xr:uid="{97AA7B00-A4ED-4727-8A05-9A7B2AA36CAE}"/>
  </hyperlinks>
  <pageMargins left="0.7" right="0.7" top="0.75" bottom="0.75" header="0.3" footer="0.3"/>
  <pageSetup paperSize="9" orientation="portrait" r:id="rId5"/>
  <drawing r:id="rId6"/>
  <legacy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pageSetUpPr autoPageBreaks="0"/>
  </sheetPr>
  <dimension ref="B2:N25"/>
  <sheetViews>
    <sheetView showGridLines="0" topLeftCell="G1" zoomScale="115" zoomScaleNormal="115" workbookViewId="0">
      <selection activeCell="N5" sqref="N5:O11"/>
    </sheetView>
  </sheetViews>
  <sheetFormatPr defaultColWidth="8.875" defaultRowHeight="14.1"/>
  <cols>
    <col min="1" max="1" width="2.375" customWidth="1"/>
    <col min="6" max="6" width="8.125" customWidth="1"/>
    <col min="7" max="7" width="12.5" bestFit="1" customWidth="1"/>
    <col min="9" max="9" width="15.375" customWidth="1"/>
    <col min="10" max="10" width="7.5" customWidth="1"/>
    <col min="13" max="13" width="33" customWidth="1"/>
    <col min="14" max="14" width="14" customWidth="1"/>
    <col min="16" max="16" width="26.625" bestFit="1" customWidth="1"/>
    <col min="17" max="17" width="10.375" bestFit="1" customWidth="1"/>
    <col min="18" max="18" width="12.125" bestFit="1" customWidth="1"/>
  </cols>
  <sheetData>
    <row r="2" spans="2:14" s="37" customFormat="1" ht="20.100000000000001">
      <c r="B2" s="40" t="s">
        <v>527</v>
      </c>
    </row>
    <row r="4" spans="2:14">
      <c r="B4" t="s">
        <v>659</v>
      </c>
    </row>
    <row r="5" spans="2:14">
      <c r="B5" t="s">
        <v>660</v>
      </c>
    </row>
    <row r="7" spans="2:14">
      <c r="B7" s="2" t="s">
        <v>527</v>
      </c>
      <c r="C7" s="3"/>
      <c r="D7" s="3"/>
      <c r="E7" s="3"/>
      <c r="F7" s="3"/>
      <c r="G7" s="110"/>
      <c r="I7" s="2" t="s">
        <v>661</v>
      </c>
      <c r="J7" s="111" t="s">
        <v>112</v>
      </c>
      <c r="K7" s="111" t="s">
        <v>662</v>
      </c>
      <c r="M7" s="649" t="s">
        <v>230</v>
      </c>
      <c r="N7" s="650" t="s">
        <v>663</v>
      </c>
    </row>
    <row r="8" spans="2:14" ht="3.95" customHeight="1">
      <c r="B8" s="112"/>
      <c r="C8" s="113"/>
      <c r="D8" s="113"/>
      <c r="E8" s="113"/>
      <c r="F8" s="113"/>
      <c r="G8" s="114"/>
      <c r="I8" s="113"/>
      <c r="J8" s="115"/>
      <c r="K8" s="116"/>
      <c r="M8" s="651" t="s">
        <v>364</v>
      </c>
      <c r="N8" s="651"/>
    </row>
    <row r="9" spans="2:14">
      <c r="B9" s="117" t="s">
        <v>664</v>
      </c>
      <c r="G9" s="118" cm="1">
        <f t="array" aca="1" ref="G9" ca="1">+_FV(DCF!R4,"Market cap",TRUE)/1000000</f>
        <v>7710.8402589999996</v>
      </c>
      <c r="I9" t="str">
        <f>Segments!B6</f>
        <v>United States</v>
      </c>
      <c r="J9" s="119">
        <f>Segments!D6</f>
        <v>0.84775390625000002</v>
      </c>
      <c r="K9" s="120">
        <v>0.05</v>
      </c>
      <c r="M9" s="117" t="str">
        <f>+Peers!B6</f>
        <v>L'Oreal S.A.</v>
      </c>
      <c r="N9" s="653">
        <f ca="1">Peers!E69</f>
        <v>0.70956986980971026</v>
      </c>
    </row>
    <row r="10" spans="2:14">
      <c r="B10" t="s">
        <v>665</v>
      </c>
      <c r="G10" s="17">
        <f ca="1">IFERROR(G9/G23,"")</f>
        <v>0.96368153849888039</v>
      </c>
      <c r="I10" t="s">
        <v>666</v>
      </c>
      <c r="J10" s="119">
        <f>1-J9</f>
        <v>0.15224609374999998</v>
      </c>
      <c r="K10" s="120"/>
      <c r="M10" s="117" t="str">
        <f>+Peers!B7</f>
        <v>Estée Lauder Companies Inc.</v>
      </c>
      <c r="N10" s="653">
        <f ca="1">+Peers!F69</f>
        <v>0.51903510797958519</v>
      </c>
    </row>
    <row r="11" spans="2:14">
      <c r="B11" t="s">
        <v>667</v>
      </c>
      <c r="G11" s="32">
        <f ca="1">IFERROR(G12+G14*G15,"")</f>
        <v>7.8984450023025787E-2</v>
      </c>
      <c r="J11" s="119"/>
      <c r="K11" s="120"/>
      <c r="M11" s="117" t="str">
        <f>+Peers!B8</f>
        <v>Coty Inc.</v>
      </c>
      <c r="N11" s="653">
        <f ca="1">+Peers!G69</f>
        <v>1.3140776321353065</v>
      </c>
    </row>
    <row r="12" spans="2:14">
      <c r="B12" t="s">
        <v>668</v>
      </c>
      <c r="G12" s="121">
        <v>4.4999999999999998E-2</v>
      </c>
      <c r="J12" s="119"/>
      <c r="K12" s="120"/>
      <c r="M12" s="117" t="str">
        <f>+Peers!B9</f>
        <v>Ulta Beauty</v>
      </c>
      <c r="N12" s="653">
        <f ca="1">+Peers!H69</f>
        <v>0.64451518299400756</v>
      </c>
    </row>
    <row r="13" spans="2:14">
      <c r="B13" t="s">
        <v>669</v>
      </c>
      <c r="G13" s="122">
        <f ca="1">+N19</f>
        <v>0.77525781320522624</v>
      </c>
      <c r="J13" s="119"/>
      <c r="K13" s="120"/>
      <c r="M13" s="117" t="str">
        <f>+Peers!B10</f>
        <v>Shiseido Company</v>
      </c>
      <c r="N13" s="653">
        <f ca="1">+Peers!I69</f>
        <v>0.37663643768666849</v>
      </c>
    </row>
    <row r="14" spans="2:14">
      <c r="B14" t="s">
        <v>42</v>
      </c>
      <c r="G14" s="708">
        <f ca="1">+IFERROR(G13*(1+(1-G21)*(G18/G9)),"")</f>
        <v>0.80175272027596856</v>
      </c>
      <c r="I14" t="s">
        <v>158</v>
      </c>
      <c r="J14" s="32">
        <f>1-SUM(J9:J13)</f>
        <v>0</v>
      </c>
      <c r="K14" s="32">
        <f>MAX(K9:K13)</f>
        <v>0.05</v>
      </c>
      <c r="M14" s="117" t="str">
        <f ca="1">+Peers!B11</f>
        <v>Natura &amp;Co Holding SA</v>
      </c>
      <c r="N14" s="653">
        <f ca="1">+Peers!J69</f>
        <v>1.0877126486260795</v>
      </c>
    </row>
    <row r="15" spans="2:14">
      <c r="B15" t="s">
        <v>670</v>
      </c>
      <c r="G15" s="398">
        <f>SUMPRODUCT(J9:J14,K9:K14)</f>
        <v>4.2387695312500001E-2</v>
      </c>
      <c r="J15" s="32"/>
      <c r="K15" s="32"/>
      <c r="M15" s="117"/>
      <c r="N15" s="653" t="str">
        <f>+Peers!K69</f>
        <v/>
      </c>
    </row>
    <row r="16" spans="2:14">
      <c r="B16" s="1" t="s">
        <v>671</v>
      </c>
      <c r="G16" s="32">
        <f ca="1">IFERROR(+G12+G13*G15,"")</f>
        <v>7.7861391974778177E-2</v>
      </c>
      <c r="J16" s="32"/>
      <c r="K16" s="32"/>
      <c r="M16" s="117"/>
      <c r="N16" s="653" t="str">
        <f>+Peers!L69</f>
        <v/>
      </c>
    </row>
    <row r="17" spans="2:14">
      <c r="M17" s="117"/>
      <c r="N17" s="653" t="str">
        <f>+Peers!M69</f>
        <v/>
      </c>
    </row>
    <row r="18" spans="2:14">
      <c r="B18" s="117" t="s">
        <v>672</v>
      </c>
      <c r="G18" s="123">
        <f>'Bal Sheet - Standardized'!N6</f>
        <v>290.60000000000002</v>
      </c>
      <c r="M18" s="117"/>
      <c r="N18" s="653" t="str">
        <f>+Peers!N69</f>
        <v/>
      </c>
    </row>
    <row r="19" spans="2:14">
      <c r="B19" t="s">
        <v>566</v>
      </c>
      <c r="G19" s="17">
        <f ca="1">IFERROR(G18/G23,"")</f>
        <v>3.6318461501119607E-2</v>
      </c>
      <c r="M19" s="652" t="s">
        <v>235</v>
      </c>
      <c r="N19" s="654">
        <f ca="1">IFERROR(+AVERAGEIF(N9:N18,"&gt;0"),"")</f>
        <v>0.77525781320522624</v>
      </c>
    </row>
    <row r="20" spans="2:14">
      <c r="B20" t="s">
        <v>673</v>
      </c>
      <c r="G20" s="121">
        <v>4.8300000000000003E-2</v>
      </c>
    </row>
    <row r="21" spans="2:14">
      <c r="B21" t="s">
        <v>674</v>
      </c>
      <c r="G21" s="121">
        <f>+DCF!H97</f>
        <v>9.3177379483654288E-2</v>
      </c>
    </row>
    <row r="23" spans="2:14">
      <c r="B23" t="s">
        <v>121</v>
      </c>
      <c r="G23" s="27">
        <f ca="1">+G9+G18</f>
        <v>8001.440259</v>
      </c>
    </row>
    <row r="25" spans="2:14">
      <c r="B25" s="1" t="s">
        <v>527</v>
      </c>
      <c r="G25" s="124">
        <f ca="1">IFERROR(G10*G11+G19*G20*(1-G21),"")</f>
        <v>7.770658795312213E-2</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39997558519241921"/>
  </sheetPr>
  <dimension ref="B1:T76"/>
  <sheetViews>
    <sheetView showGridLines="0" zoomScale="84" zoomScaleNormal="100" workbookViewId="0">
      <selection activeCell="N5" sqref="N5:O11"/>
    </sheetView>
  </sheetViews>
  <sheetFormatPr defaultColWidth="8.875" defaultRowHeight="14.1"/>
  <cols>
    <col min="1" max="1" width="1.625" customWidth="1"/>
    <col min="2" max="2" width="15.625" style="8" customWidth="1"/>
    <col min="4" max="4" width="16.125" customWidth="1"/>
    <col min="5" max="13" width="13.375" customWidth="1"/>
    <col min="14" max="17" width="12.625" style="26" customWidth="1"/>
    <col min="18" max="18" width="12.625" customWidth="1"/>
  </cols>
  <sheetData>
    <row r="1" spans="2:19">
      <c r="R1" s="26"/>
    </row>
    <row r="2" spans="2:19" s="244" customFormat="1" ht="20.100000000000001" customHeight="1">
      <c r="B2" s="243" t="s">
        <v>675</v>
      </c>
      <c r="C2" s="478"/>
      <c r="D2" s="478"/>
      <c r="E2" s="478"/>
      <c r="F2" s="478"/>
      <c r="G2" s="478"/>
      <c r="H2" s="478"/>
      <c r="I2" s="478"/>
      <c r="J2" s="478"/>
      <c r="K2" s="478"/>
      <c r="L2" s="478"/>
      <c r="M2" s="478"/>
      <c r="N2" s="479"/>
      <c r="O2" s="479"/>
      <c r="P2" s="479"/>
      <c r="Q2" s="245"/>
      <c r="R2" s="245"/>
      <c r="S2" s="478"/>
    </row>
    <row r="3" spans="2:19">
      <c r="R3" s="26"/>
    </row>
    <row r="4" spans="2:19" ht="15.6">
      <c r="B4" s="7" t="s">
        <v>676</v>
      </c>
      <c r="C4" s="55"/>
      <c r="D4" s="57"/>
      <c r="E4" s="57"/>
      <c r="F4" s="376">
        <v>2014</v>
      </c>
      <c r="G4" s="376">
        <f t="shared" ref="G4:J4" si="0">+F4+1</f>
        <v>2015</v>
      </c>
      <c r="H4" s="376">
        <f t="shared" si="0"/>
        <v>2016</v>
      </c>
      <c r="I4" s="376">
        <f t="shared" si="0"/>
        <v>2017</v>
      </c>
      <c r="J4" s="376">
        <f t="shared" si="0"/>
        <v>2018</v>
      </c>
      <c r="K4" s="376">
        <f t="shared" ref="K4" si="1">+J4+1</f>
        <v>2019</v>
      </c>
      <c r="L4" s="376">
        <f t="shared" ref="L4" si="2">+K4+1</f>
        <v>2020</v>
      </c>
      <c r="M4" s="376">
        <f t="shared" ref="M4" si="3">+L4+1</f>
        <v>2021</v>
      </c>
      <c r="N4" s="376">
        <v>2022</v>
      </c>
      <c r="O4" s="376">
        <f t="shared" ref="O4" si="4">+N4+1</f>
        <v>2023</v>
      </c>
      <c r="P4" s="377">
        <f>+O4+1</f>
        <v>2024</v>
      </c>
      <c r="Q4" s="375">
        <f>+P4+1</f>
        <v>2025</v>
      </c>
      <c r="R4" s="375">
        <f>+Q4+1</f>
        <v>2026</v>
      </c>
    </row>
    <row r="5" spans="2:19" ht="3.95" customHeight="1">
      <c r="B5" s="246"/>
      <c r="C5" s="52"/>
      <c r="D5" s="59"/>
      <c r="E5" s="59"/>
      <c r="F5" s="59"/>
      <c r="G5" s="59"/>
      <c r="H5" s="59"/>
      <c r="I5" s="59"/>
      <c r="J5" s="59"/>
      <c r="K5" s="59"/>
      <c r="L5" s="59"/>
      <c r="M5" s="59"/>
      <c r="N5" s="219"/>
      <c r="O5" s="219"/>
      <c r="P5" s="356"/>
      <c r="Q5" s="219"/>
      <c r="R5" s="219"/>
    </row>
    <row r="6" spans="2:19" ht="15.6">
      <c r="B6" s="15" t="s">
        <v>12</v>
      </c>
      <c r="F6" s="16" t="str">
        <f ca="1">IFERROR(_xlfn.XLOOKUP("Enterprise Value",Inputs!$B:$B,Inputs!G:G)/_xlfn.XLOOKUP("Revenue (Sales)",Inputs!$B:$B,Inputs!G:G),"")</f>
        <v/>
      </c>
      <c r="G6" s="16">
        <f ca="1">IFERROR(_xlfn.XLOOKUP("Enterprise Value",Inputs!$B:$B,Inputs!H:H)/_xlfn.XLOOKUP("Revenue (Sales)",Inputs!$B:$B,Inputs!H:H),"")</f>
        <v>6.3009404388714727E-4</v>
      </c>
      <c r="H6" s="16">
        <f ca="1">IFERROR(_xlfn.XLOOKUP("Enterprise Value",Inputs!$B:$B,Inputs!I:I)/_xlfn.XLOOKUP("Revenue (Sales)",Inputs!$B:$B,Inputs!I:I),"")</f>
        <v>2.207334494773519</v>
      </c>
      <c r="I6" s="16">
        <f ca="1">IFERROR(_xlfn.XLOOKUP("Enterprise Value",Inputs!$B:$B,Inputs!J:J)/_xlfn.XLOOKUP("Revenue (Sales)",Inputs!$B:$B,Inputs!J:J),"")</f>
        <v>4.2625935531678403</v>
      </c>
      <c r="J6" s="16">
        <f ca="1">IFERROR(_xlfn.XLOOKUP("Enterprise Value",Inputs!$B:$B,Inputs!K:K)/_xlfn.XLOOKUP("Revenue (Sales)",Inputs!$B:$B,Inputs!K:K),"")</f>
        <v>1.8496185489902768</v>
      </c>
      <c r="K6" s="16" t="str">
        <f ca="1">IFERROR(_xlfn.XLOOKUP("Enterprise Value",Inputs!$B:$B,Inputs!L:L)/_xlfn.XLOOKUP("Revenue (Sales)",Inputs!$B:$B,Inputs!L:L),"")</f>
        <v/>
      </c>
      <c r="L6" s="16">
        <f ca="1">IFERROR(_xlfn.XLOOKUP("Enterprise Value",Inputs!$B:$B,Inputs!M:M)/_xlfn.XLOOKUP("Revenue (Sales)",Inputs!$B:$B,Inputs!M:M),"")</f>
        <v>2.0227642276422766</v>
      </c>
      <c r="M6" s="16">
        <f ca="1">IFERROR(_xlfn.XLOOKUP("Enterprise Value",Inputs!$B:$B,Inputs!N:N)/_xlfn.XLOOKUP("Revenue (Sales)",Inputs!$B:$B,Inputs!N:N),"")</f>
        <v>4.4108833700094303</v>
      </c>
      <c r="N6" s="16">
        <f ca="1">IFERROR(_xlfn.XLOOKUP("Enterprise Value",Inputs!$B:$B,Inputs!O:O)/_xlfn.XLOOKUP("Revenue (Sales)",Inputs!$B:$B,Inputs!O:O),"")</f>
        <v>3.5253620601733804</v>
      </c>
      <c r="O6" s="16">
        <f ca="1">IFERROR(_xlfn.XLOOKUP("Enterprise Value",Inputs!$B:$B,Inputs!P:P)/_xlfn.XLOOKUP("Revenue (Sales)",Inputs!$B:$B,Inputs!P:P),"")</f>
        <v>7.3930114029025571</v>
      </c>
      <c r="P6" s="354">
        <f ca="1">IFERROR(_xlfn.XLOOKUP("Enterprise Value",Inputs!$B:$B,Inputs!Q:Q)/_xlfn.XLOOKUP("Revenue (Sales)",Inputs!$B:$B,Inputs!Q:Q),"")</f>
        <v>10.335832600839925</v>
      </c>
      <c r="Q6" s="361">
        <f ca="1">IFERROR(_xlfn.XLOOKUP("Enterprise Value",DCF!$B:$B,DCF!R:R)/_xlfn.XLOOKUP("Revenue (Sales)",DCF!$B:$B,DCF!H:H),"")</f>
        <v>5.0181315147302268</v>
      </c>
      <c r="R6" s="361">
        <f ca="1">IFERROR(_xlfn.XLOOKUP("Enterprise Value",DCF!$B:$B,DCF!S:S)/_xlfn.XLOOKUP("Revenue (Sales)",DCF!$B:$B,DCF!I:I),"")</f>
        <v>4.5757922997981515</v>
      </c>
    </row>
    <row r="7" spans="2:19" ht="15.6">
      <c r="B7" s="18" t="s">
        <v>15</v>
      </c>
      <c r="F7" s="16" t="str">
        <f ca="1">IFERROR(_xlfn.XLOOKUP("Market Capitalization",Inputs!$B:$B,Inputs!G:G)/_xlfn.XLOOKUP("Revenue (Sales)",Inputs!$B:$B,Inputs!G:G),"")</f>
        <v/>
      </c>
      <c r="G7" s="16">
        <f ca="1">IFERROR(_xlfn.XLOOKUP("Market Capitalization",Inputs!$B:$B,Inputs!H:H)/_xlfn.XLOOKUP("Revenue (Sales)",Inputs!$B:$B,Inputs!H:H),"")</f>
        <v>0</v>
      </c>
      <c r="H7" s="16">
        <f ca="1">IFERROR(_xlfn.XLOOKUP("Market Capitalization",Inputs!$B:$B,Inputs!I:I)/_xlfn.XLOOKUP("Revenue (Sales)",Inputs!$B:$B,Inputs!I:I),"")</f>
        <v>1.5936585365853659</v>
      </c>
      <c r="I7" s="16">
        <f ca="1">IFERROR(_xlfn.XLOOKUP("Market Capitalization",Inputs!$B:$B,Inputs!J:J)/_xlfn.XLOOKUP("Revenue (Sales)",Inputs!$B:$B,Inputs!J:J),"")</f>
        <v>3.7527751018895885</v>
      </c>
      <c r="J7" s="16">
        <f ca="1">IFERROR(_xlfn.XLOOKUP("Market Capitalization",Inputs!$B:$B,Inputs!K:K)/_xlfn.XLOOKUP("Revenue (Sales)",Inputs!$B:$B,Inputs!K:K),"")</f>
        <v>1.5156619296933433</v>
      </c>
      <c r="K7" s="16" t="str">
        <f ca="1">IFERROR(_xlfn.XLOOKUP("Market Capitalization",Inputs!$B:$B,Inputs!L:L)/_xlfn.XLOOKUP("Revenue (Sales)",Inputs!$B:$B,Inputs!L:L),"")</f>
        <v/>
      </c>
      <c r="L7" s="16">
        <f ca="1">IFERROR(_xlfn.XLOOKUP("Market Capitalization",Inputs!$B:$B,Inputs!M:M)/_xlfn.XLOOKUP("Revenue (Sales)",Inputs!$B:$B,Inputs!M:M),"")</f>
        <v>1.6869565217391307</v>
      </c>
      <c r="M7" s="16">
        <f ca="1">IFERROR(_xlfn.XLOOKUP("Market Capitalization",Inputs!$B:$B,Inputs!N:N)/_xlfn.XLOOKUP("Revenue (Sales)",Inputs!$B:$B,Inputs!N:N),"")</f>
        <v>4.1666205595724604</v>
      </c>
      <c r="N7" s="16">
        <f ca="1">IFERROR(_xlfn.XLOOKUP("Market Capitalization",Inputs!$B:$B,Inputs!O:O)/_xlfn.XLOOKUP("Revenue (Sales)",Inputs!$B:$B,Inputs!O:O),"")</f>
        <v>3.3522361040285564</v>
      </c>
      <c r="O7" s="16">
        <f ca="1">IFERROR(_xlfn.XLOOKUP("Market Capitalization",Inputs!$B:$B,Inputs!P:P)/_xlfn.XLOOKUP("Revenue (Sales)",Inputs!$B:$B,Inputs!P:P),"")</f>
        <v>7.4695490670352456</v>
      </c>
      <c r="P7" s="354">
        <f ca="1">IFERROR(_xlfn.XLOOKUP("Market Capitalization",Inputs!$B:$B,Inputs!Q:Q)/_xlfn.XLOOKUP("Revenue (Sales)",Inputs!$B:$B,Inputs!Q:Q),"")</f>
        <v>10.255648989159099</v>
      </c>
      <c r="Q7" s="361">
        <f ca="1">IFERROR(_xlfn.XLOOKUP("Equity Value",DCF!$B:$B,DCF!R:R)/_xlfn.XLOOKUP("Revenue (Sales)",DCF!$B:$B,DCF!H:H),"")</f>
        <v>4.9661552290673683</v>
      </c>
      <c r="R7" s="361">
        <f ca="1">IFERROR(_xlfn.XLOOKUP("Equity Value",DCF!$B:$B,DCF!S:S)/_xlfn.XLOOKUP("Revenue (Sales)",DCF!$B:$B,DCF!I:I),"")</f>
        <v>4.6350115619262153</v>
      </c>
    </row>
    <row r="8" spans="2:19" ht="15.6">
      <c r="B8" s="247" t="s">
        <v>17</v>
      </c>
      <c r="F8" s="16" t="str">
        <f ca="1">IFERROR(_xlfn.XLOOKUP("Enterprise Value",Inputs!$B:$B,Inputs!G:G)/_xlfn.XLOOKUP("EBITDA",Inputs!$B:$B,Inputs!G:G),"")</f>
        <v/>
      </c>
      <c r="G8" s="16">
        <f ca="1">IFERROR(_xlfn.XLOOKUP("Enterprise Value",Inputs!$B:$B,Inputs!H:H)/_xlfn.XLOOKUP("EBITDA",Inputs!$B:$B,Inputs!H:H),"")</f>
        <v>4.7294117647058796E-3</v>
      </c>
      <c r="H8" s="16">
        <f ca="1">IFERROR(_xlfn.XLOOKUP("Enterprise Value",Inputs!$B:$B,Inputs!I:I)/_xlfn.XLOOKUP("EBITDA",Inputs!$B:$B,Inputs!I:I),"")</f>
        <v>21.939567099567089</v>
      </c>
      <c r="I8" s="16">
        <f ca="1">IFERROR(_xlfn.XLOOKUP("Enterprise Value",Inputs!$B:$B,Inputs!J:J)/_xlfn.XLOOKUP("EBITDA",Inputs!$B:$B,Inputs!J:J),"")</f>
        <v>34.548768768768781</v>
      </c>
      <c r="J8" s="16">
        <f ca="1">IFERROR(_xlfn.XLOOKUP("Enterprise Value",Inputs!$B:$B,Inputs!K:K)/_xlfn.XLOOKUP("EBITDA",Inputs!$B:$B,Inputs!K:K),"")</f>
        <v>18.949731800766287</v>
      </c>
      <c r="K8" s="16" t="str">
        <f ca="1">IFERROR(_xlfn.XLOOKUP("Enterprise Value",Inputs!$B:$B,Inputs!L:L)/_xlfn.XLOOKUP("EBITDA",Inputs!$B:$B,Inputs!L:L),"")</f>
        <v/>
      </c>
      <c r="L8" s="16">
        <f ca="1">IFERROR(_xlfn.XLOOKUP("Enterprise Value",Inputs!$B:$B,Inputs!M:M)/_xlfn.XLOOKUP("EBITDA",Inputs!$B:$B,Inputs!M:M),"")</f>
        <v>19.074666666666666</v>
      </c>
      <c r="M8" s="16">
        <f ca="1">IFERROR(_xlfn.XLOOKUP("Enterprise Value",Inputs!$B:$B,Inputs!N:N)/_xlfn.XLOOKUP("EBITDA",Inputs!$B:$B,Inputs!N:N),"")</f>
        <v>149.26617021276547</v>
      </c>
      <c r="N8" s="16">
        <f ca="1">IFERROR(_xlfn.XLOOKUP("Enterprise Value",Inputs!$B:$B,Inputs!O:O)/_xlfn.XLOOKUP("EBITDA",Inputs!$B:$B,Inputs!O:O),"")</f>
        <v>47.028809523809549</v>
      </c>
      <c r="O8" s="16">
        <f ca="1">IFERROR(_xlfn.XLOOKUP("Enterprise Value",Inputs!$B:$B,Inputs!P:P)/_xlfn.XLOOKUP("EBITDA",Inputs!$B:$B,Inputs!P:P),"")</f>
        <v>62.835168869309868</v>
      </c>
      <c r="P8" s="354">
        <f ca="1">IFERROR(_xlfn.XLOOKUP("Enterprise Value",Inputs!$B:$B,Inputs!Q:Q)/_xlfn.XLOOKUP("EBITDA",Inputs!$B:$B,Inputs!Q:Q),"")</f>
        <v>70.693780895123609</v>
      </c>
      <c r="Q8" s="361">
        <f ca="1">IFERROR(_xlfn.XLOOKUP("Enterprise Value",DCF!$B:$B,DCF!R:R)/_xlfn.XLOOKUP("EBITDA",DCF!$B:$B,DCF!H:H),"")</f>
        <v>56.481906061804771</v>
      </c>
      <c r="R8" s="361">
        <f ca="1">IFERROR(_xlfn.XLOOKUP("Enterprise Value",DCF!$B:$B,DCF!S:S)/_xlfn.XLOOKUP("EBITDA",DCF!$B:$B,DCF!I:I),"")</f>
        <v>40.154923134742809</v>
      </c>
    </row>
    <row r="9" spans="2:19" ht="15.6">
      <c r="B9" s="247" t="s">
        <v>19</v>
      </c>
      <c r="F9" s="16" t="str">
        <f ca="1">IFERROR(_xlfn.XLOOKUP("Enterprise Value",Inputs!$B:$B,Inputs!G:G)/_xlfn.XLOOKUP("Operating Income (EBIT)",Inputs!$B:$B,Inputs!G:G),"")</f>
        <v/>
      </c>
      <c r="G9" s="16">
        <f ca="1">IFERROR(_xlfn.XLOOKUP("Enterprise Value",Inputs!$B:$B,Inputs!H:H)/_xlfn.XLOOKUP("Operating Income (EBIT)",Inputs!$B:$B,Inputs!H:H),"")</f>
        <v>4.7294117647058796E-3</v>
      </c>
      <c r="H9" s="16">
        <f ca="1">IFERROR(_xlfn.XLOOKUP("Enterprise Value",Inputs!$B:$B,Inputs!I:I)/_xlfn.XLOOKUP("Operating Income (EBIT)",Inputs!$B:$B,Inputs!I:I),"")</f>
        <v>51.192323232323183</v>
      </c>
      <c r="I9" s="16">
        <f ca="1">IFERROR(_xlfn.XLOOKUP("Enterprise Value",Inputs!$B:$B,Inputs!J:J)/_xlfn.XLOOKUP("Operating Income (EBIT)",Inputs!$B:$B,Inputs!J:J),"")</f>
        <v>61.195425531914942</v>
      </c>
      <c r="J9" s="16">
        <f ca="1">IFERROR(_xlfn.XLOOKUP("Enterprise Value",Inputs!$B:$B,Inputs!K:K)/_xlfn.XLOOKUP("Operating Income (EBIT)",Inputs!$B:$B,Inputs!K:K),"")</f>
        <v>60.315609756097587</v>
      </c>
      <c r="K9" s="16" t="str">
        <f ca="1">IFERROR(_xlfn.XLOOKUP("Enterprise Value",Inputs!$B:$B,Inputs!L:L)/_xlfn.XLOOKUP("Operating Income (EBIT)",Inputs!$B:$B,Inputs!L:L),"")</f>
        <v/>
      </c>
      <c r="L9" s="16">
        <f ca="1">IFERROR(_xlfn.XLOOKUP("Enterprise Value",Inputs!$B:$B,Inputs!M:M)/_xlfn.XLOOKUP("Operating Income (EBIT)",Inputs!$B:$B,Inputs!M:M),"")</f>
        <v>79.477777777777789</v>
      </c>
      <c r="M9" s="16">
        <f ca="1">IFERROR(_xlfn.XLOOKUP("Enterprise Value",Inputs!$B:$B,Inputs!N:N)/_xlfn.XLOOKUP("Operating Income (EBIT)",Inputs!$B:$B,Inputs!N:N),"")</f>
        <v>-88.803924050633071</v>
      </c>
      <c r="N9" s="16">
        <f ca="1">IFERROR(_xlfn.XLOOKUP("Enterprise Value",Inputs!$B:$B,Inputs!O:O)/_xlfn.XLOOKUP("Operating Income (EBIT)",Inputs!$B:$B,Inputs!O:O),"")</f>
        <v>601.15086956522362</v>
      </c>
      <c r="O9" s="16">
        <f ca="1">IFERROR(_xlfn.XLOOKUP("Enterprise Value",Inputs!$B:$B,Inputs!P:P)/_xlfn.XLOOKUP("Operating Income (EBIT)",Inputs!$B:$B,Inputs!P:P),"")</f>
        <v>93.226034858387877</v>
      </c>
      <c r="P9" s="354">
        <f ca="1">IFERROR(_xlfn.XLOOKUP("Enterprise Value",Inputs!$B:$B,Inputs!Q:Q)/_xlfn.XLOOKUP("Operating Income (EBIT)",Inputs!$B:$B,Inputs!Q:Q),"")</f>
        <v>92.995246045694245</v>
      </c>
      <c r="Q9" s="361">
        <f ca="1">IFERROR(_xlfn.XLOOKUP("Enterprise Value",DCF!$B:$B,DCF!R:R)/_xlfn.XLOOKUP("Operating Income (EBIT)",DCF!$B:$B,DCF!H:H),"")</f>
        <v>83.137541217419468</v>
      </c>
      <c r="R9" s="361">
        <f ca="1">IFERROR(_xlfn.XLOOKUP("Enterprise Value",DCF!$B:$B,DCF!S:S)/_xlfn.XLOOKUP("Operating Income (EBIT)",DCF!$B:$B,DCF!I:I),"")</f>
        <v>51.71921563092355</v>
      </c>
    </row>
    <row r="10" spans="2:19" ht="15.6">
      <c r="B10" s="18" t="s">
        <v>21</v>
      </c>
      <c r="F10" s="16" t="str">
        <f ca="1">IFERROR(_xlfn.XLOOKUP("Market Capitalization",Inputs!$B:$B,Inputs!G:G)/_xlfn.XLOOKUP("Net Income",Inputs!$B:$B,Inputs!G:G),"")</f>
        <v/>
      </c>
      <c r="G10" s="16">
        <f ca="1">IFERROR(_xlfn.XLOOKUP("Market Capitalization",Inputs!$B:$B,Inputs!H:H)/_xlfn.XLOOKUP("Net Income",Inputs!$B:$B,Inputs!H:H),"")</f>
        <v>0</v>
      </c>
      <c r="H10" s="16">
        <f ca="1">IFERROR(_xlfn.XLOOKUP("Market Capitalization",Inputs!$B:$B,Inputs!I:I)/_xlfn.XLOOKUP("Net Income",Inputs!$B:$B,Inputs!I:I),"")</f>
        <v>69.038490566037638</v>
      </c>
      <c r="I10" s="16">
        <f ca="1">IFERROR(_xlfn.XLOOKUP("Market Capitalization",Inputs!$B:$B,Inputs!J:J)/_xlfn.XLOOKUP("Net Income",Inputs!$B:$B,Inputs!J:J),"")</f>
        <v>30.235044776119413</v>
      </c>
      <c r="J10" s="16">
        <f ca="1">IFERROR(_xlfn.XLOOKUP("Market Capitalization",Inputs!$B:$B,Inputs!K:K)/_xlfn.XLOOKUP("Net Income",Inputs!$B:$B,Inputs!K:K),"")</f>
        <v>26.147612903225813</v>
      </c>
      <c r="K10" s="16" t="str">
        <f ca="1">IFERROR(_xlfn.XLOOKUP("Market Capitalization",Inputs!$B:$B,Inputs!L:L)/_xlfn.XLOOKUP("Net Income",Inputs!$B:$B,Inputs!L:L),"")</f>
        <v/>
      </c>
      <c r="L10" s="16">
        <f ca="1">IFERROR(_xlfn.XLOOKUP("Market Capitalization",Inputs!$B:$B,Inputs!M:M)/_xlfn.XLOOKUP("Net Income",Inputs!$B:$B,Inputs!M:M),"")</f>
        <v>26.661452513966484</v>
      </c>
      <c r="M10" s="16">
        <f ca="1">IFERROR(_xlfn.XLOOKUP("Market Capitalization",Inputs!$B:$B,Inputs!N:N)/_xlfn.XLOOKUP("Net Income",Inputs!$B:$B,Inputs!N:N),"")</f>
        <v>213.77451612903127</v>
      </c>
      <c r="N10" s="16">
        <f ca="1">IFERROR(_xlfn.XLOOKUP("Market Capitalization",Inputs!$B:$B,Inputs!O:O)/_xlfn.XLOOKUP("Net Income",Inputs!$B:$B,Inputs!O:O),"")</f>
        <v>60.034109589041151</v>
      </c>
      <c r="O10" s="16">
        <f ca="1">IFERROR(_xlfn.XLOOKUP("Market Capitalization",Inputs!$B:$B,Inputs!P:P)/_xlfn.XLOOKUP("Net Income",Inputs!$B:$B,Inputs!P:P),"")</f>
        <v>70.298780487804933</v>
      </c>
      <c r="P10" s="354">
        <f ca="1">IFERROR(_xlfn.XLOOKUP("Market Capitalization",Inputs!$B:$B,Inputs!Q:Q)/_xlfn.XLOOKUP("Net Income",Inputs!$B:$B,Inputs!Q:Q),"")</f>
        <v>82.229906029757288</v>
      </c>
      <c r="Q10" s="361">
        <f ca="1">IFERROR(_xlfn.XLOOKUP("Equity Value",DCF!$B:$B,DCF!R:R)/_xlfn.XLOOKUP("Net Income",DCF!$B:$B,DCF!H:H),"")</f>
        <v>104.7352108554834</v>
      </c>
      <c r="R10" s="361">
        <f ca="1">IFERROR(_xlfn.XLOOKUP("Equity Value",DCF!$B:$B,DCF!S:S)/_xlfn.XLOOKUP("Net Income",DCF!$B:$B,DCF!I:I),"")</f>
        <v>63.351550631152826</v>
      </c>
    </row>
    <row r="11" spans="2:19" ht="15.6">
      <c r="B11" s="247" t="s">
        <v>23</v>
      </c>
      <c r="F11" s="16" t="str">
        <f ca="1">IFERROR(_xlfn.XLOOKUP("Market Capitalization",Inputs!$B:$B,Inputs!G:G)/_xlfn.XLOOKUP("Shareholder's Equity",Inputs!$B:$B,Inputs!G:G),"")</f>
        <v/>
      </c>
      <c r="G11" s="16">
        <f ca="1">IFERROR(_xlfn.XLOOKUP("Market Capitalization",Inputs!$B:$B,Inputs!H:H)/_xlfn.XLOOKUP("Shareholder's Equity",Inputs!$B:$B,Inputs!H:H),"")</f>
        <v>0</v>
      </c>
      <c r="H11" s="16">
        <f ca="1">IFERROR(_xlfn.XLOOKUP("Market Capitalization",Inputs!$B:$B,Inputs!I:I)/_xlfn.XLOOKUP("Shareholder's Equity",Inputs!$B:$B,Inputs!I:I),"")</f>
        <v>2.5987499999999986</v>
      </c>
      <c r="I11" s="16">
        <f ca="1">IFERROR(_xlfn.XLOOKUP("Market Capitalization",Inputs!$B:$B,Inputs!J:J)/_xlfn.XLOOKUP("Shareholder's Equity",Inputs!$B:$B,Inputs!J:J),"")</f>
        <v>5.2263880288957676</v>
      </c>
      <c r="J11" s="16">
        <f ca="1">IFERROR(_xlfn.XLOOKUP("Market Capitalization",Inputs!$B:$B,Inputs!K:K)/_xlfn.XLOOKUP("Shareholder's Equity",Inputs!$B:$B,Inputs!K:K),"")</f>
        <v>1.767501090274749</v>
      </c>
      <c r="K11" s="16">
        <f ca="1">IFERROR(_xlfn.XLOOKUP("Market Capitalization",Inputs!$B:$B,Inputs!L:L)/_xlfn.XLOOKUP("Shareholder's Equity",Inputs!$B:$B,Inputs!L:L),"")</f>
        <v>0</v>
      </c>
      <c r="L11" s="16">
        <f ca="1">IFERROR(_xlfn.XLOOKUP("Market Capitalization",Inputs!$B:$B,Inputs!M:M)/_xlfn.XLOOKUP("Shareholder's Equity",Inputs!$B:$B,Inputs!M:M),"")</f>
        <v>1.9704376548307183</v>
      </c>
      <c r="M11" s="16">
        <f ca="1">IFERROR(_xlfn.XLOOKUP("Market Capitalization",Inputs!$B:$B,Inputs!N:N)/_xlfn.XLOOKUP("Shareholder's Equity",Inputs!$B:$B,Inputs!N:N),"")</f>
        <v>4.9161795252225522</v>
      </c>
      <c r="N11" s="16">
        <f ca="1">IFERROR(_xlfn.XLOOKUP("Market Capitalization",Inputs!$B:$B,Inputs!O:O)/_xlfn.XLOOKUP("Shareholder's Equity",Inputs!$B:$B,Inputs!O:O),"")</f>
        <v>4.2085371318822009</v>
      </c>
      <c r="O11" s="16">
        <f ca="1">IFERROR(_xlfn.XLOOKUP("Market Capitalization",Inputs!$B:$B,Inputs!P:P)/_xlfn.XLOOKUP("Shareholder's Equity",Inputs!$B:$B,Inputs!P:P),"")</f>
        <v>10.519160583941606</v>
      </c>
      <c r="P11" s="354">
        <f ca="1">IFERROR(_xlfn.XLOOKUP("Market Capitalization",Inputs!$B:$B,Inputs!Q:Q)/_xlfn.XLOOKUP("Shareholder's Equity",Inputs!$B:$B,Inputs!Q:Q),"")</f>
        <v>16.341050420168063</v>
      </c>
      <c r="Q11" s="361">
        <f ca="1">IFERROR(+_xlfn.XLOOKUP("Equity Value",DCF!$B:$B,DCF!R:R)/(_xlfn.XLOOKUP("Shareholder's Equity",Inputs!$B:$B,Inputs!$Q:$Q)+_xlfn.XLOOKUP("Net Income",DCF!$B:$B,DCF!H:H)+_xlfn.XLOOKUP("Total Payout",DCF!$B:$B,DCF!H:H)),"")</f>
        <v>9.6851816166283715</v>
      </c>
      <c r="R11" s="361">
        <f ca="1">IFERROR(+_xlfn.XLOOKUP("Equity Value",DCF!$B:$B,DCF!S:S)/(_xlfn.XLOOKUP("Shareholder's Equity",Inputs!$B:$B,Inputs!$Q:$Q)+_xlfn.XLOOKUP("Net Income",DCF!$B:$B,DCF!I:I)+_xlfn.XLOOKUP("Total Payout",DCF!$B:$B,DCF!I:I)),"")</f>
        <v>9.7175502961463778</v>
      </c>
    </row>
    <row r="12" spans="2:19" ht="8.1" customHeight="1">
      <c r="B12" s="248"/>
      <c r="N12" s="249"/>
      <c r="O12" s="249"/>
      <c r="P12" s="357"/>
      <c r="Q12" s="362"/>
      <c r="R12" s="362"/>
    </row>
    <row r="13" spans="2:19" ht="15.6">
      <c r="B13" s="7" t="s">
        <v>254</v>
      </c>
      <c r="C13" s="55"/>
      <c r="D13" s="57"/>
      <c r="E13" s="57"/>
      <c r="F13" s="376">
        <v>2014</v>
      </c>
      <c r="G13" s="376">
        <f t="shared" ref="G13" si="5">+F13+1</f>
        <v>2015</v>
      </c>
      <c r="H13" s="376">
        <f t="shared" ref="H13" si="6">+G13+1</f>
        <v>2016</v>
      </c>
      <c r="I13" s="376">
        <f t="shared" ref="I13" si="7">+H13+1</f>
        <v>2017</v>
      </c>
      <c r="J13" s="376">
        <f t="shared" ref="J13" si="8">+I13+1</f>
        <v>2018</v>
      </c>
      <c r="K13" s="376">
        <f t="shared" ref="K13" si="9">+J13+1</f>
        <v>2019</v>
      </c>
      <c r="L13" s="376">
        <f t="shared" ref="L13" si="10">+K13+1</f>
        <v>2020</v>
      </c>
      <c r="M13" s="376">
        <f t="shared" ref="M13" si="11">+L13+1</f>
        <v>2021</v>
      </c>
      <c r="N13" s="376">
        <v>2022</v>
      </c>
      <c r="O13" s="376">
        <f t="shared" ref="O13" si="12">+N13+1</f>
        <v>2023</v>
      </c>
      <c r="P13" s="377">
        <f>+O13+1</f>
        <v>2024</v>
      </c>
      <c r="Q13" s="375">
        <f>+P13+1</f>
        <v>2025</v>
      </c>
      <c r="R13" s="375">
        <f>+Q13+1</f>
        <v>2026</v>
      </c>
    </row>
    <row r="14" spans="2:19" ht="3.95" customHeight="1">
      <c r="B14" s="246"/>
      <c r="C14" s="52"/>
      <c r="D14" s="59"/>
      <c r="E14" s="59"/>
      <c r="F14" s="59"/>
      <c r="G14" s="59"/>
      <c r="H14" s="59"/>
      <c r="I14" s="59"/>
      <c r="J14" s="59"/>
      <c r="K14" s="59"/>
      <c r="L14" s="59"/>
      <c r="M14" s="59"/>
      <c r="N14" s="219"/>
      <c r="O14" s="219"/>
      <c r="P14" s="356"/>
      <c r="Q14" s="219"/>
      <c r="R14" s="219"/>
    </row>
    <row r="15" spans="2:19" ht="15.6">
      <c r="B15" s="247" t="s">
        <v>33</v>
      </c>
      <c r="F15" s="251" t="str">
        <f>+IFERROR(_xlfn.XLOOKUP("Net Income",Inputs!$B:$B,Inputs!G:G)/_xlfn.XLOOKUP("Total Assets",Inputs!$B:$B,Inputs!G:G),"")</f>
        <v/>
      </c>
      <c r="G15" s="251">
        <f>+IFERROR(_xlfn.XLOOKUP("Net Income",Inputs!$B:$B,Inputs!H:H)/_xlfn.XLOOKUP("Total Assets",Inputs!$B:$B,Inputs!H:H),"")</f>
        <v>7.0617557463306613E-2</v>
      </c>
      <c r="H15" s="251">
        <f>+IFERROR(_xlfn.XLOOKUP("Net Income",Inputs!$B:$B,Inputs!I:I)/_xlfn.XLOOKUP("Total Assets",Inputs!$B:$B,Inputs!I:I),"")</f>
        <v>1.2780323125150728E-2</v>
      </c>
      <c r="I15" s="251">
        <f>+IFERROR(_xlfn.XLOOKUP("Net Income",Inputs!$B:$B,Inputs!J:J)/_xlfn.XLOOKUP("Total Assets",Inputs!$B:$B,Inputs!J:J),"")</f>
        <v>8.0297219558964489E-2</v>
      </c>
      <c r="J15" s="251">
        <f>+IFERROR(_xlfn.XLOOKUP("Net Income",Inputs!$B:$B,Inputs!K:K)/_xlfn.XLOOKUP("Total Assets",Inputs!$B:$B,Inputs!K:K),"")</f>
        <v>3.5566773749426329E-2</v>
      </c>
      <c r="K15" s="251">
        <f>+IFERROR(_xlfn.XLOOKUP("Net Income",Inputs!$B:$B,Inputs!L:L)/_xlfn.XLOOKUP("Total Assets",Inputs!$B:$B,Inputs!L:L),"")</f>
        <v>0</v>
      </c>
      <c r="L15" s="251">
        <f>+IFERROR(_xlfn.XLOOKUP("Net Income",Inputs!$B:$B,Inputs!M:M)/_xlfn.XLOOKUP("Total Assets",Inputs!$B:$B,Inputs!M:M),"")</f>
        <v>3.950562789671154E-2</v>
      </c>
      <c r="M15" s="251">
        <f>+IFERROR(_xlfn.XLOOKUP("Net Income",Inputs!$B:$B,Inputs!N:N)/_xlfn.XLOOKUP("Total Assets",Inputs!$B:$B,Inputs!N:N),"")</f>
        <v>1.2723168479376212E-2</v>
      </c>
      <c r="N15" s="251">
        <f>+IFERROR(_xlfn.XLOOKUP("Net Income",Inputs!$B:$B,Inputs!O:O)/_xlfn.XLOOKUP("Total Assets",Inputs!$B:$B,Inputs!O:O),"")</f>
        <v>4.427820460978564E-2</v>
      </c>
      <c r="O15" s="251">
        <f>+IFERROR(_xlfn.XLOOKUP("Net Income",Inputs!$B:$B,Inputs!P:P)/_xlfn.XLOOKUP("Total Assets",Inputs!$B:$B,Inputs!P:P),"")</f>
        <v>0.10325721961047675</v>
      </c>
      <c r="P15" s="358">
        <f>+IFERROR(_xlfn.XLOOKUP("Net Income",Inputs!$B:$B,Inputs!Q:Q)/_xlfn.XLOOKUP("Total Assets",Inputs!$B:$B,Inputs!Q:Q),"")</f>
        <v>0.11307889843265732</v>
      </c>
      <c r="Q15" s="363">
        <f>IFERROR(_xlfn.XLOOKUP("Net Income",DCF!$B:$B,DCF!H:H)/_xlfn.XLOOKUP("Total assets",DCF!$6:$6,DCF!10:10),"")</f>
        <v>5.1614206056356172E-2</v>
      </c>
      <c r="R15" s="363">
        <f>IFERROR(_xlfn.XLOOKUP("Net Income",DCF!$B:$B,DCF!I:I)/_xlfn.XLOOKUP("Total assets",DCF!$6:$6,DCF!10:10),"")</f>
        <v>9.1052146540158724E-2</v>
      </c>
      <c r="S15" s="22"/>
    </row>
    <row r="16" spans="2:19" ht="15.6">
      <c r="B16" s="247" t="s">
        <v>35</v>
      </c>
      <c r="F16" s="251" t="str">
        <f>IFERROR(_xlfn.XLOOKUP("Net Income",Inputs!$B:$B,Inputs!G:G)/_xlfn.XLOOKUP("Shareholder's Equity",Inputs!$B:$B,Inputs!G:G),"")</f>
        <v/>
      </c>
      <c r="G16" s="251">
        <f>IFERROR(_xlfn.XLOOKUP("Net Income",Inputs!$B:$B,Inputs!H:H)/_xlfn.XLOOKUP("Shareholder's Equity",Inputs!$B:$B,Inputs!H:H),"")</f>
        <v>0.18626734842951076</v>
      </c>
      <c r="H16" s="251">
        <f>IFERROR(_xlfn.XLOOKUP("Net Income",Inputs!$B:$B,Inputs!I:I)/_xlfn.XLOOKUP("Shareholder's Equity",Inputs!$B:$B,Inputs!I:I),"")</f>
        <v>3.7642045454545491E-2</v>
      </c>
      <c r="I16" s="251">
        <f>IFERROR(_xlfn.XLOOKUP("Net Income",Inputs!$B:$B,Inputs!J:J)/_xlfn.XLOOKUP("Shareholder's Equity",Inputs!$B:$B,Inputs!J:J),"")</f>
        <v>0.17285861713106285</v>
      </c>
      <c r="J16" s="251">
        <f>IFERROR(_xlfn.XLOOKUP("Net Income",Inputs!$B:$B,Inputs!K:K)/_xlfn.XLOOKUP("Shareholder's Equity",Inputs!$B:$B,Inputs!K:K),"")</f>
        <v>6.7597034452682045E-2</v>
      </c>
      <c r="K16" s="251">
        <f>IFERROR(_xlfn.XLOOKUP("Net Income",Inputs!$B:$B,Inputs!L:L)/_xlfn.XLOOKUP("Shareholder's Equity",Inputs!$B:$B,Inputs!L:L),"")</f>
        <v>0</v>
      </c>
      <c r="L16" s="251">
        <f>IFERROR(_xlfn.XLOOKUP("Net Income",Inputs!$B:$B,Inputs!M:M)/_xlfn.XLOOKUP("Shareholder's Equity",Inputs!$B:$B,Inputs!M:M),"")</f>
        <v>7.3905862923203947E-2</v>
      </c>
      <c r="M16" s="251">
        <f>IFERROR(_xlfn.XLOOKUP("Net Income",Inputs!$B:$B,Inputs!N:N)/_xlfn.XLOOKUP("Shareholder's Equity",Inputs!$B:$B,Inputs!N:N),"")</f>
        <v>2.2997032640949662E-2</v>
      </c>
      <c r="N16" s="251">
        <f>IFERROR(_xlfn.XLOOKUP("Net Income",Inputs!$B:$B,Inputs!O:O)/_xlfn.XLOOKUP("Shareholder's Equity",Inputs!$B:$B,Inputs!O:O),"")</f>
        <v>7.0102432778489029E-2</v>
      </c>
      <c r="O16" s="251">
        <f>IFERROR(_xlfn.XLOOKUP("Net Income",Inputs!$B:$B,Inputs!P:P)/_xlfn.XLOOKUP("Shareholder's Equity",Inputs!$B:$B,Inputs!P:P),"")</f>
        <v>0.14963503649635027</v>
      </c>
      <c r="P16" s="358">
        <f>IFERROR(_xlfn.XLOOKUP("Net Income",Inputs!$B:$B,Inputs!Q:Q)/_xlfn.XLOOKUP("Shareholder's Equity",Inputs!$B:$B,Inputs!Q:Q),"")</f>
        <v>0.19872393401805152</v>
      </c>
      <c r="Q16" s="363">
        <f>IFERROR(_xlfn.XLOOKUP("Net Income",DCF!$B:$B,DCF!H:H)/_xlfn.XLOOKUP("Shareholder's Equity",DCF!$6:$6,DCF!10:10),"")</f>
        <v>-1.6230198424081697E-8</v>
      </c>
      <c r="R16" s="363">
        <f>IFERROR(_xlfn.XLOOKUP("Net Income",DCF!$B:$B,DCF!I:I)/_xlfn.XLOOKUP("Shareholder's Equity",DCF!$6:$6,DCF!10:10),"")</f>
        <v>-2.8631543875183814E-8</v>
      </c>
      <c r="S16" s="22"/>
    </row>
    <row r="17" spans="2:19" ht="15.6">
      <c r="B17" s="247" t="s">
        <v>37</v>
      </c>
      <c r="F17" s="251" t="str">
        <f>IFERROR(_xlfn.XLOOKUP("NOPAT",Inputs!$B:$B,Inputs!G:G)/(_xlfn.XLOOKUP("Shareholder's Equity",Inputs!$B:$B,Inputs!G:G)+_xlfn.XLOOKUP("Total Debt",Inputs!$B:$B,Inputs!G:G,,,-1)),"")</f>
        <v/>
      </c>
      <c r="G17" s="251">
        <f>IFERROR(_xlfn.XLOOKUP("NOPAT",Inputs!$B:$B,Inputs!H:H)/(_xlfn.XLOOKUP("Shareholder's Equity",Inputs!$B:$B,Inputs!H:H)+_xlfn.XLOOKUP("Total Debt",Inputs!$B:$B,Inputs!H:H,,,-1)),"")</f>
        <v>9.3922651933701723E-2</v>
      </c>
      <c r="H17" s="251">
        <f>IFERROR(_xlfn.XLOOKUP("NOPAT",Inputs!$B:$B,Inputs!I:I)/(_xlfn.XLOOKUP("Shareholder's Equity",Inputs!$B:$B,Inputs!I:I)+_xlfn.XLOOKUP("Total Debt",Inputs!$B:$B,Inputs!I:I,,,-1)),"")</f>
        <v>7.7450980392157032E-2</v>
      </c>
      <c r="I17" s="251">
        <f>IFERROR(_xlfn.XLOOKUP("NOPAT",Inputs!$B:$B,Inputs!J:J)/(_xlfn.XLOOKUP("Shareholder's Equity",Inputs!$B:$B,Inputs!J:J)+_xlfn.XLOOKUP("Total Debt",Inputs!$B:$B,Inputs!J:J,,,-1)),"")</f>
        <v>0.13074670571010255</v>
      </c>
      <c r="J17" s="251">
        <f>IFERROR(_xlfn.XLOOKUP("NOPAT",Inputs!$B:$B,Inputs!K:K)/(_xlfn.XLOOKUP("Shareholder's Equity",Inputs!$B:$B,Inputs!K:K)+_xlfn.XLOOKUP("Total Debt",Inputs!$B:$B,Inputs!K:K,,,-1)),"")</f>
        <v>12955262986077.422</v>
      </c>
      <c r="K17" s="251" t="str">
        <f>IFERROR(_xlfn.XLOOKUP("NOPAT",Inputs!$B:$B,Inputs!L:L)/(_xlfn.XLOOKUP("Shareholder's Equity",Inputs!$B:$B,Inputs!L:L)+_xlfn.XLOOKUP("Total Debt",Inputs!$B:$B,Inputs!L:L,,,-1)),"")</f>
        <v/>
      </c>
      <c r="L17" s="251">
        <f>IFERROR(_xlfn.XLOOKUP("NOPAT",Inputs!$B:$B,Inputs!M:M)/(_xlfn.XLOOKUP("Shareholder's Equity",Inputs!$B:$B,Inputs!M:M)+_xlfn.XLOOKUP("Total Debt",Inputs!$B:$B,Inputs!M:M,,,-1)),"")</f>
        <v>-7.0783676417479277E-2</v>
      </c>
      <c r="M17" s="251">
        <f>IFERROR(_xlfn.XLOOKUP("NOPAT",Inputs!$B:$B,Inputs!N:N)/(_xlfn.XLOOKUP("Shareholder's Equity",Inputs!$B:$B,Inputs!N:N)+_xlfn.XLOOKUP("Total Debt",Inputs!$B:$B,Inputs!N:N,,,-1)),"")</f>
        <v>-3.4467515916253744E-2</v>
      </c>
      <c r="N17" s="251">
        <f>IFERROR(_xlfn.XLOOKUP("NOPAT",Inputs!$B:$B,Inputs!O:O)/(_xlfn.XLOOKUP("Shareholder's Equity",Inputs!$B:$B,Inputs!O:O)+_xlfn.XLOOKUP("Total Debt",Inputs!$B:$B,Inputs!O:O,,,-1)),"")</f>
        <v>1.8818346314215618E-2</v>
      </c>
      <c r="O17" s="251">
        <f>IFERROR(_xlfn.XLOOKUP("NOPAT",Inputs!$B:$B,Inputs!P:P)/(_xlfn.XLOOKUP("Shareholder's Equity",Inputs!$B:$B,Inputs!P:P)+_xlfn.XLOOKUP("Total Debt",Inputs!$B:$B,Inputs!P:P,,,-1)),"")</f>
        <v>8.8522635259477289E-2</v>
      </c>
      <c r="P17" s="358">
        <f>IFERROR(_xlfn.XLOOKUP("NOPAT",Inputs!$B:$B,Inputs!Q:Q)/(_xlfn.XLOOKUP("Shareholder's Equity",Inputs!$B:$B,Inputs!Q:Q)+_xlfn.XLOOKUP("Total Debt",Inputs!$B:$B,Inputs!Q:Q,,,-1)),"")</f>
        <v>0.11934091550632007</v>
      </c>
      <c r="Q17" s="363">
        <f ca="1">+IFERROR(_xlfn.XLOOKUP("NOPAT",DCF!$B:$B,DCF!H:H)/(_xlfn.XLOOKUP("Shareholder's Equity",DCF!$6:$6,DCF!10:10)+_xlfn.XLOOKUP("Total Borrowings",DCF!$B:$B,DCF!H:H)+_xlfn.XLOOKUP("Total Leases",DCF!$B:$B,DCF!H:H)),"")</f>
        <v>-1.8735422037838293E-8</v>
      </c>
      <c r="R17" s="363">
        <f ca="1">+IFERROR(_xlfn.XLOOKUP("NOPAT",DCF!$B:$B,DCF!I:I)/(_xlfn.XLOOKUP("Shareholder's Equity",DCF!$6:$6,DCF!10:10)+_xlfn.XLOOKUP("Total Borrowings",DCF!$B:$B,DCF!I:I)+_xlfn.XLOOKUP("Total Leases",DCF!$B:$B,DCF!I:I)),"")</f>
        <v>-3.1274562470564488E-8</v>
      </c>
      <c r="S17" s="125"/>
    </row>
    <row r="18" spans="2:19" ht="15.6">
      <c r="B18" s="250" t="s">
        <v>39</v>
      </c>
      <c r="F18" s="251" t="str">
        <f>+IFERROR(_xlfn.XLOOKUP("EBITDA",Inputs!$B:$B,Inputs!G:G)/_xlfn.XLOOKUP("Revenue (Sales)",Inputs!$B:$B,Inputs!G:G),"")</f>
        <v/>
      </c>
      <c r="G18" s="251">
        <f>+IFERROR(_xlfn.XLOOKUP("EBITDA",Inputs!$B:$B,Inputs!H:H)/_xlfn.XLOOKUP("Revenue (Sales)",Inputs!$B:$B,Inputs!H:H),"")</f>
        <v>0.13322884012539191</v>
      </c>
      <c r="H18" s="251">
        <f>+IFERROR(_xlfn.XLOOKUP("EBITDA",Inputs!$B:$B,Inputs!I:I)/_xlfn.XLOOKUP("Revenue (Sales)",Inputs!$B:$B,Inputs!I:I),"")</f>
        <v>0.10060975609756101</v>
      </c>
      <c r="I18" s="251">
        <f>+IFERROR(_xlfn.XLOOKUP("EBITDA",Inputs!$B:$B,Inputs!J:J)/_xlfn.XLOOKUP("Revenue (Sales)",Inputs!$B:$B,Inputs!J:J),"")</f>
        <v>0.12337902927009999</v>
      </c>
      <c r="J18" s="251">
        <f>+IFERROR(_xlfn.XLOOKUP("EBITDA",Inputs!$B:$B,Inputs!K:K)/_xlfn.XLOOKUP("Revenue (Sales)",Inputs!$B:$B,Inputs!K:K),"")</f>
        <v>9.7606581899775599E-2</v>
      </c>
      <c r="K18" s="251" t="str">
        <f>+IFERROR(_xlfn.XLOOKUP("EBITDA",Inputs!$B:$B,Inputs!L:L)/_xlfn.XLOOKUP("Revenue (Sales)",Inputs!$B:$B,Inputs!L:L),"")</f>
        <v/>
      </c>
      <c r="L18" s="251">
        <f>+IFERROR(_xlfn.XLOOKUP("EBITDA",Inputs!$B:$B,Inputs!M:M)/_xlfn.XLOOKUP("Revenue (Sales)",Inputs!$B:$B,Inputs!M:M),"")</f>
        <v>0.10604453870625663</v>
      </c>
      <c r="M18" s="251">
        <f>+IFERROR(_xlfn.XLOOKUP("EBITDA",Inputs!$B:$B,Inputs!N:N)/_xlfn.XLOOKUP("Revenue (Sales)",Inputs!$B:$B,Inputs!N:N),"")</f>
        <v>2.9550455831499615E-2</v>
      </c>
      <c r="N18" s="251">
        <f>+IFERROR(_xlfn.XLOOKUP("EBITDA",Inputs!$B:$B,Inputs!O:O)/_xlfn.XLOOKUP("Revenue (Sales)",Inputs!$B:$B,Inputs!O:O),"")</f>
        <v>7.4961754207037171E-2</v>
      </c>
      <c r="O18" s="251">
        <f>+IFERROR(_xlfn.XLOOKUP("EBITDA",Inputs!$B:$B,Inputs!P:P)/_xlfn.XLOOKUP("Revenue (Sales)",Inputs!$B:$B,Inputs!P:P),"")</f>
        <v>0.11765722183828606</v>
      </c>
      <c r="P18" s="358">
        <f>+IFERROR(_xlfn.XLOOKUP("EBITDA",Inputs!$B:$B,Inputs!Q:Q)/_xlfn.XLOOKUP("Revenue (Sales)",Inputs!$B:$B,Inputs!Q:Q),"")</f>
        <v>0.14620568414884261</v>
      </c>
      <c r="Q18" s="363">
        <f>+_xlfn.XLOOKUP("EBITDA Margin",DCF!$B:$B,DCF!H:H)</f>
        <v>8.8844939284435376E-2</v>
      </c>
      <c r="R18" s="363">
        <f>+_xlfn.XLOOKUP("EBITDA Margin",DCF!$B:$B,DCF!I:I)</f>
        <v>0.11395345682629605</v>
      </c>
      <c r="S18" s="31"/>
    </row>
    <row r="19" spans="2:19" ht="15.6">
      <c r="B19" s="18" t="s">
        <v>28</v>
      </c>
      <c r="F19" s="251" t="str">
        <f>IFERROR(_xlfn.XLOOKUP("Operating Income (EBIT)",Inputs!$B:$B,Inputs!G:G)/_xlfn.XLOOKUP("Revenue (Sales)",Inputs!$B:$B,Inputs!G:G),"")</f>
        <v/>
      </c>
      <c r="G19" s="251">
        <f>IFERROR(_xlfn.XLOOKUP("Operating Income (EBIT)",Inputs!$B:$B,Inputs!H:H)/_xlfn.XLOOKUP("Revenue (Sales)",Inputs!$B:$B,Inputs!H:H),"")</f>
        <v>0.13322884012539191</v>
      </c>
      <c r="H19" s="251">
        <f>IFERROR(_xlfn.XLOOKUP("Operating Income (EBIT)",Inputs!$B:$B,Inputs!I:I)/_xlfn.XLOOKUP("Revenue (Sales)",Inputs!$B:$B,Inputs!I:I),"")</f>
        <v>4.3118466898954745E-2</v>
      </c>
      <c r="I19" s="251">
        <f>IFERROR(_xlfn.XLOOKUP("Operating Income (EBIT)",Inputs!$B:$B,Inputs!J:J)/_xlfn.XLOOKUP("Revenue (Sales)",Inputs!$B:$B,Inputs!J:J),"")</f>
        <v>6.9655427936272635E-2</v>
      </c>
      <c r="J19" s="251">
        <f>IFERROR(_xlfn.XLOOKUP("Operating Income (EBIT)",Inputs!$B:$B,Inputs!K:K)/_xlfn.XLOOKUP("Revenue (Sales)",Inputs!$B:$B,Inputs!K:K),"")</f>
        <v>3.0665669409124893E-2</v>
      </c>
      <c r="K19" s="251" t="str">
        <f>IFERROR(_xlfn.XLOOKUP("Operating Income (EBIT)",Inputs!$B:$B,Inputs!L:L)/_xlfn.XLOOKUP("Revenue (Sales)",Inputs!$B:$B,Inputs!L:L),"")</f>
        <v/>
      </c>
      <c r="L19" s="251">
        <f>IFERROR(_xlfn.XLOOKUP("Operating Income (EBIT)",Inputs!$B:$B,Inputs!M:M)/_xlfn.XLOOKUP("Revenue (Sales)",Inputs!$B:$B,Inputs!M:M),"")</f>
        <v>2.5450689289501591E-2</v>
      </c>
      <c r="M19" s="251">
        <f>IFERROR(_xlfn.XLOOKUP("Operating Income (EBIT)",Inputs!$B:$B,Inputs!N:N)/_xlfn.XLOOKUP("Revenue (Sales)",Inputs!$B:$B,Inputs!N:N),"")</f>
        <v>-4.9669915121031027E-2</v>
      </c>
      <c r="N19" s="251">
        <f>IFERROR(_xlfn.XLOOKUP("Operating Income (EBIT)",Inputs!$B:$B,Inputs!O:O)/_xlfn.XLOOKUP("Revenue (Sales)",Inputs!$B:$B,Inputs!O:O),"")</f>
        <v>5.8643549209586327E-3</v>
      </c>
      <c r="O19" s="251">
        <f>IFERROR(_xlfn.XLOOKUP("Operating Income (EBIT)",Inputs!$B:$B,Inputs!P:P)/_xlfn.XLOOKUP("Revenue (Sales)",Inputs!$B:$B,Inputs!P:P),"")</f>
        <v>7.9302004146509966E-2</v>
      </c>
      <c r="P19" s="358">
        <f>IFERROR(_xlfn.XLOOKUP("Operating Income (EBIT)",Inputs!$B:$B,Inputs!Q:Q)/_xlfn.XLOOKUP("Revenue (Sales)",Inputs!$B:$B,Inputs!Q:Q),"")</f>
        <v>0.11114366637366924</v>
      </c>
      <c r="Q19" s="363">
        <f>+_xlfn.XLOOKUP("Operating Margin",DCF!$B:$B,DCF!H:H)</f>
        <v>6.0359392895766785E-2</v>
      </c>
      <c r="R19" s="363">
        <f>+_xlfn.XLOOKUP("Operating Margin",DCF!$B:$B,DCF!I:I)</f>
        <v>8.8473737352316478E-2</v>
      </c>
      <c r="S19" s="18"/>
    </row>
    <row r="20" spans="2:19" ht="15.6">
      <c r="B20" s="18" t="s">
        <v>677</v>
      </c>
      <c r="F20" s="251" t="str">
        <f>IFERROR(_xlfn.XLOOKUP("Pre-Tax Income (EBT)",Inputs!$B:$B,Inputs!G:G)/_xlfn.XLOOKUP("Revenue (Sales)",Inputs!$B:$B,Inputs!G:G),"")</f>
        <v/>
      </c>
      <c r="G20" s="251">
        <f>IFERROR(_xlfn.XLOOKUP("Pre-Tax Income (EBT)",Inputs!$B:$B,Inputs!H:H)/_xlfn.XLOOKUP("Revenue (Sales)",Inputs!$B:$B,Inputs!H:H),"")</f>
        <v>0.13322884012539191</v>
      </c>
      <c r="H20" s="251">
        <f>IFERROR(_xlfn.XLOOKUP("Pre-Tax Income (EBT)",Inputs!$B:$B,Inputs!I:I)/_xlfn.XLOOKUP("Revenue (Sales)",Inputs!$B:$B,Inputs!I:I),"")</f>
        <v>-1.4808362369337942E-2</v>
      </c>
      <c r="I20" s="251">
        <f>IFERROR(_xlfn.XLOOKUP("Pre-Tax Income (EBT)",Inputs!$B:$B,Inputs!J:J)/_xlfn.XLOOKUP("Revenue (Sales)",Inputs!$B:$B,Inputs!J:J),"")</f>
        <v>2.9640607632456403E-2</v>
      </c>
      <c r="J20" s="251">
        <f>IFERROR(_xlfn.XLOOKUP("Pre-Tax Income (EBT)",Inputs!$B:$B,Inputs!K:K)/_xlfn.XLOOKUP("Revenue (Sales)",Inputs!$B:$B,Inputs!K:K),"")</f>
        <v>-1.5362098695262078E-17</v>
      </c>
      <c r="K20" s="251" t="str">
        <f>IFERROR(_xlfn.XLOOKUP("Pre-Tax Income (EBT)",Inputs!$B:$B,Inputs!L:L)/_xlfn.XLOOKUP("Revenue (Sales)",Inputs!$B:$B,Inputs!L:L),"")</f>
        <v/>
      </c>
      <c r="L20" s="251">
        <f>IFERROR(_xlfn.XLOOKUP("Pre-Tax Income (EBT)",Inputs!$B:$B,Inputs!M:M)/_xlfn.XLOOKUP("Revenue (Sales)",Inputs!$B:$B,Inputs!M:M),"")</f>
        <v>4.595263343937785E-3</v>
      </c>
      <c r="M20" s="251">
        <f>IFERROR(_xlfn.XLOOKUP("Pre-Tax Income (EBT)",Inputs!$B:$B,Inputs!N:N)/_xlfn.XLOOKUP("Revenue (Sales)",Inputs!$B:$B,Inputs!N:N),"")</f>
        <v>-6.758880855077011E-2</v>
      </c>
      <c r="N20" s="251">
        <f>IFERROR(_xlfn.XLOOKUP("Pre-Tax Income (EBT)",Inputs!$B:$B,Inputs!O:O)/_xlfn.XLOOKUP("Revenue (Sales)",Inputs!$B:$B,Inputs!O:O),"")</f>
        <v>-3.8245792962774707E-3</v>
      </c>
      <c r="O20" s="251">
        <f>IFERROR(_xlfn.XLOOKUP("Pre-Tax Income (EBT)",Inputs!$B:$B,Inputs!P:P)/_xlfn.XLOOKUP("Revenue (Sales)",Inputs!$B:$B,Inputs!P:P),"")</f>
        <v>7.2218382861091848E-2</v>
      </c>
      <c r="P20" s="358">
        <f>IFERROR(_xlfn.XLOOKUP("Pre-Tax Income (EBT)",Inputs!$B:$B,Inputs!Q:Q)/_xlfn.XLOOKUP("Revenue (Sales)",Inputs!$B:$B,Inputs!Q:Q),"")</f>
        <v>0.10264674284598098</v>
      </c>
      <c r="Q20" s="363">
        <f>IFERROR(_xlfn.XLOOKUP("Pre-Tax Income (EBT)",DCF!$B:$B,DCF!H:H)/_xlfn.XLOOKUP("Revenue (Sales)",DCF!$B:$B,DCF!H:H),"")</f>
        <v>5.3040420992301475E-2</v>
      </c>
      <c r="R20" s="363">
        <f>IFERROR(_xlfn.XLOOKUP("Pre-Tax Income (EBT)",DCF!$B:$B,DCF!I:I)/_xlfn.XLOOKUP("Revenue (Sales)",DCF!$B:$B,DCF!I:I),"")</f>
        <v>8.1719928838543135E-2</v>
      </c>
      <c r="S20" s="18"/>
    </row>
    <row r="21" spans="2:19" ht="15.6">
      <c r="B21" s="18" t="s">
        <v>41</v>
      </c>
      <c r="F21" s="251" t="str">
        <f>IFERROR(_xlfn.XLOOKUP("Gross Profit",Inputs!$B:$B,Inputs!G:G)/_xlfn.XLOOKUP("Revenue (Sales)",Inputs!$B:$B,Inputs!G:G),"")</f>
        <v/>
      </c>
      <c r="G21" s="251">
        <f>IFERROR(_xlfn.XLOOKUP("Gross Profit",Inputs!$B:$B,Inputs!H:H)/_xlfn.XLOOKUP("Revenue (Sales)",Inputs!$B:$B,Inputs!H:H),"")</f>
        <v>0.52403343782654133</v>
      </c>
      <c r="H21" s="251">
        <f>IFERROR(_xlfn.XLOOKUP("Gross Profit",Inputs!$B:$B,Inputs!I:I)/_xlfn.XLOOKUP("Revenue (Sales)",Inputs!$B:$B,Inputs!I:I),"")</f>
        <v>0.57621951219512202</v>
      </c>
      <c r="I21" s="251">
        <f>IFERROR(_xlfn.XLOOKUP("Gross Profit",Inputs!$B:$B,Inputs!J:J)/_xlfn.XLOOKUP("Revenue (Sales)",Inputs!$B:$B,Inputs!J:J),"")</f>
        <v>0.61022600963319751</v>
      </c>
      <c r="J21" s="251">
        <f>IFERROR(_xlfn.XLOOKUP("Gross Profit",Inputs!$B:$B,Inputs!K:K)/_xlfn.XLOOKUP("Revenue (Sales)",Inputs!$B:$B,Inputs!K:K),"")</f>
        <v>0.60845175766641735</v>
      </c>
      <c r="K21" s="251" t="str">
        <f>IFERROR(_xlfn.XLOOKUP("Gross Profit",Inputs!$B:$B,Inputs!L:L)/_xlfn.XLOOKUP("Revenue (Sales)",Inputs!$B:$B,Inputs!L:L),"")</f>
        <v/>
      </c>
      <c r="L21" s="251">
        <f>IFERROR(_xlfn.XLOOKUP("Gross Profit",Inputs!$B:$B,Inputs!M:M)/_xlfn.XLOOKUP("Revenue (Sales)",Inputs!$B:$B,Inputs!M:M),"")</f>
        <v>0.64050901378579006</v>
      </c>
      <c r="M21" s="251">
        <f>IFERROR(_xlfn.XLOOKUP("Gross Profit",Inputs!$B:$B,Inputs!N:N)/_xlfn.XLOOKUP("Revenue (Sales)",Inputs!$B:$B,Inputs!N:N),"")</f>
        <v>0.64822382898459607</v>
      </c>
      <c r="N21" s="251">
        <f>IFERROR(_xlfn.XLOOKUP("Gross Profit",Inputs!$B:$B,Inputs!O:O)/_xlfn.XLOOKUP("Revenue (Sales)",Inputs!$B:$B,Inputs!O:O),"")</f>
        <v>0.64201937786843444</v>
      </c>
      <c r="O21" s="251">
        <f>IFERROR(_xlfn.XLOOKUP("Gross Profit",Inputs!$B:$B,Inputs!P:P)/_xlfn.XLOOKUP("Revenue (Sales)",Inputs!$B:$B,Inputs!P:P),"")</f>
        <v>0.67449896337249482</v>
      </c>
      <c r="P21" s="358">
        <f>IFERROR(_xlfn.XLOOKUP("Gross Profit",Inputs!$B:$B,Inputs!Q:Q)/_xlfn.XLOOKUP("Revenue (Sales)",Inputs!$B:$B,Inputs!Q:Q),"")</f>
        <v>0.70719796855161632</v>
      </c>
      <c r="Q21" s="363">
        <f>+_xlfn.XLOOKUP("Gross Profit Margin",DCF!$B:$B,DCF!H:H)</f>
        <v>0.65</v>
      </c>
      <c r="R21" s="363">
        <f>+_xlfn.XLOOKUP("Gross Profit Margin",DCF!$B:$B,DCF!I:I)</f>
        <v>0.67500000000000004</v>
      </c>
      <c r="S21" s="18"/>
    </row>
    <row r="22" spans="2:19" ht="15.6">
      <c r="B22" s="18" t="s">
        <v>43</v>
      </c>
      <c r="F22" s="251" t="str">
        <f>IFERROR(+_xlfn.XLOOKUP("SG&amp;A (Selling, General &amp; Administrative)",Inputs!$B:$B,Inputs!G:G)/_xlfn.XLOOKUP("Revenue (Sales)",Inputs!$B:$B,Inputs!G:G),"")</f>
        <v/>
      </c>
      <c r="G22" s="251">
        <f>IFERROR(+_xlfn.XLOOKUP("SG&amp;A (Selling, General &amp; Administrative)",Inputs!$B:$B,Inputs!H:H)/_xlfn.XLOOKUP("Revenue (Sales)",Inputs!$B:$B,Inputs!H:H),"")</f>
        <v>0.39080459770114939</v>
      </c>
      <c r="H22" s="251">
        <f>IFERROR(+_xlfn.XLOOKUP("SG&amp;A (Selling, General &amp; Administrative)",Inputs!$B:$B,Inputs!I:I)/_xlfn.XLOOKUP("Revenue (Sales)",Inputs!$B:$B,Inputs!I:I),"")</f>
        <v>0.47560975609756101</v>
      </c>
      <c r="I22" s="251">
        <f>IFERROR(+_xlfn.XLOOKUP("SG&amp;A (Selling, General &amp; Administrative)",Inputs!$B:$B,Inputs!J:J)/_xlfn.XLOOKUP("Revenue (Sales)",Inputs!$B:$B,Inputs!J:J),"")</f>
        <v>0.48684698036309748</v>
      </c>
      <c r="J22" s="251">
        <f>IFERROR(+_xlfn.XLOOKUP("SG&amp;A (Selling, General &amp; Administrative)",Inputs!$B:$B,Inputs!K:K)/_xlfn.XLOOKUP("Revenue (Sales)",Inputs!$B:$B,Inputs!K:K),"")</f>
        <v>0.51084517576664179</v>
      </c>
      <c r="K22" s="251" t="str">
        <f>IFERROR(+_xlfn.XLOOKUP("SG&amp;A (Selling, General &amp; Administrative)",Inputs!$B:$B,Inputs!L:L)/_xlfn.XLOOKUP("Revenue (Sales)",Inputs!$B:$B,Inputs!L:L),"")</f>
        <v/>
      </c>
      <c r="L22" s="251">
        <f>IFERROR(+_xlfn.XLOOKUP("SG&amp;A (Selling, General &amp; Administrative)",Inputs!$B:$B,Inputs!M:M)/_xlfn.XLOOKUP("Revenue (Sales)",Inputs!$B:$B,Inputs!M:M),"")</f>
        <v>0.55567338282078471</v>
      </c>
      <c r="M22" s="251">
        <f>IFERROR(+_xlfn.XLOOKUP("SG&amp;A (Selling, General &amp; Administrative)",Inputs!$B:$B,Inputs!N:N)/_xlfn.XLOOKUP("Revenue (Sales)",Inputs!$B:$B,Inputs!N:N),"")</f>
        <v>0.6104998428167242</v>
      </c>
      <c r="N22" s="251">
        <f>IFERROR(+_xlfn.XLOOKUP("SG&amp;A (Selling, General &amp; Administrative)",Inputs!$B:$B,Inputs!O:O)/_xlfn.XLOOKUP("Revenue (Sales)",Inputs!$B:$B,Inputs!O:O),"")</f>
        <v>0.56578276389597149</v>
      </c>
      <c r="O22" s="251">
        <f>IFERROR(+_xlfn.XLOOKUP("SG&amp;A (Selling, General &amp; Administrative)",Inputs!$B:$B,Inputs!P:P)/_xlfn.XLOOKUP("Revenue (Sales)",Inputs!$B:$B,Inputs!P:P),"")</f>
        <v>0.55684174153420873</v>
      </c>
      <c r="P22" s="358">
        <f>IFERROR(+_xlfn.XLOOKUP("SG&amp;A (Selling, General &amp; Administrative)",Inputs!$B:$B,Inputs!Q:Q)/_xlfn.XLOOKUP("Revenue (Sales)",Inputs!$B:$B,Inputs!Q:Q),"")</f>
        <v>0.56099228440277371</v>
      </c>
      <c r="Q22" s="363">
        <f>+_xlfn.XLOOKUP("SG&amp;A Margin",DCF!$B:$B,DCF!H:H)</f>
        <v>0.56120559661098468</v>
      </c>
      <c r="R22" s="363">
        <f>+_xlfn.XLOOKUP("SG&amp;A Margin",DCF!$B:$B,DCF!I:I)</f>
        <v>0.55967987418265575</v>
      </c>
    </row>
    <row r="23" spans="2:19" ht="15.6">
      <c r="B23" s="18" t="s">
        <v>45</v>
      </c>
      <c r="F23" s="251" t="str">
        <f>IFERROR(_xlfn.XLOOKUP("Net Income",Inputs!$B:$B,Inputs!G:G)/_xlfn.XLOOKUP("Revenue (Sales)",Inputs!$B:$B,Inputs!G:G),"")</f>
        <v/>
      </c>
      <c r="G23" s="251">
        <f>IFERROR(_xlfn.XLOOKUP("Net Income",Inputs!$B:$B,Inputs!H:H)/_xlfn.XLOOKUP("Revenue (Sales)",Inputs!$B:$B,Inputs!H:H),"")</f>
        <v>0.13322884012539191</v>
      </c>
      <c r="H23" s="251">
        <f>IFERROR(_xlfn.XLOOKUP("Net Income",Inputs!$B:$B,Inputs!I:I)/_xlfn.XLOOKUP("Revenue (Sales)",Inputs!$B:$B,Inputs!I:I),"")</f>
        <v>2.3083623693379827E-2</v>
      </c>
      <c r="I23" s="251">
        <f>IFERROR(_xlfn.XLOOKUP("Net Income",Inputs!$B:$B,Inputs!J:J)/_xlfn.XLOOKUP("Revenue (Sales)",Inputs!$B:$B,Inputs!J:J),"")</f>
        <v>0.12412004446091141</v>
      </c>
      <c r="J23" s="251">
        <f>IFERROR(_xlfn.XLOOKUP("Net Income",Inputs!$B:$B,Inputs!K:K)/_xlfn.XLOOKUP("Revenue (Sales)",Inputs!$B:$B,Inputs!K:K),"")</f>
        <v>5.7965594614809261E-2</v>
      </c>
      <c r="K23" s="251" t="str">
        <f>IFERROR(_xlfn.XLOOKUP("Net Income",Inputs!$B:$B,Inputs!L:L)/_xlfn.XLOOKUP("Revenue (Sales)",Inputs!$B:$B,Inputs!L:L),"")</f>
        <v/>
      </c>
      <c r="L23" s="251">
        <f>IFERROR(_xlfn.XLOOKUP("Net Income",Inputs!$B:$B,Inputs!M:M)/_xlfn.XLOOKUP("Revenue (Sales)",Inputs!$B:$B,Inputs!M:M),"")</f>
        <v>6.3273241428066451E-2</v>
      </c>
      <c r="M23" s="251">
        <f>IFERROR(_xlfn.XLOOKUP("Net Income",Inputs!$B:$B,Inputs!N:N)/_xlfn.XLOOKUP("Revenue (Sales)",Inputs!$B:$B,Inputs!N:N),"")</f>
        <v>1.9490726186733816E-2</v>
      </c>
      <c r="N23" s="251">
        <f>IFERROR(_xlfn.XLOOKUP("Net Income",Inputs!$B:$B,Inputs!O:O)/_xlfn.XLOOKUP("Revenue (Sales)",Inputs!$B:$B,Inputs!O:O),"")</f>
        <v>5.5838857725650122E-2</v>
      </c>
      <c r="O23" s="251">
        <f>IFERROR(_xlfn.XLOOKUP("Net Income",Inputs!$B:$B,Inputs!P:P)/_xlfn.XLOOKUP("Revenue (Sales)",Inputs!$B:$B,Inputs!P:P),"")</f>
        <v>0.10625431928127153</v>
      </c>
      <c r="P23" s="358">
        <f>IFERROR(_xlfn.XLOOKUP("Net Income",Inputs!$B:$B,Inputs!Q:Q)/_xlfn.XLOOKUP("Revenue (Sales)",Inputs!$B:$B,Inputs!Q:Q),"")</f>
        <v>0.12471921086043553</v>
      </c>
      <c r="Q23" s="363">
        <f>+_xlfn.XLOOKUP("Net Income Margin",DCF!$B:$B,DCF!H:H)</f>
        <v>4.7416290935049621E-2</v>
      </c>
      <c r="R23" s="363">
        <f>+_xlfn.XLOOKUP("Net Income Margin",DCF!$B:$B,DCF!I:I)</f>
        <v>7.3163348264548553E-2</v>
      </c>
    </row>
    <row r="24" spans="2:19" ht="8.1" customHeight="1">
      <c r="N24" s="252"/>
      <c r="O24" s="252"/>
      <c r="P24" s="359"/>
      <c r="Q24" s="364"/>
      <c r="R24" s="364"/>
    </row>
    <row r="25" spans="2:19" ht="15.6">
      <c r="B25" s="7" t="s">
        <v>265</v>
      </c>
      <c r="C25" s="55"/>
      <c r="D25" s="57"/>
      <c r="E25" s="57"/>
      <c r="F25" s="376">
        <v>2014</v>
      </c>
      <c r="G25" s="376">
        <f t="shared" ref="G25" si="13">+F25+1</f>
        <v>2015</v>
      </c>
      <c r="H25" s="376">
        <f t="shared" ref="H25" si="14">+G25+1</f>
        <v>2016</v>
      </c>
      <c r="I25" s="376">
        <f t="shared" ref="I25" si="15">+H25+1</f>
        <v>2017</v>
      </c>
      <c r="J25" s="376">
        <f t="shared" ref="J25" si="16">+I25+1</f>
        <v>2018</v>
      </c>
      <c r="K25" s="376">
        <f t="shared" ref="K25" si="17">+J25+1</f>
        <v>2019</v>
      </c>
      <c r="L25" s="376">
        <f t="shared" ref="L25" si="18">+K25+1</f>
        <v>2020</v>
      </c>
      <c r="M25" s="376">
        <f t="shared" ref="M25" si="19">+L25+1</f>
        <v>2021</v>
      </c>
      <c r="N25" s="376">
        <v>2022</v>
      </c>
      <c r="O25" s="376">
        <f t="shared" ref="O25" si="20">+N25+1</f>
        <v>2023</v>
      </c>
      <c r="P25" s="377">
        <f>+O25+1</f>
        <v>2024</v>
      </c>
      <c r="Q25" s="375">
        <f>+P25+1</f>
        <v>2025</v>
      </c>
      <c r="R25" s="375">
        <f>+Q25+1</f>
        <v>2026</v>
      </c>
    </row>
    <row r="26" spans="2:19" ht="3.95" customHeight="1">
      <c r="B26" s="246"/>
      <c r="C26" s="52"/>
      <c r="D26" s="59"/>
      <c r="E26" s="59"/>
      <c r="F26" s="59"/>
      <c r="G26" s="59"/>
      <c r="H26" s="59"/>
      <c r="I26" s="59"/>
      <c r="J26" s="59"/>
      <c r="K26" s="59"/>
      <c r="L26" s="59"/>
      <c r="M26" s="59"/>
      <c r="N26" s="219"/>
      <c r="O26" s="219"/>
      <c r="P26" s="356"/>
      <c r="Q26" s="219"/>
      <c r="R26" s="219"/>
    </row>
    <row r="27" spans="2:19" ht="15" customHeight="1">
      <c r="B27" s="33" t="s">
        <v>53</v>
      </c>
      <c r="C27" s="125"/>
      <c r="D27" s="241"/>
      <c r="F27" s="16" t="str">
        <f>+IFERROR(_xlfn.XLOOKUP("Cash &amp; Cash Equivalents",Inputs!$B:$B,Inputs!G:G)/_xlfn.XLOOKUP("Current Liabilities",Inputs!$B:$B,Inputs!G:G),"")</f>
        <v/>
      </c>
      <c r="G27" s="16">
        <f>+IFERROR(_xlfn.XLOOKUP("Cash &amp; Cash Equivalents",Inputs!$B:$B,Inputs!H:H)/_xlfn.XLOOKUP("Current Liabilities",Inputs!$B:$B,Inputs!H:H),"")</f>
        <v>0.30501089324618735</v>
      </c>
      <c r="H27" s="16">
        <f>+IFERROR(_xlfn.XLOOKUP("Cash &amp; Cash Equivalents",Inputs!$B:$B,Inputs!I:I)/_xlfn.XLOOKUP("Current Liabilities",Inputs!$B:$B,Inputs!I:I),"")</f>
        <v>0.19053549190535493</v>
      </c>
      <c r="I27" s="16">
        <f>+IFERROR(_xlfn.XLOOKUP("Cash &amp; Cash Equivalents",Inputs!$B:$B,Inputs!J:J)/_xlfn.XLOOKUP("Current Liabilities",Inputs!$B:$B,Inputs!J:J),"")</f>
        <v>0.19649805447470817</v>
      </c>
      <c r="J27" s="16">
        <f>+IFERROR(_xlfn.XLOOKUP("Cash &amp; Cash Equivalents",Inputs!$B:$B,Inputs!K:K)/_xlfn.XLOOKUP("Current Liabilities",Inputs!$B:$B,Inputs!K:K),"")</f>
        <v>1.1906976744186046</v>
      </c>
      <c r="K27" s="16">
        <f>+IFERROR(_xlfn.XLOOKUP("Cash &amp; Cash Equivalents",Inputs!$B:$B,Inputs!L:L)/_xlfn.XLOOKUP("Current Liabilities",Inputs!$B:$B,Inputs!L:L),"")</f>
        <v>1.1951219512195121</v>
      </c>
      <c r="L27" s="16">
        <f>+IFERROR(_xlfn.XLOOKUP("Cash &amp; Cash Equivalents",Inputs!$B:$B,Inputs!M:M)/_xlfn.XLOOKUP("Current Liabilities",Inputs!$B:$B,Inputs!M:M),"")</f>
        <v>0.90410958904109595</v>
      </c>
      <c r="M27" s="16">
        <f>+IFERROR(_xlfn.XLOOKUP("Cash &amp; Cash Equivalents",Inputs!$B:$B,Inputs!N:N)/_xlfn.XLOOKUP("Current Liabilities",Inputs!$B:$B,Inputs!N:N),"")</f>
        <v>0.78854024556616642</v>
      </c>
      <c r="N27" s="16">
        <f>+IFERROR(_xlfn.XLOOKUP("Cash &amp; Cash Equivalents",Inputs!$B:$B,Inputs!O:O)/_xlfn.XLOOKUP("Current Liabilities",Inputs!$B:$B,Inputs!O:O),"")</f>
        <v>0.6676923076923077</v>
      </c>
      <c r="O27" s="16">
        <f>+IFERROR(_xlfn.XLOOKUP("Cash &amp; Cash Equivalents",Inputs!$B:$B,Inputs!P:P)/_xlfn.XLOOKUP("Current Liabilities",Inputs!$B:$B,Inputs!P:P),"")</f>
        <v>1.1185185185185185</v>
      </c>
      <c r="P27" s="354">
        <f>+IFERROR(_xlfn.XLOOKUP("Cash &amp; Cash Equivalents",Inputs!$B:$B,Inputs!Q:Q)/_xlfn.XLOOKUP("Current Liabilities",Inputs!$B:$B,Inputs!Q:Q),"")</f>
        <v>0.36175192243396853</v>
      </c>
      <c r="Q27" s="361">
        <f>+IFERROR((_xlfn.XLOOKUP("Cash &amp; Cash Equivalents &amp; ST Investments",DCF!$B:$B,DCF!H:H)-_xlfn.XLOOKUP("Short-Term Investments",Inputs!$B:$B,Inputs!$Q:$Q))/_xlfn.XLOOKUP("Current Liabilities",DCF!$6:$6,DCF!10:10),"")</f>
        <v>0.34007723649887339</v>
      </c>
      <c r="R27" s="361">
        <f>+IFERROR((_xlfn.XLOOKUP("Cash &amp; Cash Equivalents &amp; ST Investments",DCF!$B:$B,DCF!I:I)-_xlfn.XLOOKUP("Short-Term Investments",Inputs!$B:$B,Inputs!$Q:$Q))/_xlfn.XLOOKUP("Current Liabilities",DCF!$6:$6,DCF!10:10),"")</f>
        <v>1.078885180819277</v>
      </c>
    </row>
    <row r="28" spans="2:19" ht="15.6">
      <c r="B28" s="18" t="s">
        <v>56</v>
      </c>
      <c r="F28" s="16" t="str">
        <f>IFERROR((_xlfn.XLOOKUP("Cash &amp; Cash Equivalents &amp; ST Investments",Inputs!$B:$B,Inputs!G:G)+_xlfn.XLOOKUP("Accounts Receivable",Inputs!$B:$B,Inputs!G:G))/_xlfn.XLOOKUP("Current Liabilities",Inputs!$B:$B,Inputs!G:G),"")</f>
        <v/>
      </c>
      <c r="G28" s="16">
        <f>IFERROR((_xlfn.XLOOKUP("Cash &amp; Cash Equivalents &amp; ST Investments",Inputs!$B:$B,Inputs!H:H)+_xlfn.XLOOKUP("Accounts Receivable",Inputs!$B:$B,Inputs!H:H))/_xlfn.XLOOKUP("Current Liabilities",Inputs!$B:$B,Inputs!H:H),"")</f>
        <v>0.79520697167755994</v>
      </c>
      <c r="H28" s="16">
        <f>IFERROR((_xlfn.XLOOKUP("Cash &amp; Cash Equivalents &amp; ST Investments",Inputs!$B:$B,Inputs!I:I)+_xlfn.XLOOKUP("Accounts Receivable",Inputs!$B:$B,Inputs!I:I))/_xlfn.XLOOKUP("Current Liabilities",Inputs!$B:$B,Inputs!I:I),"")</f>
        <v>0.66127023661270234</v>
      </c>
      <c r="I28" s="16">
        <f>IFERROR((_xlfn.XLOOKUP("Cash &amp; Cash Equivalents &amp; ST Investments",Inputs!$B:$B,Inputs!J:J)+_xlfn.XLOOKUP("Accounts Receivable",Inputs!$B:$B,Inputs!J:J))/_xlfn.XLOOKUP("Current Liabilities",Inputs!$B:$B,Inputs!J:J),"")</f>
        <v>1.0642023346303502</v>
      </c>
      <c r="J28" s="16">
        <f>IFERROR((_xlfn.XLOOKUP("Cash &amp; Cash Equivalents &amp; ST Investments",Inputs!$B:$B,Inputs!K:K)+_xlfn.XLOOKUP("Accounts Receivable",Inputs!$B:$B,Inputs!K:K))/_xlfn.XLOOKUP("Current Liabilities",Inputs!$B:$B,Inputs!K:K),"")</f>
        <v>2.0441860465116282</v>
      </c>
      <c r="K28" s="16">
        <f>IFERROR((_xlfn.XLOOKUP("Cash &amp; Cash Equivalents &amp; ST Investments",Inputs!$B:$B,Inputs!L:L)+_xlfn.XLOOKUP("Accounts Receivable",Inputs!$B:$B,Inputs!L:L))/_xlfn.XLOOKUP("Current Liabilities",Inputs!$B:$B,Inputs!L:L),"")</f>
        <v>1.9113082039911304</v>
      </c>
      <c r="L28" s="16">
        <f>IFERROR((_xlfn.XLOOKUP("Cash &amp; Cash Equivalents &amp; ST Investments",Inputs!$B:$B,Inputs!M:M)+_xlfn.XLOOKUP("Accounts Receivable",Inputs!$B:$B,Inputs!M:M))/_xlfn.XLOOKUP("Current Liabilities",Inputs!$B:$B,Inputs!M:M),"")</f>
        <v>1.4853228962818004</v>
      </c>
      <c r="M28" s="16">
        <f>IFERROR((_xlfn.XLOOKUP("Cash &amp; Cash Equivalents &amp; ST Investments",Inputs!$B:$B,Inputs!N:N)+_xlfn.XLOOKUP("Accounts Receivable",Inputs!$B:$B,Inputs!N:N))/_xlfn.XLOOKUP("Current Liabilities",Inputs!$B:$B,Inputs!N:N),"")</f>
        <v>1.3369713506139154</v>
      </c>
      <c r="N28" s="16">
        <f>IFERROR((_xlfn.XLOOKUP("Cash &amp; Cash Equivalents &amp; ST Investments",Inputs!$B:$B,Inputs!O:O)+_xlfn.XLOOKUP("Accounts Receivable",Inputs!$B:$B,Inputs!O:O))/_xlfn.XLOOKUP("Current Liabilities",Inputs!$B:$B,Inputs!O:O),"")</f>
        <v>1.3692307692307693</v>
      </c>
      <c r="O28" s="16">
        <f>IFERROR((_xlfn.XLOOKUP("Cash &amp; Cash Equivalents &amp; ST Investments",Inputs!$B:$B,Inputs!P:P)+_xlfn.XLOOKUP("Accounts Receivable",Inputs!$B:$B,Inputs!P:P))/_xlfn.XLOOKUP("Current Liabilities",Inputs!$B:$B,Inputs!P:P),"")</f>
        <v>1.747222222222222</v>
      </c>
      <c r="P28" s="354">
        <f>IFERROR((_xlfn.XLOOKUP("Cash &amp; Cash Equivalents &amp; ST Investments",Inputs!$B:$B,Inputs!Q:Q)+_xlfn.XLOOKUP("Accounts Receivable",Inputs!$B:$B,Inputs!Q:Q))/_xlfn.XLOOKUP("Current Liabilities",Inputs!$B:$B,Inputs!Q:Q),"")</f>
        <v>0.77566031427616178</v>
      </c>
      <c r="Q28" s="361">
        <f>+IFERROR((_xlfn.XLOOKUP("Cash &amp; Cash Equivalents &amp; ST Investments",DCF!$B:$B,DCF!H:H)+_xlfn.XLOOKUP("Accounts Receivable",DCF!$B:$B,DCF!H:H))/_xlfn.XLOOKUP("Current Liabilities",DCF!$6:$6,DCF!10:10),"")</f>
        <v>1.0044039676485865</v>
      </c>
      <c r="R28" s="361">
        <f>+IFERROR((_xlfn.XLOOKUP("Cash &amp; Cash Equivalents &amp; ST Investments",DCF!$B:$B,DCF!I:I)+_xlfn.XLOOKUP("Accounts Receivable",DCF!$B:$B,DCF!I:I))/_xlfn.XLOOKUP("Current Liabilities",DCF!$6:$6,DCF!10:10),"")</f>
        <v>1.8426952497790705</v>
      </c>
    </row>
    <row r="29" spans="2:19" ht="15.6">
      <c r="B29" s="18" t="s">
        <v>58</v>
      </c>
      <c r="F29" s="16" t="str">
        <f>IFERROR(_xlfn.XLOOKUP("Current Assets",Inputs!$B:$B,Inputs!G:G)/+_xlfn.XLOOKUP("Current Liabilities",Inputs!$B:$B,Inputs!G:G),"")</f>
        <v/>
      </c>
      <c r="G29" s="16">
        <f>IFERROR(_xlfn.XLOOKUP("Current Assets",Inputs!$B:$B,Inputs!H:H)/+_xlfn.XLOOKUP("Current Liabilities",Inputs!$B:$B,Inputs!H:H),"")</f>
        <v>1.5403050108932463</v>
      </c>
      <c r="H29" s="16">
        <f>IFERROR(_xlfn.XLOOKUP("Current Assets",Inputs!$B:$B,Inputs!I:I)/+_xlfn.XLOOKUP("Current Liabilities",Inputs!$B:$B,Inputs!I:I),"")</f>
        <v>1.5554171855541721</v>
      </c>
      <c r="I29" s="16">
        <f>IFERROR(_xlfn.XLOOKUP("Current Assets",Inputs!$B:$B,Inputs!J:J)/+_xlfn.XLOOKUP("Current Liabilities",Inputs!$B:$B,Inputs!J:J),"")</f>
        <v>2.404669260700389</v>
      </c>
      <c r="J29" s="16">
        <f>IFERROR(_xlfn.XLOOKUP("Current Assets",Inputs!$B:$B,Inputs!K:K)/+_xlfn.XLOOKUP("Current Liabilities",Inputs!$B:$B,Inputs!K:K),"")</f>
        <v>3.2953488372093021</v>
      </c>
      <c r="K29" s="16">
        <f>IFERROR(_xlfn.XLOOKUP("Current Assets",Inputs!$B:$B,Inputs!L:L)/+_xlfn.XLOOKUP("Current Liabilities",Inputs!$B:$B,Inputs!L:L),"")</f>
        <v>3.0443458980044347</v>
      </c>
      <c r="L29" s="16">
        <f>IFERROR(_xlfn.XLOOKUP("Current Assets",Inputs!$B:$B,Inputs!M:M)/+_xlfn.XLOOKUP("Current Liabilities",Inputs!$B:$B,Inputs!M:M),"")</f>
        <v>2.5909980430528377</v>
      </c>
      <c r="M29" s="16">
        <f>IFERROR(_xlfn.XLOOKUP("Current Assets",Inputs!$B:$B,Inputs!N:N)/+_xlfn.XLOOKUP("Current Liabilities",Inputs!$B:$B,Inputs!N:N),"")</f>
        <v>2.320600272851296</v>
      </c>
      <c r="N29" s="16">
        <f>IFERROR(_xlfn.XLOOKUP("Current Assets",Inputs!$B:$B,Inputs!O:O)/+_xlfn.XLOOKUP("Current Liabilities",Inputs!$B:$B,Inputs!O:O),"")</f>
        <v>2.9692307692307693</v>
      </c>
      <c r="O29" s="16">
        <f>IFERROR(_xlfn.XLOOKUP("Current Assets",Inputs!$B:$B,Inputs!P:P)/+_xlfn.XLOOKUP("Current Liabilities",Inputs!$B:$B,Inputs!P:P),"")</f>
        <v>2.8083333333333336</v>
      </c>
      <c r="P29" s="354">
        <f>IFERROR(_xlfn.XLOOKUP("Current Assets",Inputs!$B:$B,Inputs!Q:Q)/+_xlfn.XLOOKUP("Current Liabilities",Inputs!$B:$B,Inputs!Q:Q),"")</f>
        <v>1.5951186894015379</v>
      </c>
      <c r="Q29" s="361">
        <f>+IFERROR(_xlfn.XLOOKUP("Current Assets",DCF!$6:$6,DCF!10:10)/_xlfn.XLOOKUP("Current Liabilities",DCF!$6:$6,DCF!10:10),"")</f>
        <v>2.2947213464965821</v>
      </c>
      <c r="R29" s="361">
        <f>+IFERROR(_xlfn.XLOOKUP("Current Assets",DCF!$6:$6,DCF!10:10)/_xlfn.XLOOKUP("Current Liabilities",DCF!$6:$6,DCF!10:10),"")</f>
        <v>2.2947213464965821</v>
      </c>
    </row>
    <row r="30" spans="2:19" ht="8.1" customHeight="1">
      <c r="N30" s="16"/>
      <c r="O30" s="16"/>
      <c r="P30" s="354"/>
      <c r="Q30" s="361"/>
      <c r="R30" s="361"/>
    </row>
    <row r="31" spans="2:19" ht="15.6">
      <c r="B31" s="7" t="s">
        <v>678</v>
      </c>
      <c r="C31" s="55"/>
      <c r="D31" s="57"/>
      <c r="E31" s="57"/>
      <c r="F31" s="376">
        <v>2014</v>
      </c>
      <c r="G31" s="376">
        <f t="shared" ref="G31" si="21">+F31+1</f>
        <v>2015</v>
      </c>
      <c r="H31" s="376">
        <f t="shared" ref="H31" si="22">+G31+1</f>
        <v>2016</v>
      </c>
      <c r="I31" s="376">
        <f t="shared" ref="I31" si="23">+H31+1</f>
        <v>2017</v>
      </c>
      <c r="J31" s="376">
        <f t="shared" ref="J31" si="24">+I31+1</f>
        <v>2018</v>
      </c>
      <c r="K31" s="376">
        <f t="shared" ref="K31" si="25">+J31+1</f>
        <v>2019</v>
      </c>
      <c r="L31" s="376">
        <f t="shared" ref="L31" si="26">+K31+1</f>
        <v>2020</v>
      </c>
      <c r="M31" s="376">
        <f t="shared" ref="M31" si="27">+L31+1</f>
        <v>2021</v>
      </c>
      <c r="N31" s="376">
        <v>2022</v>
      </c>
      <c r="O31" s="376">
        <f t="shared" ref="O31" si="28">+N31+1</f>
        <v>2023</v>
      </c>
      <c r="P31" s="377">
        <f>+O31+1</f>
        <v>2024</v>
      </c>
      <c r="Q31" s="375">
        <f>+P31+1</f>
        <v>2025</v>
      </c>
      <c r="R31" s="375">
        <f>+Q31+1</f>
        <v>2026</v>
      </c>
    </row>
    <row r="32" spans="2:19" ht="3.95" customHeight="1">
      <c r="B32" s="246"/>
      <c r="C32" s="52"/>
      <c r="D32" s="59"/>
      <c r="E32" s="59"/>
      <c r="F32" s="59"/>
      <c r="G32" s="59"/>
      <c r="H32" s="59"/>
      <c r="I32" s="59"/>
      <c r="J32" s="59"/>
      <c r="K32" s="59"/>
      <c r="L32" s="59"/>
      <c r="M32" s="59"/>
      <c r="N32" s="219"/>
      <c r="O32" s="219"/>
      <c r="P32" s="356"/>
      <c r="Q32" s="219"/>
      <c r="R32" s="219"/>
    </row>
    <row r="33" spans="2:18" ht="15.6">
      <c r="B33" s="18" t="s">
        <v>679</v>
      </c>
      <c r="F33" s="253" t="str">
        <f>+_xlfn.XLOOKUP("DSO",Inputs!$B:$B,Inputs!G:G)</f>
        <v/>
      </c>
      <c r="G33" s="253">
        <f>+_xlfn.XLOOKUP("DSO",Inputs!$B:$B,Inputs!H:H)</f>
        <v>42.907523510971785</v>
      </c>
      <c r="H33" s="253">
        <f>+_xlfn.XLOOKUP("DSO",Inputs!$B:$B,Inputs!I:I)</f>
        <v>60.091463414634141</v>
      </c>
      <c r="I33" s="253">
        <f>+_xlfn.XLOOKUP("DSO",Inputs!$B:$B,Inputs!J:J)</f>
        <v>60.314931456094854</v>
      </c>
      <c r="J33" s="253">
        <f>+_xlfn.XLOOKUP("DSO",Inputs!$B:$B,Inputs!K:K)</f>
        <v>50.095362752430823</v>
      </c>
      <c r="K33" s="253" t="str">
        <f>+_xlfn.XLOOKUP("DSO",Inputs!$B:$B,Inputs!L:L)</f>
        <v/>
      </c>
      <c r="L33" s="253">
        <f>+_xlfn.XLOOKUP("DSO",Inputs!$B:$B,Inputs!M:M)</f>
        <v>38.319194061505833</v>
      </c>
      <c r="M33" s="253">
        <f>+_xlfn.XLOOKUP("DSO",Inputs!$B:$B,Inputs!N:N)</f>
        <v>46.127004086765169</v>
      </c>
      <c r="N33" s="253">
        <f>+_xlfn.XLOOKUP("DSO",Inputs!$B:$B,Inputs!O:O)</f>
        <v>42.437531871494137</v>
      </c>
      <c r="O33" s="253">
        <f>+_xlfn.XLOOKUP("DSO",Inputs!$B:$B,Inputs!P:P)</f>
        <v>42.818762957843823</v>
      </c>
      <c r="P33" s="360">
        <f>+_xlfn.XLOOKUP("DSO",Inputs!$B:$B,Inputs!Q:Q)</f>
        <v>44.13223947651138</v>
      </c>
      <c r="Q33" s="365">
        <f>+_xlfn.XLOOKUP("DSO",DCF!$B:$B,DCF!H:H)</f>
        <v>43.169814850330148</v>
      </c>
      <c r="R33" s="365">
        <f>+_xlfn.XLOOKUP("DSO",DCF!$B:$B,DCF!I:I)</f>
        <v>43.413909176608826</v>
      </c>
    </row>
    <row r="34" spans="2:18" ht="15.6">
      <c r="B34" s="247" t="s">
        <v>680</v>
      </c>
      <c r="F34" s="253" t="str">
        <f>+_xlfn.XLOOKUP("DPO",Inputs!$B:$B,Inputs!G:G)</f>
        <v/>
      </c>
      <c r="G34" s="253">
        <f>+_xlfn.XLOOKUP("DPO",Inputs!$B:$B,Inputs!H:H)</f>
        <v>21.167711598746081</v>
      </c>
      <c r="H34" s="253">
        <f>+_xlfn.XLOOKUP("DPO",Inputs!$B:$B,Inputs!I:I)</f>
        <v>60.250435540069688</v>
      </c>
      <c r="I34" s="253">
        <f>+_xlfn.XLOOKUP("DPO",Inputs!$B:$B,Inputs!J:J)</f>
        <v>36.243052982586143</v>
      </c>
      <c r="J34" s="253">
        <f>+_xlfn.XLOOKUP("DPO",Inputs!$B:$B,Inputs!K:K)</f>
        <v>27.982423335826478</v>
      </c>
      <c r="K34" s="253" t="str">
        <f>+_xlfn.XLOOKUP("DPO",Inputs!$B:$B,Inputs!L:L)</f>
        <v/>
      </c>
      <c r="L34" s="253">
        <f>+_xlfn.XLOOKUP("DPO",Inputs!$B:$B,Inputs!M:M)</f>
        <v>15.99858607281725</v>
      </c>
      <c r="M34" s="253">
        <f>+_xlfn.XLOOKUP("DPO",Inputs!$B:$B,Inputs!N:N)</f>
        <v>18.014775227915749</v>
      </c>
      <c r="N34" s="253">
        <f>+_xlfn.XLOOKUP("DPO",Inputs!$B:$B,Inputs!O:O)</f>
        <v>17.868434472208058</v>
      </c>
      <c r="O34" s="253">
        <f>+_xlfn.XLOOKUP("DPO",Inputs!$B:$B,Inputs!P:P)</f>
        <v>19.801313061506566</v>
      </c>
      <c r="P34" s="360">
        <f>+_xlfn.XLOOKUP("DPO",Inputs!$B:$B,Inputs!Q:Q)</f>
        <v>28.910538138490082</v>
      </c>
      <c r="Q34" s="365">
        <f>+_xlfn.XLOOKUP("DPO",DCF!$B:$B,DCF!H:H)</f>
        <v>69.918622861584822</v>
      </c>
      <c r="R34" s="365">
        <f>+_xlfn.XLOOKUP("DPO",DCF!$B:$B,DCF!I:I)</f>
        <v>76.58665384393646</v>
      </c>
    </row>
    <row r="35" spans="2:18" ht="15.6">
      <c r="B35" s="247" t="s">
        <v>681</v>
      </c>
      <c r="F35" s="253" t="str">
        <f>+_xlfn.XLOOKUP("DIH",Inputs!$B:$B,Inputs!G:G)</f>
        <v/>
      </c>
      <c r="G35" s="253">
        <f>+_xlfn.XLOOKUP("DIH",Inputs!$B:$B,Inputs!H:H)</f>
        <v>125.40614709110868</v>
      </c>
      <c r="H35" s="253">
        <f>+_xlfn.XLOOKUP("DIH",Inputs!$B:$B,Inputs!I:I)</f>
        <v>260.33915724563207</v>
      </c>
      <c r="I35" s="253">
        <f>+_xlfn.XLOOKUP("DIH",Inputs!$B:$B,Inputs!J:J)</f>
        <v>217.54277566539923</v>
      </c>
      <c r="J35" s="253">
        <f>+_xlfn.XLOOKUP("DIH",Inputs!$B:$B,Inputs!K:K)</f>
        <v>161.40878701050622</v>
      </c>
      <c r="K35" s="253" t="str">
        <f>+_xlfn.XLOOKUP("DIH",Inputs!$B:$B,Inputs!L:L)</f>
        <v/>
      </c>
      <c r="L35" s="253">
        <f>+_xlfn.XLOOKUP("DIH",Inputs!$B:$B,Inputs!M:M)</f>
        <v>165.81120943952803</v>
      </c>
      <c r="M35" s="253">
        <f>+_xlfn.XLOOKUP("DIH",Inputs!$B:$B,Inputs!N:N)</f>
        <v>185.27256478999104</v>
      </c>
      <c r="N35" s="253">
        <f>+_xlfn.XLOOKUP("DIH",Inputs!$B:$B,Inputs!O:O)</f>
        <v>219.67592592592592</v>
      </c>
      <c r="O35" s="253">
        <f>+_xlfn.XLOOKUP("DIH",Inputs!$B:$B,Inputs!P:P)</f>
        <v>157.50796178343947</v>
      </c>
      <c r="P35" s="360">
        <f>+_xlfn.XLOOKUP("DIH",Inputs!$B:$B,Inputs!Q:Q)</f>
        <v>233.14709806537692</v>
      </c>
      <c r="Q35" s="365">
        <f>+_xlfn.XLOOKUP("DIH",DCF!$B:$B,DCF!H:H)</f>
        <v>203.4436619249141</v>
      </c>
      <c r="R35" s="365">
        <f>+_xlfn.XLOOKUP("DIH",DCF!$B:$B,DCF!I:I)</f>
        <v>198.03290725791018</v>
      </c>
    </row>
    <row r="36" spans="2:18" ht="15.6">
      <c r="B36" s="247" t="s">
        <v>67</v>
      </c>
      <c r="F36" s="253" t="str">
        <f>IFERROR(F35+F33-F34,"")</f>
        <v/>
      </c>
      <c r="G36" s="253">
        <f t="shared" ref="G36:P36" si="29">IFERROR(G35+G33-G34,"")</f>
        <v>147.14595900333438</v>
      </c>
      <c r="H36" s="253">
        <f t="shared" si="29"/>
        <v>260.18018512019648</v>
      </c>
      <c r="I36" s="253">
        <f t="shared" si="29"/>
        <v>241.61465413890792</v>
      </c>
      <c r="J36" s="253">
        <f t="shared" si="29"/>
        <v>183.52172642711056</v>
      </c>
      <c r="K36" s="253" t="str">
        <f t="shared" si="29"/>
        <v/>
      </c>
      <c r="L36" s="253">
        <f t="shared" si="29"/>
        <v>188.13181742821661</v>
      </c>
      <c r="M36" s="253">
        <f t="shared" si="29"/>
        <v>213.38479364884046</v>
      </c>
      <c r="N36" s="253">
        <f t="shared" si="29"/>
        <v>244.24502332521197</v>
      </c>
      <c r="O36" s="253">
        <f t="shared" si="29"/>
        <v>180.52541167977674</v>
      </c>
      <c r="P36" s="360">
        <f t="shared" si="29"/>
        <v>248.36879940339821</v>
      </c>
      <c r="Q36" s="365">
        <f>IFERROR(Q35+Q33-Q34,"")</f>
        <v>176.69485391365941</v>
      </c>
      <c r="R36" s="365">
        <f t="shared" ref="R36" si="30">IFERROR(R35+R33-R34,"")</f>
        <v>164.86016259058255</v>
      </c>
    </row>
    <row r="37" spans="2:18" ht="8.1" customHeight="1">
      <c r="N37" s="249"/>
      <c r="O37" s="249"/>
      <c r="P37" s="357"/>
      <c r="Q37" s="362"/>
      <c r="R37" s="362"/>
    </row>
    <row r="38" spans="2:18" ht="15.6">
      <c r="B38" s="7" t="s">
        <v>682</v>
      </c>
      <c r="C38" s="55"/>
      <c r="D38" s="57"/>
      <c r="E38" s="57"/>
      <c r="F38" s="376">
        <v>2014</v>
      </c>
      <c r="G38" s="376">
        <f t="shared" ref="G38" si="31">+F38+1</f>
        <v>2015</v>
      </c>
      <c r="H38" s="376">
        <f t="shared" ref="H38" si="32">+G38+1</f>
        <v>2016</v>
      </c>
      <c r="I38" s="376">
        <f t="shared" ref="I38" si="33">+H38+1</f>
        <v>2017</v>
      </c>
      <c r="J38" s="376">
        <f t="shared" ref="J38" si="34">+I38+1</f>
        <v>2018</v>
      </c>
      <c r="K38" s="376">
        <f t="shared" ref="K38" si="35">+J38+1</f>
        <v>2019</v>
      </c>
      <c r="L38" s="376">
        <f t="shared" ref="L38" si="36">+K38+1</f>
        <v>2020</v>
      </c>
      <c r="M38" s="376">
        <f t="shared" ref="M38" si="37">+L38+1</f>
        <v>2021</v>
      </c>
      <c r="N38" s="376">
        <v>2022</v>
      </c>
      <c r="O38" s="376">
        <f t="shared" ref="O38" si="38">+N38+1</f>
        <v>2023</v>
      </c>
      <c r="P38" s="377">
        <f>+O38+1</f>
        <v>2024</v>
      </c>
      <c r="Q38" s="375">
        <f>+P38+1</f>
        <v>2025</v>
      </c>
      <c r="R38" s="375">
        <f>+Q38+1</f>
        <v>2026</v>
      </c>
    </row>
    <row r="39" spans="2:18" ht="3.95" customHeight="1">
      <c r="B39" s="246"/>
      <c r="C39" s="52"/>
      <c r="D39" s="59"/>
      <c r="E39" s="59"/>
      <c r="F39" s="59"/>
      <c r="G39" s="59"/>
      <c r="H39" s="59"/>
      <c r="I39" s="59"/>
      <c r="J39" s="59"/>
      <c r="K39" s="59"/>
      <c r="L39" s="59"/>
      <c r="M39" s="59"/>
      <c r="N39" s="219"/>
      <c r="O39" s="219"/>
      <c r="P39" s="356"/>
      <c r="Q39" s="219"/>
      <c r="R39" s="219"/>
    </row>
    <row r="40" spans="2:18" ht="15.6">
      <c r="B40" s="18" t="s">
        <v>78</v>
      </c>
      <c r="F40" s="16" t="str">
        <f>+IFERROR(_xlfn.XLOOKUP("Total Debt",Inputs!$B:$B,Inputs!G:G)*1000/+_xlfn.XLOOKUP("Shareholder's Equity",Inputs!$B:$B,Inputs!G:G),"")</f>
        <v/>
      </c>
      <c r="G40" s="16">
        <f>+IFERROR(_xlfn.XLOOKUP("Total Debt",Inputs!$B:$B,Inputs!H:H)*1000/+_xlfn.XLOOKUP("Shareholder's Equity",Inputs!$B:$B,Inputs!H:H),"")</f>
        <v>0.98319941563184843</v>
      </c>
      <c r="H40" s="16">
        <f>+IFERROR(_xlfn.XLOOKUP("Total Debt",Inputs!$B:$B,Inputs!I:I)*1000/+_xlfn.XLOOKUP("Shareholder's Equity",Inputs!$B:$B,Inputs!I:I),"")</f>
        <v>1109.3749999999995</v>
      </c>
      <c r="I40" s="16">
        <f>+IFERROR(_xlfn.XLOOKUP("Total Debt",Inputs!$B:$B,Inputs!J:J)*1000/+_xlfn.XLOOKUP("Shareholder's Equity",Inputs!$B:$B,Inputs!J:J),"")</f>
        <v>762.12590299277588</v>
      </c>
      <c r="J40" s="16">
        <f>+IFERROR(_xlfn.XLOOKUP("Total Debt",Inputs!$B:$B,Inputs!K:K)*1000/+_xlfn.XLOOKUP("Shareholder's Equity",Inputs!$B:$B,Inputs!K:K),"")</f>
        <v>612.73440907108591</v>
      </c>
      <c r="K40" s="16">
        <f>+IFERROR(_xlfn.XLOOKUP("Total Debt",Inputs!$B:$B,Inputs!L:L)*1000/+_xlfn.XLOOKUP("Shareholder's Equity",Inputs!$B:$B,Inputs!L:L),"")</f>
        <v>737.57547607988863</v>
      </c>
      <c r="L40" s="16">
        <f>+IFERROR(_xlfn.XLOOKUP("Total Debt",Inputs!$B:$B,Inputs!M:M)*1000/+_xlfn.XLOOKUP("Shareholder's Equity",Inputs!$B:$B,Inputs!M:M),"")</f>
        <v>582.98926507018996</v>
      </c>
      <c r="M40" s="16">
        <f>+IFERROR(_xlfn.XLOOKUP("Total Debt",Inputs!$B:$B,Inputs!N:N)*1000/+_xlfn.XLOOKUP("Shareholder's Equity",Inputs!$B:$B,Inputs!N:N),"")</f>
        <v>502.59643916913956</v>
      </c>
      <c r="N40" s="16">
        <f>+IFERROR(_xlfn.XLOOKUP("Total Debt",Inputs!$B:$B,Inputs!O:O)*1000/+_xlfn.XLOOKUP("Shareholder's Equity",Inputs!$B:$B,Inputs!O:O),"")</f>
        <v>356.27400768245838</v>
      </c>
      <c r="O40" s="16">
        <f>+IFERROR(_xlfn.XLOOKUP("Total Debt",Inputs!$B:$B,Inputs!P:P)*1000/+_xlfn.XLOOKUP("Shareholder's Equity",Inputs!$B:$B,Inputs!P:P),"")</f>
        <v>186.13138686131387</v>
      </c>
      <c r="P40" s="354">
        <f>+IFERROR(_xlfn.XLOOKUP("Total Debt",Inputs!$B:$B,Inputs!Q:Q)*1000/+_xlfn.XLOOKUP("Shareholder's Equity",Inputs!$B:$B,Inputs!Q:Q),"")</f>
        <v>296.14067849361959</v>
      </c>
      <c r="Q40" s="361">
        <f>IFERROR((_xlfn.XLOOKUP("Total Borrowings",DCF!$B:$B,DCF!G:G)+_xlfn.XLOOKUP("Total Leases",DCF!$B:$B,DCF!G:G))/_xlfn.XLOOKUP("Shareholder's Equity",DCF!$6:$6,DCF!10:10),"")</f>
        <v>-4.9765522820614364E-8</v>
      </c>
      <c r="R40" s="361">
        <f>IFERROR((_xlfn.XLOOKUP("Total Borrowings",DCF!$B:$B,DCF!H:H)+_xlfn.XLOOKUP("Total Leases",DCF!$B:$B,DCF!H:H))/_xlfn.XLOOKUP("Shareholder's Equity",DCF!$6:$6,DCF!10:10),"")</f>
        <v>-5.1188146732208613E-8</v>
      </c>
    </row>
    <row r="41" spans="2:18" ht="15.6">
      <c r="B41" s="247" t="s">
        <v>80</v>
      </c>
      <c r="F41" s="16" t="str">
        <f>+IFERROR(_xlfn.XLOOKUP("Total Debt",Inputs!$B:$B,Inputs!G:G)*1000/(+_xlfn.XLOOKUP("Shareholder's Equity",Inputs!$B:$B,Inputs!G:G)+_xlfn.XLOOKUP("Total Debt",Inputs!$B:$B,Inputs!G:G)*1000),"")</f>
        <v/>
      </c>
      <c r="G41" s="16">
        <f>+IFERROR(_xlfn.XLOOKUP("Total Debt",Inputs!$B:$B,Inputs!H:H)*1000/(+_xlfn.XLOOKUP("Shareholder's Equity",Inputs!$B:$B,Inputs!H:H)+_xlfn.XLOOKUP("Total Debt",Inputs!$B:$B,Inputs!H:H)*1000),"")</f>
        <v>0.49576427255985273</v>
      </c>
      <c r="H41" s="16">
        <f>+IFERROR(_xlfn.XLOOKUP("Total Debt",Inputs!$B:$B,Inputs!I:I)*1000/(+_xlfn.XLOOKUP("Shareholder's Equity",Inputs!$B:$B,Inputs!I:I)+_xlfn.XLOOKUP("Total Debt",Inputs!$B:$B,Inputs!I:I)*1000),"")</f>
        <v>0.99909940335472258</v>
      </c>
      <c r="I41" s="16">
        <f>+IFERROR(_xlfn.XLOOKUP("Total Debt",Inputs!$B:$B,Inputs!J:J)*1000/(+_xlfn.XLOOKUP("Shareholder's Equity",Inputs!$B:$B,Inputs!J:J)+_xlfn.XLOOKUP("Total Debt",Inputs!$B:$B,Inputs!J:J)*1000),"")</f>
        <v>0.99868960024017239</v>
      </c>
      <c r="J41" s="16">
        <f>+IFERROR(_xlfn.XLOOKUP("Total Debt",Inputs!$B:$B,Inputs!K:K)*1000/(+_xlfn.XLOOKUP("Shareholder's Equity",Inputs!$B:$B,Inputs!K:K)+_xlfn.XLOOKUP("Total Debt",Inputs!$B:$B,Inputs!K:K)*1000),"")</f>
        <v>0.99837063070732257</v>
      </c>
      <c r="K41" s="16">
        <f>+IFERROR(_xlfn.XLOOKUP("Total Debt",Inputs!$B:$B,Inputs!L:L)*1000/(+_xlfn.XLOOKUP("Shareholder's Equity",Inputs!$B:$B,Inputs!L:L)+_xlfn.XLOOKUP("Total Debt",Inputs!$B:$B,Inputs!L:L)*1000),"")</f>
        <v>0.99864604223618736</v>
      </c>
      <c r="L41" s="16">
        <f>+IFERROR(_xlfn.XLOOKUP("Total Debt",Inputs!$B:$B,Inputs!M:M)*1000/(+_xlfn.XLOOKUP("Shareholder's Equity",Inputs!$B:$B,Inputs!M:M)+_xlfn.XLOOKUP("Total Debt",Inputs!$B:$B,Inputs!M:M)*1000),"")</f>
        <v>0.99828763975673451</v>
      </c>
      <c r="M41" s="16">
        <f>+IFERROR(_xlfn.XLOOKUP("Total Debt",Inputs!$B:$B,Inputs!N:N)*1000/(+_xlfn.XLOOKUP("Shareholder's Equity",Inputs!$B:$B,Inputs!N:N)+_xlfn.XLOOKUP("Total Debt",Inputs!$B:$B,Inputs!N:N)*1000),"")</f>
        <v>0.99801428302064665</v>
      </c>
      <c r="N41" s="16">
        <f>+IFERROR(_xlfn.XLOOKUP("Total Debt",Inputs!$B:$B,Inputs!O:O)*1000/(+_xlfn.XLOOKUP("Shareholder's Equity",Inputs!$B:$B,Inputs!O:O)+_xlfn.XLOOKUP("Total Debt",Inputs!$B:$B,Inputs!O:O)*1000),"")</f>
        <v>0.99720102784278453</v>
      </c>
      <c r="O41" s="16">
        <f>+IFERROR(_xlfn.XLOOKUP("Total Debt",Inputs!$B:$B,Inputs!P:P)*1000/(+_xlfn.XLOOKUP("Shareholder's Equity",Inputs!$B:$B,Inputs!P:P)+_xlfn.XLOOKUP("Total Debt",Inputs!$B:$B,Inputs!P:P)*1000),"")</f>
        <v>0.99465616101727972</v>
      </c>
      <c r="P41" s="354">
        <f>+IFERROR(_xlfn.XLOOKUP("Total Debt",Inputs!$B:$B,Inputs!Q:Q)*1000/(+_xlfn.XLOOKUP("Shareholder's Equity",Inputs!$B:$B,Inputs!Q:Q)+_xlfn.XLOOKUP("Total Debt",Inputs!$B:$B,Inputs!Q:Q)*1000),"")</f>
        <v>0.99663459070945926</v>
      </c>
      <c r="Q41" s="361">
        <f>IFERROR((_xlfn.XLOOKUP("Total Borrowings",DCF!$B:$B,DCF!G:G)+_xlfn.XLOOKUP("Total Leases",DCF!$B:$B,DCF!G:G))/(_xlfn.XLOOKUP("Shareholder's Equity",DCF!$6:$6,DCF!10:10)+_xlfn.XLOOKUP("Total Borrowings",DCF!$B:$B,DCF!G:G)+_xlfn.XLOOKUP("Total Leases",DCF!$B:$B,DCF!G:G)),"")</f>
        <v>-4.9765525297221751E-8</v>
      </c>
      <c r="R41" s="361">
        <f>IFERROR((_xlfn.XLOOKUP("Total Borrowings",DCF!$B:$B,DCF!H:H)+_xlfn.XLOOKUP("Total Leases",DCF!$B:$B,DCF!H:H))/(_xlfn.XLOOKUP("Shareholder's Equity",DCF!$6:$6,DCF!10:10)+_xlfn.XLOOKUP("Total Borrowings",DCF!$B:$B,DCF!H:H)+_xlfn.XLOOKUP("Total Leases",DCF!$B:$B,DCF!H:H)),"")</f>
        <v>-5.1188149352435116E-8</v>
      </c>
    </row>
    <row r="42" spans="2:18" ht="15.6">
      <c r="B42" s="247" t="s">
        <v>82</v>
      </c>
      <c r="F42" s="16" t="str">
        <f>IFERROR(_xlfn.XLOOKUP("Total Liabilities",Inputs!$B:$B,Inputs!G:G)/_xlfn.XLOOKUP("Total Assets",Inputs!$B:$B,Inputs!G:G),"")</f>
        <v/>
      </c>
      <c r="G42" s="16">
        <f>IFERROR(_xlfn.XLOOKUP("Total Liabilities",Inputs!$B:$B,Inputs!H:H)/_xlfn.XLOOKUP("Total Assets",Inputs!$B:$B,Inputs!H:H),"")</f>
        <v>0.62088064248130725</v>
      </c>
      <c r="H42" s="16">
        <f>IFERROR(_xlfn.XLOOKUP("Total Liabilities",Inputs!$B:$B,Inputs!I:I)/_xlfn.XLOOKUP("Total Assets",Inputs!$B:$B,Inputs!I:I),"")</f>
        <v>0.66047745358090171</v>
      </c>
      <c r="I42" s="16">
        <f>IFERROR(_xlfn.XLOOKUP("Total Liabilities",Inputs!$B:$B,Inputs!J:J)/_xlfn.XLOOKUP("Total Assets",Inputs!$B:$B,Inputs!J:J),"")</f>
        <v>0.53547459252157237</v>
      </c>
      <c r="J42" s="16">
        <f>IFERROR(_xlfn.XLOOKUP("Total Liabilities",Inputs!$B:$B,Inputs!K:K)/_xlfn.XLOOKUP("Total Assets",Inputs!$B:$B,Inputs!K:K),"")</f>
        <v>0.47384121156493803</v>
      </c>
      <c r="K42" s="16">
        <f>IFERROR(_xlfn.XLOOKUP("Total Liabilities",Inputs!$B:$B,Inputs!L:L)/_xlfn.XLOOKUP("Total Assets",Inputs!$B:$B,Inputs!L:L),"")</f>
        <v>0.50127403289321293</v>
      </c>
      <c r="L42" s="16">
        <f>IFERROR(_xlfn.XLOOKUP("Total Liabilities",Inputs!$B:$B,Inputs!M:M)/_xlfn.XLOOKUP("Total Assets",Inputs!$B:$B,Inputs!M:M),"")</f>
        <v>0.46546016331935552</v>
      </c>
      <c r="M42" s="16">
        <f>IFERROR(_xlfn.XLOOKUP("Total Liabilities",Inputs!$B:$B,Inputs!N:N)/_xlfn.XLOOKUP("Total Assets",Inputs!$B:$B,Inputs!N:N),"")</f>
        <v>0.44674738354196597</v>
      </c>
      <c r="N42" s="16">
        <f>IFERROR(_xlfn.XLOOKUP("Total Liabilities",Inputs!$B:$B,Inputs!O:O)/_xlfn.XLOOKUP("Total Assets",Inputs!$B:$B,Inputs!O:O),"")</f>
        <v>0.36837848766680142</v>
      </c>
      <c r="O42" s="16">
        <f>IFERROR(_xlfn.XLOOKUP("Total Liabilities",Inputs!$B:$B,Inputs!P:P)/_xlfn.XLOOKUP("Total Assets",Inputs!$B:$B,Inputs!P:P),"")</f>
        <v>0.3099395567494963</v>
      </c>
      <c r="P42" s="354">
        <f>IFERROR(_xlfn.XLOOKUP("Total Liabilities",Inputs!$B:$B,Inputs!Q:Q)/_xlfn.XLOOKUP("Total Assets",Inputs!$B:$B,Inputs!Q:Q),"")</f>
        <v>0.43097494022846006</v>
      </c>
      <c r="Q42" s="361">
        <f>IFERROR(+_xlfn.XLOOKUP("Total Liabilities",DCF!$6:$6,DCF!10:10)/_xlfn.XLOOKUP("Total Assets",DCF!$6:$6,DCF!10:10),"")</f>
        <v>3180135.013628148</v>
      </c>
      <c r="R42" s="361">
        <f>IFERROR(+_xlfn.XLOOKUP("Total Liabilities",DCF!$6:$6,DCF!10:10)/_xlfn.XLOOKUP("Total Assets",DCF!$6:$6,DCF!10:10),"")</f>
        <v>3180135.013628148</v>
      </c>
    </row>
    <row r="43" spans="2:18" ht="15.6">
      <c r="B43" s="18" t="s">
        <v>83</v>
      </c>
      <c r="F43" s="16" t="str">
        <f>+IFERROR(_xlfn.XLOOKUP("Total Debt",Inputs!$B:$B,Inputs!G:G,,,-1)/_xlfn.XLOOKUP("EBITDA",Inputs!$B:$B,Inputs!G:G),"")</f>
        <v/>
      </c>
      <c r="G43" s="16">
        <f>+IFERROR(_xlfn.XLOOKUP("Total Debt",Inputs!$B:$B,Inputs!H:H,,,-1)/_xlfn.XLOOKUP("EBITDA",Inputs!$B:$B,Inputs!H:H),"")</f>
        <v>5.2784313725490168</v>
      </c>
      <c r="H43" s="16">
        <f>+IFERROR(_xlfn.XLOOKUP("Total Debt",Inputs!$B:$B,Inputs!I:I,,,-1)/_xlfn.XLOOKUP("EBITDA",Inputs!$B:$B,Inputs!I:I),"")</f>
        <v>6.7619047619047592</v>
      </c>
      <c r="I43" s="16">
        <f>+IFERROR(_xlfn.XLOOKUP("Total Debt",Inputs!$B:$B,Inputs!J:J,,,-1)/_xlfn.XLOOKUP("EBITDA",Inputs!$B:$B,Inputs!J:J),"")</f>
        <v>4.4354354354354371</v>
      </c>
      <c r="J43" s="16">
        <f>+IFERROR(_xlfn.XLOOKUP("Total Debt",Inputs!$B:$B,Inputs!K:K,,,-1)/_xlfn.XLOOKUP("EBITDA",Inputs!$B:$B,Inputs!K:K),"")</f>
        <v>5.3831417624521087</v>
      </c>
      <c r="K43" s="16" t="str">
        <f>+IFERROR(_xlfn.XLOOKUP("Total Debt",Inputs!$B:$B,Inputs!L:L,,,-1)/_xlfn.XLOOKUP("EBITDA",Inputs!$B:$B,Inputs!L:L),"")</f>
        <v/>
      </c>
      <c r="L43" s="16">
        <f>+IFERROR(_xlfn.XLOOKUP("Total Debt",Inputs!$B:$B,Inputs!M:M,,,-1)/_xlfn.XLOOKUP("EBITDA",Inputs!$B:$B,Inputs!M:M),"")</f>
        <v>4.706666666666667</v>
      </c>
      <c r="M43" s="16">
        <f>+IFERROR(_xlfn.XLOOKUP("Total Debt",Inputs!$B:$B,Inputs!N:N,,,-1)/_xlfn.XLOOKUP("EBITDA",Inputs!$B:$B,Inputs!N:N),"")</f>
        <v>14.414893617021232</v>
      </c>
      <c r="N43" s="16">
        <f>+IFERROR(_xlfn.XLOOKUP("Total Debt",Inputs!$B:$B,Inputs!O:O,,,-1)/_xlfn.XLOOKUP("EBITDA",Inputs!$B:$B,Inputs!O:O),"")</f>
        <v>3.7857142857142891</v>
      </c>
      <c r="O43" s="16">
        <f>+IFERROR(_xlfn.XLOOKUP("Total Debt",Inputs!$B:$B,Inputs!P:P,,,-1)/_xlfn.XLOOKUP("EBITDA",Inputs!$B:$B,Inputs!P:P),"")</f>
        <v>1.1233480176211459</v>
      </c>
      <c r="P43" s="354">
        <f>+IFERROR(_xlfn.XLOOKUP("Total Debt",Inputs!$B:$B,Inputs!Q:Q,,,-1)/_xlfn.XLOOKUP("EBITDA",Inputs!$B:$B,Inputs!Q:Q),"")</f>
        <v>1.27120908483634</v>
      </c>
      <c r="Q43" s="361">
        <f>IFERROR((_xlfn.XLOOKUP("Total Borrowings",DCF!$B:$B,DCF!G:G)+_xlfn.XLOOKUP("Total Leases",DCF!$B:$B,DCF!G:G))/_xlfn.XLOOKUP("EBITDA",DCF!$B:$B,DCF!H:H),"")</f>
        <v>1.6364382634135448</v>
      </c>
      <c r="R43" s="361">
        <f>IFERROR((_xlfn.XLOOKUP("Total Borrowings",DCF!$B:$B,DCF!H:H)+_xlfn.XLOOKUP("Total Leases",DCF!$B:$B,DCF!H:H))/_xlfn.XLOOKUP("EBITDA",DCF!$B:$B,DCF!I:I),"")</f>
        <v>1.1478647192671898</v>
      </c>
    </row>
    <row r="44" spans="2:18" ht="15.6">
      <c r="B44" s="18" t="s">
        <v>85</v>
      </c>
      <c r="F44" s="16" t="str">
        <f>IFERROR(_xlfn.XLOOKUP("Total Debt",Inputs!$B:$B,Inputs!G:G,,,-1)/(_xlfn.XLOOKUP("EBITDA",Inputs!$B:$B,Inputs!G:G)+_xlfn.XLOOKUP("Net Capex",Inputs!$B:$B,Inputs!G:G)),"")</f>
        <v/>
      </c>
      <c r="G44" s="16">
        <f>IFERROR(_xlfn.XLOOKUP("Total Debt",Inputs!$B:$B,Inputs!H:H,,,-1)/(_xlfn.XLOOKUP("EBITDA",Inputs!$B:$B,Inputs!H:H)+_xlfn.XLOOKUP("Net Capex",Inputs!$B:$B,Inputs!H:H)),"")</f>
        <v>5.2784313725490168</v>
      </c>
      <c r="H44" s="16">
        <f>IFERROR(_xlfn.XLOOKUP("Total Debt",Inputs!$B:$B,Inputs!I:I,,,-1)/(_xlfn.XLOOKUP("EBITDA",Inputs!$B:$B,Inputs!I:I)+_xlfn.XLOOKUP("Net Capex",Inputs!$B:$B,Inputs!I:I)),"")</f>
        <v>11.157142857142849</v>
      </c>
      <c r="I44" s="16">
        <f>IFERROR(_xlfn.XLOOKUP("Total Debt",Inputs!$B:$B,Inputs!J:J,,,-1)/(_xlfn.XLOOKUP("EBITDA",Inputs!$B:$B,Inputs!J:J)+_xlfn.XLOOKUP("Net Capex",Inputs!$B:$B,Inputs!J:J)),"")</f>
        <v>5.7248062015503907</v>
      </c>
      <c r="J44" s="16">
        <f>IFERROR(_xlfn.XLOOKUP("Total Debt",Inputs!$B:$B,Inputs!K:K,,,-1)/(_xlfn.XLOOKUP("EBITDA",Inputs!$B:$B,Inputs!K:K)+_xlfn.XLOOKUP("Net Capex",Inputs!$B:$B,Inputs!K:K)),"")</f>
        <v>8.1686046511627932</v>
      </c>
      <c r="K44" s="16" t="str">
        <f>IFERROR(_xlfn.XLOOKUP("Total Debt",Inputs!$B:$B,Inputs!L:L,,,-1)/(_xlfn.XLOOKUP("EBITDA",Inputs!$B:$B,Inputs!L:L)+_xlfn.XLOOKUP("Net Capex",Inputs!$B:$B,Inputs!L:L)),"")</f>
        <v/>
      </c>
      <c r="L44" s="16">
        <f>IFERROR(_xlfn.XLOOKUP("Total Debt",Inputs!$B:$B,Inputs!M:M,,,-1)/(_xlfn.XLOOKUP("EBITDA",Inputs!$B:$B,Inputs!M:M)+_xlfn.XLOOKUP("Net Capex",Inputs!$B:$B,Inputs!M:M)),"")</f>
        <v>6.8543689320388355</v>
      </c>
      <c r="M44" s="16">
        <f>IFERROR(_xlfn.XLOOKUP("Total Debt",Inputs!$B:$B,Inputs!N:N,,,-1)/(_xlfn.XLOOKUP("EBITDA",Inputs!$B:$B,Inputs!N:N)+_xlfn.XLOOKUP("Net Capex",Inputs!$B:$B,Inputs!N:N)),"")</f>
        <v>46.724137931034022</v>
      </c>
      <c r="N44" s="16">
        <f>IFERROR(_xlfn.XLOOKUP("Total Debt",Inputs!$B:$B,Inputs!O:O,,,-1)/(_xlfn.XLOOKUP("EBITDA",Inputs!$B:$B,Inputs!O:O)+_xlfn.XLOOKUP("Net Capex",Inputs!$B:$B,Inputs!O:O)),"")</f>
        <v>4.5243902439024435</v>
      </c>
      <c r="O44" s="16">
        <f>IFERROR(_xlfn.XLOOKUP("Total Debt",Inputs!$B:$B,Inputs!P:P,,,-1)/(_xlfn.XLOOKUP("EBITDA",Inputs!$B:$B,Inputs!P:P)+_xlfn.XLOOKUP("Net Capex",Inputs!$B:$B,Inputs!P:P)),"")</f>
        <v>1.1521084337349403</v>
      </c>
      <c r="P44" s="354">
        <f>IFERROR(_xlfn.XLOOKUP("Total Debt",Inputs!$B:$B,Inputs!Q:Q,,,-1)/(_xlfn.XLOOKUP("EBITDA",Inputs!$B:$B,Inputs!Q:Q)+_xlfn.XLOOKUP("Net Capex",Inputs!$B:$B,Inputs!Q:Q)),"")</f>
        <v>1.3496453900709227</v>
      </c>
      <c r="Q44" s="361">
        <f>IFERROR((_xlfn.XLOOKUP("Total Borrowings",DCF!$B:$B,DCF!G:G)+_xlfn.XLOOKUP("Total Leases",DCF!$B:$B,DCF!G:G))/(_xlfn.XLOOKUP("EBITDA",DCF!$B:$B,DCF!H:H)+_xlfn.XLOOKUP("Net Capex",DCF!$B:$B,DCF!H:H)),"")</f>
        <v>1.7687658640940611</v>
      </c>
      <c r="R44" s="361">
        <f>IFERROR((_xlfn.XLOOKUP("Total Borrowings",DCF!$B:$B,DCF!H:H)+_xlfn.XLOOKUP("Total Leases",DCF!$B:$B,DCF!H:H))/(_xlfn.XLOOKUP("EBITDA",DCF!$B:$B,DCF!I:I)+_xlfn.XLOOKUP("Net Capex",DCF!$B:$B,DCF!I:I)),"")</f>
        <v>1.2145292638170453</v>
      </c>
    </row>
    <row r="45" spans="2:18" ht="15.6">
      <c r="B45" s="18" t="s">
        <v>87</v>
      </c>
      <c r="F45" s="16" t="str">
        <f>+IFERROR(_xlfn.XLOOKUP("Net Debt",Inputs!$B:$B,Inputs!G:G,,,-1)/_xlfn.XLOOKUP("EBITDA",Inputs!$B:$B,Inputs!G:G),"")</f>
        <v/>
      </c>
      <c r="G45" s="16">
        <f>+IFERROR(_xlfn.XLOOKUP("Net Debt",Inputs!$B:$B,Inputs!H:H,,,-1)/_xlfn.XLOOKUP("EBITDA",Inputs!$B:$B,Inputs!H:H),"")</f>
        <v>4.7294117647058798</v>
      </c>
      <c r="H45" s="16">
        <f>+IFERROR(_xlfn.XLOOKUP("Net Debt",Inputs!$B:$B,Inputs!I:I,,,-1)/_xlfn.XLOOKUP("EBITDA",Inputs!$B:$B,Inputs!I:I),"")</f>
        <v>6.0995670995670963</v>
      </c>
      <c r="I45" s="16">
        <f>+IFERROR(_xlfn.XLOOKUP("Net Debt",Inputs!$B:$B,Inputs!J:J,,,-1)/_xlfn.XLOOKUP("EBITDA",Inputs!$B:$B,Inputs!J:J),"")</f>
        <v>4.132132132132134</v>
      </c>
      <c r="J45" s="16">
        <f>+IFERROR(_xlfn.XLOOKUP("Net Debt",Inputs!$B:$B,Inputs!K:K,,,-1)/_xlfn.XLOOKUP("EBITDA",Inputs!$B:$B,Inputs!K:K),"")</f>
        <v>3.4214559386973185</v>
      </c>
      <c r="K45" s="16" t="str">
        <f>+IFERROR(_xlfn.XLOOKUP("Net Debt",Inputs!$B:$B,Inputs!L:L,,,-1)/_xlfn.XLOOKUP("EBITDA",Inputs!$B:$B,Inputs!L:L),"")</f>
        <v/>
      </c>
      <c r="L45" s="16">
        <f>+IFERROR(_xlfn.XLOOKUP("Net Debt",Inputs!$B:$B,Inputs!M:M,,,-1)/_xlfn.XLOOKUP("EBITDA",Inputs!$B:$B,Inputs!M:M),"")</f>
        <v>3.166666666666667</v>
      </c>
      <c r="M45" s="16">
        <f>+IFERROR(_xlfn.XLOOKUP("Net Debt",Inputs!$B:$B,Inputs!N:N,,,-1)/_xlfn.XLOOKUP("EBITDA",Inputs!$B:$B,Inputs!N:N),"")</f>
        <v>8.2659574468084855</v>
      </c>
      <c r="N45" s="16">
        <f>+IFERROR(_xlfn.XLOOKUP("Net Debt",Inputs!$B:$B,Inputs!O:O,,,-1)/_xlfn.XLOOKUP("EBITDA",Inputs!$B:$B,Inputs!O:O),"")</f>
        <v>2.3095238095238115</v>
      </c>
      <c r="O45" s="16">
        <f>+IFERROR(_xlfn.XLOOKUP("Net Debt",Inputs!$B:$B,Inputs!P:P,,,-1)/_xlfn.XLOOKUP("EBITDA",Inputs!$B:$B,Inputs!P:P),"")</f>
        <v>-0.65051395007342172</v>
      </c>
      <c r="P45" s="354">
        <f>+IFERROR(_xlfn.XLOOKUP("Net Debt",Inputs!$B:$B,Inputs!Q:Q,,,-1)/_xlfn.XLOOKUP("EBITDA",Inputs!$B:$B,Inputs!Q:Q),"")</f>
        <v>0.54843019372077517</v>
      </c>
      <c r="Q45" s="361">
        <f>IFERROR((_xlfn.XLOOKUP("Total Borrowings",DCF!$B:$B,DCF!G:G)+_xlfn.XLOOKUP("Total Leases",DCF!$B:$B,DCF!G:G)-_xlfn.XLOOKUP("Cash &amp; Cash Equivalents &amp; ST Investments",DCF!$B:$B,DCF!G:G))/_xlfn.XLOOKUP("EBITDA",DCF!$B:$B,DCF!H:H),"")</f>
        <v>0.70599885142539176</v>
      </c>
      <c r="R45" s="361">
        <f>IFERROR((_xlfn.XLOOKUP("Total Borrowings",DCF!$B:$B,DCF!H:H)+_xlfn.XLOOKUP("Total Leases",DCF!$B:$B,DCF!H:H)-_xlfn.XLOOKUP("Cash &amp; Cash Equivalents &amp; ST Investments",DCF!$B:$B,DCF!H:H))/_xlfn.XLOOKUP("EBITDA",DCF!$B:$B,DCF!I:I),"")</f>
        <v>0.68313471959951599</v>
      </c>
    </row>
    <row r="46" spans="2:18" ht="8.1" customHeight="1">
      <c r="B46" s="247"/>
      <c r="N46" s="249"/>
      <c r="O46" s="249"/>
      <c r="P46" s="357"/>
      <c r="Q46" s="362"/>
      <c r="R46" s="362"/>
    </row>
    <row r="47" spans="2:18" ht="15.6">
      <c r="B47" s="7" t="s">
        <v>683</v>
      </c>
      <c r="C47" s="55"/>
      <c r="D47" s="57"/>
      <c r="E47" s="57"/>
      <c r="F47" s="376">
        <v>2014</v>
      </c>
      <c r="G47" s="376">
        <f t="shared" ref="G47" si="39">+F47+1</f>
        <v>2015</v>
      </c>
      <c r="H47" s="376">
        <f t="shared" ref="H47" si="40">+G47+1</f>
        <v>2016</v>
      </c>
      <c r="I47" s="376">
        <f t="shared" ref="I47" si="41">+H47+1</f>
        <v>2017</v>
      </c>
      <c r="J47" s="376">
        <f t="shared" ref="J47" si="42">+I47+1</f>
        <v>2018</v>
      </c>
      <c r="K47" s="376">
        <f t="shared" ref="K47" si="43">+J47+1</f>
        <v>2019</v>
      </c>
      <c r="L47" s="376">
        <f t="shared" ref="L47" si="44">+K47+1</f>
        <v>2020</v>
      </c>
      <c r="M47" s="376">
        <f t="shared" ref="M47" si="45">+L47+1</f>
        <v>2021</v>
      </c>
      <c r="N47" s="376">
        <v>2022</v>
      </c>
      <c r="O47" s="376">
        <f t="shared" ref="O47" si="46">+N47+1</f>
        <v>2023</v>
      </c>
      <c r="P47" s="377">
        <f>+O47+1</f>
        <v>2024</v>
      </c>
      <c r="Q47" s="375">
        <f>+P47+1</f>
        <v>2025</v>
      </c>
      <c r="R47" s="375">
        <f>+Q47+1</f>
        <v>2026</v>
      </c>
    </row>
    <row r="48" spans="2:18" ht="3.95" customHeight="1">
      <c r="B48" s="246"/>
      <c r="C48" s="52"/>
      <c r="D48" s="59"/>
      <c r="E48" s="59"/>
      <c r="F48" s="59"/>
      <c r="G48" s="59"/>
      <c r="H48" s="59"/>
      <c r="I48" s="59"/>
      <c r="J48" s="59"/>
      <c r="K48" s="59"/>
      <c r="L48" s="59"/>
      <c r="M48" s="59"/>
      <c r="N48" s="219"/>
      <c r="O48" s="219"/>
      <c r="P48" s="356"/>
      <c r="Q48" s="219"/>
      <c r="R48" s="219"/>
    </row>
    <row r="49" spans="2:18" ht="15.6">
      <c r="B49" s="247" t="s">
        <v>89</v>
      </c>
      <c r="F49" s="16" t="str">
        <f>IFERROR(_xlfn.XLOOKUP("Operating Income (EBIT)",Inputs!$B:$B,Inputs!G:G)/_xlfn.XLOOKUP("Interest Expense",Inputs!$B:$B,Inputs!G:G),"N/A")</f>
        <v>N/A</v>
      </c>
      <c r="G49" s="16" t="str">
        <f>IFERROR(_xlfn.XLOOKUP("Operating Income (EBIT)",Inputs!$B:$B,Inputs!H:H)/_xlfn.XLOOKUP("Interest Expense",Inputs!$B:$B,Inputs!H:H),"N/A")</f>
        <v>N/A</v>
      </c>
      <c r="H49" s="16">
        <f>IFERROR(_xlfn.XLOOKUP("Operating Income (EBIT)",Inputs!$B:$B,Inputs!I:I)/_xlfn.XLOOKUP("Interest Expense",Inputs!$B:$B,Inputs!I:I),"N/A")</f>
        <v>0.60736196319018454</v>
      </c>
      <c r="I49" s="16">
        <f>IFERROR(_xlfn.XLOOKUP("Operating Income (EBIT)",Inputs!$B:$B,Inputs!J:J)/_xlfn.XLOOKUP("Interest Expense",Inputs!$B:$B,Inputs!J:J),"N/A")</f>
        <v>2.1363636363636345</v>
      </c>
      <c r="J49" s="16">
        <f>IFERROR(_xlfn.XLOOKUP("Operating Income (EBIT)",Inputs!$B:$B,Inputs!K:K)/_xlfn.XLOOKUP("Interest Expense",Inputs!$B:$B,Inputs!K:K),"N/A")</f>
        <v>1.0512820512820507</v>
      </c>
      <c r="K49" s="16" t="str">
        <f>IFERROR(_xlfn.XLOOKUP("Operating Income (EBIT)",Inputs!$B:$B,Inputs!L:L)/_xlfn.XLOOKUP("Interest Expense",Inputs!$B:$B,Inputs!L:L),"N/A")</f>
        <v>N/A</v>
      </c>
      <c r="L49" s="16">
        <f>IFERROR(_xlfn.XLOOKUP("Operating Income (EBIT)",Inputs!$B:$B,Inputs!M:M)/_xlfn.XLOOKUP("Interest Expense",Inputs!$B:$B,Inputs!M:M),"N/A")</f>
        <v>1.1428571428571428</v>
      </c>
      <c r="M49" s="16">
        <f>IFERROR(_xlfn.XLOOKUP("Operating Income (EBIT)",Inputs!$B:$B,Inputs!N:N)/_xlfn.XLOOKUP("Interest Expense",Inputs!$B:$B,Inputs!N:N),"N/A")</f>
        <v>-3.8536585365853591</v>
      </c>
      <c r="N49" s="16">
        <f>IFERROR(_xlfn.XLOOKUP("Operating Income (EBIT)",Inputs!$B:$B,Inputs!O:O)/_xlfn.XLOOKUP("Interest Expense",Inputs!$B:$B,Inputs!O:O),"N/A")</f>
        <v>0.95833333333332327</v>
      </c>
      <c r="O49" s="16">
        <f>IFERROR(_xlfn.XLOOKUP("Operating Income (EBIT)",Inputs!$B:$B,Inputs!P:P)/_xlfn.XLOOKUP("Interest Expense",Inputs!$B:$B,Inputs!P:P),"N/A")</f>
        <v>22.949999999999982</v>
      </c>
      <c r="P49" s="354">
        <f>IFERROR(_xlfn.XLOOKUP("Operating Income (EBIT)",Inputs!$B:$B,Inputs!Q:Q)/_xlfn.XLOOKUP("Interest Expense",Inputs!$B:$B,Inputs!Q:Q),"N/A")</f>
        <v>16.257142857142846</v>
      </c>
      <c r="Q49" s="361" t="str">
        <f>IFERROR(_xlfn.XLOOKUP("EBIT",DCF!$B:$B,DCF!H:H)/_xlfn.XLOOKUP("Interest Expense",DCF!$B:$B,DCF!H:H),"N/A")</f>
        <v>N/A</v>
      </c>
      <c r="R49" s="361">
        <f>IFERROR(_xlfn.XLOOKUP("EBIT",DCF!$B:$B,DCF!I:I)/_xlfn.XLOOKUP("Interest Expense",DCF!$B:$B,DCF!I:I),"N/A")</f>
        <v>0</v>
      </c>
    </row>
    <row r="50" spans="2:18" ht="15.6">
      <c r="B50" s="18" t="s">
        <v>90</v>
      </c>
      <c r="F50" s="16" t="str">
        <f>IFERROR(_xlfn.XLOOKUP("EBITDA",Inputs!$B:$B,Inputs!G:G)/_xlfn.XLOOKUP("Interest Expense",Inputs!$B:$B,Inputs!G:G),"N/A")</f>
        <v>N/A</v>
      </c>
      <c r="G50" s="16" t="str">
        <f>IFERROR(_xlfn.XLOOKUP("EBITDA",Inputs!$B:$B,Inputs!H:H)/_xlfn.XLOOKUP("Interest Expense",Inputs!$B:$B,Inputs!H:H),"N/A")</f>
        <v>N/A</v>
      </c>
      <c r="H50" s="16">
        <f>IFERROR(_xlfn.XLOOKUP("EBITDA",Inputs!$B:$B,Inputs!I:I)/_xlfn.XLOOKUP("Interest Expense",Inputs!$B:$B,Inputs!I:I),"N/A")</f>
        <v>1.4171779141104299</v>
      </c>
      <c r="I50" s="16">
        <f>IFERROR(_xlfn.XLOOKUP("EBITDA",Inputs!$B:$B,Inputs!J:J)/_xlfn.XLOOKUP("Interest Expense",Inputs!$B:$B,Inputs!J:J),"N/A")</f>
        <v>3.784090909090907</v>
      </c>
      <c r="J50" s="16">
        <f>IFERROR(_xlfn.XLOOKUP("EBITDA",Inputs!$B:$B,Inputs!K:K)/_xlfn.XLOOKUP("Interest Expense",Inputs!$B:$B,Inputs!K:K),"N/A")</f>
        <v>3.3461538461538454</v>
      </c>
      <c r="K50" s="16" t="str">
        <f>IFERROR(_xlfn.XLOOKUP("EBITDA",Inputs!$B:$B,Inputs!L:L)/_xlfn.XLOOKUP("Interest Expense",Inputs!$B:$B,Inputs!L:L),"N/A")</f>
        <v>N/A</v>
      </c>
      <c r="L50" s="16">
        <f>IFERROR(_xlfn.XLOOKUP("EBITDA",Inputs!$B:$B,Inputs!M:M)/_xlfn.XLOOKUP("Interest Expense",Inputs!$B:$B,Inputs!M:M),"N/A")</f>
        <v>4.7619047619047619</v>
      </c>
      <c r="M50" s="16">
        <f>IFERROR(_xlfn.XLOOKUP("EBITDA",Inputs!$B:$B,Inputs!N:N)/_xlfn.XLOOKUP("Interest Expense",Inputs!$B:$B,Inputs!N:N),"N/A")</f>
        <v>2.2926829268292757</v>
      </c>
      <c r="N50" s="16">
        <f>IFERROR(_xlfn.XLOOKUP("EBITDA",Inputs!$B:$B,Inputs!O:O)/_xlfn.XLOOKUP("Interest Expense",Inputs!$B:$B,Inputs!O:O),"N/A")</f>
        <v>12.249999999999991</v>
      </c>
      <c r="O50" s="16">
        <f>IFERROR(_xlfn.XLOOKUP("EBITDA",Inputs!$B:$B,Inputs!P:P)/_xlfn.XLOOKUP("Interest Expense",Inputs!$B:$B,Inputs!P:P),"N/A")</f>
        <v>34.049999999999983</v>
      </c>
      <c r="P50" s="354">
        <f>IFERROR(_xlfn.XLOOKUP("EBITDA",Inputs!$B:$B,Inputs!Q:Q)/_xlfn.XLOOKUP("Interest Expense",Inputs!$B:$B,Inputs!Q:Q),"N/A")</f>
        <v>21.385714285714275</v>
      </c>
      <c r="Q50" s="361">
        <f>IFERROR(_xlfn.XLOOKUP("EBITDA",DCF!$B:$B,DCF!H:H)/_xlfn.XLOOKUP("Interest Expense",DCF!$B:$B,DCF!H:H),"N/A")</f>
        <v>15.791572654725346</v>
      </c>
      <c r="R50" s="361">
        <f>IFERROR(_xlfn.XLOOKUP("EBITDA",DCF!$B:$B,DCF!I:I)/_xlfn.XLOOKUP("Interest Expense",DCF!$B:$B,DCF!I:I),"N/A")</f>
        <v>21.822707734808592</v>
      </c>
    </row>
    <row r="51" spans="2:18" ht="15.6">
      <c r="B51" s="18" t="s">
        <v>91</v>
      </c>
      <c r="F51" s="16" t="str">
        <f>IFERROR((_xlfn.XLOOKUP("EBITDA",Inputs!$B:$B,Inputs!G:G)-_xlfn.XLOOKUP("Net Capex",Inputs!$B:$B,Inputs!G:G))/_xlfn.XLOOKUP("Interest Expense",Inputs!$B:$B,Inputs!G:G),"N/A")</f>
        <v>N/A</v>
      </c>
      <c r="G51" s="16" t="str">
        <f>IFERROR((_xlfn.XLOOKUP("EBITDA",Inputs!$B:$B,Inputs!H:H)-_xlfn.XLOOKUP("Net Capex",Inputs!$B:$B,Inputs!H:H))/_xlfn.XLOOKUP("Interest Expense",Inputs!$B:$B,Inputs!H:H),"N/A")</f>
        <v>N/A</v>
      </c>
      <c r="H51" s="16">
        <f>IFERROR((_xlfn.XLOOKUP("EBITDA",Inputs!$B:$B,Inputs!I:I)-_xlfn.XLOOKUP("Net Capex",Inputs!$B:$B,Inputs!I:I))/_xlfn.XLOOKUP("Interest Expense",Inputs!$B:$B,Inputs!I:I),"N/A")</f>
        <v>1.9754601226993871</v>
      </c>
      <c r="I51" s="16">
        <f>IFERROR((_xlfn.XLOOKUP("EBITDA",Inputs!$B:$B,Inputs!J:J)-_xlfn.XLOOKUP("Net Capex",Inputs!$B:$B,Inputs!J:J))/_xlfn.XLOOKUP("Interest Expense",Inputs!$B:$B,Inputs!J:J),"N/A")</f>
        <v>4.636363636363634</v>
      </c>
      <c r="J51" s="16">
        <f>IFERROR((_xlfn.XLOOKUP("EBITDA",Inputs!$B:$B,Inputs!K:K)-_xlfn.XLOOKUP("Net Capex",Inputs!$B:$B,Inputs!K:K))/_xlfn.XLOOKUP("Interest Expense",Inputs!$B:$B,Inputs!K:K),"N/A")</f>
        <v>4.4871794871794863</v>
      </c>
      <c r="K51" s="16" t="str">
        <f>IFERROR((_xlfn.XLOOKUP("EBITDA",Inputs!$B:$B,Inputs!L:L)-_xlfn.XLOOKUP("Net Capex",Inputs!$B:$B,Inputs!L:L))/_xlfn.XLOOKUP("Interest Expense",Inputs!$B:$B,Inputs!L:L),"N/A")</f>
        <v>N/A</v>
      </c>
      <c r="L51" s="16">
        <f>IFERROR((_xlfn.XLOOKUP("EBITDA",Inputs!$B:$B,Inputs!M:M)-_xlfn.XLOOKUP("Net Capex",Inputs!$B:$B,Inputs!M:M))/_xlfn.XLOOKUP("Interest Expense",Inputs!$B:$B,Inputs!M:M),"N/A")</f>
        <v>6.253968253968254</v>
      </c>
      <c r="M51" s="16">
        <f>IFERROR((_xlfn.XLOOKUP("EBITDA",Inputs!$B:$B,Inputs!N:N)-_xlfn.XLOOKUP("Net Capex",Inputs!$B:$B,Inputs!N:N))/_xlfn.XLOOKUP("Interest Expense",Inputs!$B:$B,Inputs!N:N),"N/A")</f>
        <v>3.8780487804878123</v>
      </c>
      <c r="N51" s="16">
        <f>IFERROR((_xlfn.XLOOKUP("EBITDA",Inputs!$B:$B,Inputs!O:O)-_xlfn.XLOOKUP("Net Capex",Inputs!$B:$B,Inputs!O:O))/_xlfn.XLOOKUP("Interest Expense",Inputs!$B:$B,Inputs!O:O),"N/A")</f>
        <v>14.249999999999989</v>
      </c>
      <c r="O51" s="16">
        <f>IFERROR((_xlfn.XLOOKUP("EBITDA",Inputs!$B:$B,Inputs!P:P)-_xlfn.XLOOKUP("Net Capex",Inputs!$B:$B,Inputs!P:P))/_xlfn.XLOOKUP("Interest Expense",Inputs!$B:$B,Inputs!P:P),"N/A")</f>
        <v>34.899999999999984</v>
      </c>
      <c r="P51" s="354">
        <f>IFERROR((_xlfn.XLOOKUP("EBITDA",Inputs!$B:$B,Inputs!Q:Q)-_xlfn.XLOOKUP("Net Capex",Inputs!$B:$B,Inputs!Q:Q))/_xlfn.XLOOKUP("Interest Expense",Inputs!$B:$B,Inputs!Q:Q),"N/A")</f>
        <v>22.628571428571416</v>
      </c>
      <c r="Q51" s="361">
        <f>IFERROR((_xlfn.XLOOKUP("EBITDA",DCF!$B:$B,DCF!H:H)-_xlfn.XLOOKUP("Net Capex",DCF!$B:$B,DCF!H:H))/_xlfn.XLOOKUP("Interest Expense",DCF!$B:$B,DCF!H:H),"N/A")</f>
        <v>16.972995794323388</v>
      </c>
      <c r="R51" s="361">
        <f>IFERROR((_xlfn.XLOOKUP("EBITDA",DCF!$B:$B,DCF!I:I)-_xlfn.XLOOKUP("Net Capex",DCF!$B:$B,DCF!I:I))/_xlfn.XLOOKUP("Interest Expense",DCF!$B:$B,DCF!I:I),"N/A")</f>
        <v>23.020538791932278</v>
      </c>
    </row>
    <row r="52" spans="2:18">
      <c r="P52" s="355"/>
      <c r="Q52" s="366"/>
      <c r="R52" s="366"/>
    </row>
    <row r="53" spans="2:18" ht="15.6">
      <c r="B53" s="7" t="s">
        <v>63</v>
      </c>
      <c r="C53" s="55"/>
      <c r="D53" s="57"/>
      <c r="E53" s="57"/>
      <c r="F53" s="376">
        <v>2014</v>
      </c>
      <c r="G53" s="376">
        <f t="shared" ref="G53" si="47">+F53+1</f>
        <v>2015</v>
      </c>
      <c r="H53" s="376">
        <f t="shared" ref="H53" si="48">+G53+1</f>
        <v>2016</v>
      </c>
      <c r="I53" s="376">
        <f t="shared" ref="I53" si="49">+H53+1</f>
        <v>2017</v>
      </c>
      <c r="J53" s="376">
        <f t="shared" ref="J53" si="50">+I53+1</f>
        <v>2018</v>
      </c>
      <c r="K53" s="376">
        <f t="shared" ref="K53" si="51">+J53+1</f>
        <v>2019</v>
      </c>
      <c r="L53" s="376">
        <f t="shared" ref="L53" si="52">+K53+1</f>
        <v>2020</v>
      </c>
      <c r="M53" s="376">
        <f t="shared" ref="M53" si="53">+L53+1</f>
        <v>2021</v>
      </c>
      <c r="N53" s="376">
        <v>2022</v>
      </c>
      <c r="O53" s="376">
        <f t="shared" ref="O53" si="54">+N53+1</f>
        <v>2023</v>
      </c>
      <c r="P53" s="377">
        <f>+O53+1</f>
        <v>2024</v>
      </c>
      <c r="Q53" s="375">
        <f>+P53+1</f>
        <v>2025</v>
      </c>
      <c r="R53" s="375">
        <f>+Q53+1</f>
        <v>2026</v>
      </c>
    </row>
    <row r="54" spans="2:18" ht="3.75" customHeight="1">
      <c r="B54" s="246"/>
      <c r="C54" s="52"/>
      <c r="D54" s="59"/>
      <c r="E54" s="59"/>
      <c r="F54" s="59"/>
      <c r="G54" s="59"/>
      <c r="H54" s="59"/>
      <c r="I54" s="59"/>
      <c r="J54" s="59"/>
      <c r="K54" s="59"/>
      <c r="L54" s="59"/>
      <c r="M54" s="59"/>
      <c r="N54" s="219"/>
      <c r="O54" s="219"/>
      <c r="P54" s="356"/>
      <c r="Q54" s="219"/>
      <c r="R54" s="219"/>
    </row>
    <row r="55" spans="2:18" ht="15.6">
      <c r="B55" s="18" t="s">
        <v>274</v>
      </c>
      <c r="F55" s="372" t="str">
        <f>+IFERROR(_xlfn.XLOOKUP("Operating Cash Flow",Inputs!$B:$B,Inputs!G:G,,,-1)/_xlfn.XLOOKUP("Revenue (Sales)",Inputs!$B:$B,Inputs!G:G),"")</f>
        <v/>
      </c>
      <c r="G55" s="372">
        <f>+IFERROR(_xlfn.XLOOKUP("Operating Cash Flow",Inputs!$B:$B,Inputs!H:H,,,-1)/_xlfn.XLOOKUP("Revenue (Sales)",Inputs!$B:$B,Inputs!H:H),"")</f>
        <v>0</v>
      </c>
      <c r="H55" s="372">
        <f>+IFERROR(_xlfn.XLOOKUP("Operating Cash Flow",Inputs!$B:$B,Inputs!I:I,,,-1)/_xlfn.XLOOKUP("Revenue (Sales)",Inputs!$B:$B,Inputs!I:I),"")</f>
        <v>9.1463414634146353E-3</v>
      </c>
      <c r="I55" s="372">
        <f>+IFERROR(_xlfn.XLOOKUP("Operating Cash Flow",Inputs!$B:$B,Inputs!J:J,,,-1)/_xlfn.XLOOKUP("Revenue (Sales)",Inputs!$B:$B,Inputs!J:J),"")</f>
        <v>4.5942941830307525E-2</v>
      </c>
      <c r="J55" s="372">
        <f>+IFERROR(_xlfn.XLOOKUP("Operating Cash Flow",Inputs!$B:$B,Inputs!K:K,,,-1)/_xlfn.XLOOKUP("Revenue (Sales)",Inputs!$B:$B,Inputs!K:K),"")</f>
        <v>0.20792819745699329</v>
      </c>
      <c r="K55" s="372" t="str">
        <f>+IFERROR(_xlfn.XLOOKUP("Operating Cash Flow",Inputs!$B:$B,Inputs!L:L,,,-1)/_xlfn.XLOOKUP("Revenue (Sales)",Inputs!$B:$B,Inputs!L:L),"")</f>
        <v/>
      </c>
      <c r="L55" s="372">
        <f>+IFERROR(_xlfn.XLOOKUP("Operating Cash Flow",Inputs!$B:$B,Inputs!M:M,,,-1)/_xlfn.XLOOKUP("Revenue (Sales)",Inputs!$B:$B,Inputs!M:M),"")</f>
        <v>0.1565924354895723</v>
      </c>
      <c r="M55" s="372">
        <f>+IFERROR(_xlfn.XLOOKUP("Operating Cash Flow",Inputs!$B:$B,Inputs!N:N,,,-1)/_xlfn.XLOOKUP("Revenue (Sales)",Inputs!$B:$B,Inputs!N:N),"")</f>
        <v>9.2738132662684686E-2</v>
      </c>
      <c r="N55" s="372">
        <f>+IFERROR(_xlfn.XLOOKUP("Operating Cash Flow",Inputs!$B:$B,Inputs!O:O,,,-1)/_xlfn.XLOOKUP("Revenue (Sales)",Inputs!$B:$B,Inputs!O:O),"")</f>
        <v>4.9719530851606325E-2</v>
      </c>
      <c r="O55" s="372">
        <f>+IFERROR(_xlfn.XLOOKUP("Operating Cash Flow",Inputs!$B:$B,Inputs!P:P,,,-1)/_xlfn.XLOOKUP("Revenue (Sales)",Inputs!$B:$B,Inputs!P:P),"")</f>
        <v>0.17605390463026954</v>
      </c>
      <c r="P55" s="373">
        <f>+IFERROR(_xlfn.XLOOKUP("Operating Cash Flow",Inputs!$B:$B,Inputs!Q:Q,,,-1)/_xlfn.XLOOKUP("Revenue (Sales)",Inputs!$B:$B,Inputs!Q:Q),"")</f>
        <v>6.9538040824299249E-2</v>
      </c>
      <c r="Q55" s="374">
        <f>IFERROR(_xlfn.XLOOKUP("Operating Cash Flow",DCF!$B:$B,DCF!H:H)/_xlfn.XLOOKUP("Revenue (Sales)",DCF!$B:$B,DCF!H:H),"")</f>
        <v>-4.628148984564426E-3</v>
      </c>
      <c r="R55" s="374">
        <f>IFERROR(_xlfn.XLOOKUP("Operating Cash Flow",DCF!$B:$B,DCF!I:I)/_xlfn.XLOOKUP("Revenue (Sales)",DCF!$B:$B,DCF!I:I),"")</f>
        <v>0.13415014577864706</v>
      </c>
    </row>
    <row r="56" spans="2:18" ht="15.6">
      <c r="B56" s="18" t="s">
        <v>275</v>
      </c>
      <c r="F56" s="372" t="str">
        <f>IFERROR(_xlfn.XLOOKUP("Net Changes in Cash",Inputs!$B:$B,Inputs!G:G,,,-1)/_xlfn.XLOOKUP("Net Income",Inputs!$B:$B,Inputs!G:G),"")</f>
        <v/>
      </c>
      <c r="G56" s="372">
        <f>IFERROR(_xlfn.XLOOKUP("Net Changes in Cash",Inputs!$B:$B,Inputs!H:H,,,-1)/_xlfn.XLOOKUP("Net Income",Inputs!$B:$B,Inputs!H:H),"")</f>
        <v>0</v>
      </c>
      <c r="H56" s="372">
        <f>IFERROR(_xlfn.XLOOKUP("Net Changes in Cash",Inputs!$B:$B,Inputs!I:I,,,-1)/_xlfn.XLOOKUP("Net Income",Inputs!$B:$B,Inputs!I:I),"")</f>
        <v>0.24528301886792417</v>
      </c>
      <c r="I56" s="372">
        <f>IFERROR(_xlfn.XLOOKUP("Net Changes in Cash",Inputs!$B:$B,Inputs!J:J,,,-1)/_xlfn.XLOOKUP("Net Income",Inputs!$B:$B,Inputs!J:J),"")</f>
        <v>-0.155223880597015</v>
      </c>
      <c r="J56" s="372">
        <f>IFERROR(_xlfn.XLOOKUP("Net Changes in Cash",Inputs!$B:$B,Inputs!K:K,,,-1)/_xlfn.XLOOKUP("Net Income",Inputs!$B:$B,Inputs!K:K),"")</f>
        <v>2.6516129032258076</v>
      </c>
      <c r="K56" s="372" t="str">
        <f>IFERROR(_xlfn.XLOOKUP("Net Changes in Cash",Inputs!$B:$B,Inputs!L:L,,,-1)/_xlfn.XLOOKUP("Net Income",Inputs!$B:$B,Inputs!L:L),"")</f>
        <v/>
      </c>
      <c r="L56" s="372">
        <f>IFERROR(_xlfn.XLOOKUP("Net Changes in Cash",Inputs!$B:$B,Inputs!M:M,,,-1)/_xlfn.XLOOKUP("Net Income",Inputs!$B:$B,Inputs!M:M),"")</f>
        <v>-0.43016759776536317</v>
      </c>
      <c r="M56" s="372">
        <f>IFERROR(_xlfn.XLOOKUP("Net Changes in Cash",Inputs!$B:$B,Inputs!N:N,,,-1)/_xlfn.XLOOKUP("Net Income",Inputs!$B:$B,Inputs!N:N),"")</f>
        <v>1.8709677419354755</v>
      </c>
      <c r="N56" s="372">
        <f>IFERROR(_xlfn.XLOOKUP("Net Changes in Cash",Inputs!$B:$B,Inputs!O:O,,,-1)/_xlfn.XLOOKUP("Net Income",Inputs!$B:$B,Inputs!O:O),"")</f>
        <v>-0.65753424657534321</v>
      </c>
      <c r="O56" s="372">
        <f>IFERROR(_xlfn.XLOOKUP("Net Changes in Cash",Inputs!$B:$B,Inputs!P:P,,,-1)/_xlfn.XLOOKUP("Net Income",Inputs!$B:$B,Inputs!P:P),"")</f>
        <v>1.2585365853658546</v>
      </c>
      <c r="P56" s="373">
        <f>IFERROR(_xlfn.XLOOKUP("Net Changes in Cash",Inputs!$B:$B,Inputs!Q:Q,,,-1)/_xlfn.XLOOKUP("Net Income",Inputs!$B:$B,Inputs!Q:Q),"")</f>
        <v>-9.8668754894283534E-2</v>
      </c>
      <c r="Q56" s="374">
        <f>IFERROR(_xlfn.XLOOKUP("Net Changes in Cash",DCF!$B:$B,DCF!H:H)/_xlfn.XLOOKUP("Net Income",DCF!$B:$B,DCF!H:H),"")</f>
        <v>-0.46648848494506734</v>
      </c>
      <c r="R56" s="374">
        <f>IFERROR(_xlfn.XLOOKUP("Net Changes in Cash",DCF!$B:$B,DCF!I:I)/_xlfn.XLOOKUP("Net Income",DCF!$B:$B,DCF!I:I),"")</f>
        <v>1.5724926856208323</v>
      </c>
    </row>
    <row r="57" spans="2:18" ht="15.6">
      <c r="B57" s="18" t="s">
        <v>276</v>
      </c>
      <c r="F57" s="372" t="str">
        <f>IFERROR(_xlfn.XLOOKUP("Operating Cash Flow",Inputs!$B:$B,Inputs!G:G,,,-1)/_xlfn.XLOOKUP("Net Income",Inputs!$B:$B,Inputs!G:G),"")</f>
        <v/>
      </c>
      <c r="G57" s="372">
        <f>IFERROR(_xlfn.XLOOKUP("Operating Cash Flow",Inputs!$B:$B,Inputs!H:H,,,-1)/_xlfn.XLOOKUP("Net Income",Inputs!$B:$B,Inputs!H:H),"")</f>
        <v>0</v>
      </c>
      <c r="H57" s="372">
        <f>IFERROR(_xlfn.XLOOKUP("Operating Cash Flow",Inputs!$B:$B,Inputs!I:I,,,-1)/_xlfn.XLOOKUP("Net Income",Inputs!$B:$B,Inputs!I:I),"")</f>
        <v>0.39622641509433904</v>
      </c>
      <c r="I57" s="372">
        <f>IFERROR(_xlfn.XLOOKUP("Operating Cash Flow",Inputs!$B:$B,Inputs!J:J,,,-1)/_xlfn.XLOOKUP("Net Income",Inputs!$B:$B,Inputs!J:J),"")</f>
        <v>0.37014925373134344</v>
      </c>
      <c r="J57" s="372">
        <f>IFERROR(_xlfn.XLOOKUP("Operating Cash Flow",Inputs!$B:$B,Inputs!K:K,,,-1)/_xlfn.XLOOKUP("Net Income",Inputs!$B:$B,Inputs!K:K),"")</f>
        <v>3.5870967741935496</v>
      </c>
      <c r="K57" s="372" t="str">
        <f>IFERROR(_xlfn.XLOOKUP("Operating Cash Flow",Inputs!$B:$B,Inputs!L:L,,,-1)/_xlfn.XLOOKUP("Net Income",Inputs!$B:$B,Inputs!L:L),"")</f>
        <v/>
      </c>
      <c r="L57" s="372">
        <f>IFERROR(_xlfn.XLOOKUP("Operating Cash Flow",Inputs!$B:$B,Inputs!M:M,,,-1)/_xlfn.XLOOKUP("Net Income",Inputs!$B:$B,Inputs!M:M),"")</f>
        <v>2.4748603351955309</v>
      </c>
      <c r="M57" s="372">
        <f>IFERROR(_xlfn.XLOOKUP("Operating Cash Flow",Inputs!$B:$B,Inputs!N:N,,,-1)/_xlfn.XLOOKUP("Net Income",Inputs!$B:$B,Inputs!N:N),"")</f>
        <v>4.7580645161290107</v>
      </c>
      <c r="N57" s="372">
        <f>IFERROR(_xlfn.XLOOKUP("Operating Cash Flow",Inputs!$B:$B,Inputs!O:O,,,-1)/_xlfn.XLOOKUP("Net Income",Inputs!$B:$B,Inputs!O:O),"")</f>
        <v>0.89041095890411048</v>
      </c>
      <c r="O57" s="372">
        <f>IFERROR(_xlfn.XLOOKUP("Operating Cash Flow",Inputs!$B:$B,Inputs!P:P,,,-1)/_xlfn.XLOOKUP("Net Income",Inputs!$B:$B,Inputs!P:P),"")</f>
        <v>1.6569105691056922</v>
      </c>
      <c r="P57" s="373">
        <f>IFERROR(_xlfn.XLOOKUP("Operating Cash Flow",Inputs!$B:$B,Inputs!Q:Q,,,-1)/_xlfn.XLOOKUP("Net Income",Inputs!$B:$B,Inputs!Q:Q),"")</f>
        <v>0.55755677368833234</v>
      </c>
      <c r="Q57" s="374">
        <f>IFERROR(_xlfn.XLOOKUP("Operating Cash Flow",DCF!$B:$B,DCF!H:H)/_xlfn.XLOOKUP("Net Income",DCF!$B:$B,DCF!H:H),"")</f>
        <v>-9.760672741999199E-2</v>
      </c>
      <c r="R57" s="374">
        <f>IFERROR(_xlfn.XLOOKUP("Operating Cash Flow",DCF!$B:$B,DCF!I:I)/_xlfn.XLOOKUP("Net Income",DCF!$B:$B,DCF!I:I),"")</f>
        <v>1.8335703458182184</v>
      </c>
    </row>
    <row r="58" spans="2:18" ht="15.6">
      <c r="B58" s="18" t="s">
        <v>277</v>
      </c>
      <c r="F58" s="372" t="str">
        <f>IFERROR(_xlfn.XLOOKUP("Net Capex",Inputs!$B:$B,Inputs!G:G,,,-1)/_xlfn.XLOOKUP("Operating Cash Flow",Inputs!$B:$B,Inputs!G:G),"")</f>
        <v/>
      </c>
      <c r="G58" s="372" t="str">
        <f>IFERROR(_xlfn.XLOOKUP("Net Capex",Inputs!$B:$B,Inputs!H:H,,,-1)/_xlfn.XLOOKUP("Operating Cash Flow",Inputs!$B:$B,Inputs!H:H),"")</f>
        <v/>
      </c>
      <c r="H58" s="372">
        <f>IFERROR(_xlfn.XLOOKUP("Net Capex",Inputs!$B:$B,Inputs!I:I,,,-1)/_xlfn.XLOOKUP("Operating Cash Flow",Inputs!$B:$B,Inputs!I:I),"")</f>
        <v>-4.333333333333333</v>
      </c>
      <c r="I58" s="372">
        <f>IFERROR(_xlfn.XLOOKUP("Net Capex",Inputs!$B:$B,Inputs!J:J,,,-1)/_xlfn.XLOOKUP("Operating Cash Flow",Inputs!$B:$B,Inputs!J:J),"")</f>
        <v>-0.60483870967741937</v>
      </c>
      <c r="J58" s="372">
        <f>IFERROR(_xlfn.XLOOKUP("Net Capex",Inputs!$B:$B,Inputs!K:K,,,-1)/_xlfn.XLOOKUP("Operating Cash Flow",Inputs!$B:$B,Inputs!K:K),"")</f>
        <v>-0.16007194244604317</v>
      </c>
      <c r="K58" s="372" t="str">
        <f>IFERROR(_xlfn.XLOOKUP("Net Capex",Inputs!$B:$B,Inputs!L:L,,,-1)/_xlfn.XLOOKUP("Operating Cash Flow",Inputs!$B:$B,Inputs!L:L),"")</f>
        <v/>
      </c>
      <c r="L58" s="372">
        <f>IFERROR(_xlfn.XLOOKUP("Net Capex",Inputs!$B:$B,Inputs!M:M,,,-1)/_xlfn.XLOOKUP("Operating Cash Flow",Inputs!$B:$B,Inputs!M:M),"")</f>
        <v>-0.21218961625282171</v>
      </c>
      <c r="M58" s="372">
        <f>IFERROR(_xlfn.XLOOKUP("Net Capex",Inputs!$B:$B,Inputs!N:N,,,-1)/_xlfn.XLOOKUP("Operating Cash Flow",Inputs!$B:$B,Inputs!N:N),"")</f>
        <v>-0.22033898305084745</v>
      </c>
      <c r="N58" s="372">
        <f>IFERROR(_xlfn.XLOOKUP("Net Capex",Inputs!$B:$B,Inputs!O:O,,,-1)/_xlfn.XLOOKUP("Operating Cash Flow",Inputs!$B:$B,Inputs!O:O),"")</f>
        <v>-0.24615384615384614</v>
      </c>
      <c r="O58" s="372">
        <f>IFERROR(_xlfn.XLOOKUP("Net Capex",Inputs!$B:$B,Inputs!P:P,,,-1)/_xlfn.XLOOKUP("Operating Cash Flow",Inputs!$B:$B,Inputs!P:P),"")</f>
        <v>-1.6683022571148183E-2</v>
      </c>
      <c r="P58" s="373">
        <f>IFERROR(_xlfn.XLOOKUP("Net Capex",Inputs!$B:$B,Inputs!Q:Q,,,-1)/_xlfn.XLOOKUP("Operating Cash Flow",Inputs!$B:$B,Inputs!Q:Q),"")</f>
        <v>-0.12219101123595504</v>
      </c>
      <c r="Q58" s="374">
        <f>IFERROR(_xlfn.XLOOKUP("Net Capex",DCF!$B:$B,DCF!H:H)/_xlfn.XLOOKUP("Operating Cash Flow",DCF!$B:$B,DCF!H:H),"")</f>
        <v>1.436168688797433</v>
      </c>
      <c r="R58" s="374">
        <f>IFERROR(_xlfn.XLOOKUP("Net Capex",DCF!$B:$B,DCF!I:I)/_xlfn.XLOOKUP("Operating Cash Flow",DCF!$B:$B,DCF!I:I),"")</f>
        <v>-4.6625477029581468E-2</v>
      </c>
    </row>
    <row r="59" spans="2:18" ht="15.6">
      <c r="B59" s="18" t="s">
        <v>278</v>
      </c>
      <c r="F59" s="372" t="str">
        <f>IFERROR(_xlfn.XLOOKUP("Investing Cash Flow",Inputs!$B:$B,Inputs!G:G,,,-1)/_xlfn.XLOOKUP("Operating Cash Flow",Inputs!$B:$B,Inputs!G:G),"")</f>
        <v/>
      </c>
      <c r="G59" s="372" t="str">
        <f>IFERROR(_xlfn.XLOOKUP("Investing Cash Flow",Inputs!$B:$B,Inputs!H:H,,,-1)/_xlfn.XLOOKUP("Operating Cash Flow",Inputs!$B:$B,Inputs!H:H),"")</f>
        <v/>
      </c>
      <c r="H59" s="372">
        <f>IFERROR(_xlfn.XLOOKUP("Investing Cash Flow",Inputs!$B:$B,Inputs!I:I,,,-1)/_xlfn.XLOOKUP("Operating Cash Flow",Inputs!$B:$B,Inputs!I:I),"")</f>
        <v>-4.333333333333333</v>
      </c>
      <c r="I59" s="372">
        <f>IFERROR(_xlfn.XLOOKUP("Investing Cash Flow",Inputs!$B:$B,Inputs!J:J,,,-1)/_xlfn.XLOOKUP("Operating Cash Flow",Inputs!$B:$B,Inputs!J:J),"")</f>
        <v>-0.83870967741935487</v>
      </c>
      <c r="J59" s="372">
        <f>IFERROR(_xlfn.XLOOKUP("Investing Cash Flow",Inputs!$B:$B,Inputs!K:K,,,-1)/_xlfn.XLOOKUP("Operating Cash Flow",Inputs!$B:$B,Inputs!K:K),"")</f>
        <v>-0.16007194244604317</v>
      </c>
      <c r="K59" s="372" t="str">
        <f>IFERROR(_xlfn.XLOOKUP("Investing Cash Flow",Inputs!$B:$B,Inputs!L:L,,,-1)/_xlfn.XLOOKUP("Operating Cash Flow",Inputs!$B:$B,Inputs!L:L),"")</f>
        <v/>
      </c>
      <c r="L59" s="372">
        <f>IFERROR(_xlfn.XLOOKUP("Investing Cash Flow",Inputs!$B:$B,Inputs!M:M,,,-1)/_xlfn.XLOOKUP("Operating Cash Flow",Inputs!$B:$B,Inputs!M:M),"")</f>
        <v>-0.79683972911963885</v>
      </c>
      <c r="M59" s="372">
        <f>IFERROR(_xlfn.XLOOKUP("Investing Cash Flow",Inputs!$B:$B,Inputs!N:N,,,-1)/_xlfn.XLOOKUP("Operating Cash Flow",Inputs!$B:$B,Inputs!N:N),"")</f>
        <v>-0.22033898305084745</v>
      </c>
      <c r="N59" s="372">
        <f>IFERROR(_xlfn.XLOOKUP("Investing Cash Flow",Inputs!$B:$B,Inputs!O:O,,,-1)/_xlfn.XLOOKUP("Operating Cash Flow",Inputs!$B:$B,Inputs!O:O),"")</f>
        <v>-0.24615384615384614</v>
      </c>
      <c r="O59" s="372">
        <f>IFERROR(_xlfn.XLOOKUP("Investing Cash Flow",Inputs!$B:$B,Inputs!P:P,,,-1)/_xlfn.XLOOKUP("Operating Cash Flow",Inputs!$B:$B,Inputs!P:P),"")</f>
        <v>-1.6683022571148183E-2</v>
      </c>
      <c r="P59" s="373">
        <f>IFERROR(_xlfn.XLOOKUP("Investing Cash Flow",Inputs!$B:$B,Inputs!Q:Q,,,-1)/_xlfn.XLOOKUP("Operating Cash Flow",Inputs!$B:$B,Inputs!Q:Q),"")</f>
        <v>-3.9985955056179772</v>
      </c>
      <c r="Q59" s="374">
        <f>IFERROR(_xlfn.XLOOKUP("Investing Cash Flow",DCF!$B:$B,DCF!H:H)/_xlfn.XLOOKUP("Operating Cash Flow",DCF!$B:$B,DCF!H:H),"")</f>
        <v>1.5065105526111722</v>
      </c>
      <c r="R59" s="374">
        <f>IFERROR(_xlfn.XLOOKUP("Investing Cash Flow",DCF!$B:$B,DCF!I:I)/_xlfn.XLOOKUP("Operating Cash Flow",DCF!$B:$B,DCF!I:I),"")</f>
        <v>-4.9332774202357439E-2</v>
      </c>
    </row>
    <row r="60" spans="2:18" ht="15.6">
      <c r="B60" s="18" t="s">
        <v>279</v>
      </c>
      <c r="F60" s="372" t="str">
        <f>IFERROR((_xlfn.XLOOKUP("Debt Borrowing",Inputs!$B:$B,Inputs!G:G,,,-1)-_xlfn.XLOOKUP("Debt Repayment",Inputs!$B:$B,Inputs!G:G))/_xlfn.XLOOKUP("Operating Cash Flow",Inputs!$B:$B,Inputs!G:G),"")</f>
        <v/>
      </c>
      <c r="G60" s="372" t="str">
        <f>IFERROR((_xlfn.XLOOKUP("Debt Borrowing",Inputs!$B:$B,Inputs!H:H,,,-1)-_xlfn.XLOOKUP("Debt Repayment",Inputs!$B:$B,Inputs!H:H))/_xlfn.XLOOKUP("Operating Cash Flow",Inputs!$B:$B,Inputs!H:H),"")</f>
        <v/>
      </c>
      <c r="H60" s="372">
        <f>IFERROR((_xlfn.XLOOKUP("Debt Borrowing",Inputs!$B:$B,Inputs!I:I,,,-1)-_xlfn.XLOOKUP("Debt Repayment",Inputs!$B:$B,Inputs!I:I))/_xlfn.XLOOKUP("Operating Cash Flow",Inputs!$B:$B,Inputs!I:I),"")</f>
        <v>154.38095238095238</v>
      </c>
      <c r="I60" s="372">
        <f>IFERROR((_xlfn.XLOOKUP("Debt Borrowing",Inputs!$B:$B,Inputs!J:J,,,-1)-_xlfn.XLOOKUP("Debt Repayment",Inputs!$B:$B,Inputs!J:J))/_xlfn.XLOOKUP("Operating Cash Flow",Inputs!$B:$B,Inputs!J:J),"")</f>
        <v>0.66935483870967749</v>
      </c>
      <c r="J60" s="372">
        <f>IFERROR((_xlfn.XLOOKUP("Debt Borrowing",Inputs!$B:$B,Inputs!K:K,,,-1)-_xlfn.XLOOKUP("Debt Repayment",Inputs!$B:$B,Inputs!K:K))/_xlfn.XLOOKUP("Operating Cash Flow",Inputs!$B:$B,Inputs!K:K),"")</f>
        <v>0.14928057553956836</v>
      </c>
      <c r="K60" s="372" t="str">
        <f>IFERROR((_xlfn.XLOOKUP("Debt Borrowing",Inputs!$B:$B,Inputs!L:L,,,-1)-_xlfn.XLOOKUP("Debt Repayment",Inputs!$B:$B,Inputs!L:L))/_xlfn.XLOOKUP("Operating Cash Flow",Inputs!$B:$B,Inputs!L:L),"")</f>
        <v/>
      </c>
      <c r="L60" s="372">
        <f>IFERROR((_xlfn.XLOOKUP("Debt Borrowing",Inputs!$B:$B,Inputs!M:M,,,-1)-_xlfn.XLOOKUP("Debt Repayment",Inputs!$B:$B,Inputs!M:M))/_xlfn.XLOOKUP("Operating Cash Flow",Inputs!$B:$B,Inputs!M:M),"")</f>
        <v>0.2144469525959368</v>
      </c>
      <c r="M60" s="372">
        <f>IFERROR((_xlfn.XLOOKUP("Debt Borrowing",Inputs!$B:$B,Inputs!N:N,,,-1)-_xlfn.XLOOKUP("Debt Repayment",Inputs!$B:$B,Inputs!N:N))/_xlfn.XLOOKUP("Operating Cash Flow",Inputs!$B:$B,Inputs!N:N),"")</f>
        <v>0.4</v>
      </c>
      <c r="N60" s="372">
        <f>IFERROR((_xlfn.XLOOKUP("Debt Borrowing",Inputs!$B:$B,Inputs!O:O,,,-1)-_xlfn.XLOOKUP("Debt Repayment",Inputs!$B:$B,Inputs!O:O))/_xlfn.XLOOKUP("Operating Cash Flow",Inputs!$B:$B,Inputs!O:O),"")</f>
        <v>4.1076923076923073</v>
      </c>
      <c r="O60" s="372">
        <f>IFERROR((_xlfn.XLOOKUP("Debt Borrowing",Inputs!$B:$B,Inputs!P:P,,,-1)-_xlfn.XLOOKUP("Debt Repayment",Inputs!$B:$B,Inputs!P:P))/_xlfn.XLOOKUP("Operating Cash Flow",Inputs!$B:$B,Inputs!P:P),"")</f>
        <v>0.29440628066732089</v>
      </c>
      <c r="P60" s="373">
        <f>IFERROR((_xlfn.XLOOKUP("Debt Borrowing",Inputs!$B:$B,Inputs!Q:Q,,,-1)-_xlfn.XLOOKUP("Debt Repayment",Inputs!$B:$B,Inputs!Q:Q))/_xlfn.XLOOKUP("Operating Cash Flow",Inputs!$B:$B,Inputs!Q:Q),"")</f>
        <v>2.9831460674157304</v>
      </c>
      <c r="Q60" s="374">
        <f>IFERROR((_xlfn.XLOOKUP("Debt Borrowing",DCF!$B:$B,DCF!H:H)-_xlfn.XLOOKUP("Debt Repayment",DCF!$B:$B,DCF!H:H))/_xlfn.XLOOKUP("Operating Cash Flow",DCF!$B:$B,DCF!H:H),"")</f>
        <v>2.3969160185446809</v>
      </c>
      <c r="R60" s="374">
        <f>IFERROR((_xlfn.XLOOKUP("Debt Borrowing",DCF!$B:$B,DCF!I:I)-_xlfn.XLOOKUP("Debt Repayment",DCF!$B:$B,DCF!I:I))/_xlfn.XLOOKUP("Operating Cash Flow",DCF!$B:$B,DCF!I:I),"")</f>
        <v>7.7281941599847151E-2</v>
      </c>
    </row>
    <row r="61" spans="2:18" ht="15.6">
      <c r="B61" s="18" t="s">
        <v>684</v>
      </c>
      <c r="F61" s="372" t="str">
        <f>IFERROR(-_xlfn.XLOOKUP("Debt Repayment",Inputs!$B:$B,Inputs!G:G,,,-1)/_xlfn.XLOOKUP("Debt Borrowing",Inputs!$B:$B,Inputs!G:G),"")</f>
        <v/>
      </c>
      <c r="G61" s="372" t="str">
        <f>IFERROR(-_xlfn.XLOOKUP("Debt Repayment",Inputs!$B:$B,Inputs!H:H,,,-1)/_xlfn.XLOOKUP("Debt Borrowing",Inputs!$B:$B,Inputs!H:H),"")</f>
        <v/>
      </c>
      <c r="H61" s="372">
        <f>IFERROR(-_xlfn.XLOOKUP("Debt Repayment",Inputs!$B:$B,Inputs!I:I,,,-1)/_xlfn.XLOOKUP("Debt Borrowing",Inputs!$B:$B,Inputs!I:I),"")</f>
        <v>0.8772437753329474</v>
      </c>
      <c r="I61" s="372" t="str">
        <f>IFERROR(-_xlfn.XLOOKUP("Debt Repayment",Inputs!$B:$B,Inputs!J:J,,,-1)/_xlfn.XLOOKUP("Debt Borrowing",Inputs!$B:$B,Inputs!J:J),"")</f>
        <v/>
      </c>
      <c r="J61" s="372" t="str">
        <f>IFERROR(-_xlfn.XLOOKUP("Debt Repayment",Inputs!$B:$B,Inputs!K:K,,,-1)/_xlfn.XLOOKUP("Debt Borrowing",Inputs!$B:$B,Inputs!K:K),"")</f>
        <v/>
      </c>
      <c r="K61" s="372" t="str">
        <f>IFERROR(-_xlfn.XLOOKUP("Debt Repayment",Inputs!$B:$B,Inputs!L:L,,,-1)/_xlfn.XLOOKUP("Debt Borrowing",Inputs!$B:$B,Inputs!L:L),"")</f>
        <v/>
      </c>
      <c r="L61" s="372" t="str">
        <f>IFERROR(-_xlfn.XLOOKUP("Debt Repayment",Inputs!$B:$B,Inputs!M:M,,,-1)/_xlfn.XLOOKUP("Debt Borrowing",Inputs!$B:$B,Inputs!M:M),"")</f>
        <v/>
      </c>
      <c r="M61" s="372" t="str">
        <f>IFERROR(-_xlfn.XLOOKUP("Debt Repayment",Inputs!$B:$B,Inputs!N:N,,,-1)/_xlfn.XLOOKUP("Debt Borrowing",Inputs!$B:$B,Inputs!N:N),"")</f>
        <v/>
      </c>
      <c r="N61" s="372">
        <f>IFERROR(-_xlfn.XLOOKUP("Debt Repayment",Inputs!$B:$B,Inputs!O:O,,,-1)/_xlfn.XLOOKUP("Debt Borrowing",Inputs!$B:$B,Inputs!O:O),"")</f>
        <v>2.12890625</v>
      </c>
      <c r="O61" s="372" t="str">
        <f>IFERROR(-_xlfn.XLOOKUP("Debt Repayment",Inputs!$B:$B,Inputs!P:P,,,-1)/_xlfn.XLOOKUP("Debt Borrowing",Inputs!$B:$B,Inputs!P:P),"")</f>
        <v/>
      </c>
      <c r="P61" s="373">
        <f>IFERROR(-_xlfn.XLOOKUP("Debt Repayment",Inputs!$B:$B,Inputs!Q:Q,,,-1)/_xlfn.XLOOKUP("Debt Borrowing",Inputs!$B:$B,Inputs!Q:Q),"")</f>
        <v>3.8630806845965773E-2</v>
      </c>
      <c r="Q61" s="374" t="str">
        <f>IFERROR(-_xlfn.XLOOKUP("Debt Repayment",DCF!$B:$B,DCF!H:H)/_xlfn.XLOOKUP("Debt Borrowing",DCF!$B:$B,DCF!H:H),"")</f>
        <v/>
      </c>
      <c r="R61" s="374">
        <f>IFERROR(-_xlfn.XLOOKUP("Debt Repayment",DCF!$B:$B,DCF!I:I)/_xlfn.XLOOKUP("Debt Borrowing",DCF!$B:$B,DCF!I:I),"")</f>
        <v>0</v>
      </c>
    </row>
    <row r="62" spans="2:18" ht="15.6">
      <c r="B62" s="18" t="s">
        <v>281</v>
      </c>
      <c r="F62" s="372" t="str">
        <f>IFERROR(_xlfn.XLOOKUP("Financing Cash Flow",Inputs!$B:$B,Inputs!G:G,,,-1)/_xlfn.XLOOKUP("Operating Cash Flow",Inputs!$B:$B,Inputs!G:G),"")</f>
        <v/>
      </c>
      <c r="G62" s="372" t="str">
        <f>IFERROR(_xlfn.XLOOKUP("Financing Cash Flow",Inputs!$B:$B,Inputs!H:H,,,-1)/_xlfn.XLOOKUP("Operating Cash Flow",Inputs!$B:$B,Inputs!H:H),"")</f>
        <v/>
      </c>
      <c r="H62" s="372">
        <f>IFERROR(_xlfn.XLOOKUP("Financing Cash Flow",Inputs!$B:$B,Inputs!I:I,,,-1)/_xlfn.XLOOKUP("Operating Cash Flow",Inputs!$B:$B,Inputs!I:I),"")</f>
        <v>3.9523809523809526</v>
      </c>
      <c r="I62" s="372">
        <f>IFERROR(_xlfn.XLOOKUP("Financing Cash Flow",Inputs!$B:$B,Inputs!J:J,,,-1)/_xlfn.XLOOKUP("Operating Cash Flow",Inputs!$B:$B,Inputs!J:J),"")</f>
        <v>-0.58064516129032262</v>
      </c>
      <c r="J62" s="372">
        <f>IFERROR(_xlfn.XLOOKUP("Financing Cash Flow",Inputs!$B:$B,Inputs!K:K,,,-1)/_xlfn.XLOOKUP("Operating Cash Flow",Inputs!$B:$B,Inputs!K:K),"")</f>
        <v>-0.10071942446043164</v>
      </c>
      <c r="K62" s="372" t="str">
        <f>IFERROR(_xlfn.XLOOKUP("Financing Cash Flow",Inputs!$B:$B,Inputs!L:L,,,-1)/_xlfn.XLOOKUP("Operating Cash Flow",Inputs!$B:$B,Inputs!L:L),"")</f>
        <v/>
      </c>
      <c r="L62" s="372">
        <f>IFERROR(_xlfn.XLOOKUP("Financing Cash Flow",Inputs!$B:$B,Inputs!M:M,,,-1)/_xlfn.XLOOKUP("Operating Cash Flow",Inputs!$B:$B,Inputs!M:M),"")</f>
        <v>-0.37697516930022573</v>
      </c>
      <c r="M62" s="372">
        <f>IFERROR(_xlfn.XLOOKUP("Financing Cash Flow",Inputs!$B:$B,Inputs!N:N,,,-1)/_xlfn.XLOOKUP("Operating Cash Flow",Inputs!$B:$B,Inputs!N:N),"")</f>
        <v>-0.38644067796610171</v>
      </c>
      <c r="N62" s="372">
        <f>IFERROR(_xlfn.XLOOKUP("Financing Cash Flow",Inputs!$B:$B,Inputs!O:O,,,-1)/_xlfn.XLOOKUP("Operating Cash Flow",Inputs!$B:$B,Inputs!O:O),"")</f>
        <v>-1.4923076923076923</v>
      </c>
      <c r="O62" s="372">
        <f>IFERROR(_xlfn.XLOOKUP("Financing Cash Flow",Inputs!$B:$B,Inputs!P:P,,,-1)/_xlfn.XLOOKUP("Operating Cash Flow",Inputs!$B:$B,Inputs!P:P),"")</f>
        <v>-0.2227674190382728</v>
      </c>
      <c r="P62" s="373">
        <f>IFERROR(_xlfn.XLOOKUP("Financing Cash Flow",Inputs!$B:$B,Inputs!Q:Q,,,-1)/_xlfn.XLOOKUP("Operating Cash Flow",Inputs!$B:$B,Inputs!Q:Q),"")</f>
        <v>2.821629213483146</v>
      </c>
      <c r="Q62" s="374">
        <f>IFERROR(_xlfn.XLOOKUP("Financing Cash Flow",DCF!$B:$B,DCF!H:H)/_xlfn.XLOOKUP("Operating Cash Flow",DCF!$B:$B,DCF!H:H),"")</f>
        <v>2.2727551524853014</v>
      </c>
      <c r="R62" s="374">
        <f>IFERROR(_xlfn.XLOOKUP("Financing Cash Flow",DCF!$B:$B,DCF!I:I)/_xlfn.XLOOKUP("Operating Cash Flow",DCF!$B:$B,DCF!I:I),"")</f>
        <v>-9.3054814467376415E-2</v>
      </c>
    </row>
    <row r="63" spans="2:18" ht="15.6">
      <c r="B63" s="18" t="s">
        <v>69</v>
      </c>
      <c r="F63" s="372" t="str">
        <f>IFERROR(_xlfn.XLOOKUP("Net Income",Inputs!$B:$B,Inputs!G:G,,,-1)/_xlfn.XLOOKUP("Operating Cash Flow",Inputs!$B:$B,Inputs!G:G),"")</f>
        <v/>
      </c>
      <c r="G63" s="372" t="str">
        <f>IFERROR(_xlfn.XLOOKUP("Net Income",Inputs!$B:$B,Inputs!H:H,,,-1)/_xlfn.XLOOKUP("Operating Cash Flow",Inputs!$B:$B,Inputs!H:H),"")</f>
        <v/>
      </c>
      <c r="H63" s="372">
        <f>IFERROR(_xlfn.XLOOKUP("Net Income",Inputs!$B:$B,Inputs!I:I,,,-1)/_xlfn.XLOOKUP("Operating Cash Flow",Inputs!$B:$B,Inputs!I:I),"")</f>
        <v>2.5238095238095273</v>
      </c>
      <c r="I63" s="372">
        <f>IFERROR(_xlfn.XLOOKUP("Net Income",Inputs!$B:$B,Inputs!J:J,,,-1)/_xlfn.XLOOKUP("Operating Cash Flow",Inputs!$B:$B,Inputs!J:J),"")</f>
        <v>2.7016129032258052</v>
      </c>
      <c r="J63" s="372">
        <f>IFERROR(_xlfn.XLOOKUP("Net Income",Inputs!$B:$B,Inputs!K:K,,,-1)/_xlfn.XLOOKUP("Operating Cash Flow",Inputs!$B:$B,Inputs!K:K),"")</f>
        <v>0.27877697841726606</v>
      </c>
      <c r="K63" s="372" t="str">
        <f>IFERROR(_xlfn.XLOOKUP("Net Income",Inputs!$B:$B,Inputs!L:L,,,-1)/_xlfn.XLOOKUP("Operating Cash Flow",Inputs!$B:$B,Inputs!L:L),"")</f>
        <v/>
      </c>
      <c r="L63" s="372">
        <f>IFERROR(_xlfn.XLOOKUP("Net Income",Inputs!$B:$B,Inputs!M:M,,,-1)/_xlfn.XLOOKUP("Operating Cash Flow",Inputs!$B:$B,Inputs!M:M),"")</f>
        <v>0.40406320541760721</v>
      </c>
      <c r="M63" s="372">
        <f>IFERROR(_xlfn.XLOOKUP("Net Income",Inputs!$B:$B,Inputs!N:N,,,-1)/_xlfn.XLOOKUP("Operating Cash Flow",Inputs!$B:$B,Inputs!N:N),"")</f>
        <v>0.21016949152542466</v>
      </c>
      <c r="N63" s="372">
        <f>IFERROR(_xlfn.XLOOKUP("Net Income",Inputs!$B:$B,Inputs!O:O,,,-1)/_xlfn.XLOOKUP("Operating Cash Flow",Inputs!$B:$B,Inputs!O:O),"")</f>
        <v>1.123076923076922</v>
      </c>
      <c r="O63" s="372">
        <f>IFERROR(_xlfn.XLOOKUP("Net Income",Inputs!$B:$B,Inputs!P:P,,,-1)/_xlfn.XLOOKUP("Operating Cash Flow",Inputs!$B:$B,Inputs!P:P),"")</f>
        <v>0.60353287536800737</v>
      </c>
      <c r="P63" s="373">
        <f>IFERROR(_xlfn.XLOOKUP("Net Income",Inputs!$B:$B,Inputs!Q:Q,,,-1)/_xlfn.XLOOKUP("Operating Cash Flow",Inputs!$B:$B,Inputs!Q:Q),"")</f>
        <v>1.7935393258426957</v>
      </c>
      <c r="Q63" s="374">
        <f>IFERROR(_xlfn.XLOOKUP("Net Income",DCF!$B:$B,DCF!H:H)/_xlfn.XLOOKUP("Operating Cash Flow",DCF!$B:$B,DCF!H:H),"")</f>
        <v>-10.245195453558237</v>
      </c>
      <c r="R63" s="374">
        <f>IFERROR(_xlfn.XLOOKUP("Net Income",DCF!$B:$B,DCF!I:I)/_xlfn.XLOOKUP("Operating Cash Flow",DCF!$B:$B,DCF!I:I),"")</f>
        <v>0.54538403845845174</v>
      </c>
    </row>
    <row r="64" spans="2:18" ht="15.6">
      <c r="B64" s="33" t="s">
        <v>71</v>
      </c>
      <c r="F64" s="372" t="str">
        <f>IFERROR(_xlfn.XLOOKUP("Net Changes in Cash",Inputs!$B:$B,Inputs!G:G,,,-1)/_xlfn.XLOOKUP("Operating Cash Flow",Inputs!$B:$B,Inputs!G:G),"")</f>
        <v/>
      </c>
      <c r="G64" s="372" t="str">
        <f>IFERROR(_xlfn.XLOOKUP("Net Changes in Cash",Inputs!$B:$B,Inputs!H:H,,,-1)/_xlfn.XLOOKUP("Operating Cash Flow",Inputs!$B:$B,Inputs!H:H),"")</f>
        <v/>
      </c>
      <c r="H64" s="372">
        <f>IFERROR(_xlfn.XLOOKUP("Net Changes in Cash",Inputs!$B:$B,Inputs!I:I,,,-1)/_xlfn.XLOOKUP("Operating Cash Flow",Inputs!$B:$B,Inputs!I:I),"")</f>
        <v>0.61904761904761907</v>
      </c>
      <c r="I64" s="372">
        <f>IFERROR(_xlfn.XLOOKUP("Net Changes in Cash",Inputs!$B:$B,Inputs!J:J,,,-1)/_xlfn.XLOOKUP("Operating Cash Flow",Inputs!$B:$B,Inputs!J:J),"")</f>
        <v>-0.41935483870967744</v>
      </c>
      <c r="J64" s="372">
        <f>IFERROR(_xlfn.XLOOKUP("Net Changes in Cash",Inputs!$B:$B,Inputs!K:K,,,-1)/_xlfn.XLOOKUP("Operating Cash Flow",Inputs!$B:$B,Inputs!K:K),"")</f>
        <v>0.73920863309352514</v>
      </c>
      <c r="K64" s="372" t="str">
        <f>IFERROR(_xlfn.XLOOKUP("Net Changes in Cash",Inputs!$B:$B,Inputs!L:L,,,-1)/_xlfn.XLOOKUP("Operating Cash Flow",Inputs!$B:$B,Inputs!L:L),"")</f>
        <v/>
      </c>
      <c r="L64" s="372">
        <f>IFERROR(_xlfn.XLOOKUP("Net Changes in Cash",Inputs!$B:$B,Inputs!M:M,,,-1)/_xlfn.XLOOKUP("Operating Cash Flow",Inputs!$B:$B,Inputs!M:M),"")</f>
        <v>-0.17381489841986458</v>
      </c>
      <c r="M64" s="372">
        <f>IFERROR(_xlfn.XLOOKUP("Net Changes in Cash",Inputs!$B:$B,Inputs!N:N,,,-1)/_xlfn.XLOOKUP("Operating Cash Flow",Inputs!$B:$B,Inputs!N:N),"")</f>
        <v>0.39322033898305081</v>
      </c>
      <c r="N64" s="372">
        <f>IFERROR(_xlfn.XLOOKUP("Net Changes in Cash",Inputs!$B:$B,Inputs!O:O,,,-1)/_xlfn.XLOOKUP("Operating Cash Flow",Inputs!$B:$B,Inputs!O:O),"")</f>
        <v>-0.7384615384615385</v>
      </c>
      <c r="O64" s="372">
        <f>IFERROR(_xlfn.XLOOKUP("Net Changes in Cash",Inputs!$B:$B,Inputs!P:P,,,-1)/_xlfn.XLOOKUP("Operating Cash Flow",Inputs!$B:$B,Inputs!P:P),"")</f>
        <v>0.75956820412168791</v>
      </c>
      <c r="P64" s="373">
        <f>IFERROR(_xlfn.XLOOKUP("Net Changes in Cash",Inputs!$B:$B,Inputs!Q:Q,,,-1)/_xlfn.XLOOKUP("Operating Cash Flow",Inputs!$B:$B,Inputs!Q:Q),"")</f>
        <v>-0.17696629213483145</v>
      </c>
      <c r="Q64" s="374">
        <f>IFERROR(_xlfn.XLOOKUP("Net Changes in Cash",DCF!$B:$B,DCF!H:H)/_xlfn.XLOOKUP("Operating Cash Flow",DCF!$B:$B,DCF!H:H),"")</f>
        <v>4.7792657050964733</v>
      </c>
      <c r="R64" s="374">
        <f>IFERROR(_xlfn.XLOOKUP("Net Changes in Cash",DCF!$B:$B,DCF!I:I)/_xlfn.XLOOKUP("Operating Cash Flow",DCF!$B:$B,DCF!I:I),"")</f>
        <v>0.85761241133026611</v>
      </c>
    </row>
    <row r="67" spans="2:20" ht="20.100000000000001" customHeight="1">
      <c r="T67" s="1" t="s">
        <v>649</v>
      </c>
    </row>
    <row r="69" spans="2:20">
      <c r="B69" s="403"/>
    </row>
    <row r="70" spans="2:20">
      <c r="B70" s="403"/>
    </row>
    <row r="71" spans="2:20">
      <c r="B71" s="403"/>
    </row>
    <row r="72" spans="2:20">
      <c r="B72" s="403"/>
    </row>
    <row r="73" spans="2:20">
      <c r="B73" s="403"/>
    </row>
    <row r="74" spans="2:20">
      <c r="B74" s="403"/>
    </row>
    <row r="75" spans="2:20">
      <c r="B75" s="403"/>
    </row>
    <row r="76" spans="2:20">
      <c r="B76" s="403"/>
    </row>
  </sheetData>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xr2:uid="{00000000-0003-0000-0A00-000061000000}">
          <x14:colorSeries rgb="FF7B1314"/>
          <x14:colorNegative rgb="FFD00000"/>
          <x14:colorAxis rgb="FF000000"/>
          <x14:colorMarkers rgb="FFD00000"/>
          <x14:colorFirst rgb="FFD00000"/>
          <x14:colorLast rgb="FFD00000"/>
          <x14:colorHigh rgb="FFD00000"/>
          <x14:colorLow rgb="FFD00000"/>
          <x14:sparklines>
            <x14:sparkline>
              <xm:f>Multiples!F61:R61</xm:f>
              <xm:sqref>E61</xm:sqref>
            </x14:sparkline>
          </x14:sparklines>
        </x14:sparklineGroup>
        <x14:sparklineGroup displayEmptyCellsAs="gap" xr2:uid="{00000000-0003-0000-0A00-000062000000}">
          <x14:colorSeries rgb="FF7B1314"/>
          <x14:colorNegative rgb="FFD00000"/>
          <x14:colorAxis rgb="FF000000"/>
          <x14:colorMarkers rgb="FFD00000"/>
          <x14:colorFirst rgb="FFD00000"/>
          <x14:colorLast rgb="FFD00000"/>
          <x14:colorHigh rgb="FFD00000"/>
          <x14:colorLow rgb="FFD00000"/>
          <x14:sparklines>
            <x14:sparkline>
              <xm:f>Multiples!F62:R62</xm:f>
              <xm:sqref>E62</xm:sqref>
            </x14:sparkline>
          </x14:sparklines>
        </x14:sparklineGroup>
        <x14:sparklineGroup displayEmptyCellsAs="gap" xr2:uid="{00000000-0003-0000-0A00-000063000000}">
          <x14:colorSeries rgb="FF7B1314"/>
          <x14:colorNegative rgb="FFD00000"/>
          <x14:colorAxis rgb="FF000000"/>
          <x14:colorMarkers rgb="FFD00000"/>
          <x14:colorFirst rgb="FFD00000"/>
          <x14:colorLast rgb="FFD00000"/>
          <x14:colorHigh rgb="FFD00000"/>
          <x14:colorLow rgb="FFD00000"/>
          <x14:sparklines>
            <x14:sparkline>
              <xm:f>Multiples!F60:R60</xm:f>
              <xm:sqref>E60</xm:sqref>
            </x14:sparkline>
          </x14:sparklines>
        </x14:sparklineGroup>
        <x14:sparklineGroup displayEmptyCellsAs="gap" xr2:uid="{00000000-0003-0000-0A00-000064000000}">
          <x14:colorSeries rgb="FF7B1314"/>
          <x14:colorNegative rgb="FFD00000"/>
          <x14:colorAxis rgb="FF000000"/>
          <x14:colorMarkers rgb="FFD00000"/>
          <x14:colorFirst rgb="FFD00000"/>
          <x14:colorLast rgb="FFD00000"/>
          <x14:colorHigh rgb="FFD00000"/>
          <x14:colorLow rgb="FFD00000"/>
          <x14:sparklines>
            <x14:sparkline>
              <xm:f>Multiples!F59:R59</xm:f>
              <xm:sqref>E59</xm:sqref>
            </x14:sparkline>
          </x14:sparklines>
        </x14:sparklineGroup>
        <x14:sparklineGroup displayEmptyCellsAs="gap" xr2:uid="{00000000-0003-0000-0A00-000065000000}">
          <x14:colorSeries rgb="FF7B1314"/>
          <x14:colorNegative rgb="FFD00000"/>
          <x14:colorAxis rgb="FF000000"/>
          <x14:colorMarkers rgb="FFD00000"/>
          <x14:colorFirst rgb="FFD00000"/>
          <x14:colorLast rgb="FFD00000"/>
          <x14:colorHigh rgb="FFD00000"/>
          <x14:colorLow rgb="FFD00000"/>
          <x14:sparklines>
            <x14:sparkline>
              <xm:f>Multiples!F58:R58</xm:f>
              <xm:sqref>E58</xm:sqref>
            </x14:sparkline>
          </x14:sparklines>
        </x14:sparklineGroup>
        <x14:sparklineGroup displayEmptyCellsAs="gap" xr2:uid="{00000000-0003-0000-0A00-000066000000}">
          <x14:colorSeries rgb="FF7B1314"/>
          <x14:colorNegative rgb="FFD00000"/>
          <x14:colorAxis rgb="FF000000"/>
          <x14:colorMarkers rgb="FFD00000"/>
          <x14:colorFirst rgb="FFD00000"/>
          <x14:colorLast rgb="FFD00000"/>
          <x14:colorHigh rgb="FFD00000"/>
          <x14:colorLow rgb="FFD00000"/>
          <x14:sparklines>
            <x14:sparkline>
              <xm:f>Multiples!F57:R57</xm:f>
              <xm:sqref>E57</xm:sqref>
            </x14:sparkline>
          </x14:sparklines>
        </x14:sparklineGroup>
        <x14:sparklineGroup displayEmptyCellsAs="gap" xr2:uid="{00000000-0003-0000-0A00-000067000000}">
          <x14:colorSeries rgb="FF7B1314"/>
          <x14:colorNegative rgb="FFD00000"/>
          <x14:colorAxis rgb="FF000000"/>
          <x14:colorMarkers rgb="FFD00000"/>
          <x14:colorFirst rgb="FFD00000"/>
          <x14:colorLast rgb="FFD00000"/>
          <x14:colorHigh rgb="FFD00000"/>
          <x14:colorLow rgb="FFD00000"/>
          <x14:sparklines>
            <x14:sparkline>
              <xm:f>Multiples!F56:R56</xm:f>
              <xm:sqref>E56</xm:sqref>
            </x14:sparkline>
          </x14:sparklines>
        </x14:sparklineGroup>
        <x14:sparklineGroup displayEmptyCellsAs="gap" xr2:uid="{00000000-0003-0000-0A00-000068000000}">
          <x14:colorSeries rgb="FF7B1314"/>
          <x14:colorNegative rgb="FFD00000"/>
          <x14:colorAxis rgb="FF000000"/>
          <x14:colorMarkers rgb="FFD00000"/>
          <x14:colorFirst rgb="FFD00000"/>
          <x14:colorLast rgb="FFD00000"/>
          <x14:colorHigh rgb="FFD00000"/>
          <x14:colorLow rgb="FFD00000"/>
          <x14:sparklines>
            <x14:sparkline>
              <xm:f>Multiples!F64:R64</xm:f>
              <xm:sqref>E64</xm:sqref>
            </x14:sparkline>
          </x14:sparklines>
        </x14:sparklineGroup>
        <x14:sparklineGroup displayEmptyCellsAs="gap" xr2:uid="{00000000-0003-0000-0A00-000069000000}">
          <x14:colorSeries rgb="FF7B1314"/>
          <x14:colorNegative rgb="FFD00000"/>
          <x14:colorAxis rgb="FF000000"/>
          <x14:colorMarkers rgb="FFD00000"/>
          <x14:colorFirst rgb="FFD00000"/>
          <x14:colorLast rgb="FFD00000"/>
          <x14:colorHigh rgb="FFD00000"/>
          <x14:colorLow rgb="FFD00000"/>
          <x14:sparklines>
            <x14:sparkline>
              <xm:f>Multiples!F45:R45</xm:f>
              <xm:sqref>E45</xm:sqref>
            </x14:sparkline>
          </x14:sparklines>
        </x14:sparklineGroup>
        <x14:sparklineGroup displayEmptyCellsAs="gap" xr2:uid="{00000000-0003-0000-0A00-00006A000000}">
          <x14:colorSeries rgb="FF7B1314"/>
          <x14:colorNegative rgb="FFD00000"/>
          <x14:colorAxis rgb="FF000000"/>
          <x14:colorMarkers rgb="FFD00000"/>
          <x14:colorFirst rgb="FFD00000"/>
          <x14:colorLast rgb="FFD00000"/>
          <x14:colorHigh rgb="FFD00000"/>
          <x14:colorLow rgb="FFD00000"/>
          <x14:sparklines>
            <x14:sparkline>
              <xm:f>Multiples!F36:R36</xm:f>
              <xm:sqref>E36</xm:sqref>
            </x14:sparkline>
          </x14:sparklines>
        </x14:sparklineGroup>
        <x14:sparklineGroup displayEmptyCellsAs="gap" xr2:uid="{00000000-0003-0000-0A00-00006B000000}">
          <x14:colorSeries rgb="FF7B1314"/>
          <x14:colorNegative rgb="FFD00000"/>
          <x14:colorAxis rgb="FF000000"/>
          <x14:colorMarkers rgb="FFD00000"/>
          <x14:colorFirst rgb="FFD00000"/>
          <x14:colorLast rgb="FFD00000"/>
          <x14:colorHigh rgb="FFD00000"/>
          <x14:colorLow rgb="FFD00000"/>
          <x14:sparklines>
            <x14:sparkline>
              <xm:f>Multiples!F29:R29</xm:f>
              <xm:sqref>E29</xm:sqref>
            </x14:sparkline>
          </x14:sparklines>
        </x14:sparklineGroup>
        <x14:sparklineGroup displayEmptyCellsAs="gap" xr2:uid="{00000000-0003-0000-0A00-00006C000000}">
          <x14:colorSeries rgb="FF7B1314"/>
          <x14:colorNegative rgb="FFD00000"/>
          <x14:colorAxis rgb="FF000000"/>
          <x14:colorMarkers rgb="FFD00000"/>
          <x14:colorFirst rgb="FFD00000"/>
          <x14:colorLast rgb="FFD00000"/>
          <x14:colorHigh rgb="FFD00000"/>
          <x14:colorLow rgb="FFD00000"/>
          <x14:sparklines>
            <x14:sparkline>
              <xm:f>Multiples!F11:R11</xm:f>
              <xm:sqref>E11</xm:sqref>
            </x14:sparkline>
          </x14:sparklines>
        </x14:sparklineGroup>
        <x14:sparklineGroup displayEmptyCellsAs="gap" xr2:uid="{00000000-0003-0000-0A00-00006D000000}">
          <x14:colorSeries rgb="FF7B1314"/>
          <x14:colorNegative rgb="FFD00000"/>
          <x14:colorAxis rgb="FF000000"/>
          <x14:colorMarkers rgb="FFD00000"/>
          <x14:colorFirst rgb="FFD00000"/>
          <x14:colorLast rgb="FFD00000"/>
          <x14:colorHigh rgb="FFD00000"/>
          <x14:colorLow rgb="FFD00000"/>
          <x14:sparklines>
            <x14:sparkline>
              <xm:f>Multiples!F23:R23</xm:f>
              <xm:sqref>E23</xm:sqref>
            </x14:sparkline>
          </x14:sparklines>
        </x14:sparklineGroup>
        <x14:sparklineGroup displayEmptyCellsAs="gap" xr2:uid="{00000000-0003-0000-0A00-00006E000000}">
          <x14:colorSeries rgb="FF7B1314"/>
          <x14:colorNegative rgb="FFD00000"/>
          <x14:colorAxis rgb="FF000000"/>
          <x14:colorMarkers rgb="FFD00000"/>
          <x14:colorFirst rgb="FFD00000"/>
          <x14:colorLast rgb="FFD00000"/>
          <x14:colorHigh rgb="FFD00000"/>
          <x14:colorLow rgb="FFD00000"/>
          <x14:sparklines>
            <x14:sparkline>
              <xm:f>Multiples!F17:R17</xm:f>
              <xm:sqref>E17</xm:sqref>
            </x14:sparkline>
          </x14:sparklines>
        </x14:sparklineGroup>
        <x14:sparklineGroup displayEmptyCellsAs="gap" xr2:uid="{00000000-0003-0000-0A00-00006F000000}">
          <x14:colorSeries rgb="FF7B1314"/>
          <x14:colorNegative rgb="FFD00000"/>
          <x14:colorAxis rgb="FF000000"/>
          <x14:colorMarkers rgb="FFD00000"/>
          <x14:colorFirst rgb="FFD00000"/>
          <x14:colorLast rgb="FFD00000"/>
          <x14:colorHigh rgb="FFD00000"/>
          <x14:colorLow rgb="FFD00000"/>
          <x14:sparklines>
            <x14:sparkline>
              <xm:f>Multiples!F51:R51</xm:f>
              <xm:sqref>E51</xm:sqref>
            </x14:sparkline>
          </x14:sparklines>
        </x14:sparklineGroup>
        <x14:sparklineGroup displayEmptyCellsAs="gap" xr2:uid="{00000000-0003-0000-0A00-000070000000}">
          <x14:colorSeries rgb="FF7B1314"/>
          <x14:colorNegative rgb="FFD00000"/>
          <x14:colorAxis rgb="FF000000"/>
          <x14:colorMarkers rgb="FFD00000"/>
          <x14:colorFirst rgb="FFD00000"/>
          <x14:colorLast rgb="FFD00000"/>
          <x14:colorHigh rgb="FFD00000"/>
          <x14:colorLow rgb="FFD00000"/>
          <x14:sparklines>
            <x14:sparkline>
              <xm:f>Multiples!F6:R6</xm:f>
              <xm:sqref>E6</xm:sqref>
            </x14:sparkline>
          </x14:sparklines>
        </x14:sparklineGroup>
        <x14:sparklineGroup displayEmptyCellsAs="gap" xr2:uid="{00000000-0003-0000-0A00-000071000000}">
          <x14:colorSeries rgb="FF7B1314"/>
          <x14:colorNegative rgb="FFD00000"/>
          <x14:colorAxis rgb="FF000000"/>
          <x14:colorMarkers rgb="FFD00000"/>
          <x14:colorFirst rgb="FFD00000"/>
          <x14:colorLast rgb="FFD00000"/>
          <x14:colorHigh rgb="FFD00000"/>
          <x14:colorLow rgb="FFD00000"/>
          <x14:sparklines>
            <x14:sparkline>
              <xm:f>Multiples!F7:R7</xm:f>
              <xm:sqref>E7</xm:sqref>
            </x14:sparkline>
          </x14:sparklines>
        </x14:sparklineGroup>
        <x14:sparklineGroup displayEmptyCellsAs="gap" xr2:uid="{00000000-0003-0000-0A00-000072000000}">
          <x14:colorSeries rgb="FF7B1314"/>
          <x14:colorNegative rgb="FFD00000"/>
          <x14:colorAxis rgb="FF000000"/>
          <x14:colorMarkers rgb="FFD00000"/>
          <x14:colorFirst rgb="FFD00000"/>
          <x14:colorLast rgb="FFD00000"/>
          <x14:colorHigh rgb="FFD00000"/>
          <x14:colorLow rgb="FFD00000"/>
          <x14:sparklines>
            <x14:sparkline>
              <xm:f>Multiples!F8:R8</xm:f>
              <xm:sqref>E8</xm:sqref>
            </x14:sparkline>
          </x14:sparklines>
        </x14:sparklineGroup>
        <x14:sparklineGroup displayEmptyCellsAs="gap" xr2:uid="{00000000-0003-0000-0A00-000073000000}">
          <x14:colorSeries rgb="FF7B1314"/>
          <x14:colorNegative rgb="FFD00000"/>
          <x14:colorAxis rgb="FF000000"/>
          <x14:colorMarkers rgb="FFD00000"/>
          <x14:colorFirst rgb="FFD00000"/>
          <x14:colorLast rgb="FFD00000"/>
          <x14:colorHigh rgb="FFD00000"/>
          <x14:colorLow rgb="FFD00000"/>
          <x14:sparklines>
            <x14:sparkline>
              <xm:f>Multiples!F9:R9</xm:f>
              <xm:sqref>E9</xm:sqref>
            </x14:sparkline>
          </x14:sparklines>
        </x14:sparklineGroup>
        <x14:sparklineGroup displayEmptyCellsAs="gap" xr2:uid="{00000000-0003-0000-0A00-000074000000}">
          <x14:colorSeries rgb="FF7B1314"/>
          <x14:colorNegative rgb="FFD00000"/>
          <x14:colorAxis rgb="FF000000"/>
          <x14:colorMarkers rgb="FFD00000"/>
          <x14:colorFirst rgb="FFD00000"/>
          <x14:colorLast rgb="FFD00000"/>
          <x14:colorHigh rgb="FFD00000"/>
          <x14:colorLow rgb="FFD00000"/>
          <x14:sparklines>
            <x14:sparkline>
              <xm:f>Multiples!F10:R10</xm:f>
              <xm:sqref>E10</xm:sqref>
            </x14:sparkline>
          </x14:sparklines>
        </x14:sparklineGroup>
        <x14:sparklineGroup displayEmptyCellsAs="gap" xr2:uid="{00000000-0003-0000-0A00-000075000000}">
          <x14:colorSeries rgb="FF7B1314"/>
          <x14:colorNegative rgb="FFD00000"/>
          <x14:colorAxis rgb="FF000000"/>
          <x14:colorMarkers rgb="FFD00000"/>
          <x14:colorFirst rgb="FFD00000"/>
          <x14:colorLast rgb="FFD00000"/>
          <x14:colorHigh rgb="FFD00000"/>
          <x14:colorLow rgb="FFD00000"/>
          <x14:sparklines>
            <x14:sparkline>
              <xm:f>Multiples!F15:R15</xm:f>
              <xm:sqref>E15</xm:sqref>
            </x14:sparkline>
          </x14:sparklines>
        </x14:sparklineGroup>
        <x14:sparklineGroup displayEmptyCellsAs="gap" xr2:uid="{00000000-0003-0000-0A00-000076000000}">
          <x14:colorSeries rgb="FF7B1314"/>
          <x14:colorNegative rgb="FFD00000"/>
          <x14:colorAxis rgb="FF000000"/>
          <x14:colorMarkers rgb="FFD00000"/>
          <x14:colorFirst rgb="FFD00000"/>
          <x14:colorLast rgb="FFD00000"/>
          <x14:colorHigh rgb="FFD00000"/>
          <x14:colorLow rgb="FFD00000"/>
          <x14:sparklines>
            <x14:sparkline>
              <xm:f>Multiples!F16:R16</xm:f>
              <xm:sqref>E16</xm:sqref>
            </x14:sparkline>
          </x14:sparklines>
        </x14:sparklineGroup>
        <x14:sparklineGroup displayEmptyCellsAs="gap" xr2:uid="{00000000-0003-0000-0A00-000077000000}">
          <x14:colorSeries rgb="FF7B1314"/>
          <x14:colorNegative rgb="FFD00000"/>
          <x14:colorAxis rgb="FF000000"/>
          <x14:colorMarkers rgb="FFD00000"/>
          <x14:colorFirst rgb="FFD00000"/>
          <x14:colorLast rgb="FFD00000"/>
          <x14:colorHigh rgb="FFD00000"/>
          <x14:colorLow rgb="FFD00000"/>
          <x14:sparklines>
            <x14:sparkline>
              <xm:f>Multiples!F18:R18</xm:f>
              <xm:sqref>E18</xm:sqref>
            </x14:sparkline>
          </x14:sparklines>
        </x14:sparklineGroup>
        <x14:sparklineGroup displayEmptyCellsAs="gap" xr2:uid="{00000000-0003-0000-0A00-000078000000}">
          <x14:colorSeries rgb="FF7B1314"/>
          <x14:colorNegative rgb="FFD00000"/>
          <x14:colorAxis rgb="FF000000"/>
          <x14:colorMarkers rgb="FFD00000"/>
          <x14:colorFirst rgb="FFD00000"/>
          <x14:colorLast rgb="FFD00000"/>
          <x14:colorHigh rgb="FFD00000"/>
          <x14:colorLow rgb="FFD00000"/>
          <x14:sparklines>
            <x14:sparkline>
              <xm:f>Multiples!F19:R19</xm:f>
              <xm:sqref>E19</xm:sqref>
            </x14:sparkline>
          </x14:sparklines>
        </x14:sparklineGroup>
        <x14:sparklineGroup displayEmptyCellsAs="gap" xr2:uid="{00000000-0003-0000-0A00-000079000000}">
          <x14:colorSeries rgb="FF7B1314"/>
          <x14:colorNegative rgb="FFD00000"/>
          <x14:colorAxis rgb="FF000000"/>
          <x14:colorMarkers rgb="FFD00000"/>
          <x14:colorFirst rgb="FFD00000"/>
          <x14:colorLast rgb="FFD00000"/>
          <x14:colorHigh rgb="FFD00000"/>
          <x14:colorLow rgb="FFD00000"/>
          <x14:sparklines>
            <x14:sparkline>
              <xm:f>Multiples!F20:R20</xm:f>
              <xm:sqref>E20</xm:sqref>
            </x14:sparkline>
          </x14:sparklines>
        </x14:sparklineGroup>
        <x14:sparklineGroup displayEmptyCellsAs="gap" xr2:uid="{00000000-0003-0000-0A00-00007A000000}">
          <x14:colorSeries rgb="FF7B1314"/>
          <x14:colorNegative rgb="FFD00000"/>
          <x14:colorAxis rgb="FF000000"/>
          <x14:colorMarkers rgb="FFD00000"/>
          <x14:colorFirst rgb="FFD00000"/>
          <x14:colorLast rgb="FFD00000"/>
          <x14:colorHigh rgb="FFD00000"/>
          <x14:colorLow rgb="FFD00000"/>
          <x14:sparklines>
            <x14:sparkline>
              <xm:f>Multiples!F21:R21</xm:f>
              <xm:sqref>E21</xm:sqref>
            </x14:sparkline>
          </x14:sparklines>
        </x14:sparklineGroup>
        <x14:sparklineGroup displayEmptyCellsAs="gap" xr2:uid="{00000000-0003-0000-0A00-00007B000000}">
          <x14:colorSeries rgb="FF7B1314"/>
          <x14:colorNegative rgb="FFD00000"/>
          <x14:colorAxis rgb="FF000000"/>
          <x14:colorMarkers rgb="FFD00000"/>
          <x14:colorFirst rgb="FFD00000"/>
          <x14:colorLast rgb="FFD00000"/>
          <x14:colorHigh rgb="FFD00000"/>
          <x14:colorLow rgb="FFD00000"/>
          <x14:sparklines>
            <x14:sparkline>
              <xm:f>Multiples!F22:R22</xm:f>
              <xm:sqref>E22</xm:sqref>
            </x14:sparkline>
          </x14:sparklines>
        </x14:sparklineGroup>
        <x14:sparklineGroup displayEmptyCellsAs="gap" xr2:uid="{00000000-0003-0000-0A00-00007C000000}">
          <x14:colorSeries rgb="FF7B1314"/>
          <x14:colorNegative rgb="FFD00000"/>
          <x14:colorAxis rgb="FF000000"/>
          <x14:colorMarkers rgb="FFD00000"/>
          <x14:colorFirst rgb="FFD00000"/>
          <x14:colorLast rgb="FFD00000"/>
          <x14:colorHigh rgb="FFD00000"/>
          <x14:colorLow rgb="FFD00000"/>
          <x14:sparklines>
            <x14:sparkline>
              <xm:f>Multiples!F27:R27</xm:f>
              <xm:sqref>E27</xm:sqref>
            </x14:sparkline>
          </x14:sparklines>
        </x14:sparklineGroup>
        <x14:sparklineGroup displayEmptyCellsAs="gap" xr2:uid="{00000000-0003-0000-0A00-00007D000000}">
          <x14:colorSeries rgb="FF7B1314"/>
          <x14:colorNegative rgb="FFD00000"/>
          <x14:colorAxis rgb="FF000000"/>
          <x14:colorMarkers rgb="FFD00000"/>
          <x14:colorFirst rgb="FFD00000"/>
          <x14:colorLast rgb="FFD00000"/>
          <x14:colorHigh rgb="FFD00000"/>
          <x14:colorLow rgb="FFD00000"/>
          <x14:sparklines>
            <x14:sparkline>
              <xm:f>Multiples!F28:R28</xm:f>
              <xm:sqref>E28</xm:sqref>
            </x14:sparkline>
          </x14:sparklines>
        </x14:sparklineGroup>
        <x14:sparklineGroup displayEmptyCellsAs="gap" xr2:uid="{00000000-0003-0000-0A00-00007E000000}">
          <x14:colorSeries rgb="FF7B1314"/>
          <x14:colorNegative rgb="FFD00000"/>
          <x14:colorAxis rgb="FF000000"/>
          <x14:colorMarkers rgb="FFD00000"/>
          <x14:colorFirst rgb="FFD00000"/>
          <x14:colorLast rgb="FFD00000"/>
          <x14:colorHigh rgb="FFD00000"/>
          <x14:colorLow rgb="FFD00000"/>
          <x14:sparklines>
            <x14:sparkline>
              <xm:f>Multiples!F33:R33</xm:f>
              <xm:sqref>E33</xm:sqref>
            </x14:sparkline>
          </x14:sparklines>
        </x14:sparklineGroup>
        <x14:sparklineGroup displayEmptyCellsAs="gap" xr2:uid="{00000000-0003-0000-0A00-00007F000000}">
          <x14:colorSeries rgb="FF7B1314"/>
          <x14:colorNegative rgb="FFD00000"/>
          <x14:colorAxis rgb="FF000000"/>
          <x14:colorMarkers rgb="FFD00000"/>
          <x14:colorFirst rgb="FFD00000"/>
          <x14:colorLast rgb="FFD00000"/>
          <x14:colorHigh rgb="FFD00000"/>
          <x14:colorLow rgb="FFD00000"/>
          <x14:sparklines>
            <x14:sparkline>
              <xm:f>Multiples!F34:R34</xm:f>
              <xm:sqref>E34</xm:sqref>
            </x14:sparkline>
          </x14:sparklines>
        </x14:sparklineGroup>
        <x14:sparklineGroup displayEmptyCellsAs="gap" xr2:uid="{00000000-0003-0000-0A00-000080000000}">
          <x14:colorSeries rgb="FF7B1314"/>
          <x14:colorNegative rgb="FFD00000"/>
          <x14:colorAxis rgb="FF000000"/>
          <x14:colorMarkers rgb="FFD00000"/>
          <x14:colorFirst rgb="FFD00000"/>
          <x14:colorLast rgb="FFD00000"/>
          <x14:colorHigh rgb="FFD00000"/>
          <x14:colorLow rgb="FFD00000"/>
          <x14:sparklines>
            <x14:sparkline>
              <xm:f>Multiples!F35:R35</xm:f>
              <xm:sqref>E35</xm:sqref>
            </x14:sparkline>
          </x14:sparklines>
        </x14:sparklineGroup>
        <x14:sparklineGroup displayEmptyCellsAs="gap" xr2:uid="{00000000-0003-0000-0A00-000081000000}">
          <x14:colorSeries rgb="FF7B1314"/>
          <x14:colorNegative rgb="FFD00000"/>
          <x14:colorAxis rgb="FF000000"/>
          <x14:colorMarkers rgb="FFD00000"/>
          <x14:colorFirst rgb="FFD00000"/>
          <x14:colorLast rgb="FFD00000"/>
          <x14:colorHigh rgb="FFD00000"/>
          <x14:colorLow rgb="FFD00000"/>
          <x14:sparklines>
            <x14:sparkline>
              <xm:f>Multiples!F40:R40</xm:f>
              <xm:sqref>E40</xm:sqref>
            </x14:sparkline>
          </x14:sparklines>
        </x14:sparklineGroup>
        <x14:sparklineGroup displayEmptyCellsAs="gap" xr2:uid="{00000000-0003-0000-0A00-000082000000}">
          <x14:colorSeries rgb="FF7B1314"/>
          <x14:colorNegative rgb="FFD00000"/>
          <x14:colorAxis rgb="FF000000"/>
          <x14:colorMarkers rgb="FFD00000"/>
          <x14:colorFirst rgb="FFD00000"/>
          <x14:colorLast rgb="FFD00000"/>
          <x14:colorHigh rgb="FFD00000"/>
          <x14:colorLow rgb="FFD00000"/>
          <x14:sparklines>
            <x14:sparkline>
              <xm:f>Multiples!F41:R41</xm:f>
              <xm:sqref>E41</xm:sqref>
            </x14:sparkline>
          </x14:sparklines>
        </x14:sparklineGroup>
        <x14:sparklineGroup displayEmptyCellsAs="gap" xr2:uid="{00000000-0003-0000-0A00-000083000000}">
          <x14:colorSeries rgb="FF7B1314"/>
          <x14:colorNegative rgb="FFD00000"/>
          <x14:colorAxis rgb="FF000000"/>
          <x14:colorMarkers rgb="FFD00000"/>
          <x14:colorFirst rgb="FFD00000"/>
          <x14:colorLast rgb="FFD00000"/>
          <x14:colorHigh rgb="FFD00000"/>
          <x14:colorLow rgb="FFD00000"/>
          <x14:sparklines>
            <x14:sparkline>
              <xm:f>Multiples!F42:R42</xm:f>
              <xm:sqref>E42</xm:sqref>
            </x14:sparkline>
          </x14:sparklines>
        </x14:sparklineGroup>
        <x14:sparklineGroup displayEmptyCellsAs="gap" xr2:uid="{00000000-0003-0000-0A00-000084000000}">
          <x14:colorSeries rgb="FF7B1314"/>
          <x14:colorNegative rgb="FFD00000"/>
          <x14:colorAxis rgb="FF000000"/>
          <x14:colorMarkers rgb="FFD00000"/>
          <x14:colorFirst rgb="FFD00000"/>
          <x14:colorLast rgb="FFD00000"/>
          <x14:colorHigh rgb="FFD00000"/>
          <x14:colorLow rgb="FFD00000"/>
          <x14:sparklines>
            <x14:sparkline>
              <xm:f>Multiples!F43:R43</xm:f>
              <xm:sqref>E43</xm:sqref>
            </x14:sparkline>
          </x14:sparklines>
        </x14:sparklineGroup>
        <x14:sparklineGroup displayEmptyCellsAs="gap" xr2:uid="{00000000-0003-0000-0A00-000085000000}">
          <x14:colorSeries rgb="FF7B1314"/>
          <x14:colorNegative rgb="FFD00000"/>
          <x14:colorAxis rgb="FF000000"/>
          <x14:colorMarkers rgb="FFD00000"/>
          <x14:colorFirst rgb="FFD00000"/>
          <x14:colorLast rgb="FFD00000"/>
          <x14:colorHigh rgb="FFD00000"/>
          <x14:colorLow rgb="FFD00000"/>
          <x14:sparklines>
            <x14:sparkline>
              <xm:f>Multiples!F44:R44</xm:f>
              <xm:sqref>E44</xm:sqref>
            </x14:sparkline>
          </x14:sparklines>
        </x14:sparklineGroup>
        <x14:sparklineGroup displayEmptyCellsAs="gap" xr2:uid="{00000000-0003-0000-0A00-000086000000}">
          <x14:colorSeries rgb="FF7B1314"/>
          <x14:colorNegative rgb="FFD00000"/>
          <x14:colorAxis rgb="FF000000"/>
          <x14:colorMarkers rgb="FFD00000"/>
          <x14:colorFirst rgb="FFD00000"/>
          <x14:colorLast rgb="FFD00000"/>
          <x14:colorHigh rgb="FFD00000"/>
          <x14:colorLow rgb="FFD00000"/>
          <x14:sparklines>
            <x14:sparkline>
              <xm:f>Multiples!F49:R49</xm:f>
              <xm:sqref>E49</xm:sqref>
            </x14:sparkline>
          </x14:sparklines>
        </x14:sparklineGroup>
        <x14:sparklineGroup displayEmptyCellsAs="gap" xr2:uid="{00000000-0003-0000-0A00-000087000000}">
          <x14:colorSeries rgb="FF7B1314"/>
          <x14:colorNegative rgb="FFD00000"/>
          <x14:colorAxis rgb="FF000000"/>
          <x14:colorMarkers rgb="FFD00000"/>
          <x14:colorFirst rgb="FFD00000"/>
          <x14:colorLast rgb="FFD00000"/>
          <x14:colorHigh rgb="FFD00000"/>
          <x14:colorLow rgb="FFD00000"/>
          <x14:sparklines>
            <x14:sparkline>
              <xm:f>Multiples!F50:R50</xm:f>
              <xm:sqref>E50</xm:sqref>
            </x14:sparkline>
          </x14:sparklines>
        </x14:sparklineGroup>
        <x14:sparklineGroup displayEmptyCellsAs="gap" xr2:uid="{00000000-0003-0000-0A00-000088000000}">
          <x14:colorSeries rgb="FF7B1314"/>
          <x14:colorNegative rgb="FFD00000"/>
          <x14:colorAxis rgb="FF000000"/>
          <x14:colorMarkers rgb="FFD00000"/>
          <x14:colorFirst rgb="FFD00000"/>
          <x14:colorLast rgb="FFD00000"/>
          <x14:colorHigh rgb="FFD00000"/>
          <x14:colorLow rgb="FFD00000"/>
          <x14:sparklines>
            <x14:sparkline>
              <xm:f>Multiples!F52:R52</xm:f>
              <xm:sqref>E52</xm:sqref>
            </x14:sparkline>
          </x14:sparklines>
        </x14:sparklineGroup>
        <x14:sparklineGroup displayEmptyCellsAs="gap" xr2:uid="{00000000-0003-0000-0A00-000089000000}">
          <x14:colorSeries rgb="FF7B1314"/>
          <x14:colorNegative rgb="FFD00000"/>
          <x14:colorAxis rgb="FF000000"/>
          <x14:colorMarkers rgb="FFD00000"/>
          <x14:colorFirst rgb="FFD00000"/>
          <x14:colorLast rgb="FFD00000"/>
          <x14:colorHigh rgb="FFD00000"/>
          <x14:colorLow rgb="FFD00000"/>
          <x14:sparklines>
            <x14:sparkline>
              <xm:f>Multiples!F55:R55</xm:f>
              <xm:sqref>E55</xm:sqref>
            </x14:sparkline>
          </x14:sparklines>
        </x14:sparklineGroup>
        <x14:sparklineGroup displayEmptyCellsAs="gap" xr2:uid="{00000000-0003-0000-0A00-00008A000000}">
          <x14:colorSeries rgb="FF7B1314"/>
          <x14:colorNegative rgb="FFD00000"/>
          <x14:colorAxis rgb="FF000000"/>
          <x14:colorMarkers rgb="FFD00000"/>
          <x14:colorFirst rgb="FFD00000"/>
          <x14:colorLast rgb="FFD00000"/>
          <x14:colorHigh rgb="FFD00000"/>
          <x14:colorLow rgb="FFD00000"/>
          <x14:sparklines>
            <x14:sparkline>
              <xm:f>Multiples!F63:R63</xm:f>
              <xm:sqref>E63</xm:sqref>
            </x14:sparkline>
          </x14:sparklines>
        </x14:sparklineGroup>
      </x14:sparklineGroup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2:L10056"/>
  <sheetViews>
    <sheetView showGridLines="0" zoomScale="85" zoomScaleNormal="100" workbookViewId="0">
      <selection activeCell="B57" sqref="B57"/>
    </sheetView>
  </sheetViews>
  <sheetFormatPr defaultColWidth="8.875" defaultRowHeight="14.1"/>
  <cols>
    <col min="1" max="1" width="4" customWidth="1"/>
    <col min="2" max="2" width="10.75" bestFit="1" customWidth="1"/>
    <col min="3" max="7" width="8.625" customWidth="1"/>
    <col min="10" max="10" width="15.5" customWidth="1"/>
  </cols>
  <sheetData>
    <row r="2" spans="2:12" s="37" customFormat="1" ht="20.100000000000001" customHeight="1">
      <c r="B2" s="40" t="s">
        <v>685</v>
      </c>
    </row>
    <row r="4" spans="2:12">
      <c r="B4" s="601" t="str">
        <f ca="1">IFERROR(Peers!C5&amp;" Fair Value - Blended Discount Rate and Terminal Growth Rate","")</f>
        <v>ELF Fair Value - Blended Discount Rate and Terminal Growth Rate</v>
      </c>
      <c r="J4" s="601" t="str">
        <f ca="1">IFERROR(Peers!C5&amp;" Fair Value - Monte-Carlo Simulations Discount Rate and Terminal Growth Rate","")</f>
        <v>ELF Fair Value - Monte-Carlo Simulations Discount Rate and Terminal Growth Rate</v>
      </c>
    </row>
    <row r="5" spans="2:12" ht="14.45" thickBot="1">
      <c r="B5" t="s">
        <v>650</v>
      </c>
      <c r="F5" s="84" t="s">
        <v>527</v>
      </c>
    </row>
    <row r="6" spans="2:12" ht="14.45" thickBot="1">
      <c r="B6" s="591"/>
      <c r="C6" s="598"/>
      <c r="D6" s="604">
        <f>DCF!AP303</f>
        <v>0.11</v>
      </c>
      <c r="E6" s="604">
        <f>DCF!AQ303</f>
        <v>0.1</v>
      </c>
      <c r="F6" s="604">
        <f>DCF!AR303</f>
        <v>0.09</v>
      </c>
      <c r="G6" s="604">
        <f>DCF!AS303</f>
        <v>0.08</v>
      </c>
      <c r="H6" s="604">
        <f>DCF!AT303</f>
        <v>7.0000000000000007E-2</v>
      </c>
      <c r="J6" s="700" t="s">
        <v>652</v>
      </c>
      <c r="K6" s="700" t="s">
        <v>235</v>
      </c>
      <c r="L6" s="700" t="s">
        <v>653</v>
      </c>
    </row>
    <row r="7" spans="2:12">
      <c r="C7" s="596">
        <f>DCF!AO304</f>
        <v>0.01</v>
      </c>
      <c r="D7" s="689">
        <f ca="1">IFERROR(DCF!AP304/DCF!$Q$228-1,"")</f>
        <v>-0.54485750987996973</v>
      </c>
      <c r="E7" s="689">
        <f ca="1">IFERROR(DCF!AQ304/DCF!$Q$228-1,"")</f>
        <v>-0.48636013972580794</v>
      </c>
      <c r="F7" s="689">
        <f ca="1">IFERROR(DCF!AR304/DCF!$Q$228-1,"")</f>
        <v>-0.41272488074508662</v>
      </c>
      <c r="G7" s="689">
        <f ca="1">IFERROR(DCF!AS304/DCF!$Q$228-1,"")</f>
        <v>-0.31742025327904044</v>
      </c>
      <c r="H7" s="689">
        <f ca="1">IFERROR(DCF!AT304/DCF!$Q$228-1,"")</f>
        <v>-0.18955588500698828</v>
      </c>
      <c r="J7" t="s">
        <v>527</v>
      </c>
      <c r="K7" s="17">
        <v>7.6047760851149268E-2</v>
      </c>
      <c r="L7" s="17">
        <v>0.01</v>
      </c>
    </row>
    <row r="8" spans="2:12">
      <c r="C8" s="596">
        <f>DCF!AO305</f>
        <v>0.02</v>
      </c>
      <c r="D8" s="689">
        <f ca="1">IFERROR(DCF!AP305/DCF!$Q$228-1,"")</f>
        <v>-0.51650821108600753</v>
      </c>
      <c r="E8" s="689">
        <f ca="1">IFERROR(DCF!AQ305/DCF!$Q$228-1,"")</f>
        <v>-0.44822063469290929</v>
      </c>
      <c r="F8" s="689">
        <f ca="1">IFERROR(DCF!AR305/DCF!$Q$228-1,"")</f>
        <v>-0.35991273952265113</v>
      </c>
      <c r="G8" s="689">
        <f ca="1">IFERROR(DCF!AS305/DCF!$Q$228-1,"")</f>
        <v>-0.24153040645399426</v>
      </c>
      <c r="H8" s="689">
        <f ca="1">IFERROR(DCF!AT305/DCF!$Q$228-1,"")</f>
        <v>-7.4971533969445558E-2</v>
      </c>
      <c r="J8" t="s">
        <v>529</v>
      </c>
      <c r="K8" s="17">
        <v>0.02</v>
      </c>
      <c r="L8" s="17">
        <v>5.0000000000000001E-3</v>
      </c>
    </row>
    <row r="9" spans="2:12">
      <c r="B9" s="24" t="s">
        <v>529</v>
      </c>
      <c r="C9" s="596">
        <f>DCF!AO306</f>
        <v>0.03</v>
      </c>
      <c r="D9" s="689">
        <f ca="1">IFERROR(DCF!AP306/DCF!$Q$228-1,"")</f>
        <v>-0.48107158759355473</v>
      </c>
      <c r="E9" s="689">
        <f ca="1">IFERROR(DCF!AQ306/DCF!$Q$228-1,"")</f>
        <v>-0.39918412822203964</v>
      </c>
      <c r="F9" s="689">
        <f ca="1">IFERROR(DCF!AR306/DCF!$Q$228-1,"")</f>
        <v>-0.28949655122607099</v>
      </c>
      <c r="G9" s="689">
        <f ca="1">IFERROR(DCF!AS306/DCF!$Q$228-1,"")</f>
        <v>-0.13528462089892956</v>
      </c>
      <c r="H9" s="689">
        <f ca="1">IFERROR(DCF!AT306/DCF!$Q$228-1,"")</f>
        <v>9.6904992586868577E-2</v>
      </c>
      <c r="J9" t="s">
        <v>227</v>
      </c>
      <c r="K9" s="872">
        <v>2</v>
      </c>
      <c r="L9" s="122">
        <v>1</v>
      </c>
    </row>
    <row r="10" spans="2:12" ht="14.45" thickBot="1">
      <c r="C10" s="596">
        <f>DCF!AO307</f>
        <v>0.04</v>
      </c>
      <c r="D10" s="689">
        <f ca="1">IFERROR(DCF!AP307/DCF!$Q$228-1,"")</f>
        <v>-0.4355102145318297</v>
      </c>
      <c r="E10" s="689">
        <f ca="1">IFERROR(DCF!AQ307/DCF!$Q$228-1,"")</f>
        <v>-0.33380211959421324</v>
      </c>
      <c r="F10" s="689">
        <f ca="1">IFERROR(DCF!AR307/DCF!$Q$228-1,"")</f>
        <v>-0.19091388761085837</v>
      </c>
      <c r="G10" s="689">
        <f ca="1">IFERROR(DCF!AS307/DCF!$Q$228-1,"")</f>
        <v>2.4084057433667594E-2</v>
      </c>
      <c r="H10" s="689">
        <f ca="1">IFERROR(DCF!AT307/DCF!$Q$228-1,"")</f>
        <v>0.38336587018072499</v>
      </c>
      <c r="J10" s="591" t="s">
        <v>28</v>
      </c>
      <c r="K10" s="873">
        <v>2</v>
      </c>
      <c r="L10" s="873">
        <v>1</v>
      </c>
    </row>
    <row r="11" spans="2:12" ht="14.45" thickBot="1">
      <c r="B11" s="591"/>
      <c r="C11" s="597">
        <f>DCF!AO308</f>
        <v>0.05</v>
      </c>
      <c r="D11" s="690">
        <f ca="1">IFERROR(DCF!AP308/DCF!$Q$228-1,"")</f>
        <v>-0.37476171711619644</v>
      </c>
      <c r="E11" s="690">
        <f ca="1">IFERROR(DCF!AQ308/DCF!$Q$228-1,"")</f>
        <v>-0.2422673075152566</v>
      </c>
      <c r="F11" s="690">
        <f ca="1">IFERROR(DCF!AR308/DCF!$Q$228-1,"")</f>
        <v>-4.3039892188039719E-2</v>
      </c>
      <c r="G11" s="690">
        <f ca="1">IFERROR(DCF!AS308/DCF!$Q$228-1,"")</f>
        <v>0.28969852132132967</v>
      </c>
      <c r="H11" s="690">
        <f ca="1">IFERROR(DCF!AT308/DCF!$Q$228-1,"")</f>
        <v>0.95628762536843781</v>
      </c>
      <c r="J11" s="700" t="s">
        <v>686</v>
      </c>
      <c r="K11" s="590"/>
      <c r="L11" s="590" t="s">
        <v>687</v>
      </c>
    </row>
    <row r="12" spans="2:12">
      <c r="J12" s="600" t="s">
        <v>688</v>
      </c>
      <c r="K12" s="699">
        <f>MIN(B56:B10055)</f>
        <v>39.792929852292666</v>
      </c>
      <c r="L12" s="63">
        <f ca="1">IFERROR(K12/DCF!$Q$228-1,"")</f>
        <v>-0.70721117024286162</v>
      </c>
    </row>
    <row r="13" spans="2:12">
      <c r="B13" s="601" t="str">
        <f ca="1">IFERROR(Peers!C5&amp;" Fair Value - Blended Revenue Growth and Operating Margin","")</f>
        <v>ELF Fair Value - Blended Revenue Growth and Operating Margin</v>
      </c>
      <c r="J13" s="704" t="s">
        <v>689</v>
      </c>
      <c r="K13" s="705">
        <f>AVERAGE(B56:B10055)</f>
        <v>111.73193014608427</v>
      </c>
      <c r="L13" s="66">
        <f ca="1">IFERROR(K13/DCF!$Q$228-1,"")</f>
        <v>-0.17789765178364891</v>
      </c>
    </row>
    <row r="14" spans="2:12" ht="14.45" thickBot="1">
      <c r="B14" t="s">
        <v>650</v>
      </c>
      <c r="J14" s="702" t="s">
        <v>690</v>
      </c>
      <c r="K14" s="699">
        <f>MEDIAN(B56:B10055)</f>
        <v>103.67393657726768</v>
      </c>
      <c r="L14" s="706">
        <f ca="1">IFERROR(K14/DCF!$Q$228-1,"")</f>
        <v>-0.23718683998772949</v>
      </c>
    </row>
    <row r="15" spans="2:12">
      <c r="B15" s="599"/>
      <c r="C15" s="600"/>
      <c r="D15" s="599"/>
      <c r="E15" s="605" t="s">
        <v>244</v>
      </c>
      <c r="F15" s="599"/>
      <c r="J15" s="702" t="s">
        <v>691</v>
      </c>
      <c r="K15" s="699">
        <f>MAX(B56:B10055)</f>
        <v>415.50412305988357</v>
      </c>
      <c r="L15" s="63">
        <f ca="1">IFERROR(K15/DCF!$Q$228-1,"")</f>
        <v>2.0572005228451444</v>
      </c>
    </row>
    <row r="16" spans="2:12" ht="14.45" thickBot="1">
      <c r="B16" s="591"/>
      <c r="C16" s="598"/>
      <c r="D16" s="604">
        <f>DCF!F7</f>
        <v>-0.06</v>
      </c>
      <c r="E16" s="604">
        <f>DCF!I7</f>
        <v>0</v>
      </c>
      <c r="F16" s="604">
        <f>DCF!L7</f>
        <v>0.04</v>
      </c>
      <c r="J16" s="598" t="s">
        <v>692</v>
      </c>
      <c r="K16" s="703">
        <f>_xlfn.STDEV.P(B56:B10055)</f>
        <v>40.753850484050886</v>
      </c>
      <c r="L16" s="691"/>
    </row>
    <row r="17" spans="2:8">
      <c r="C17" s="606">
        <f>DCF!F8</f>
        <v>-0.04</v>
      </c>
      <c r="D17" s="63">
        <f ca="1">IFERROR(DCF!AP314/DCF!$Q$228-1,"")</f>
        <v>-0.53356378541245264</v>
      </c>
      <c r="E17" s="63">
        <f ca="1">IFERROR(DCF!AQ314/DCF!$Q$228-1,"")</f>
        <v>-0.40406913403339251</v>
      </c>
      <c r="F17" s="63">
        <f ca="1">IFERROR(DCF!AR314/DCF!$Q$228-1,"")</f>
        <v>-0.27881763086326472</v>
      </c>
    </row>
    <row r="18" spans="2:8">
      <c r="B18" s="24" t="s">
        <v>525</v>
      </c>
      <c r="C18" s="606">
        <f>DCF!I8</f>
        <v>0</v>
      </c>
      <c r="D18" s="63">
        <f ca="1">IFERROR(DCF!AP315/DCF!$Q$228-1,"")</f>
        <v>-0.40925299027943307</v>
      </c>
      <c r="E18" s="63">
        <f ca="1">IFERROR(DCF!AQ315/DCF!$Q$228-1,"")</f>
        <v>-0.20849791443626298</v>
      </c>
      <c r="F18" s="63">
        <f ca="1">IFERROR(DCF!AR315/DCF!$Q$228-1,"")</f>
        <v>-1.4543379569639914E-2</v>
      </c>
    </row>
    <row r="19" spans="2:8" ht="14.45" thickBot="1">
      <c r="B19" s="591"/>
      <c r="C19" s="607">
        <f>DCF!L8</f>
        <v>0.03</v>
      </c>
      <c r="D19" s="691">
        <f ca="1">IFERROR(DCF!AP316/DCF!$Q$228-1,"")</f>
        <v>-0.31601989392966812</v>
      </c>
      <c r="E19" s="691">
        <f ca="1">IFERROR(DCF!AQ316/DCF!$Q$228-1,"")</f>
        <v>-6.1819499738415828E-2</v>
      </c>
      <c r="F19" s="691">
        <f ca="1">IFERROR(DCF!AR316/DCF!$Q$228-1,"")</f>
        <v>0.18366230890057844</v>
      </c>
    </row>
    <row r="22" spans="2:8">
      <c r="B22" s="609" t="s">
        <v>651</v>
      </c>
      <c r="C22" s="37"/>
      <c r="D22" s="37"/>
      <c r="E22" s="37"/>
      <c r="F22" s="37"/>
      <c r="G22" s="37"/>
      <c r="H22" s="37"/>
    </row>
    <row r="26" spans="2:8">
      <c r="E26" s="701"/>
    </row>
    <row r="42" spans="2:2">
      <c r="B42" s="1"/>
    </row>
    <row r="43" spans="2:2">
      <c r="B43" s="1"/>
    </row>
    <row r="44" spans="2:2">
      <c r="B44" s="1"/>
    </row>
    <row r="45" spans="2:2">
      <c r="B45" s="1"/>
    </row>
    <row r="46" spans="2:2">
      <c r="B46" s="1"/>
    </row>
    <row r="47" spans="2:2">
      <c r="B47" s="1"/>
    </row>
    <row r="48" spans="2:2">
      <c r="B48" s="1"/>
    </row>
    <row r="49" spans="1:6">
      <c r="B49" s="1"/>
    </row>
    <row r="50" spans="1:6">
      <c r="B50" s="1"/>
    </row>
    <row r="51" spans="1:6">
      <c r="B51" s="1"/>
    </row>
    <row r="52" spans="1:6">
      <c r="B52" s="1"/>
    </row>
    <row r="53" spans="1:6">
      <c r="B53" s="1"/>
    </row>
    <row r="54" spans="1:6">
      <c r="B54" s="1"/>
    </row>
    <row r="55" spans="1:6">
      <c r="B55" s="1" t="s">
        <v>693</v>
      </c>
      <c r="E55" s="32"/>
      <c r="F55" s="32"/>
    </row>
    <row r="56" spans="1:6" ht="15.6">
      <c r="A56">
        <v>1</v>
      </c>
      <c r="B56" s="166">
        <v>95.504881702063969</v>
      </c>
      <c r="D56" s="39"/>
      <c r="E56" s="39"/>
      <c r="F56" s="32"/>
    </row>
    <row r="57" spans="1:6" ht="15.6">
      <c r="A57">
        <v>2</v>
      </c>
      <c r="B57" s="166">
        <v>64.776130713369014</v>
      </c>
      <c r="D57" s="39"/>
      <c r="E57" s="39"/>
      <c r="F57" s="608"/>
    </row>
    <row r="58" spans="1:6" ht="15.6">
      <c r="A58">
        <v>3</v>
      </c>
      <c r="B58" s="166">
        <v>115.39415298053302</v>
      </c>
      <c r="D58" s="39"/>
      <c r="E58" s="39"/>
      <c r="F58" s="608"/>
    </row>
    <row r="59" spans="1:6" ht="15.6">
      <c r="A59">
        <v>4</v>
      </c>
      <c r="B59" s="166">
        <v>170.0368024425531</v>
      </c>
      <c r="D59" s="39"/>
      <c r="E59" s="39"/>
    </row>
    <row r="60" spans="1:6" ht="15.6">
      <c r="A60">
        <v>5</v>
      </c>
      <c r="B60" s="166">
        <v>110.29654449416419</v>
      </c>
      <c r="D60" s="39"/>
      <c r="E60" s="39"/>
    </row>
    <row r="61" spans="1:6" ht="15.6">
      <c r="A61">
        <v>6</v>
      </c>
      <c r="B61" s="166">
        <v>132.2561295660982</v>
      </c>
      <c r="D61" s="39"/>
      <c r="E61" s="39"/>
    </row>
    <row r="62" spans="1:6" ht="15.6">
      <c r="A62">
        <v>7</v>
      </c>
      <c r="B62" s="166">
        <v>83.742475624902625</v>
      </c>
      <c r="D62" s="39"/>
      <c r="E62" s="39"/>
    </row>
    <row r="63" spans="1:6" ht="15.6">
      <c r="A63">
        <v>8</v>
      </c>
      <c r="B63" s="166">
        <v>163.21328104763421</v>
      </c>
      <c r="D63" s="39"/>
      <c r="E63" s="39"/>
    </row>
    <row r="64" spans="1:6" ht="15.6">
      <c r="A64">
        <v>9</v>
      </c>
      <c r="B64" s="166">
        <v>79.349728990218196</v>
      </c>
      <c r="D64" s="39"/>
      <c r="E64" s="39"/>
    </row>
    <row r="65" spans="1:5" ht="15.6">
      <c r="A65">
        <v>10</v>
      </c>
      <c r="B65" s="166">
        <v>92.960725419934747</v>
      </c>
      <c r="D65" s="39"/>
      <c r="E65" s="39"/>
    </row>
    <row r="66" spans="1:5" ht="15.6">
      <c r="A66">
        <v>11</v>
      </c>
      <c r="B66" s="166">
        <v>69.10764696563578</v>
      </c>
      <c r="D66" s="39"/>
      <c r="E66" s="39"/>
    </row>
    <row r="67" spans="1:5" ht="15.6">
      <c r="A67">
        <v>12</v>
      </c>
      <c r="B67" s="166">
        <v>164.33371497364885</v>
      </c>
      <c r="D67" s="39"/>
      <c r="E67" s="39"/>
    </row>
    <row r="68" spans="1:5" ht="15.6">
      <c r="A68">
        <v>13</v>
      </c>
      <c r="B68" s="166">
        <v>60.54940255383422</v>
      </c>
      <c r="D68" s="39"/>
      <c r="E68" s="39"/>
    </row>
    <row r="69" spans="1:5" ht="15.6">
      <c r="A69">
        <v>14</v>
      </c>
      <c r="B69" s="166">
        <v>81.220129170044956</v>
      </c>
      <c r="D69" s="39"/>
      <c r="E69" s="39"/>
    </row>
    <row r="70" spans="1:5" ht="15.6">
      <c r="A70">
        <v>15</v>
      </c>
      <c r="B70" s="166">
        <v>138.00368765907996</v>
      </c>
      <c r="D70" s="39"/>
      <c r="E70" s="39"/>
    </row>
    <row r="71" spans="1:5" ht="15.6">
      <c r="A71">
        <v>16</v>
      </c>
      <c r="B71" s="166">
        <v>66.421041259781902</v>
      </c>
      <c r="D71" s="39"/>
      <c r="E71" s="39"/>
    </row>
    <row r="72" spans="1:5" ht="15.6">
      <c r="A72">
        <v>17</v>
      </c>
      <c r="B72" s="166">
        <v>80.259902943905402</v>
      </c>
      <c r="D72" s="39"/>
      <c r="E72" s="39"/>
    </row>
    <row r="73" spans="1:5" ht="15.6">
      <c r="A73">
        <v>18</v>
      </c>
      <c r="B73" s="166">
        <v>111.03231538375888</v>
      </c>
      <c r="D73" s="39"/>
      <c r="E73" s="39"/>
    </row>
    <row r="74" spans="1:5" ht="15.6">
      <c r="A74">
        <v>19</v>
      </c>
      <c r="B74" s="166">
        <v>178.00379917171324</v>
      </c>
      <c r="D74" s="39"/>
      <c r="E74" s="39"/>
    </row>
    <row r="75" spans="1:5" ht="15.6">
      <c r="A75">
        <v>20</v>
      </c>
      <c r="B75" s="166">
        <v>149.94406723455583</v>
      </c>
      <c r="D75" s="39"/>
      <c r="E75" s="39"/>
    </row>
    <row r="76" spans="1:5" ht="15.6">
      <c r="A76">
        <v>21</v>
      </c>
      <c r="B76" s="166">
        <v>81.464521785803356</v>
      </c>
      <c r="D76" s="39"/>
      <c r="E76" s="39"/>
    </row>
    <row r="77" spans="1:5" ht="15.6">
      <c r="A77">
        <v>22</v>
      </c>
      <c r="B77" s="166">
        <v>74.601790857501129</v>
      </c>
      <c r="D77" s="39"/>
      <c r="E77" s="39"/>
    </row>
    <row r="78" spans="1:5" ht="15.6">
      <c r="A78">
        <v>23</v>
      </c>
      <c r="B78" s="166">
        <v>104.88524049364084</v>
      </c>
      <c r="D78" s="39"/>
      <c r="E78" s="39"/>
    </row>
    <row r="79" spans="1:5" ht="15.6">
      <c r="A79">
        <v>24</v>
      </c>
      <c r="B79" s="166">
        <v>92.904720414735536</v>
      </c>
      <c r="D79" s="39"/>
      <c r="E79" s="39"/>
    </row>
    <row r="80" spans="1:5" ht="15.6">
      <c r="A80">
        <v>25</v>
      </c>
      <c r="B80" s="166">
        <v>63.477613041781311</v>
      </c>
      <c r="D80" s="39"/>
      <c r="E80" s="39"/>
    </row>
    <row r="81" spans="1:5" ht="15.6">
      <c r="A81">
        <v>26</v>
      </c>
      <c r="B81" s="166">
        <v>88.653081014918499</v>
      </c>
      <c r="D81" s="39"/>
      <c r="E81" s="39"/>
    </row>
    <row r="82" spans="1:5" ht="15.6">
      <c r="A82">
        <v>27</v>
      </c>
      <c r="B82" s="166">
        <v>82.714989979590641</v>
      </c>
      <c r="D82" s="39"/>
      <c r="E82" s="39"/>
    </row>
    <row r="83" spans="1:5" ht="15.6">
      <c r="A83">
        <v>28</v>
      </c>
      <c r="B83" s="166">
        <v>121.17138483346527</v>
      </c>
      <c r="D83" s="39"/>
      <c r="E83" s="39"/>
    </row>
    <row r="84" spans="1:5" ht="15.6">
      <c r="A84">
        <v>29</v>
      </c>
      <c r="B84" s="166">
        <v>115.72139284455554</v>
      </c>
      <c r="D84" s="39"/>
      <c r="E84" s="39"/>
    </row>
    <row r="85" spans="1:5" ht="15.6">
      <c r="A85">
        <v>30</v>
      </c>
      <c r="B85" s="166">
        <v>83.07354797598272</v>
      </c>
      <c r="D85" s="39"/>
      <c r="E85" s="39"/>
    </row>
    <row r="86" spans="1:5" ht="15.6">
      <c r="A86">
        <v>31</v>
      </c>
      <c r="B86" s="166">
        <v>81.235767520196035</v>
      </c>
      <c r="D86" s="39"/>
      <c r="E86" s="39"/>
    </row>
    <row r="87" spans="1:5" ht="15.6">
      <c r="A87">
        <v>32</v>
      </c>
      <c r="B87" s="166">
        <v>77.788546553165034</v>
      </c>
      <c r="D87" s="39"/>
      <c r="E87" s="39"/>
    </row>
    <row r="88" spans="1:5" ht="15.6">
      <c r="A88">
        <v>33</v>
      </c>
      <c r="B88" s="166">
        <v>131.26773174231997</v>
      </c>
      <c r="D88" s="39"/>
      <c r="E88" s="39"/>
    </row>
    <row r="89" spans="1:5" ht="15.6">
      <c r="A89">
        <v>34</v>
      </c>
      <c r="B89" s="166">
        <v>159.24773606632169</v>
      </c>
      <c r="D89" s="39"/>
      <c r="E89" s="39"/>
    </row>
    <row r="90" spans="1:5" ht="15.6">
      <c r="A90">
        <v>35</v>
      </c>
      <c r="B90" s="166">
        <v>198.82142749596906</v>
      </c>
      <c r="D90" s="39"/>
      <c r="E90" s="39"/>
    </row>
    <row r="91" spans="1:5" ht="15.6">
      <c r="A91">
        <v>36</v>
      </c>
      <c r="B91" s="166">
        <v>105.27165457880648</v>
      </c>
      <c r="D91" s="39"/>
      <c r="E91" s="39"/>
    </row>
    <row r="92" spans="1:5" ht="15.6">
      <c r="A92">
        <v>37</v>
      </c>
      <c r="B92" s="166">
        <v>100.34039954333116</v>
      </c>
      <c r="D92" s="39"/>
      <c r="E92" s="39"/>
    </row>
    <row r="93" spans="1:5" ht="15.6">
      <c r="A93">
        <v>38</v>
      </c>
      <c r="B93" s="166">
        <v>136.10858163631698</v>
      </c>
      <c r="D93" s="39"/>
      <c r="E93" s="39"/>
    </row>
    <row r="94" spans="1:5" ht="15.6">
      <c r="A94">
        <v>39</v>
      </c>
      <c r="B94" s="166">
        <v>94.520495224764943</v>
      </c>
      <c r="D94" s="39"/>
      <c r="E94" s="39"/>
    </row>
    <row r="95" spans="1:5" ht="15.6">
      <c r="A95">
        <v>40</v>
      </c>
      <c r="B95" s="166">
        <v>95.623586232473173</v>
      </c>
      <c r="D95" s="39"/>
      <c r="E95" s="39"/>
    </row>
    <row r="96" spans="1:5" ht="15.6">
      <c r="A96">
        <v>41</v>
      </c>
      <c r="B96" s="166">
        <v>130.02204477083384</v>
      </c>
      <c r="D96" s="39"/>
      <c r="E96" s="39"/>
    </row>
    <row r="97" spans="1:5" ht="15.6">
      <c r="A97">
        <v>42</v>
      </c>
      <c r="B97" s="166">
        <v>91.691159155608105</v>
      </c>
      <c r="D97" s="39"/>
      <c r="E97" s="39"/>
    </row>
    <row r="98" spans="1:5" ht="15.6">
      <c r="A98">
        <v>43</v>
      </c>
      <c r="B98" s="166">
        <v>146.08546404817372</v>
      </c>
      <c r="D98" s="39"/>
      <c r="E98" s="39"/>
    </row>
    <row r="99" spans="1:5" ht="15.6">
      <c r="A99">
        <v>44</v>
      </c>
      <c r="B99" s="166">
        <v>135.97810331411654</v>
      </c>
      <c r="D99" s="39"/>
      <c r="E99" s="39"/>
    </row>
    <row r="100" spans="1:5" ht="15.6">
      <c r="A100">
        <v>45</v>
      </c>
      <c r="B100" s="166">
        <v>147.9400859427675</v>
      </c>
      <c r="D100" s="39"/>
      <c r="E100" s="39"/>
    </row>
    <row r="101" spans="1:5" ht="15.6">
      <c r="A101">
        <v>46</v>
      </c>
      <c r="B101" s="166">
        <v>186.2443897875246</v>
      </c>
      <c r="D101" s="39"/>
      <c r="E101" s="39"/>
    </row>
    <row r="102" spans="1:5" ht="15.6">
      <c r="A102">
        <v>47</v>
      </c>
      <c r="B102" s="166">
        <v>81.521216346847368</v>
      </c>
      <c r="D102" s="39"/>
      <c r="E102" s="39"/>
    </row>
    <row r="103" spans="1:5" ht="15.6">
      <c r="A103">
        <v>48</v>
      </c>
      <c r="B103" s="166">
        <v>127.74131139981925</v>
      </c>
      <c r="D103" s="39"/>
      <c r="E103" s="39"/>
    </row>
    <row r="104" spans="1:5" ht="15.6">
      <c r="A104">
        <v>49</v>
      </c>
      <c r="B104" s="166">
        <v>155.08413122764958</v>
      </c>
      <c r="D104" s="39"/>
      <c r="E104" s="39"/>
    </row>
    <row r="105" spans="1:5" ht="15.6">
      <c r="A105">
        <v>50</v>
      </c>
      <c r="B105" s="166">
        <v>86.423962288545752</v>
      </c>
      <c r="D105" s="39"/>
      <c r="E105" s="39"/>
    </row>
    <row r="106" spans="1:5" ht="15.6">
      <c r="A106">
        <v>51</v>
      </c>
      <c r="B106" s="166">
        <v>70.173216658110562</v>
      </c>
      <c r="D106" s="39"/>
      <c r="E106" s="39"/>
    </row>
    <row r="107" spans="1:5" ht="15.6">
      <c r="A107">
        <v>52</v>
      </c>
      <c r="B107" s="166">
        <v>118.1384841261294</v>
      </c>
      <c r="D107" s="39"/>
      <c r="E107" s="39"/>
    </row>
    <row r="108" spans="1:5" ht="15.6">
      <c r="A108">
        <v>53</v>
      </c>
      <c r="B108" s="166">
        <v>123.61666652665663</v>
      </c>
      <c r="D108" s="39"/>
      <c r="E108" s="39"/>
    </row>
    <row r="109" spans="1:5" ht="15.6">
      <c r="A109">
        <v>54</v>
      </c>
      <c r="B109" s="166">
        <v>199.00397787232768</v>
      </c>
      <c r="D109" s="39"/>
      <c r="E109" s="39"/>
    </row>
    <row r="110" spans="1:5" ht="15.6">
      <c r="A110">
        <v>55</v>
      </c>
      <c r="B110" s="166">
        <v>75.081800206364832</v>
      </c>
      <c r="D110" s="39"/>
      <c r="E110" s="39"/>
    </row>
    <row r="111" spans="1:5" ht="15.6">
      <c r="A111">
        <v>56</v>
      </c>
      <c r="B111" s="166">
        <v>98.271826410149984</v>
      </c>
      <c r="D111" s="39"/>
      <c r="E111" s="39"/>
    </row>
    <row r="112" spans="1:5" ht="15.6">
      <c r="A112">
        <v>57</v>
      </c>
      <c r="B112" s="166">
        <v>99.350974723928431</v>
      </c>
      <c r="D112" s="39"/>
      <c r="E112" s="39"/>
    </row>
    <row r="113" spans="1:5" ht="15.6">
      <c r="A113">
        <v>58</v>
      </c>
      <c r="B113" s="166">
        <v>85.148869544536325</v>
      </c>
      <c r="D113" s="39"/>
      <c r="E113" s="39"/>
    </row>
    <row r="114" spans="1:5" ht="15.6">
      <c r="A114">
        <v>59</v>
      </c>
      <c r="B114" s="166">
        <v>191.84809513755528</v>
      </c>
      <c r="D114" s="39"/>
      <c r="E114" s="39"/>
    </row>
    <row r="115" spans="1:5" ht="15.6">
      <c r="A115">
        <v>60</v>
      </c>
      <c r="B115" s="166">
        <v>61.81062355163828</v>
      </c>
      <c r="D115" s="39"/>
      <c r="E115" s="39"/>
    </row>
    <row r="116" spans="1:5" ht="15.6">
      <c r="A116">
        <v>61</v>
      </c>
      <c r="B116" s="166">
        <v>127.06858694875147</v>
      </c>
      <c r="D116" s="39"/>
      <c r="E116" s="39"/>
    </row>
    <row r="117" spans="1:5" ht="15.6">
      <c r="A117">
        <v>62</v>
      </c>
      <c r="B117" s="166">
        <v>68.009100248578406</v>
      </c>
      <c r="D117" s="39"/>
      <c r="E117" s="39"/>
    </row>
    <row r="118" spans="1:5" ht="15.6">
      <c r="A118">
        <v>63</v>
      </c>
      <c r="B118" s="166">
        <v>130.04409375664437</v>
      </c>
      <c r="D118" s="39"/>
      <c r="E118" s="39"/>
    </row>
    <row r="119" spans="1:5" ht="15.6">
      <c r="A119">
        <v>64</v>
      </c>
      <c r="B119" s="166">
        <v>102.10936406405236</v>
      </c>
      <c r="D119" s="39"/>
      <c r="E119" s="39"/>
    </row>
    <row r="120" spans="1:5" ht="15.6">
      <c r="A120">
        <v>65</v>
      </c>
      <c r="B120" s="166">
        <v>139.08865440356158</v>
      </c>
      <c r="D120" s="39"/>
      <c r="E120" s="39"/>
    </row>
    <row r="121" spans="1:5" ht="15.6">
      <c r="A121">
        <v>66</v>
      </c>
      <c r="B121" s="166">
        <v>108.31212899339413</v>
      </c>
      <c r="D121" s="39"/>
      <c r="E121" s="39"/>
    </row>
    <row r="122" spans="1:5" ht="15.6">
      <c r="A122">
        <v>67</v>
      </c>
      <c r="B122" s="166">
        <v>74.738695339360874</v>
      </c>
      <c r="D122" s="39"/>
      <c r="E122" s="39"/>
    </row>
    <row r="123" spans="1:5" ht="15.6">
      <c r="A123">
        <v>68</v>
      </c>
      <c r="B123" s="166">
        <v>62.888780088227023</v>
      </c>
      <c r="D123" s="39"/>
      <c r="E123" s="39"/>
    </row>
    <row r="124" spans="1:5" ht="15.6">
      <c r="A124">
        <v>69</v>
      </c>
      <c r="B124" s="166">
        <v>115.26972220916382</v>
      </c>
      <c r="D124" s="39"/>
      <c r="E124" s="39"/>
    </row>
    <row r="125" spans="1:5" ht="15.6">
      <c r="A125">
        <v>70</v>
      </c>
      <c r="B125" s="166">
        <v>62.378707917630898</v>
      </c>
      <c r="D125" s="39"/>
      <c r="E125" s="39"/>
    </row>
    <row r="126" spans="1:5" ht="15.6">
      <c r="A126">
        <v>71</v>
      </c>
      <c r="B126" s="166">
        <v>112.56851737227088</v>
      </c>
      <c r="D126" s="39"/>
      <c r="E126" s="39"/>
    </row>
    <row r="127" spans="1:5" ht="15.6">
      <c r="A127">
        <v>72</v>
      </c>
      <c r="B127" s="166">
        <v>111.16716037772693</v>
      </c>
      <c r="D127" s="39"/>
      <c r="E127" s="39"/>
    </row>
    <row r="128" spans="1:5" ht="15.6">
      <c r="A128">
        <v>73</v>
      </c>
      <c r="B128" s="166">
        <v>80.983895293867917</v>
      </c>
      <c r="D128" s="39"/>
      <c r="E128" s="39"/>
    </row>
    <row r="129" spans="1:5" ht="15.6">
      <c r="A129">
        <v>74</v>
      </c>
      <c r="B129" s="166">
        <v>82.260675160471521</v>
      </c>
      <c r="D129" s="39"/>
      <c r="E129" s="39"/>
    </row>
    <row r="130" spans="1:5" ht="15.6">
      <c r="A130">
        <v>75</v>
      </c>
      <c r="B130" s="166">
        <v>60.529015073564899</v>
      </c>
      <c r="D130" s="39"/>
      <c r="E130" s="39"/>
    </row>
    <row r="131" spans="1:5" ht="15.6">
      <c r="A131">
        <v>76</v>
      </c>
      <c r="B131" s="166">
        <v>107.72265745047423</v>
      </c>
      <c r="D131" s="39"/>
      <c r="E131" s="39"/>
    </row>
    <row r="132" spans="1:5" ht="15.6">
      <c r="A132">
        <v>77</v>
      </c>
      <c r="B132" s="166">
        <v>143.1141516835294</v>
      </c>
      <c r="D132" s="39"/>
      <c r="E132" s="39"/>
    </row>
    <row r="133" spans="1:5" ht="15.6">
      <c r="A133">
        <v>78</v>
      </c>
      <c r="B133" s="166">
        <v>206.02977154123883</v>
      </c>
      <c r="D133" s="39"/>
      <c r="E133" s="39"/>
    </row>
    <row r="134" spans="1:5" ht="15.6">
      <c r="A134">
        <v>79</v>
      </c>
      <c r="B134" s="166">
        <v>138.93467510764211</v>
      </c>
      <c r="D134" s="39"/>
      <c r="E134" s="39"/>
    </row>
    <row r="135" spans="1:5" ht="15.6">
      <c r="A135">
        <v>80</v>
      </c>
      <c r="B135" s="166">
        <v>67.41322834646769</v>
      </c>
      <c r="D135" s="39"/>
      <c r="E135" s="39"/>
    </row>
    <row r="136" spans="1:5" ht="15.6">
      <c r="A136">
        <v>81</v>
      </c>
      <c r="B136" s="166">
        <v>95.317220375416156</v>
      </c>
      <c r="D136" s="39"/>
      <c r="E136" s="39"/>
    </row>
    <row r="137" spans="1:5" ht="15.6">
      <c r="A137">
        <v>82</v>
      </c>
      <c r="B137" s="166">
        <v>72.800096194940153</v>
      </c>
      <c r="D137" s="39"/>
      <c r="E137" s="39"/>
    </row>
    <row r="138" spans="1:5" ht="15.6">
      <c r="A138">
        <v>83</v>
      </c>
      <c r="B138" s="166">
        <v>67.78781656657911</v>
      </c>
      <c r="D138" s="39"/>
      <c r="E138" s="39"/>
    </row>
    <row r="139" spans="1:5" ht="15.6">
      <c r="A139">
        <v>84</v>
      </c>
      <c r="B139" s="166">
        <v>91.58535472354221</v>
      </c>
      <c r="D139" s="39"/>
      <c r="E139" s="39"/>
    </row>
    <row r="140" spans="1:5" ht="15.6">
      <c r="A140">
        <v>85</v>
      </c>
      <c r="B140" s="166">
        <v>75.325030049746815</v>
      </c>
      <c r="D140" s="39"/>
      <c r="E140" s="39"/>
    </row>
    <row r="141" spans="1:5" ht="15.6">
      <c r="A141">
        <v>86</v>
      </c>
      <c r="B141" s="166">
        <v>88.046207667467982</v>
      </c>
      <c r="D141" s="39"/>
      <c r="E141" s="39"/>
    </row>
    <row r="142" spans="1:5" ht="15.6">
      <c r="A142">
        <v>87</v>
      </c>
      <c r="B142" s="166">
        <v>135.23163225711468</v>
      </c>
      <c r="D142" s="39"/>
      <c r="E142" s="39"/>
    </row>
    <row r="143" spans="1:5" ht="15.6">
      <c r="A143">
        <v>88</v>
      </c>
      <c r="B143" s="166">
        <v>80.51631728507175</v>
      </c>
      <c r="D143" s="39"/>
      <c r="E143" s="39"/>
    </row>
    <row r="144" spans="1:5" ht="15.6">
      <c r="A144">
        <v>89</v>
      </c>
      <c r="B144" s="166">
        <v>97.934737355699482</v>
      </c>
      <c r="D144" s="39"/>
      <c r="E144" s="39"/>
    </row>
    <row r="145" spans="1:5" ht="15.6">
      <c r="A145">
        <v>90</v>
      </c>
      <c r="B145" s="166">
        <v>102.73382844809552</v>
      </c>
      <c r="D145" s="39"/>
      <c r="E145" s="39"/>
    </row>
    <row r="146" spans="1:5" ht="15.6">
      <c r="A146">
        <v>91</v>
      </c>
      <c r="B146" s="166">
        <v>150.94621765021114</v>
      </c>
      <c r="D146" s="39"/>
      <c r="E146" s="39"/>
    </row>
    <row r="147" spans="1:5" ht="15.6">
      <c r="A147">
        <v>92</v>
      </c>
      <c r="B147" s="166">
        <v>142.92497005442732</v>
      </c>
      <c r="D147" s="39"/>
      <c r="E147" s="39"/>
    </row>
    <row r="148" spans="1:5" ht="15.6">
      <c r="A148">
        <v>93</v>
      </c>
      <c r="B148" s="166">
        <v>88.31148701426514</v>
      </c>
      <c r="D148" s="39"/>
      <c r="E148" s="39"/>
    </row>
    <row r="149" spans="1:5" ht="15.6">
      <c r="A149">
        <v>94</v>
      </c>
      <c r="B149" s="166">
        <v>138.31942077536732</v>
      </c>
      <c r="D149" s="39"/>
      <c r="E149" s="39"/>
    </row>
    <row r="150" spans="1:5" ht="15.6">
      <c r="A150">
        <v>95</v>
      </c>
      <c r="B150" s="166">
        <v>63.523168057063529</v>
      </c>
      <c r="D150" s="39"/>
      <c r="E150" s="39"/>
    </row>
    <row r="151" spans="1:5" ht="15.6">
      <c r="A151">
        <v>96</v>
      </c>
      <c r="B151" s="166">
        <v>137.23232129874575</v>
      </c>
      <c r="D151" s="39"/>
      <c r="E151" s="39"/>
    </row>
    <row r="152" spans="1:5" ht="15.6">
      <c r="A152">
        <v>97</v>
      </c>
      <c r="B152" s="166">
        <v>131.35590631256036</v>
      </c>
      <c r="D152" s="39"/>
      <c r="E152" s="39"/>
    </row>
    <row r="153" spans="1:5" ht="15.6">
      <c r="A153">
        <v>98</v>
      </c>
      <c r="B153" s="166">
        <v>199.33921674841196</v>
      </c>
      <c r="D153" s="39"/>
      <c r="E153" s="39"/>
    </row>
    <row r="154" spans="1:5" ht="15.6">
      <c r="A154">
        <v>99</v>
      </c>
      <c r="B154" s="166">
        <v>76.627676853669385</v>
      </c>
      <c r="D154" s="39"/>
      <c r="E154" s="39"/>
    </row>
    <row r="155" spans="1:5" ht="15.6">
      <c r="A155">
        <v>100</v>
      </c>
      <c r="B155" s="166">
        <v>72.50189432297708</v>
      </c>
      <c r="D155" s="39"/>
      <c r="E155" s="39"/>
    </row>
    <row r="156" spans="1:5" ht="15.6">
      <c r="A156">
        <v>101</v>
      </c>
      <c r="B156" s="166">
        <v>141.63606536044529</v>
      </c>
      <c r="D156" s="39"/>
      <c r="E156" s="39"/>
    </row>
    <row r="157" spans="1:5" ht="15.6">
      <c r="A157">
        <v>102</v>
      </c>
      <c r="B157" s="166">
        <v>98.103776639894392</v>
      </c>
      <c r="D157" s="39"/>
      <c r="E157" s="39"/>
    </row>
    <row r="158" spans="1:5" ht="15.6">
      <c r="A158">
        <v>103</v>
      </c>
      <c r="B158" s="166">
        <v>158.69754374742118</v>
      </c>
      <c r="D158" s="39"/>
      <c r="E158" s="39"/>
    </row>
    <row r="159" spans="1:5" ht="15.6">
      <c r="A159">
        <v>104</v>
      </c>
      <c r="B159" s="166">
        <v>157.16908335712642</v>
      </c>
      <c r="D159" s="39"/>
      <c r="E159" s="39"/>
    </row>
    <row r="160" spans="1:5" ht="15.6">
      <c r="A160">
        <v>105</v>
      </c>
      <c r="B160" s="166">
        <v>139.1114343113903</v>
      </c>
      <c r="D160" s="39"/>
      <c r="E160" s="39"/>
    </row>
    <row r="161" spans="1:5" ht="15.6">
      <c r="A161">
        <v>106</v>
      </c>
      <c r="B161" s="166">
        <v>150.78466067133985</v>
      </c>
      <c r="D161" s="39"/>
      <c r="E161" s="39"/>
    </row>
    <row r="162" spans="1:5" ht="15.6">
      <c r="A162">
        <v>107</v>
      </c>
      <c r="B162" s="166">
        <v>159.73897387322026</v>
      </c>
      <c r="D162" s="39"/>
      <c r="E162" s="39"/>
    </row>
    <row r="163" spans="1:5" ht="15.6">
      <c r="A163">
        <v>108</v>
      </c>
      <c r="B163" s="166">
        <v>151.08833628736517</v>
      </c>
      <c r="D163" s="39"/>
      <c r="E163" s="39"/>
    </row>
    <row r="164" spans="1:5" ht="15.6">
      <c r="A164">
        <v>109</v>
      </c>
      <c r="B164" s="166">
        <v>87.033779873351534</v>
      </c>
      <c r="D164" s="39"/>
      <c r="E164" s="39"/>
    </row>
    <row r="165" spans="1:5" ht="15.6">
      <c r="A165">
        <v>110</v>
      </c>
      <c r="B165" s="166">
        <v>72.990213810882267</v>
      </c>
      <c r="D165" s="39"/>
      <c r="E165" s="39"/>
    </row>
    <row r="166" spans="1:5" ht="15.6">
      <c r="A166">
        <v>111</v>
      </c>
      <c r="B166" s="166">
        <v>177.78337401331385</v>
      </c>
      <c r="D166" s="39"/>
      <c r="E166" s="39"/>
    </row>
    <row r="167" spans="1:5" ht="15.6">
      <c r="A167">
        <v>112</v>
      </c>
      <c r="B167" s="166">
        <v>192.25868283974944</v>
      </c>
      <c r="D167" s="39"/>
      <c r="E167" s="39"/>
    </row>
    <row r="168" spans="1:5" ht="15.6">
      <c r="A168">
        <v>113</v>
      </c>
      <c r="B168" s="166">
        <v>146.04185268881747</v>
      </c>
      <c r="D168" s="39"/>
      <c r="E168" s="39"/>
    </row>
    <row r="169" spans="1:5" ht="15.6">
      <c r="A169">
        <v>114</v>
      </c>
      <c r="B169" s="166">
        <v>135.35322862409254</v>
      </c>
      <c r="D169" s="39"/>
      <c r="E169" s="39"/>
    </row>
    <row r="170" spans="1:5" ht="15.6">
      <c r="A170">
        <v>115</v>
      </c>
      <c r="B170" s="166">
        <v>129.34443567198207</v>
      </c>
      <c r="D170" s="39"/>
      <c r="E170" s="39"/>
    </row>
    <row r="171" spans="1:5" ht="15.6">
      <c r="A171">
        <v>116</v>
      </c>
      <c r="B171" s="166">
        <v>142.27076534840302</v>
      </c>
      <c r="D171" s="39"/>
      <c r="E171" s="39"/>
    </row>
    <row r="172" spans="1:5" ht="15.6">
      <c r="A172">
        <v>117</v>
      </c>
      <c r="B172" s="166">
        <v>56.010931082945589</v>
      </c>
      <c r="D172" s="39"/>
      <c r="E172" s="39"/>
    </row>
    <row r="173" spans="1:5" ht="15.6">
      <c r="A173">
        <v>118</v>
      </c>
      <c r="B173" s="166">
        <v>54.663960617416258</v>
      </c>
      <c r="D173" s="39"/>
      <c r="E173" s="39"/>
    </row>
    <row r="174" spans="1:5" ht="15.6">
      <c r="A174">
        <v>119</v>
      </c>
      <c r="B174" s="166">
        <v>113.37033259856537</v>
      </c>
      <c r="D174" s="39"/>
      <c r="E174" s="39"/>
    </row>
    <row r="175" spans="1:5" ht="15.6">
      <c r="A175">
        <v>120</v>
      </c>
      <c r="B175" s="166">
        <v>109.08239945779913</v>
      </c>
      <c r="D175" s="39"/>
      <c r="E175" s="39"/>
    </row>
    <row r="176" spans="1:5" ht="15.6">
      <c r="A176">
        <v>121</v>
      </c>
      <c r="B176" s="166">
        <v>149.25806928743043</v>
      </c>
      <c r="D176" s="39"/>
      <c r="E176" s="39"/>
    </row>
    <row r="177" spans="1:5" ht="15.6">
      <c r="A177">
        <v>122</v>
      </c>
      <c r="B177" s="166">
        <v>103.49441705972615</v>
      </c>
      <c r="D177" s="39"/>
      <c r="E177" s="39"/>
    </row>
    <row r="178" spans="1:5" ht="15.6">
      <c r="A178">
        <v>123</v>
      </c>
      <c r="B178" s="166">
        <v>78.821691158455494</v>
      </c>
      <c r="D178" s="39"/>
      <c r="E178" s="39"/>
    </row>
    <row r="179" spans="1:5" ht="15.6">
      <c r="A179">
        <v>124</v>
      </c>
      <c r="B179" s="166">
        <v>105.95643055709677</v>
      </c>
      <c r="D179" s="39"/>
      <c r="E179" s="39"/>
    </row>
    <row r="180" spans="1:5" ht="15.6">
      <c r="A180">
        <v>125</v>
      </c>
      <c r="B180" s="166">
        <v>151.60524064522565</v>
      </c>
      <c r="D180" s="39"/>
      <c r="E180" s="39"/>
    </row>
    <row r="181" spans="1:5" ht="15.6">
      <c r="A181">
        <v>126</v>
      </c>
      <c r="B181" s="166">
        <v>151.55177457841415</v>
      </c>
      <c r="D181" s="39"/>
      <c r="E181" s="39"/>
    </row>
    <row r="182" spans="1:5" ht="15.6">
      <c r="A182">
        <v>127</v>
      </c>
      <c r="B182" s="166">
        <v>153.46759723260854</v>
      </c>
      <c r="D182" s="39"/>
      <c r="E182" s="39"/>
    </row>
    <row r="183" spans="1:5" ht="15.6">
      <c r="A183">
        <v>128</v>
      </c>
      <c r="B183" s="166">
        <v>91.465322072486529</v>
      </c>
      <c r="D183" s="39"/>
      <c r="E183" s="39"/>
    </row>
    <row r="184" spans="1:5" ht="15.6">
      <c r="A184">
        <v>129</v>
      </c>
      <c r="B184" s="166">
        <v>92.759609633793019</v>
      </c>
      <c r="D184" s="39"/>
      <c r="E184" s="39"/>
    </row>
    <row r="185" spans="1:5" ht="15.6">
      <c r="A185">
        <v>130</v>
      </c>
      <c r="B185" s="166">
        <v>141.11038469466627</v>
      </c>
      <c r="D185" s="39"/>
      <c r="E185" s="39"/>
    </row>
    <row r="186" spans="1:5" ht="15.6">
      <c r="A186">
        <v>131</v>
      </c>
      <c r="B186" s="166">
        <v>95.863869565861108</v>
      </c>
      <c r="D186" s="39"/>
      <c r="E186" s="39"/>
    </row>
    <row r="187" spans="1:5" ht="15.6">
      <c r="A187">
        <v>132</v>
      </c>
      <c r="B187" s="166">
        <v>85.756008774781009</v>
      </c>
      <c r="D187" s="39"/>
      <c r="E187" s="39"/>
    </row>
    <row r="188" spans="1:5" ht="15.6">
      <c r="A188">
        <v>133</v>
      </c>
      <c r="B188" s="166">
        <v>104.59685516193609</v>
      </c>
      <c r="D188" s="39"/>
      <c r="E188" s="39"/>
    </row>
    <row r="189" spans="1:5" ht="15.6">
      <c r="A189">
        <v>134</v>
      </c>
      <c r="B189" s="166">
        <v>90.04513342027316</v>
      </c>
      <c r="D189" s="39"/>
      <c r="E189" s="39"/>
    </row>
    <row r="190" spans="1:5" ht="15.6">
      <c r="A190">
        <v>135</v>
      </c>
      <c r="B190" s="166">
        <v>91.961924068635156</v>
      </c>
      <c r="D190" s="39"/>
      <c r="E190" s="39"/>
    </row>
    <row r="191" spans="1:5" ht="15.6">
      <c r="A191">
        <v>136</v>
      </c>
      <c r="B191" s="166">
        <v>143.60086479620875</v>
      </c>
      <c r="D191" s="39"/>
      <c r="E191" s="39"/>
    </row>
    <row r="192" spans="1:5" ht="15.6">
      <c r="A192">
        <v>137</v>
      </c>
      <c r="B192" s="166">
        <v>173.88312625858376</v>
      </c>
      <c r="D192" s="39"/>
      <c r="E192" s="39"/>
    </row>
    <row r="193" spans="1:5" ht="15.6">
      <c r="A193">
        <v>138</v>
      </c>
      <c r="B193" s="166">
        <v>106.36680294860257</v>
      </c>
      <c r="D193" s="39"/>
      <c r="E193" s="39"/>
    </row>
    <row r="194" spans="1:5" ht="15.6">
      <c r="A194">
        <v>139</v>
      </c>
      <c r="B194" s="166">
        <v>84.066472457724956</v>
      </c>
      <c r="D194" s="39"/>
      <c r="E194" s="39"/>
    </row>
    <row r="195" spans="1:5" ht="15.6">
      <c r="A195">
        <v>140</v>
      </c>
      <c r="B195" s="166">
        <v>74.022561660191869</v>
      </c>
      <c r="D195" s="39"/>
      <c r="E195" s="39"/>
    </row>
    <row r="196" spans="1:5" ht="15.6">
      <c r="A196">
        <v>141</v>
      </c>
      <c r="B196" s="166">
        <v>415.50412305988357</v>
      </c>
      <c r="D196" s="39"/>
      <c r="E196" s="39"/>
    </row>
    <row r="197" spans="1:5" ht="15.6">
      <c r="A197">
        <v>142</v>
      </c>
      <c r="B197" s="166">
        <v>154.08943428902936</v>
      </c>
      <c r="D197" s="39"/>
      <c r="E197" s="39"/>
    </row>
    <row r="198" spans="1:5" ht="15.6">
      <c r="A198">
        <v>143</v>
      </c>
      <c r="B198" s="166">
        <v>127.66689426345802</v>
      </c>
      <c r="D198" s="39"/>
      <c r="E198" s="39"/>
    </row>
    <row r="199" spans="1:5" ht="15.6">
      <c r="A199">
        <v>144</v>
      </c>
      <c r="B199" s="166">
        <v>72.868262531575425</v>
      </c>
      <c r="D199" s="39"/>
      <c r="E199" s="39"/>
    </row>
    <row r="200" spans="1:5" ht="15.6">
      <c r="A200">
        <v>145</v>
      </c>
      <c r="B200" s="166">
        <v>94.943753573103052</v>
      </c>
      <c r="D200" s="39"/>
      <c r="E200" s="39"/>
    </row>
    <row r="201" spans="1:5" ht="15.6">
      <c r="A201">
        <v>146</v>
      </c>
      <c r="B201" s="166">
        <v>170.96209112000969</v>
      </c>
      <c r="D201" s="39"/>
      <c r="E201" s="39"/>
    </row>
    <row r="202" spans="1:5" ht="15.6">
      <c r="A202">
        <v>147</v>
      </c>
      <c r="B202" s="166">
        <v>126.75542250996685</v>
      </c>
      <c r="D202" s="39"/>
      <c r="E202" s="39"/>
    </row>
    <row r="203" spans="1:5" ht="15.6">
      <c r="A203">
        <v>148</v>
      </c>
      <c r="B203" s="166">
        <v>122.21009683364684</v>
      </c>
      <c r="D203" s="39"/>
      <c r="E203" s="39"/>
    </row>
    <row r="204" spans="1:5" ht="15.6">
      <c r="A204">
        <v>149</v>
      </c>
      <c r="B204" s="166">
        <v>50.718781908966527</v>
      </c>
      <c r="D204" s="39"/>
      <c r="E204" s="39"/>
    </row>
    <row r="205" spans="1:5" ht="15.6">
      <c r="A205">
        <v>150</v>
      </c>
      <c r="B205" s="166">
        <v>126.23201040871264</v>
      </c>
      <c r="D205" s="39"/>
      <c r="E205" s="39"/>
    </row>
    <row r="206" spans="1:5" ht="15.6">
      <c r="A206">
        <v>151</v>
      </c>
      <c r="B206" s="166">
        <v>189.45508345067296</v>
      </c>
      <c r="D206" s="39"/>
      <c r="E206" s="39"/>
    </row>
    <row r="207" spans="1:5" ht="15.6">
      <c r="A207">
        <v>152</v>
      </c>
      <c r="B207" s="166">
        <v>176.29757950609797</v>
      </c>
      <c r="D207" s="39"/>
      <c r="E207" s="39"/>
    </row>
    <row r="208" spans="1:5" ht="15.6">
      <c r="A208">
        <v>153</v>
      </c>
      <c r="B208" s="166">
        <v>88.191361078792241</v>
      </c>
      <c r="D208" s="39"/>
      <c r="E208" s="39"/>
    </row>
    <row r="209" spans="1:5" ht="15.6">
      <c r="A209">
        <v>154</v>
      </c>
      <c r="B209" s="166">
        <v>109.95846223278026</v>
      </c>
      <c r="D209" s="39"/>
      <c r="E209" s="39"/>
    </row>
    <row r="210" spans="1:5" ht="15.6">
      <c r="A210">
        <v>155</v>
      </c>
      <c r="B210" s="166">
        <v>112.16992547039422</v>
      </c>
      <c r="D210" s="39"/>
      <c r="E210" s="39"/>
    </row>
    <row r="211" spans="1:5" ht="15.6">
      <c r="A211">
        <v>156</v>
      </c>
      <c r="B211" s="166">
        <v>67.470498290638332</v>
      </c>
      <c r="D211" s="39"/>
      <c r="E211" s="39"/>
    </row>
    <row r="212" spans="1:5" ht="15.6">
      <c r="A212">
        <v>157</v>
      </c>
      <c r="B212" s="166">
        <v>224.67979172383821</v>
      </c>
      <c r="D212" s="39"/>
      <c r="E212" s="39"/>
    </row>
    <row r="213" spans="1:5" ht="15.6">
      <c r="A213">
        <v>158</v>
      </c>
      <c r="B213" s="166">
        <v>93.052467207487268</v>
      </c>
      <c r="D213" s="39"/>
      <c r="E213" s="39"/>
    </row>
    <row r="214" spans="1:5" ht="15.6">
      <c r="A214">
        <v>159</v>
      </c>
      <c r="B214" s="166">
        <v>73.587289384751045</v>
      </c>
      <c r="D214" s="39"/>
      <c r="E214" s="39"/>
    </row>
    <row r="215" spans="1:5" ht="15.6">
      <c r="A215">
        <v>160</v>
      </c>
      <c r="B215" s="166">
        <v>80.925628305879869</v>
      </c>
      <c r="D215" s="39"/>
      <c r="E215" s="39"/>
    </row>
    <row r="216" spans="1:5" ht="15.6">
      <c r="A216">
        <v>161</v>
      </c>
      <c r="B216" s="166">
        <v>78.395326115120042</v>
      </c>
      <c r="D216" s="39"/>
      <c r="E216" s="39"/>
    </row>
    <row r="217" spans="1:5" ht="15.6">
      <c r="A217">
        <v>162</v>
      </c>
      <c r="B217" s="166">
        <v>148.04753977689484</v>
      </c>
      <c r="D217" s="39"/>
      <c r="E217" s="39"/>
    </row>
    <row r="218" spans="1:5" ht="15.6">
      <c r="A218">
        <v>163</v>
      </c>
      <c r="B218" s="166">
        <v>128.66201530515863</v>
      </c>
      <c r="D218" s="39"/>
      <c r="E218" s="39"/>
    </row>
    <row r="219" spans="1:5" ht="15.6">
      <c r="A219">
        <v>164</v>
      </c>
      <c r="B219" s="166">
        <v>60.320721376063922</v>
      </c>
      <c r="D219" s="39"/>
      <c r="E219" s="39"/>
    </row>
    <row r="220" spans="1:5" ht="15.6">
      <c r="A220">
        <v>165</v>
      </c>
      <c r="B220" s="166">
        <v>119.04482895307004</v>
      </c>
      <c r="D220" s="39"/>
      <c r="E220" s="39"/>
    </row>
    <row r="221" spans="1:5" ht="15.6">
      <c r="A221">
        <v>166</v>
      </c>
      <c r="B221" s="166">
        <v>91.797928904191195</v>
      </c>
      <c r="D221" s="39"/>
      <c r="E221" s="39"/>
    </row>
    <row r="222" spans="1:5" ht="15.6">
      <c r="A222">
        <v>167</v>
      </c>
      <c r="B222" s="166">
        <v>105.50603667920001</v>
      </c>
      <c r="D222" s="39"/>
      <c r="E222" s="39"/>
    </row>
    <row r="223" spans="1:5" ht="15.6">
      <c r="A223">
        <v>168</v>
      </c>
      <c r="B223" s="166">
        <v>72.933490324620379</v>
      </c>
      <c r="D223" s="39"/>
      <c r="E223" s="39"/>
    </row>
    <row r="224" spans="1:5" ht="15.6">
      <c r="A224">
        <v>169</v>
      </c>
      <c r="B224" s="166">
        <v>161.19152928619388</v>
      </c>
      <c r="D224" s="39"/>
      <c r="E224" s="39"/>
    </row>
    <row r="225" spans="1:5" ht="15.6">
      <c r="A225">
        <v>170</v>
      </c>
      <c r="B225" s="166">
        <v>168.00501540301977</v>
      </c>
      <c r="D225" s="39"/>
      <c r="E225" s="39"/>
    </row>
    <row r="226" spans="1:5" ht="15.6">
      <c r="A226">
        <v>171</v>
      </c>
      <c r="B226" s="166">
        <v>63.718847551793196</v>
      </c>
      <c r="D226" s="39"/>
      <c r="E226" s="39"/>
    </row>
    <row r="227" spans="1:5" ht="15.6">
      <c r="A227">
        <v>172</v>
      </c>
      <c r="B227" s="166">
        <v>86.645029491206401</v>
      </c>
      <c r="D227" s="39"/>
      <c r="E227" s="39"/>
    </row>
    <row r="228" spans="1:5" ht="15.6">
      <c r="A228">
        <v>173</v>
      </c>
      <c r="B228" s="166">
        <v>161.20407123005469</v>
      </c>
      <c r="D228" s="39"/>
      <c r="E228" s="39"/>
    </row>
    <row r="229" spans="1:5" ht="15.6">
      <c r="A229">
        <v>174</v>
      </c>
      <c r="B229" s="166">
        <v>87.242145436086872</v>
      </c>
      <c r="D229" s="39"/>
      <c r="E229" s="39"/>
    </row>
    <row r="230" spans="1:5" ht="15.6">
      <c r="A230">
        <v>175</v>
      </c>
      <c r="B230" s="166">
        <v>112.59268314477613</v>
      </c>
      <c r="D230" s="39"/>
      <c r="E230" s="39"/>
    </row>
    <row r="231" spans="1:5" ht="15.6">
      <c r="A231">
        <v>176</v>
      </c>
      <c r="B231" s="166">
        <v>123.29838365446754</v>
      </c>
      <c r="D231" s="39"/>
      <c r="E231" s="39"/>
    </row>
    <row r="232" spans="1:5" ht="15.6">
      <c r="A232">
        <v>177</v>
      </c>
      <c r="B232" s="166">
        <v>84.004474816178103</v>
      </c>
      <c r="D232" s="39"/>
      <c r="E232" s="39"/>
    </row>
    <row r="233" spans="1:5" ht="15.6">
      <c r="A233">
        <v>178</v>
      </c>
      <c r="B233" s="166">
        <v>92.941751540872332</v>
      </c>
      <c r="D233" s="39"/>
      <c r="E233" s="39"/>
    </row>
    <row r="234" spans="1:5" ht="15.6">
      <c r="A234">
        <v>179</v>
      </c>
      <c r="B234" s="166">
        <v>185.63694327432319</v>
      </c>
      <c r="D234" s="39"/>
      <c r="E234" s="39"/>
    </row>
    <row r="235" spans="1:5" ht="15.6">
      <c r="A235">
        <v>180</v>
      </c>
      <c r="B235" s="166">
        <v>66.7612906665331</v>
      </c>
      <c r="D235" s="39"/>
      <c r="E235" s="39"/>
    </row>
    <row r="236" spans="1:5" ht="15.6">
      <c r="A236">
        <v>181</v>
      </c>
      <c r="B236" s="166">
        <v>80.652698188337951</v>
      </c>
      <c r="D236" s="39"/>
      <c r="E236" s="39"/>
    </row>
    <row r="237" spans="1:5" ht="15.6">
      <c r="A237">
        <v>182</v>
      </c>
      <c r="B237" s="166">
        <v>54.394737536421559</v>
      </c>
      <c r="D237" s="39"/>
      <c r="E237" s="39"/>
    </row>
    <row r="238" spans="1:5" ht="15.6">
      <c r="A238">
        <v>183</v>
      </c>
      <c r="B238" s="166">
        <v>159.28744177517106</v>
      </c>
      <c r="D238" s="39"/>
      <c r="E238" s="39"/>
    </row>
    <row r="239" spans="1:5" ht="15.6">
      <c r="A239">
        <v>184</v>
      </c>
      <c r="B239" s="166">
        <v>129.77488242623997</v>
      </c>
      <c r="D239" s="39"/>
      <c r="E239" s="39"/>
    </row>
    <row r="240" spans="1:5" ht="15.6">
      <c r="A240">
        <v>185</v>
      </c>
      <c r="B240" s="166">
        <v>139.90794001464428</v>
      </c>
      <c r="D240" s="39"/>
      <c r="E240" s="39"/>
    </row>
    <row r="241" spans="1:5" ht="15.6">
      <c r="A241">
        <v>186</v>
      </c>
      <c r="B241" s="166">
        <v>118.13482388036674</v>
      </c>
      <c r="D241" s="39"/>
      <c r="E241" s="39"/>
    </row>
    <row r="242" spans="1:5" ht="15.6">
      <c r="A242">
        <v>187</v>
      </c>
      <c r="B242" s="166">
        <v>75.346193111365707</v>
      </c>
      <c r="D242" s="39"/>
      <c r="E242" s="39"/>
    </row>
    <row r="243" spans="1:5" ht="15.6">
      <c r="A243">
        <v>188</v>
      </c>
      <c r="B243" s="166">
        <v>124.79463117265814</v>
      </c>
      <c r="D243" s="39"/>
      <c r="E243" s="39"/>
    </row>
    <row r="244" spans="1:5" ht="15.6">
      <c r="A244">
        <v>189</v>
      </c>
      <c r="B244" s="166">
        <v>166.12159361920874</v>
      </c>
      <c r="D244" s="39"/>
      <c r="E244" s="39"/>
    </row>
    <row r="245" spans="1:5" ht="15.6">
      <c r="A245">
        <v>190</v>
      </c>
      <c r="B245" s="166">
        <v>53.285830057563601</v>
      </c>
      <c r="D245" s="39"/>
      <c r="E245" s="39"/>
    </row>
    <row r="246" spans="1:5" ht="15.6">
      <c r="A246">
        <v>191</v>
      </c>
      <c r="B246" s="166">
        <v>60.156152973845352</v>
      </c>
      <c r="D246" s="39"/>
      <c r="E246" s="39"/>
    </row>
    <row r="247" spans="1:5" ht="15.6">
      <c r="A247">
        <v>192</v>
      </c>
      <c r="B247" s="166">
        <v>82.265024516078981</v>
      </c>
      <c r="D247" s="39"/>
      <c r="E247" s="39"/>
    </row>
    <row r="248" spans="1:5" ht="15.6">
      <c r="A248">
        <v>193</v>
      </c>
      <c r="B248" s="166">
        <v>162.54362080860889</v>
      </c>
      <c r="D248" s="39"/>
      <c r="E248" s="39"/>
    </row>
    <row r="249" spans="1:5" ht="15.6">
      <c r="A249">
        <v>194</v>
      </c>
      <c r="B249" s="166">
        <v>135.12280749266537</v>
      </c>
      <c r="D249" s="39"/>
      <c r="E249" s="39"/>
    </row>
    <row r="250" spans="1:5" ht="15.6">
      <c r="A250">
        <v>195</v>
      </c>
      <c r="B250" s="166">
        <v>184.78277048256516</v>
      </c>
      <c r="D250" s="39"/>
      <c r="E250" s="39"/>
    </row>
    <row r="251" spans="1:5" ht="15.6">
      <c r="A251">
        <v>196</v>
      </c>
      <c r="B251" s="166">
        <v>89.665809758352424</v>
      </c>
      <c r="D251" s="39"/>
      <c r="E251" s="39"/>
    </row>
    <row r="252" spans="1:5" ht="15.6">
      <c r="A252">
        <v>197</v>
      </c>
      <c r="B252" s="166">
        <v>120.92559091307569</v>
      </c>
      <c r="D252" s="39"/>
      <c r="E252" s="39"/>
    </row>
    <row r="253" spans="1:5" ht="15.6">
      <c r="A253">
        <v>198</v>
      </c>
      <c r="B253" s="166">
        <v>97.188831216938823</v>
      </c>
      <c r="D253" s="39"/>
      <c r="E253" s="39"/>
    </row>
    <row r="254" spans="1:5" ht="15.6">
      <c r="A254">
        <v>199</v>
      </c>
      <c r="B254" s="166">
        <v>89.280798847010985</v>
      </c>
      <c r="D254" s="39"/>
      <c r="E254" s="39"/>
    </row>
    <row r="255" spans="1:5" ht="15.6">
      <c r="A255">
        <v>200</v>
      </c>
      <c r="B255" s="166">
        <v>154.67673941563845</v>
      </c>
      <c r="D255" s="39"/>
      <c r="E255" s="39"/>
    </row>
    <row r="256" spans="1:5" ht="15.6">
      <c r="A256">
        <v>201</v>
      </c>
      <c r="B256" s="166">
        <v>75.144371184725969</v>
      </c>
      <c r="D256" s="39"/>
      <c r="E256" s="39"/>
    </row>
    <row r="257" spans="1:5" ht="15.6">
      <c r="A257">
        <v>202</v>
      </c>
      <c r="B257" s="166">
        <v>83.061813713010395</v>
      </c>
      <c r="D257" s="39"/>
      <c r="E257" s="39"/>
    </row>
    <row r="258" spans="1:5" ht="15.6">
      <c r="A258">
        <v>203</v>
      </c>
      <c r="B258" s="166">
        <v>84.598346691744339</v>
      </c>
      <c r="D258" s="39"/>
      <c r="E258" s="39"/>
    </row>
    <row r="259" spans="1:5" ht="15.6">
      <c r="A259">
        <v>204</v>
      </c>
      <c r="B259" s="166">
        <v>57.63937805915171</v>
      </c>
      <c r="D259" s="39"/>
      <c r="E259" s="39"/>
    </row>
    <row r="260" spans="1:5" ht="15.6">
      <c r="A260">
        <v>205</v>
      </c>
      <c r="B260" s="166">
        <v>141.82779019155768</v>
      </c>
      <c r="D260" s="39"/>
      <c r="E260" s="39"/>
    </row>
    <row r="261" spans="1:5" ht="15.6">
      <c r="A261">
        <v>206</v>
      </c>
      <c r="B261" s="166">
        <v>108.38217208805935</v>
      </c>
      <c r="D261" s="39"/>
      <c r="E261" s="39"/>
    </row>
    <row r="262" spans="1:5" ht="15.6">
      <c r="A262">
        <v>207</v>
      </c>
      <c r="B262" s="166">
        <v>129.04594739193297</v>
      </c>
      <c r="D262" s="39"/>
      <c r="E262" s="39"/>
    </row>
    <row r="263" spans="1:5" ht="15.6">
      <c r="A263">
        <v>208</v>
      </c>
      <c r="B263" s="166">
        <v>71.804703188068871</v>
      </c>
      <c r="D263" s="39"/>
      <c r="E263" s="39"/>
    </row>
    <row r="264" spans="1:5" ht="15.6">
      <c r="A264">
        <v>209</v>
      </c>
      <c r="B264" s="166">
        <v>113.56601439318521</v>
      </c>
      <c r="D264" s="39"/>
      <c r="E264" s="39"/>
    </row>
    <row r="265" spans="1:5" ht="15.6">
      <c r="A265">
        <v>210</v>
      </c>
      <c r="B265" s="166">
        <v>142.16566419401468</v>
      </c>
      <c r="D265" s="39"/>
      <c r="E265" s="39"/>
    </row>
    <row r="266" spans="1:5" ht="15.6">
      <c r="A266">
        <v>211</v>
      </c>
      <c r="B266" s="166">
        <v>182.91096509001068</v>
      </c>
      <c r="D266" s="39"/>
      <c r="E266" s="39"/>
    </row>
    <row r="267" spans="1:5" ht="15.6">
      <c r="A267">
        <v>212</v>
      </c>
      <c r="B267" s="166">
        <v>120.69496850741022</v>
      </c>
      <c r="D267" s="39"/>
      <c r="E267" s="39"/>
    </row>
    <row r="268" spans="1:5" ht="15.6">
      <c r="A268">
        <v>213</v>
      </c>
      <c r="B268" s="166">
        <v>230.57904403833535</v>
      </c>
      <c r="D268" s="39"/>
      <c r="E268" s="39"/>
    </row>
    <row r="269" spans="1:5" ht="15.6">
      <c r="A269">
        <v>214</v>
      </c>
      <c r="B269" s="166">
        <v>104.50712897636173</v>
      </c>
      <c r="D269" s="39"/>
      <c r="E269" s="39"/>
    </row>
    <row r="270" spans="1:5" ht="15.6">
      <c r="A270">
        <v>215</v>
      </c>
      <c r="B270" s="166">
        <v>86.947785192824639</v>
      </c>
      <c r="D270" s="39"/>
      <c r="E270" s="39"/>
    </row>
    <row r="271" spans="1:5" ht="15.6">
      <c r="A271">
        <v>216</v>
      </c>
      <c r="B271" s="166">
        <v>101.6033275228269</v>
      </c>
      <c r="D271" s="39"/>
      <c r="E271" s="39"/>
    </row>
    <row r="272" spans="1:5" ht="15.6">
      <c r="A272">
        <v>217</v>
      </c>
      <c r="B272" s="166">
        <v>86.321415029326673</v>
      </c>
      <c r="D272" s="39"/>
      <c r="E272" s="39"/>
    </row>
    <row r="273" spans="1:5" ht="15.6">
      <c r="A273">
        <v>218</v>
      </c>
      <c r="B273" s="166">
        <v>78.438626815092803</v>
      </c>
      <c r="D273" s="39"/>
      <c r="E273" s="39"/>
    </row>
    <row r="274" spans="1:5" ht="15.6">
      <c r="A274">
        <v>219</v>
      </c>
      <c r="B274" s="166">
        <v>142.77559108158547</v>
      </c>
      <c r="D274" s="39"/>
      <c r="E274" s="39"/>
    </row>
    <row r="275" spans="1:5" ht="15.6">
      <c r="A275">
        <v>220</v>
      </c>
      <c r="B275" s="166">
        <v>107.11606335646179</v>
      </c>
      <c r="D275" s="39"/>
      <c r="E275" s="39"/>
    </row>
    <row r="276" spans="1:5" ht="15.6">
      <c r="A276">
        <v>221</v>
      </c>
      <c r="B276" s="166">
        <v>107.33793274557509</v>
      </c>
      <c r="D276" s="39"/>
      <c r="E276" s="39"/>
    </row>
    <row r="277" spans="1:5" ht="15.6">
      <c r="A277">
        <v>222</v>
      </c>
      <c r="B277" s="166">
        <v>106.64719376712999</v>
      </c>
      <c r="D277" s="39"/>
      <c r="E277" s="39"/>
    </row>
    <row r="278" spans="1:5" ht="15.6">
      <c r="A278">
        <v>223</v>
      </c>
      <c r="B278" s="166">
        <v>136.55130451764998</v>
      </c>
      <c r="D278" s="39"/>
      <c r="E278" s="39"/>
    </row>
    <row r="279" spans="1:5" ht="15.6">
      <c r="A279">
        <v>224</v>
      </c>
      <c r="B279" s="166">
        <v>125.23117564511513</v>
      </c>
      <c r="D279" s="39"/>
      <c r="E279" s="39"/>
    </row>
    <row r="280" spans="1:5" ht="15.6">
      <c r="A280">
        <v>225</v>
      </c>
      <c r="B280" s="166">
        <v>162.26080961329779</v>
      </c>
      <c r="D280" s="39"/>
      <c r="E280" s="39"/>
    </row>
    <row r="281" spans="1:5" ht="15.6">
      <c r="A281">
        <v>226</v>
      </c>
      <c r="B281" s="166">
        <v>182.49144427383692</v>
      </c>
      <c r="D281" s="39"/>
      <c r="E281" s="39"/>
    </row>
    <row r="282" spans="1:5" ht="15.6">
      <c r="A282">
        <v>227</v>
      </c>
      <c r="B282" s="166">
        <v>163.91109305181519</v>
      </c>
      <c r="D282" s="39"/>
      <c r="E282" s="39"/>
    </row>
    <row r="283" spans="1:5" ht="15.6">
      <c r="A283">
        <v>228</v>
      </c>
      <c r="B283" s="166">
        <v>103.88955800874186</v>
      </c>
      <c r="D283" s="39"/>
      <c r="E283" s="39"/>
    </row>
    <row r="284" spans="1:5" ht="15.6">
      <c r="A284">
        <v>229</v>
      </c>
      <c r="B284" s="166">
        <v>182.04765289410446</v>
      </c>
      <c r="D284" s="39"/>
      <c r="E284" s="39"/>
    </row>
    <row r="285" spans="1:5" ht="15.6">
      <c r="A285">
        <v>230</v>
      </c>
      <c r="B285" s="166">
        <v>130.93170400155651</v>
      </c>
      <c r="D285" s="39"/>
      <c r="E285" s="39"/>
    </row>
    <row r="286" spans="1:5" ht="15.6">
      <c r="A286">
        <v>231</v>
      </c>
      <c r="B286" s="166">
        <v>90.287743352175156</v>
      </c>
      <c r="D286" s="39"/>
      <c r="E286" s="39"/>
    </row>
    <row r="287" spans="1:5" ht="15.6">
      <c r="A287">
        <v>232</v>
      </c>
      <c r="B287" s="166">
        <v>133.58079699217464</v>
      </c>
      <c r="D287" s="39"/>
      <c r="E287" s="39"/>
    </row>
    <row r="288" spans="1:5" ht="15.6">
      <c r="A288">
        <v>233</v>
      </c>
      <c r="B288" s="166">
        <v>153.47963729565828</v>
      </c>
      <c r="D288" s="39"/>
      <c r="E288" s="39"/>
    </row>
    <row r="289" spans="1:5" ht="15.6">
      <c r="A289">
        <v>234</v>
      </c>
      <c r="B289" s="166">
        <v>86.41237368939565</v>
      </c>
      <c r="D289" s="39"/>
      <c r="E289" s="39"/>
    </row>
    <row r="290" spans="1:5" ht="15.6">
      <c r="A290">
        <v>235</v>
      </c>
      <c r="B290" s="166">
        <v>123.77649195914775</v>
      </c>
      <c r="D290" s="39"/>
      <c r="E290" s="39"/>
    </row>
    <row r="291" spans="1:5" ht="15.6">
      <c r="A291">
        <v>236</v>
      </c>
      <c r="B291" s="166">
        <v>111.60334011884594</v>
      </c>
      <c r="D291" s="39"/>
      <c r="E291" s="39"/>
    </row>
    <row r="292" spans="1:5" ht="15.6">
      <c r="A292">
        <v>237</v>
      </c>
      <c r="B292" s="166">
        <v>52.822812862538676</v>
      </c>
      <c r="D292" s="39"/>
      <c r="E292" s="39"/>
    </row>
    <row r="293" spans="1:5" ht="15.6">
      <c r="A293">
        <v>238</v>
      </c>
      <c r="B293" s="166">
        <v>76.526643609810847</v>
      </c>
      <c r="D293" s="39"/>
      <c r="E293" s="39"/>
    </row>
    <row r="294" spans="1:5" ht="15.6">
      <c r="A294">
        <v>239</v>
      </c>
      <c r="B294" s="166">
        <v>175.95546505804415</v>
      </c>
      <c r="D294" s="39"/>
      <c r="E294" s="39"/>
    </row>
    <row r="295" spans="1:5" ht="15.6">
      <c r="A295">
        <v>240</v>
      </c>
      <c r="B295" s="166">
        <v>106.13792348789787</v>
      </c>
      <c r="D295" s="39"/>
      <c r="E295" s="39"/>
    </row>
    <row r="296" spans="1:5" ht="15.6">
      <c r="A296">
        <v>241</v>
      </c>
      <c r="B296" s="166">
        <v>100.96972989591926</v>
      </c>
      <c r="D296" s="39"/>
      <c r="E296" s="39"/>
    </row>
    <row r="297" spans="1:5" ht="15.6">
      <c r="A297">
        <v>242</v>
      </c>
      <c r="B297" s="166">
        <v>240.47948606494441</v>
      </c>
      <c r="D297" s="39"/>
      <c r="E297" s="39"/>
    </row>
    <row r="298" spans="1:5" ht="15.6">
      <c r="A298">
        <v>243</v>
      </c>
      <c r="B298" s="166">
        <v>116.55001565050286</v>
      </c>
      <c r="D298" s="39"/>
      <c r="E298" s="39"/>
    </row>
    <row r="299" spans="1:5" ht="15.6">
      <c r="A299">
        <v>244</v>
      </c>
      <c r="B299" s="166">
        <v>98.584479434108133</v>
      </c>
      <c r="D299" s="39"/>
      <c r="E299" s="39"/>
    </row>
    <row r="300" spans="1:5" ht="15.6">
      <c r="A300">
        <v>245</v>
      </c>
      <c r="B300" s="166">
        <v>77.829138073873438</v>
      </c>
      <c r="D300" s="39"/>
      <c r="E300" s="39"/>
    </row>
    <row r="301" spans="1:5" ht="15.6">
      <c r="A301">
        <v>246</v>
      </c>
      <c r="B301" s="166">
        <v>153.24237781361936</v>
      </c>
      <c r="D301" s="39"/>
      <c r="E301" s="39"/>
    </row>
    <row r="302" spans="1:5" ht="15.6">
      <c r="A302">
        <v>247</v>
      </c>
      <c r="B302" s="166">
        <v>166.17149210768702</v>
      </c>
      <c r="D302" s="39"/>
      <c r="E302" s="39"/>
    </row>
    <row r="303" spans="1:5" ht="15.6">
      <c r="A303">
        <v>248</v>
      </c>
      <c r="B303" s="166">
        <v>72.646483677811389</v>
      </c>
      <c r="D303" s="39"/>
      <c r="E303" s="39"/>
    </row>
    <row r="304" spans="1:5" ht="15.6">
      <c r="A304">
        <v>249</v>
      </c>
      <c r="B304" s="166">
        <v>161.56499105785002</v>
      </c>
      <c r="D304" s="39"/>
      <c r="E304" s="39"/>
    </row>
    <row r="305" spans="1:5" ht="15.6">
      <c r="A305">
        <v>250</v>
      </c>
      <c r="B305" s="166">
        <v>76.137928910066918</v>
      </c>
      <c r="D305" s="39"/>
      <c r="E305" s="39"/>
    </row>
    <row r="306" spans="1:5" ht="15.6">
      <c r="A306">
        <v>251</v>
      </c>
      <c r="B306" s="166">
        <v>105.09677745186443</v>
      </c>
      <c r="D306" s="39"/>
      <c r="E306" s="39"/>
    </row>
    <row r="307" spans="1:5" ht="15.6">
      <c r="A307">
        <v>252</v>
      </c>
      <c r="B307" s="166">
        <v>113.43166358879701</v>
      </c>
      <c r="D307" s="39"/>
      <c r="E307" s="39"/>
    </row>
    <row r="308" spans="1:5" ht="15.6">
      <c r="A308">
        <v>253</v>
      </c>
      <c r="B308" s="166">
        <v>102.0887351791167</v>
      </c>
      <c r="D308" s="39"/>
      <c r="E308" s="39"/>
    </row>
    <row r="309" spans="1:5" ht="15.6">
      <c r="A309">
        <v>254</v>
      </c>
      <c r="B309" s="166">
        <v>131.72332950175107</v>
      </c>
      <c r="D309" s="39"/>
      <c r="E309" s="39"/>
    </row>
    <row r="310" spans="1:5" ht="15.6">
      <c r="A310">
        <v>255</v>
      </c>
      <c r="B310" s="166">
        <v>69.224981044816971</v>
      </c>
      <c r="D310" s="39"/>
      <c r="E310" s="39"/>
    </row>
    <row r="311" spans="1:5" ht="15.6">
      <c r="A311">
        <v>256</v>
      </c>
      <c r="B311" s="166">
        <v>104.56130857573336</v>
      </c>
      <c r="D311" s="39"/>
      <c r="E311" s="39"/>
    </row>
    <row r="312" spans="1:5" ht="15.6">
      <c r="A312">
        <v>257</v>
      </c>
      <c r="B312" s="166">
        <v>142.70937253121105</v>
      </c>
      <c r="D312" s="39"/>
      <c r="E312" s="39"/>
    </row>
    <row r="313" spans="1:5" ht="15.6">
      <c r="A313">
        <v>258</v>
      </c>
      <c r="B313" s="166">
        <v>69.519058928102439</v>
      </c>
      <c r="D313" s="39"/>
      <c r="E313" s="39"/>
    </row>
    <row r="314" spans="1:5" ht="15.6">
      <c r="A314">
        <v>259</v>
      </c>
      <c r="B314" s="166">
        <v>140.14175039883668</v>
      </c>
      <c r="D314" s="39"/>
      <c r="E314" s="39"/>
    </row>
    <row r="315" spans="1:5" ht="15.6">
      <c r="A315">
        <v>260</v>
      </c>
      <c r="B315" s="166">
        <v>112.15399465975173</v>
      </c>
      <c r="D315" s="39"/>
      <c r="E315" s="39"/>
    </row>
    <row r="316" spans="1:5" ht="15.6">
      <c r="A316">
        <v>261</v>
      </c>
      <c r="B316" s="166">
        <v>172.43684146044745</v>
      </c>
      <c r="D316" s="39"/>
      <c r="E316" s="39"/>
    </row>
    <row r="317" spans="1:5" ht="15.6">
      <c r="A317">
        <v>262</v>
      </c>
      <c r="B317" s="166">
        <v>88.359756452901621</v>
      </c>
      <c r="D317" s="39"/>
      <c r="E317" s="39"/>
    </row>
    <row r="318" spans="1:5" ht="15.6">
      <c r="A318">
        <v>263</v>
      </c>
      <c r="B318" s="166">
        <v>88.35168174483259</v>
      </c>
      <c r="D318" s="39"/>
      <c r="E318" s="39"/>
    </row>
    <row r="319" spans="1:5" ht="15.6">
      <c r="A319">
        <v>264</v>
      </c>
      <c r="B319" s="166">
        <v>127.24848928079967</v>
      </c>
      <c r="D319" s="39"/>
      <c r="E319" s="39"/>
    </row>
    <row r="320" spans="1:5" ht="15.6">
      <c r="A320">
        <v>265</v>
      </c>
      <c r="B320" s="166">
        <v>97.941573373539427</v>
      </c>
      <c r="D320" s="39"/>
      <c r="E320" s="39"/>
    </row>
    <row r="321" spans="1:5" ht="15.6">
      <c r="A321">
        <v>266</v>
      </c>
      <c r="B321" s="166">
        <v>74.776607154072934</v>
      </c>
      <c r="D321" s="39"/>
      <c r="E321" s="39"/>
    </row>
    <row r="322" spans="1:5" ht="15.6">
      <c r="A322">
        <v>267</v>
      </c>
      <c r="B322" s="166">
        <v>94.232463049138843</v>
      </c>
      <c r="D322" s="39"/>
      <c r="E322" s="39"/>
    </row>
    <row r="323" spans="1:5" ht="15.6">
      <c r="A323">
        <v>268</v>
      </c>
      <c r="B323" s="166">
        <v>83.229454281387817</v>
      </c>
      <c r="D323" s="39"/>
      <c r="E323" s="39"/>
    </row>
    <row r="324" spans="1:5" ht="15.6">
      <c r="A324">
        <v>269</v>
      </c>
      <c r="B324" s="166">
        <v>79.349801916452137</v>
      </c>
      <c r="D324" s="39"/>
      <c r="E324" s="39"/>
    </row>
    <row r="325" spans="1:5" ht="15.6">
      <c r="A325">
        <v>270</v>
      </c>
      <c r="B325" s="166">
        <v>83.004676035856448</v>
      </c>
      <c r="D325" s="39"/>
      <c r="E325" s="39"/>
    </row>
    <row r="326" spans="1:5" ht="15.6">
      <c r="A326">
        <v>271</v>
      </c>
      <c r="B326" s="166">
        <v>64.936292946946892</v>
      </c>
      <c r="D326" s="39"/>
      <c r="E326" s="39"/>
    </row>
    <row r="327" spans="1:5" ht="15.6">
      <c r="A327">
        <v>272</v>
      </c>
      <c r="B327" s="166">
        <v>70.469065548531248</v>
      </c>
      <c r="D327" s="39"/>
      <c r="E327" s="39"/>
    </row>
    <row r="328" spans="1:5" ht="15.6">
      <c r="A328">
        <v>273</v>
      </c>
      <c r="B328" s="166">
        <v>91.480294310322449</v>
      </c>
      <c r="D328" s="39"/>
      <c r="E328" s="39"/>
    </row>
    <row r="329" spans="1:5" ht="15.6">
      <c r="A329">
        <v>274</v>
      </c>
      <c r="B329" s="166">
        <v>105.47204275761624</v>
      </c>
      <c r="D329" s="39"/>
      <c r="E329" s="39"/>
    </row>
    <row r="330" spans="1:5" ht="15.6">
      <c r="A330">
        <v>275</v>
      </c>
      <c r="B330" s="166">
        <v>71.876359071550823</v>
      </c>
      <c r="D330" s="39"/>
      <c r="E330" s="39"/>
    </row>
    <row r="331" spans="1:5" ht="15.6">
      <c r="A331">
        <v>276</v>
      </c>
      <c r="B331" s="166">
        <v>100.00707388832785</v>
      </c>
      <c r="D331" s="39"/>
      <c r="E331" s="39"/>
    </row>
    <row r="332" spans="1:5" ht="15.6">
      <c r="A332">
        <v>277</v>
      </c>
      <c r="B332" s="166">
        <v>87.284464514866073</v>
      </c>
      <c r="D332" s="39"/>
      <c r="E332" s="39"/>
    </row>
    <row r="333" spans="1:5" ht="15.6">
      <c r="A333">
        <v>278</v>
      </c>
      <c r="B333" s="166">
        <v>104.3478382962095</v>
      </c>
      <c r="D333" s="39"/>
      <c r="E333" s="39"/>
    </row>
    <row r="334" spans="1:5" ht="15.6">
      <c r="A334">
        <v>279</v>
      </c>
      <c r="B334" s="166">
        <v>63.710867519352618</v>
      </c>
      <c r="D334" s="39"/>
      <c r="E334" s="39"/>
    </row>
    <row r="335" spans="1:5" ht="15.6">
      <c r="A335">
        <v>280</v>
      </c>
      <c r="B335" s="166">
        <v>137.2843734153011</v>
      </c>
      <c r="D335" s="39"/>
      <c r="E335" s="39"/>
    </row>
    <row r="336" spans="1:5" ht="15.6">
      <c r="A336">
        <v>281</v>
      </c>
      <c r="B336" s="166">
        <v>94.012871277689726</v>
      </c>
      <c r="D336" s="39"/>
      <c r="E336" s="39"/>
    </row>
    <row r="337" spans="1:5" ht="15.6">
      <c r="A337">
        <v>282</v>
      </c>
      <c r="B337" s="166">
        <v>126.9246128825574</v>
      </c>
      <c r="D337" s="39"/>
      <c r="E337" s="39"/>
    </row>
    <row r="338" spans="1:5" ht="15.6">
      <c r="A338">
        <v>283</v>
      </c>
      <c r="B338" s="166">
        <v>117.36073729932461</v>
      </c>
      <c r="D338" s="39"/>
      <c r="E338" s="39"/>
    </row>
    <row r="339" spans="1:5" ht="15.6">
      <c r="A339">
        <v>284</v>
      </c>
      <c r="B339" s="166">
        <v>147.95829960967433</v>
      </c>
      <c r="D339" s="39"/>
      <c r="E339" s="39"/>
    </row>
    <row r="340" spans="1:5" ht="15.6">
      <c r="A340">
        <v>285</v>
      </c>
      <c r="B340" s="166">
        <v>119.78696415586575</v>
      </c>
      <c r="D340" s="39"/>
      <c r="E340" s="39"/>
    </row>
    <row r="341" spans="1:5" ht="15.6">
      <c r="A341">
        <v>286</v>
      </c>
      <c r="B341" s="166">
        <v>170.97852466056733</v>
      </c>
      <c r="D341" s="39"/>
      <c r="E341" s="39"/>
    </row>
    <row r="342" spans="1:5" ht="15.6">
      <c r="A342">
        <v>287</v>
      </c>
      <c r="B342" s="166">
        <v>123.66347074489032</v>
      </c>
      <c r="D342" s="39"/>
      <c r="E342" s="39"/>
    </row>
    <row r="343" spans="1:5" ht="15.6">
      <c r="A343">
        <v>288</v>
      </c>
      <c r="B343" s="166">
        <v>192.9552021283875</v>
      </c>
      <c r="D343" s="39"/>
      <c r="E343" s="39"/>
    </row>
    <row r="344" spans="1:5" ht="15.6">
      <c r="A344">
        <v>289</v>
      </c>
      <c r="B344" s="166">
        <v>110.85215191071018</v>
      </c>
      <c r="D344" s="39"/>
      <c r="E344" s="39"/>
    </row>
    <row r="345" spans="1:5" ht="15.6">
      <c r="A345">
        <v>290</v>
      </c>
      <c r="B345" s="166">
        <v>127.16384529257715</v>
      </c>
      <c r="D345" s="39"/>
      <c r="E345" s="39"/>
    </row>
    <row r="346" spans="1:5" ht="15.6">
      <c r="A346">
        <v>291</v>
      </c>
      <c r="B346" s="166">
        <v>112.87839148489608</v>
      </c>
      <c r="D346" s="39"/>
      <c r="E346" s="39"/>
    </row>
    <row r="347" spans="1:5" ht="15.6">
      <c r="A347">
        <v>292</v>
      </c>
      <c r="B347" s="166">
        <v>48.495640879384936</v>
      </c>
      <c r="D347" s="39"/>
      <c r="E347" s="39"/>
    </row>
    <row r="348" spans="1:5" ht="15.6">
      <c r="A348">
        <v>293</v>
      </c>
      <c r="B348" s="166">
        <v>71.74010070955427</v>
      </c>
      <c r="D348" s="39"/>
      <c r="E348" s="39"/>
    </row>
    <row r="349" spans="1:5" ht="15.6">
      <c r="A349">
        <v>294</v>
      </c>
      <c r="B349" s="166">
        <v>136.29469852759397</v>
      </c>
      <c r="D349" s="39"/>
      <c r="E349" s="39"/>
    </row>
    <row r="350" spans="1:5" ht="15.6">
      <c r="A350">
        <v>295</v>
      </c>
      <c r="B350" s="166">
        <v>83.91526829748355</v>
      </c>
      <c r="D350" s="39"/>
      <c r="E350" s="39"/>
    </row>
    <row r="351" spans="1:5" ht="15.6">
      <c r="A351">
        <v>296</v>
      </c>
      <c r="B351" s="166">
        <v>62.854671034997303</v>
      </c>
      <c r="D351" s="39"/>
      <c r="E351" s="39"/>
    </row>
    <row r="352" spans="1:5" ht="15.6">
      <c r="A352">
        <v>297</v>
      </c>
      <c r="B352" s="166">
        <v>88.178343288938947</v>
      </c>
      <c r="D352" s="39"/>
      <c r="E352" s="39"/>
    </row>
    <row r="353" spans="1:5" ht="15.6">
      <c r="A353">
        <v>298</v>
      </c>
      <c r="B353" s="166">
        <v>109.66557839617026</v>
      </c>
      <c r="D353" s="39"/>
      <c r="E353" s="39"/>
    </row>
    <row r="354" spans="1:5" ht="15.6">
      <c r="A354">
        <v>299</v>
      </c>
      <c r="B354" s="166">
        <v>92.002683510947591</v>
      </c>
      <c r="D354" s="39"/>
      <c r="E354" s="39"/>
    </row>
    <row r="355" spans="1:5" ht="15.6">
      <c r="A355">
        <v>300</v>
      </c>
      <c r="B355" s="166">
        <v>78.833990955594999</v>
      </c>
      <c r="D355" s="39"/>
      <c r="E355" s="39"/>
    </row>
    <row r="356" spans="1:5" ht="15.6">
      <c r="A356">
        <v>301</v>
      </c>
      <c r="B356" s="166">
        <v>119.33160193999043</v>
      </c>
      <c r="D356" s="39"/>
      <c r="E356" s="39"/>
    </row>
    <row r="357" spans="1:5" ht="15.6">
      <c r="A357">
        <v>302</v>
      </c>
      <c r="B357" s="166">
        <v>99.106388843818706</v>
      </c>
      <c r="D357" s="39"/>
      <c r="E357" s="39"/>
    </row>
    <row r="358" spans="1:5" ht="15.6">
      <c r="A358">
        <v>303</v>
      </c>
      <c r="B358" s="166">
        <v>86.106804183920858</v>
      </c>
      <c r="D358" s="39"/>
      <c r="E358" s="39"/>
    </row>
    <row r="359" spans="1:5" ht="15.6">
      <c r="A359">
        <v>304</v>
      </c>
      <c r="B359" s="166">
        <v>136.18043768921828</v>
      </c>
      <c r="D359" s="39"/>
      <c r="E359" s="39"/>
    </row>
    <row r="360" spans="1:5" ht="15.6">
      <c r="A360">
        <v>305</v>
      </c>
      <c r="B360" s="166">
        <v>157.60553459252168</v>
      </c>
      <c r="D360" s="39"/>
      <c r="E360" s="39"/>
    </row>
    <row r="361" spans="1:5" ht="15.6">
      <c r="A361">
        <v>306</v>
      </c>
      <c r="B361" s="166">
        <v>89.50610173663145</v>
      </c>
      <c r="D361" s="39"/>
      <c r="E361" s="39"/>
    </row>
    <row r="362" spans="1:5" ht="15.6">
      <c r="A362">
        <v>307</v>
      </c>
      <c r="B362" s="166">
        <v>58.097095956433606</v>
      </c>
      <c r="D362" s="39"/>
      <c r="E362" s="39"/>
    </row>
    <row r="363" spans="1:5" ht="15.6">
      <c r="A363">
        <v>308</v>
      </c>
      <c r="B363" s="166">
        <v>154.71461675079576</v>
      </c>
      <c r="D363" s="39"/>
      <c r="E363" s="39"/>
    </row>
    <row r="364" spans="1:5" ht="15.6">
      <c r="A364">
        <v>309</v>
      </c>
      <c r="B364" s="166">
        <v>143.07613044976031</v>
      </c>
      <c r="D364" s="39"/>
      <c r="E364" s="39"/>
    </row>
    <row r="365" spans="1:5" ht="15.6">
      <c r="A365">
        <v>310</v>
      </c>
      <c r="B365" s="166">
        <v>158.96587610673089</v>
      </c>
      <c r="D365" s="39"/>
      <c r="E365" s="39"/>
    </row>
    <row r="366" spans="1:5" ht="15.6">
      <c r="A366">
        <v>311</v>
      </c>
      <c r="B366" s="166">
        <v>163.37140255215891</v>
      </c>
      <c r="D366" s="39"/>
      <c r="E366" s="39"/>
    </row>
    <row r="367" spans="1:5" ht="15.6">
      <c r="A367">
        <v>312</v>
      </c>
      <c r="B367" s="166">
        <v>104.26407748504172</v>
      </c>
      <c r="D367" s="39"/>
      <c r="E367" s="39"/>
    </row>
    <row r="368" spans="1:5" ht="15.6">
      <c r="A368">
        <v>313</v>
      </c>
      <c r="B368" s="166">
        <v>77.537648826191415</v>
      </c>
      <c r="D368" s="39"/>
      <c r="E368" s="39"/>
    </row>
    <row r="369" spans="1:5" ht="15.6">
      <c r="A369">
        <v>314</v>
      </c>
      <c r="B369" s="166">
        <v>108.03799119908557</v>
      </c>
      <c r="D369" s="39"/>
      <c r="E369" s="39"/>
    </row>
    <row r="370" spans="1:5" ht="15.6">
      <c r="A370">
        <v>315</v>
      </c>
      <c r="B370" s="166">
        <v>104.35694691918214</v>
      </c>
      <c r="D370" s="39"/>
      <c r="E370" s="39"/>
    </row>
    <row r="371" spans="1:5" ht="15.6">
      <c r="A371">
        <v>316</v>
      </c>
      <c r="B371" s="166">
        <v>90.899364541395713</v>
      </c>
      <c r="D371" s="39"/>
      <c r="E371" s="39"/>
    </row>
    <row r="372" spans="1:5" ht="15.6">
      <c r="A372">
        <v>317</v>
      </c>
      <c r="B372" s="166">
        <v>159.50457664208204</v>
      </c>
      <c r="D372" s="39"/>
      <c r="E372" s="39"/>
    </row>
    <row r="373" spans="1:5" ht="15.6">
      <c r="A373">
        <v>318</v>
      </c>
      <c r="B373" s="166">
        <v>88.741549659165713</v>
      </c>
      <c r="D373" s="39"/>
      <c r="E373" s="39"/>
    </row>
    <row r="374" spans="1:5" ht="15.6">
      <c r="A374">
        <v>319</v>
      </c>
      <c r="B374" s="166">
        <v>64.273988175985593</v>
      </c>
      <c r="D374" s="39"/>
      <c r="E374" s="39"/>
    </row>
    <row r="375" spans="1:5" ht="15.6">
      <c r="A375">
        <v>320</v>
      </c>
      <c r="B375" s="166">
        <v>100.79749307525022</v>
      </c>
      <c r="D375" s="39"/>
      <c r="E375" s="39"/>
    </row>
    <row r="376" spans="1:5" ht="15.6">
      <c r="A376">
        <v>321</v>
      </c>
      <c r="B376" s="166">
        <v>92.770393924707477</v>
      </c>
      <c r="D376" s="39"/>
      <c r="E376" s="39"/>
    </row>
    <row r="377" spans="1:5" ht="15.6">
      <c r="A377">
        <v>322</v>
      </c>
      <c r="B377" s="166">
        <v>153.46679011554144</v>
      </c>
      <c r="D377" s="39"/>
      <c r="E377" s="39"/>
    </row>
    <row r="378" spans="1:5" ht="15.6">
      <c r="A378">
        <v>323</v>
      </c>
      <c r="B378" s="166">
        <v>98.387157430821034</v>
      </c>
      <c r="D378" s="39"/>
      <c r="E378" s="39"/>
    </row>
    <row r="379" spans="1:5" ht="15.6">
      <c r="A379">
        <v>324</v>
      </c>
      <c r="B379" s="166">
        <v>85.366283998441233</v>
      </c>
      <c r="D379" s="39"/>
      <c r="E379" s="39"/>
    </row>
    <row r="380" spans="1:5" ht="15.6">
      <c r="A380">
        <v>325</v>
      </c>
      <c r="B380" s="166">
        <v>182.66136602124217</v>
      </c>
      <c r="D380" s="39"/>
      <c r="E380" s="39"/>
    </row>
    <row r="381" spans="1:5" ht="15.6">
      <c r="A381">
        <v>326</v>
      </c>
      <c r="B381" s="166">
        <v>119.28852600547739</v>
      </c>
      <c r="D381" s="39"/>
      <c r="E381" s="39"/>
    </row>
    <row r="382" spans="1:5" ht="15.6">
      <c r="A382">
        <v>327</v>
      </c>
      <c r="B382" s="166">
        <v>114.21044130940673</v>
      </c>
      <c r="D382" s="39"/>
      <c r="E382" s="39"/>
    </row>
    <row r="383" spans="1:5" ht="15.6">
      <c r="A383">
        <v>328</v>
      </c>
      <c r="B383" s="166">
        <v>88.656716276418322</v>
      </c>
      <c r="D383" s="39"/>
      <c r="E383" s="39"/>
    </row>
    <row r="384" spans="1:5" ht="15.6">
      <c r="A384">
        <v>329</v>
      </c>
      <c r="B384" s="166">
        <v>106.62660721844563</v>
      </c>
      <c r="D384" s="39"/>
      <c r="E384" s="39"/>
    </row>
    <row r="385" spans="1:5" ht="15.6">
      <c r="A385">
        <v>330</v>
      </c>
      <c r="B385" s="166">
        <v>60.071367490130996</v>
      </c>
      <c r="D385" s="39"/>
      <c r="E385" s="39"/>
    </row>
    <row r="386" spans="1:5" ht="15.6">
      <c r="A386">
        <v>331</v>
      </c>
      <c r="B386" s="166">
        <v>89.214007330055182</v>
      </c>
      <c r="D386" s="39"/>
      <c r="E386" s="39"/>
    </row>
    <row r="387" spans="1:5" ht="15.6">
      <c r="A387">
        <v>332</v>
      </c>
      <c r="B387" s="166">
        <v>161.39060086850094</v>
      </c>
      <c r="D387" s="39"/>
      <c r="E387" s="39"/>
    </row>
    <row r="388" spans="1:5" ht="15.6">
      <c r="A388">
        <v>333</v>
      </c>
      <c r="B388" s="166">
        <v>76.829139123459015</v>
      </c>
      <c r="D388" s="39"/>
      <c r="E388" s="39"/>
    </row>
    <row r="389" spans="1:5" ht="15.6">
      <c r="A389">
        <v>334</v>
      </c>
      <c r="B389" s="166">
        <v>152.33974476173779</v>
      </c>
      <c r="D389" s="39"/>
      <c r="E389" s="39"/>
    </row>
    <row r="390" spans="1:5" ht="15.6">
      <c r="A390">
        <v>335</v>
      </c>
      <c r="B390" s="166">
        <v>84.192813100147106</v>
      </c>
      <c r="D390" s="39"/>
      <c r="E390" s="39"/>
    </row>
    <row r="391" spans="1:5" ht="15.6">
      <c r="A391">
        <v>336</v>
      </c>
      <c r="B391" s="166">
        <v>91.270458186036933</v>
      </c>
      <c r="D391" s="39"/>
      <c r="E391" s="39"/>
    </row>
    <row r="392" spans="1:5" ht="15.6">
      <c r="A392">
        <v>337</v>
      </c>
      <c r="B392" s="166">
        <v>140.681075339041</v>
      </c>
      <c r="D392" s="39"/>
      <c r="E392" s="39"/>
    </row>
    <row r="393" spans="1:5" ht="15.6">
      <c r="A393">
        <v>338</v>
      </c>
      <c r="B393" s="166">
        <v>88.934292199288649</v>
      </c>
      <c r="D393" s="39"/>
      <c r="E393" s="39"/>
    </row>
    <row r="394" spans="1:5" ht="15.6">
      <c r="A394">
        <v>339</v>
      </c>
      <c r="B394" s="166">
        <v>102.74442884118558</v>
      </c>
      <c r="D394" s="39"/>
      <c r="E394" s="39"/>
    </row>
    <row r="395" spans="1:5" ht="15.6">
      <c r="A395">
        <v>340</v>
      </c>
      <c r="B395" s="166">
        <v>77.611333413716437</v>
      </c>
      <c r="D395" s="39"/>
      <c r="E395" s="39"/>
    </row>
    <row r="396" spans="1:5" ht="15.6">
      <c r="A396">
        <v>341</v>
      </c>
      <c r="B396" s="166">
        <v>84.493379705569765</v>
      </c>
      <c r="D396" s="39"/>
      <c r="E396" s="39"/>
    </row>
    <row r="397" spans="1:5" ht="15.6">
      <c r="A397">
        <v>342</v>
      </c>
      <c r="B397" s="166">
        <v>167.60639000814851</v>
      </c>
      <c r="D397" s="39"/>
      <c r="E397" s="39"/>
    </row>
    <row r="398" spans="1:5" ht="15.6">
      <c r="A398">
        <v>343</v>
      </c>
      <c r="B398" s="166">
        <v>118.48475052232683</v>
      </c>
      <c r="D398" s="39"/>
      <c r="E398" s="39"/>
    </row>
    <row r="399" spans="1:5" ht="15.6">
      <c r="A399">
        <v>344</v>
      </c>
      <c r="B399" s="166">
        <v>123.2895834527847</v>
      </c>
      <c r="D399" s="39"/>
      <c r="E399" s="39"/>
    </row>
    <row r="400" spans="1:5" ht="15.6">
      <c r="A400">
        <v>345</v>
      </c>
      <c r="B400" s="166">
        <v>167.22861038916616</v>
      </c>
      <c r="D400" s="39"/>
      <c r="E400" s="39"/>
    </row>
    <row r="401" spans="1:5" ht="15.6">
      <c r="A401">
        <v>346</v>
      </c>
      <c r="B401" s="166">
        <v>83.725263384022753</v>
      </c>
      <c r="D401" s="39"/>
      <c r="E401" s="39"/>
    </row>
    <row r="402" spans="1:5" ht="15.6">
      <c r="A402">
        <v>347</v>
      </c>
      <c r="B402" s="166">
        <v>81.277284878401602</v>
      </c>
      <c r="D402" s="39"/>
      <c r="E402" s="39"/>
    </row>
    <row r="403" spans="1:5" ht="15.6">
      <c r="A403">
        <v>348</v>
      </c>
      <c r="B403" s="166">
        <v>90.231102634952606</v>
      </c>
      <c r="D403" s="39"/>
      <c r="E403" s="39"/>
    </row>
    <row r="404" spans="1:5" ht="15.6">
      <c r="A404">
        <v>349</v>
      </c>
      <c r="B404" s="166">
        <v>164.34813897079172</v>
      </c>
      <c r="D404" s="39"/>
      <c r="E404" s="39"/>
    </row>
    <row r="405" spans="1:5" ht="15.6">
      <c r="A405">
        <v>350</v>
      </c>
      <c r="B405" s="166">
        <v>81.424961402663925</v>
      </c>
      <c r="D405" s="39"/>
      <c r="E405" s="39"/>
    </row>
    <row r="406" spans="1:5" ht="15.6">
      <c r="A406">
        <v>351</v>
      </c>
      <c r="B406" s="166">
        <v>116.1567638781937</v>
      </c>
      <c r="D406" s="39"/>
      <c r="E406" s="39"/>
    </row>
    <row r="407" spans="1:5" ht="15.6">
      <c r="A407">
        <v>352</v>
      </c>
      <c r="B407" s="166">
        <v>100.25255668797367</v>
      </c>
      <c r="D407" s="39"/>
      <c r="E407" s="39"/>
    </row>
    <row r="408" spans="1:5" ht="15.6">
      <c r="A408">
        <v>353</v>
      </c>
      <c r="B408" s="166">
        <v>104.59222146768144</v>
      </c>
      <c r="D408" s="39"/>
      <c r="E408" s="39"/>
    </row>
    <row r="409" spans="1:5" ht="15.6">
      <c r="A409">
        <v>354</v>
      </c>
      <c r="B409" s="166">
        <v>77.363811419758918</v>
      </c>
      <c r="D409" s="39"/>
      <c r="E409" s="39"/>
    </row>
    <row r="410" spans="1:5" ht="15.6">
      <c r="A410">
        <v>355</v>
      </c>
      <c r="B410" s="166">
        <v>71.285783809489701</v>
      </c>
      <c r="D410" s="39"/>
      <c r="E410" s="39"/>
    </row>
    <row r="411" spans="1:5" ht="15.6">
      <c r="A411">
        <v>356</v>
      </c>
      <c r="B411" s="166">
        <v>175.84741337100209</v>
      </c>
      <c r="D411" s="39"/>
      <c r="E411" s="39"/>
    </row>
    <row r="412" spans="1:5" ht="15.6">
      <c r="A412">
        <v>357</v>
      </c>
      <c r="B412" s="166">
        <v>54.539237792207174</v>
      </c>
      <c r="D412" s="39"/>
      <c r="E412" s="39"/>
    </row>
    <row r="413" spans="1:5" ht="15.6">
      <c r="A413">
        <v>358</v>
      </c>
      <c r="B413" s="166">
        <v>205.63485535819444</v>
      </c>
      <c r="D413" s="39"/>
      <c r="E413" s="39"/>
    </row>
    <row r="414" spans="1:5" ht="15.6">
      <c r="A414">
        <v>359</v>
      </c>
      <c r="B414" s="166">
        <v>109.90565785019213</v>
      </c>
      <c r="D414" s="39"/>
      <c r="E414" s="39"/>
    </row>
    <row r="415" spans="1:5" ht="15.6">
      <c r="A415">
        <v>360</v>
      </c>
      <c r="B415" s="166">
        <v>161.81237734068299</v>
      </c>
      <c r="D415" s="39"/>
      <c r="E415" s="39"/>
    </row>
    <row r="416" spans="1:5" ht="15.6">
      <c r="A416">
        <v>361</v>
      </c>
      <c r="B416" s="166">
        <v>172.68001037162716</v>
      </c>
      <c r="D416" s="39"/>
      <c r="E416" s="39"/>
    </row>
    <row r="417" spans="1:5" ht="15.6">
      <c r="A417">
        <v>362</v>
      </c>
      <c r="B417" s="166">
        <v>123.51283714429728</v>
      </c>
      <c r="D417" s="39"/>
      <c r="E417" s="39"/>
    </row>
    <row r="418" spans="1:5" ht="15.6">
      <c r="A418">
        <v>363</v>
      </c>
      <c r="B418" s="166">
        <v>123.20795829658528</v>
      </c>
      <c r="D418" s="39"/>
      <c r="E418" s="39"/>
    </row>
    <row r="419" spans="1:5" ht="15.6">
      <c r="A419">
        <v>364</v>
      </c>
      <c r="B419" s="166">
        <v>64.701906047325579</v>
      </c>
      <c r="D419" s="39"/>
      <c r="E419" s="39"/>
    </row>
    <row r="420" spans="1:5" ht="15.6">
      <c r="A420">
        <v>365</v>
      </c>
      <c r="B420" s="166">
        <v>99.16458978263644</v>
      </c>
      <c r="D420" s="39"/>
      <c r="E420" s="39"/>
    </row>
    <row r="421" spans="1:5" ht="15.6">
      <c r="A421">
        <v>366</v>
      </c>
      <c r="B421" s="166">
        <v>157.38302995258641</v>
      </c>
      <c r="D421" s="39"/>
      <c r="E421" s="39"/>
    </row>
    <row r="422" spans="1:5" ht="15.6">
      <c r="A422">
        <v>367</v>
      </c>
      <c r="B422" s="166">
        <v>118.68092325336029</v>
      </c>
      <c r="D422" s="39"/>
      <c r="E422" s="39"/>
    </row>
    <row r="423" spans="1:5" ht="15.6">
      <c r="A423">
        <v>368</v>
      </c>
      <c r="B423" s="166">
        <v>52.038354896650233</v>
      </c>
      <c r="D423" s="39"/>
      <c r="E423" s="39"/>
    </row>
    <row r="424" spans="1:5" ht="15.6">
      <c r="A424">
        <v>369</v>
      </c>
      <c r="B424" s="166">
        <v>160.8638430085991</v>
      </c>
      <c r="D424" s="39"/>
      <c r="E424" s="39"/>
    </row>
    <row r="425" spans="1:5" ht="15.6">
      <c r="A425">
        <v>370</v>
      </c>
      <c r="B425" s="166">
        <v>84.017964006387629</v>
      </c>
      <c r="D425" s="39"/>
      <c r="E425" s="39"/>
    </row>
    <row r="426" spans="1:5" ht="15.6">
      <c r="A426">
        <v>371</v>
      </c>
      <c r="B426" s="166">
        <v>60.307689015614301</v>
      </c>
      <c r="D426" s="39"/>
      <c r="E426" s="39"/>
    </row>
    <row r="427" spans="1:5" ht="15.6">
      <c r="A427">
        <v>372</v>
      </c>
      <c r="B427" s="166">
        <v>114.50475974845125</v>
      </c>
      <c r="D427" s="39"/>
      <c r="E427" s="39"/>
    </row>
    <row r="428" spans="1:5" ht="15.6">
      <c r="A428">
        <v>373</v>
      </c>
      <c r="B428" s="166">
        <v>128.77925658399019</v>
      </c>
      <c r="D428" s="39"/>
      <c r="E428" s="39"/>
    </row>
    <row r="429" spans="1:5" ht="15.6">
      <c r="A429">
        <v>374</v>
      </c>
      <c r="B429" s="166">
        <v>190.14340951935935</v>
      </c>
      <c r="D429" s="39"/>
      <c r="E429" s="39"/>
    </row>
    <row r="430" spans="1:5" ht="15.6">
      <c r="A430">
        <v>375</v>
      </c>
      <c r="B430" s="166">
        <v>185.50206729862242</v>
      </c>
      <c r="D430" s="39"/>
      <c r="E430" s="39"/>
    </row>
    <row r="431" spans="1:5" ht="15.6">
      <c r="A431">
        <v>376</v>
      </c>
      <c r="B431" s="166">
        <v>116.15114090601352</v>
      </c>
      <c r="D431" s="39"/>
      <c r="E431" s="39"/>
    </row>
    <row r="432" spans="1:5" ht="15.6">
      <c r="A432">
        <v>377</v>
      </c>
      <c r="B432" s="166">
        <v>133.60552180211033</v>
      </c>
      <c r="D432" s="39"/>
      <c r="E432" s="39"/>
    </row>
    <row r="433" spans="1:5" ht="15.6">
      <c r="A433">
        <v>378</v>
      </c>
      <c r="B433" s="166">
        <v>79.571233866904961</v>
      </c>
      <c r="D433" s="39"/>
      <c r="E433" s="39"/>
    </row>
    <row r="434" spans="1:5" ht="15.6">
      <c r="A434">
        <v>379</v>
      </c>
      <c r="B434" s="166">
        <v>70.040915234831914</v>
      </c>
      <c r="D434" s="39"/>
      <c r="E434" s="39"/>
    </row>
    <row r="435" spans="1:5" ht="15.6">
      <c r="A435">
        <v>380</v>
      </c>
      <c r="B435" s="166">
        <v>49.577635174638083</v>
      </c>
      <c r="D435" s="39"/>
      <c r="E435" s="39"/>
    </row>
    <row r="436" spans="1:5" ht="15.6">
      <c r="A436">
        <v>381</v>
      </c>
      <c r="B436" s="166">
        <v>169.51362468328367</v>
      </c>
      <c r="D436" s="39"/>
      <c r="E436" s="39"/>
    </row>
    <row r="437" spans="1:5" ht="15.6">
      <c r="A437">
        <v>382</v>
      </c>
      <c r="B437" s="166">
        <v>142.33605427745184</v>
      </c>
      <c r="D437" s="39"/>
      <c r="E437" s="39"/>
    </row>
    <row r="438" spans="1:5" ht="15.6">
      <c r="A438">
        <v>383</v>
      </c>
      <c r="B438" s="166">
        <v>83.303349682809213</v>
      </c>
      <c r="D438" s="39"/>
      <c r="E438" s="39"/>
    </row>
    <row r="439" spans="1:5" ht="15.6">
      <c r="A439">
        <v>384</v>
      </c>
      <c r="B439" s="166">
        <v>94.848564308292083</v>
      </c>
      <c r="D439" s="39"/>
      <c r="E439" s="39"/>
    </row>
    <row r="440" spans="1:5" ht="15.6">
      <c r="A440">
        <v>385</v>
      </c>
      <c r="B440" s="166">
        <v>84.580799659966885</v>
      </c>
      <c r="D440" s="39"/>
      <c r="E440" s="39"/>
    </row>
    <row r="441" spans="1:5" ht="15.6">
      <c r="A441">
        <v>386</v>
      </c>
      <c r="B441" s="166">
        <v>164.27397938176341</v>
      </c>
      <c r="D441" s="39"/>
      <c r="E441" s="39"/>
    </row>
    <row r="442" spans="1:5" ht="15.6">
      <c r="A442">
        <v>387</v>
      </c>
      <c r="B442" s="166">
        <v>75.181490413770831</v>
      </c>
      <c r="D442" s="39"/>
      <c r="E442" s="39"/>
    </row>
    <row r="443" spans="1:5" ht="15.6">
      <c r="A443">
        <v>388</v>
      </c>
      <c r="B443" s="166">
        <v>100.84852453542196</v>
      </c>
      <c r="D443" s="39"/>
      <c r="E443" s="39"/>
    </row>
    <row r="444" spans="1:5" ht="15.6">
      <c r="A444">
        <v>389</v>
      </c>
      <c r="B444" s="166">
        <v>140.34082190282507</v>
      </c>
      <c r="D444" s="39"/>
      <c r="E444" s="39"/>
    </row>
    <row r="445" spans="1:5" ht="15.6">
      <c r="A445">
        <v>390</v>
      </c>
      <c r="B445" s="166">
        <v>57.983300343098648</v>
      </c>
      <c r="D445" s="39"/>
      <c r="E445" s="39"/>
    </row>
    <row r="446" spans="1:5" ht="15.6">
      <c r="A446">
        <v>391</v>
      </c>
      <c r="B446" s="166">
        <v>234.55888583581188</v>
      </c>
      <c r="D446" s="39"/>
      <c r="E446" s="39"/>
    </row>
    <row r="447" spans="1:5" ht="15.6">
      <c r="A447">
        <v>392</v>
      </c>
      <c r="B447" s="166">
        <v>81.895201351070654</v>
      </c>
      <c r="D447" s="39"/>
      <c r="E447" s="39"/>
    </row>
    <row r="448" spans="1:5" ht="15.6">
      <c r="A448">
        <v>393</v>
      </c>
      <c r="B448" s="166">
        <v>79.269619493978311</v>
      </c>
      <c r="D448" s="39"/>
      <c r="E448" s="39"/>
    </row>
    <row r="449" spans="1:5" ht="15.6">
      <c r="A449">
        <v>394</v>
      </c>
      <c r="B449" s="166">
        <v>181.50970097003096</v>
      </c>
      <c r="D449" s="39"/>
      <c r="E449" s="39"/>
    </row>
    <row r="450" spans="1:5" ht="15.6">
      <c r="A450">
        <v>395</v>
      </c>
      <c r="B450" s="166">
        <v>146.89553753271821</v>
      </c>
      <c r="D450" s="39"/>
      <c r="E450" s="39"/>
    </row>
    <row r="451" spans="1:5" ht="15.6">
      <c r="A451">
        <v>396</v>
      </c>
      <c r="B451" s="166">
        <v>82.279210713618824</v>
      </c>
      <c r="D451" s="39"/>
      <c r="E451" s="39"/>
    </row>
    <row r="452" spans="1:5" ht="15.6">
      <c r="A452">
        <v>397</v>
      </c>
      <c r="B452" s="166">
        <v>120.9934571973741</v>
      </c>
      <c r="D452" s="39"/>
      <c r="E452" s="39"/>
    </row>
    <row r="453" spans="1:5" ht="15.6">
      <c r="A453">
        <v>398</v>
      </c>
      <c r="B453" s="166">
        <v>63.567616295684594</v>
      </c>
      <c r="D453" s="39"/>
      <c r="E453" s="39"/>
    </row>
    <row r="454" spans="1:5" ht="15.6">
      <c r="A454">
        <v>399</v>
      </c>
      <c r="B454" s="166">
        <v>145.82996601956967</v>
      </c>
      <c r="D454" s="39"/>
      <c r="E454" s="39"/>
    </row>
    <row r="455" spans="1:5" ht="15.6">
      <c r="A455">
        <v>400</v>
      </c>
      <c r="B455" s="166">
        <v>129.83309756997699</v>
      </c>
      <c r="D455" s="39"/>
      <c r="E455" s="39"/>
    </row>
    <row r="456" spans="1:5" ht="15.6">
      <c r="A456">
        <v>401</v>
      </c>
      <c r="B456" s="166">
        <v>143.88363322387301</v>
      </c>
      <c r="D456" s="39"/>
      <c r="E456" s="39"/>
    </row>
    <row r="457" spans="1:5" ht="15.6">
      <c r="A457">
        <v>402</v>
      </c>
      <c r="B457" s="166">
        <v>81.302155294154659</v>
      </c>
      <c r="D457" s="39"/>
      <c r="E457" s="39"/>
    </row>
    <row r="458" spans="1:5" ht="15.6">
      <c r="A458">
        <v>403</v>
      </c>
      <c r="B458" s="166">
        <v>117.3007042894625</v>
      </c>
      <c r="D458" s="39"/>
      <c r="E458" s="39"/>
    </row>
    <row r="459" spans="1:5" ht="15.6">
      <c r="A459">
        <v>404</v>
      </c>
      <c r="B459" s="166">
        <v>121.17079624077327</v>
      </c>
      <c r="D459" s="39"/>
      <c r="E459" s="39"/>
    </row>
    <row r="460" spans="1:5" ht="15.6">
      <c r="A460">
        <v>405</v>
      </c>
      <c r="B460" s="166">
        <v>98.622445347395001</v>
      </c>
      <c r="D460" s="39"/>
      <c r="E460" s="39"/>
    </row>
    <row r="461" spans="1:5" ht="15.6">
      <c r="A461">
        <v>406</v>
      </c>
      <c r="B461" s="166">
        <v>113.78142611100139</v>
      </c>
      <c r="D461" s="39"/>
      <c r="E461" s="39"/>
    </row>
    <row r="462" spans="1:5" ht="15.6">
      <c r="A462">
        <v>407</v>
      </c>
      <c r="B462" s="166">
        <v>103.96418224877456</v>
      </c>
      <c r="D462" s="39"/>
      <c r="E462" s="39"/>
    </row>
    <row r="463" spans="1:5" ht="15.6">
      <c r="A463">
        <v>408</v>
      </c>
      <c r="B463" s="166">
        <v>177.80551170609627</v>
      </c>
      <c r="D463" s="39"/>
      <c r="E463" s="39"/>
    </row>
    <row r="464" spans="1:5" ht="15.6">
      <c r="A464">
        <v>409</v>
      </c>
      <c r="B464" s="166">
        <v>97.213010348199447</v>
      </c>
      <c r="D464" s="39"/>
      <c r="E464" s="39"/>
    </row>
    <row r="465" spans="1:5" ht="15.6">
      <c r="A465">
        <v>410</v>
      </c>
      <c r="B465" s="166">
        <v>120.72189424088528</v>
      </c>
      <c r="D465" s="39"/>
      <c r="E465" s="39"/>
    </row>
    <row r="466" spans="1:5" ht="15.6">
      <c r="A466">
        <v>411</v>
      </c>
      <c r="B466" s="166">
        <v>72.953084059477746</v>
      </c>
      <c r="D466" s="39"/>
      <c r="E466" s="39"/>
    </row>
    <row r="467" spans="1:5" ht="15.6">
      <c r="A467">
        <v>412</v>
      </c>
      <c r="B467" s="166">
        <v>74.801699444103193</v>
      </c>
      <c r="D467" s="39"/>
      <c r="E467" s="39"/>
    </row>
    <row r="468" spans="1:5" ht="15.6">
      <c r="A468">
        <v>413</v>
      </c>
      <c r="B468" s="166">
        <v>102.05914413865359</v>
      </c>
      <c r="D468" s="39"/>
      <c r="E468" s="39"/>
    </row>
    <row r="469" spans="1:5" ht="15.6">
      <c r="A469">
        <v>414</v>
      </c>
      <c r="B469" s="166">
        <v>62.765939499860558</v>
      </c>
      <c r="D469" s="39"/>
      <c r="E469" s="39"/>
    </row>
    <row r="470" spans="1:5" ht="15.6">
      <c r="A470">
        <v>415</v>
      </c>
      <c r="B470" s="166">
        <v>75.612940278212022</v>
      </c>
      <c r="D470" s="39"/>
      <c r="E470" s="39"/>
    </row>
    <row r="471" spans="1:5" ht="15.6">
      <c r="A471">
        <v>416</v>
      </c>
      <c r="B471" s="166">
        <v>115.61607692761709</v>
      </c>
      <c r="D471" s="39"/>
      <c r="E471" s="39"/>
    </row>
    <row r="472" spans="1:5" ht="15.6">
      <c r="A472">
        <v>417</v>
      </c>
      <c r="B472" s="166">
        <v>48.496065820432719</v>
      </c>
      <c r="D472" s="39"/>
      <c r="E472" s="39"/>
    </row>
    <row r="473" spans="1:5" ht="15.6">
      <c r="A473">
        <v>418</v>
      </c>
      <c r="B473" s="166">
        <v>111.7431775625687</v>
      </c>
      <c r="D473" s="39"/>
      <c r="E473" s="39"/>
    </row>
    <row r="474" spans="1:5" ht="15.6">
      <c r="A474">
        <v>419</v>
      </c>
      <c r="B474" s="166">
        <v>92.353085203171105</v>
      </c>
      <c r="D474" s="39"/>
      <c r="E474" s="39"/>
    </row>
    <row r="475" spans="1:5" ht="15.6">
      <c r="A475">
        <v>420</v>
      </c>
      <c r="B475" s="166">
        <v>107.02334587100505</v>
      </c>
      <c r="D475" s="39"/>
      <c r="E475" s="39"/>
    </row>
    <row r="476" spans="1:5" ht="15.6">
      <c r="A476">
        <v>421</v>
      </c>
      <c r="B476" s="166">
        <v>68.013958669244602</v>
      </c>
      <c r="D476" s="39"/>
      <c r="E476" s="39"/>
    </row>
    <row r="477" spans="1:5" ht="15.6">
      <c r="A477">
        <v>422</v>
      </c>
      <c r="B477" s="166">
        <v>101.78952040719061</v>
      </c>
      <c r="D477" s="39"/>
      <c r="E477" s="39"/>
    </row>
    <row r="478" spans="1:5" ht="15.6">
      <c r="A478">
        <v>423</v>
      </c>
      <c r="B478" s="166">
        <v>159.66810268148498</v>
      </c>
      <c r="D478" s="39"/>
      <c r="E478" s="39"/>
    </row>
    <row r="479" spans="1:5" ht="15.6">
      <c r="A479">
        <v>424</v>
      </c>
      <c r="B479" s="166">
        <v>128.96643112136039</v>
      </c>
      <c r="D479" s="39"/>
      <c r="E479" s="39"/>
    </row>
    <row r="480" spans="1:5" ht="15.6">
      <c r="A480">
        <v>425</v>
      </c>
      <c r="B480" s="166">
        <v>124.23472819284895</v>
      </c>
      <c r="D480" s="39"/>
      <c r="E480" s="39"/>
    </row>
    <row r="481" spans="1:5" ht="15.6">
      <c r="A481">
        <v>426</v>
      </c>
      <c r="B481" s="166">
        <v>70.990953613813787</v>
      </c>
      <c r="D481" s="39"/>
      <c r="E481" s="39"/>
    </row>
    <row r="482" spans="1:5" ht="15.6">
      <c r="A482">
        <v>427</v>
      </c>
      <c r="B482" s="166">
        <v>85.530587588378197</v>
      </c>
      <c r="D482" s="39"/>
      <c r="E482" s="39"/>
    </row>
    <row r="483" spans="1:5" ht="15.6">
      <c r="A483">
        <v>428</v>
      </c>
      <c r="B483" s="166">
        <v>137.18333218589291</v>
      </c>
      <c r="D483" s="39"/>
      <c r="E483" s="39"/>
    </row>
    <row r="484" spans="1:5" ht="15.6">
      <c r="A484">
        <v>429</v>
      </c>
      <c r="B484" s="166">
        <v>67.530822189952858</v>
      </c>
      <c r="D484" s="39"/>
      <c r="E484" s="39"/>
    </row>
    <row r="485" spans="1:5" ht="15.6">
      <c r="A485">
        <v>430</v>
      </c>
      <c r="B485" s="166">
        <v>105.43054468863272</v>
      </c>
      <c r="D485" s="39"/>
      <c r="E485" s="39"/>
    </row>
    <row r="486" spans="1:5" ht="15.6">
      <c r="A486">
        <v>431</v>
      </c>
      <c r="B486" s="166">
        <v>126.32630205912446</v>
      </c>
      <c r="D486" s="39"/>
      <c r="E486" s="39"/>
    </row>
    <row r="487" spans="1:5" ht="15.6">
      <c r="A487">
        <v>432</v>
      </c>
      <c r="B487" s="166">
        <v>63.9482767588933</v>
      </c>
      <c r="D487" s="39"/>
      <c r="E487" s="39"/>
    </row>
    <row r="488" spans="1:5" ht="15.6">
      <c r="A488">
        <v>433</v>
      </c>
      <c r="B488" s="166">
        <v>181.88433461852364</v>
      </c>
      <c r="D488" s="39"/>
      <c r="E488" s="39"/>
    </row>
    <row r="489" spans="1:5" ht="15.6">
      <c r="A489">
        <v>434</v>
      </c>
      <c r="B489" s="166">
        <v>60.321016511581256</v>
      </c>
      <c r="D489" s="39"/>
      <c r="E489" s="39"/>
    </row>
    <row r="490" spans="1:5" ht="15.6">
      <c r="A490">
        <v>435</v>
      </c>
      <c r="B490" s="166">
        <v>87.601053173579857</v>
      </c>
      <c r="D490" s="39"/>
      <c r="E490" s="39"/>
    </row>
    <row r="491" spans="1:5" ht="15.6">
      <c r="A491">
        <v>436</v>
      </c>
      <c r="B491" s="166">
        <v>147.79200310550834</v>
      </c>
      <c r="D491" s="39"/>
      <c r="E491" s="39"/>
    </row>
    <row r="492" spans="1:5" ht="15.6">
      <c r="A492">
        <v>437</v>
      </c>
      <c r="B492" s="166">
        <v>145.60101447030135</v>
      </c>
      <c r="D492" s="39"/>
      <c r="E492" s="39"/>
    </row>
    <row r="493" spans="1:5" ht="15.6">
      <c r="A493">
        <v>438</v>
      </c>
      <c r="B493" s="166">
        <v>118.33744515822607</v>
      </c>
      <c r="D493" s="39"/>
      <c r="E493" s="39"/>
    </row>
    <row r="494" spans="1:5" ht="15.6">
      <c r="A494">
        <v>439</v>
      </c>
      <c r="B494" s="166">
        <v>108.9832315465782</v>
      </c>
      <c r="D494" s="39"/>
      <c r="E494" s="39"/>
    </row>
    <row r="495" spans="1:5" ht="15.6">
      <c r="A495">
        <v>440</v>
      </c>
      <c r="B495" s="166">
        <v>116.27380318159362</v>
      </c>
      <c r="D495" s="39"/>
      <c r="E495" s="39"/>
    </row>
    <row r="496" spans="1:5" ht="15.6">
      <c r="A496">
        <v>441</v>
      </c>
      <c r="B496" s="166">
        <v>164.37786306011401</v>
      </c>
      <c r="D496" s="39"/>
      <c r="E496" s="39"/>
    </row>
    <row r="497" spans="1:5" ht="15.6">
      <c r="A497">
        <v>442</v>
      </c>
      <c r="B497" s="166">
        <v>57.299225614823378</v>
      </c>
      <c r="D497" s="39"/>
      <c r="E497" s="39"/>
    </row>
    <row r="498" spans="1:5" ht="15.6">
      <c r="A498">
        <v>443</v>
      </c>
      <c r="B498" s="166">
        <v>169.71156533483415</v>
      </c>
      <c r="D498" s="39"/>
      <c r="E498" s="39"/>
    </row>
    <row r="499" spans="1:5" ht="15.6">
      <c r="A499">
        <v>444</v>
      </c>
      <c r="B499" s="166">
        <v>153.28360843300814</v>
      </c>
      <c r="D499" s="39"/>
      <c r="E499" s="39"/>
    </row>
    <row r="500" spans="1:5" ht="15.6">
      <c r="A500">
        <v>445</v>
      </c>
      <c r="B500" s="166">
        <v>87.180656478233672</v>
      </c>
      <c r="D500" s="39"/>
      <c r="E500" s="39"/>
    </row>
    <row r="501" spans="1:5" ht="15.6">
      <c r="A501">
        <v>446</v>
      </c>
      <c r="B501" s="166">
        <v>55.710552837202783</v>
      </c>
      <c r="D501" s="39"/>
      <c r="E501" s="39"/>
    </row>
    <row r="502" spans="1:5" ht="15.6">
      <c r="A502">
        <v>447</v>
      </c>
      <c r="B502" s="166">
        <v>146.57510328398942</v>
      </c>
      <c r="D502" s="39"/>
      <c r="E502" s="39"/>
    </row>
    <row r="503" spans="1:5" ht="15.6">
      <c r="A503">
        <v>448</v>
      </c>
      <c r="B503" s="166">
        <v>72.914364905037715</v>
      </c>
      <c r="D503" s="39"/>
      <c r="E503" s="39"/>
    </row>
    <row r="504" spans="1:5" ht="15.6">
      <c r="A504">
        <v>449</v>
      </c>
      <c r="B504" s="166">
        <v>131.50969228312422</v>
      </c>
      <c r="D504" s="39"/>
      <c r="E504" s="39"/>
    </row>
    <row r="505" spans="1:5" ht="15.6">
      <c r="A505">
        <v>450</v>
      </c>
      <c r="B505" s="166">
        <v>142.73814412304904</v>
      </c>
      <c r="D505" s="39"/>
      <c r="E505" s="39"/>
    </row>
    <row r="506" spans="1:5" ht="15.6">
      <c r="A506">
        <v>451</v>
      </c>
      <c r="B506" s="166">
        <v>91.508609165829569</v>
      </c>
      <c r="D506" s="39"/>
      <c r="E506" s="39"/>
    </row>
    <row r="507" spans="1:5" ht="15.6">
      <c r="A507">
        <v>452</v>
      </c>
      <c r="B507" s="166">
        <v>150.40793185120833</v>
      </c>
      <c r="D507" s="39"/>
      <c r="E507" s="39"/>
    </row>
    <row r="508" spans="1:5" ht="15.6">
      <c r="A508">
        <v>453</v>
      </c>
      <c r="B508" s="166">
        <v>111.52204693566252</v>
      </c>
      <c r="D508" s="39"/>
      <c r="E508" s="39"/>
    </row>
    <row r="509" spans="1:5" ht="15.6">
      <c r="A509">
        <v>454</v>
      </c>
      <c r="B509" s="166">
        <v>63.426301085743582</v>
      </c>
      <c r="D509" s="39"/>
      <c r="E509" s="39"/>
    </row>
    <row r="510" spans="1:5" ht="15.6">
      <c r="A510">
        <v>455</v>
      </c>
      <c r="B510" s="166">
        <v>80.152083742111955</v>
      </c>
      <c r="D510" s="39"/>
      <c r="E510" s="39"/>
    </row>
    <row r="511" spans="1:5" ht="15.6">
      <c r="A511">
        <v>456</v>
      </c>
      <c r="B511" s="166">
        <v>227.43197481741097</v>
      </c>
      <c r="D511" s="39"/>
      <c r="E511" s="39"/>
    </row>
    <row r="512" spans="1:5" ht="15.6">
      <c r="A512">
        <v>457</v>
      </c>
      <c r="B512" s="166">
        <v>131.90105610521641</v>
      </c>
      <c r="D512" s="39"/>
      <c r="E512" s="39"/>
    </row>
    <row r="513" spans="1:5" ht="15.6">
      <c r="A513">
        <v>458</v>
      </c>
      <c r="B513" s="166">
        <v>91.561357133718488</v>
      </c>
      <c r="D513" s="39"/>
      <c r="E513" s="39"/>
    </row>
    <row r="514" spans="1:5" ht="15.6">
      <c r="A514">
        <v>459</v>
      </c>
      <c r="B514" s="166">
        <v>56.870716506208183</v>
      </c>
      <c r="D514" s="39"/>
      <c r="E514" s="39"/>
    </row>
    <row r="515" spans="1:5" ht="15.6">
      <c r="A515">
        <v>460</v>
      </c>
      <c r="B515" s="166">
        <v>85.953597773043626</v>
      </c>
      <c r="D515" s="39"/>
      <c r="E515" s="39"/>
    </row>
    <row r="516" spans="1:5" ht="15.6">
      <c r="A516">
        <v>461</v>
      </c>
      <c r="B516" s="166">
        <v>82.31639266959381</v>
      </c>
      <c r="D516" s="39"/>
      <c r="E516" s="39"/>
    </row>
    <row r="517" spans="1:5" ht="15.6">
      <c r="A517">
        <v>462</v>
      </c>
      <c r="B517" s="166">
        <v>100.40263475862812</v>
      </c>
      <c r="D517" s="39"/>
      <c r="E517" s="39"/>
    </row>
    <row r="518" spans="1:5" ht="15.6">
      <c r="A518">
        <v>463</v>
      </c>
      <c r="B518" s="166">
        <v>63.746186805061946</v>
      </c>
      <c r="D518" s="39"/>
      <c r="E518" s="39"/>
    </row>
    <row r="519" spans="1:5" ht="15.6">
      <c r="A519">
        <v>464</v>
      </c>
      <c r="B519" s="166">
        <v>75.495555485622546</v>
      </c>
      <c r="D519" s="39"/>
      <c r="E519" s="39"/>
    </row>
    <row r="520" spans="1:5" ht="15.6">
      <c r="A520">
        <v>465</v>
      </c>
      <c r="B520" s="166">
        <v>199.95813747255309</v>
      </c>
      <c r="D520" s="39"/>
      <c r="E520" s="39"/>
    </row>
    <row r="521" spans="1:5" ht="15.6">
      <c r="A521">
        <v>466</v>
      </c>
      <c r="B521" s="166">
        <v>68.242537613170683</v>
      </c>
      <c r="D521" s="39"/>
      <c r="E521" s="39"/>
    </row>
    <row r="522" spans="1:5" ht="15.6">
      <c r="A522">
        <v>467</v>
      </c>
      <c r="B522" s="166">
        <v>146.27879982693202</v>
      </c>
      <c r="D522" s="39"/>
      <c r="E522" s="39"/>
    </row>
    <row r="523" spans="1:5" ht="15.6">
      <c r="A523">
        <v>468</v>
      </c>
      <c r="B523" s="166">
        <v>98.62945870560263</v>
      </c>
      <c r="D523" s="39"/>
      <c r="E523" s="39"/>
    </row>
    <row r="524" spans="1:5" ht="15.6">
      <c r="A524">
        <v>469</v>
      </c>
      <c r="B524" s="166">
        <v>102.71793546379538</v>
      </c>
      <c r="D524" s="39"/>
      <c r="E524" s="39"/>
    </row>
    <row r="525" spans="1:5" ht="15.6">
      <c r="A525">
        <v>470</v>
      </c>
      <c r="B525" s="166">
        <v>124.5939157437159</v>
      </c>
      <c r="D525" s="39"/>
      <c r="E525" s="39"/>
    </row>
    <row r="526" spans="1:5" ht="15.6">
      <c r="A526">
        <v>471</v>
      </c>
      <c r="B526" s="166">
        <v>158.33578031903446</v>
      </c>
      <c r="D526" s="39"/>
      <c r="E526" s="39"/>
    </row>
    <row r="527" spans="1:5" ht="15.6">
      <c r="A527">
        <v>472</v>
      </c>
      <c r="B527" s="166">
        <v>80.068848870935227</v>
      </c>
      <c r="D527" s="39"/>
      <c r="E527" s="39"/>
    </row>
    <row r="528" spans="1:5" ht="15.6">
      <c r="A528">
        <v>473</v>
      </c>
      <c r="B528" s="166">
        <v>178.42875858040387</v>
      </c>
      <c r="D528" s="39"/>
      <c r="E528" s="39"/>
    </row>
    <row r="529" spans="1:5" ht="15.6">
      <c r="A529">
        <v>474</v>
      </c>
      <c r="B529" s="166">
        <v>163.70283689741416</v>
      </c>
      <c r="D529" s="39"/>
      <c r="E529" s="39"/>
    </row>
    <row r="530" spans="1:5" ht="15.6">
      <c r="A530">
        <v>475</v>
      </c>
      <c r="B530" s="166">
        <v>137.92641727481899</v>
      </c>
      <c r="D530" s="39"/>
      <c r="E530" s="39"/>
    </row>
    <row r="531" spans="1:5" ht="15.6">
      <c r="A531">
        <v>476</v>
      </c>
      <c r="B531" s="166">
        <v>108.47855511573832</v>
      </c>
      <c r="D531" s="39"/>
      <c r="E531" s="39"/>
    </row>
    <row r="532" spans="1:5" ht="15.6">
      <c r="A532">
        <v>477</v>
      </c>
      <c r="B532" s="166">
        <v>139.24886127385537</v>
      </c>
      <c r="D532" s="39"/>
      <c r="E532" s="39"/>
    </row>
    <row r="533" spans="1:5" ht="15.6">
      <c r="A533">
        <v>478</v>
      </c>
      <c r="B533" s="166">
        <v>108.90887882964107</v>
      </c>
      <c r="D533" s="39"/>
      <c r="E533" s="39"/>
    </row>
    <row r="534" spans="1:5" ht="15.6">
      <c r="A534">
        <v>479</v>
      </c>
      <c r="B534" s="166">
        <v>146.76191515182609</v>
      </c>
      <c r="D534" s="39"/>
      <c r="E534" s="39"/>
    </row>
    <row r="535" spans="1:5" ht="15.6">
      <c r="A535">
        <v>480</v>
      </c>
      <c r="B535" s="166">
        <v>208.43245387820525</v>
      </c>
      <c r="D535" s="39"/>
      <c r="E535" s="39"/>
    </row>
    <row r="536" spans="1:5" ht="15.6">
      <c r="A536">
        <v>481</v>
      </c>
      <c r="B536" s="166">
        <v>89.772319570366491</v>
      </c>
      <c r="D536" s="39"/>
      <c r="E536" s="39"/>
    </row>
    <row r="537" spans="1:5" ht="15.6">
      <c r="A537">
        <v>482</v>
      </c>
      <c r="B537" s="166">
        <v>91.916703590565476</v>
      </c>
      <c r="D537" s="39"/>
      <c r="E537" s="39"/>
    </row>
    <row r="538" spans="1:5" ht="15.6">
      <c r="A538">
        <v>483</v>
      </c>
      <c r="B538" s="166">
        <v>75.571866970661134</v>
      </c>
      <c r="D538" s="39"/>
      <c r="E538" s="39"/>
    </row>
    <row r="539" spans="1:5" ht="15.6">
      <c r="A539">
        <v>484</v>
      </c>
      <c r="B539" s="166">
        <v>76.254324127301459</v>
      </c>
      <c r="D539" s="39"/>
      <c r="E539" s="39"/>
    </row>
    <row r="540" spans="1:5" ht="15.6">
      <c r="A540">
        <v>485</v>
      </c>
      <c r="B540" s="166">
        <v>62.960444974504128</v>
      </c>
      <c r="D540" s="39"/>
      <c r="E540" s="39"/>
    </row>
    <row r="541" spans="1:5" ht="15.6">
      <c r="A541">
        <v>486</v>
      </c>
      <c r="B541" s="166">
        <v>77.339523143947844</v>
      </c>
      <c r="D541" s="39"/>
      <c r="E541" s="39"/>
    </row>
    <row r="542" spans="1:5" ht="15.6">
      <c r="A542">
        <v>487</v>
      </c>
      <c r="B542" s="166">
        <v>88.738439422269437</v>
      </c>
      <c r="D542" s="39"/>
      <c r="E542" s="39"/>
    </row>
    <row r="543" spans="1:5" ht="15.6">
      <c r="A543">
        <v>488</v>
      </c>
      <c r="B543" s="166">
        <v>77.661760994661591</v>
      </c>
      <c r="D543" s="39"/>
      <c r="E543" s="39"/>
    </row>
    <row r="544" spans="1:5" ht="15.6">
      <c r="A544">
        <v>489</v>
      </c>
      <c r="B544" s="166">
        <v>132.79178800334759</v>
      </c>
      <c r="D544" s="39"/>
      <c r="E544" s="39"/>
    </row>
    <row r="545" spans="1:5" ht="15.6">
      <c r="A545">
        <v>490</v>
      </c>
      <c r="B545" s="166">
        <v>75.190168440290805</v>
      </c>
      <c r="D545" s="39"/>
      <c r="E545" s="39"/>
    </row>
    <row r="546" spans="1:5" ht="15.6">
      <c r="A546">
        <v>491</v>
      </c>
      <c r="B546" s="166">
        <v>88.880798722266832</v>
      </c>
      <c r="D546" s="39"/>
      <c r="E546" s="39"/>
    </row>
    <row r="547" spans="1:5" ht="15.6">
      <c r="A547">
        <v>492</v>
      </c>
      <c r="B547" s="166">
        <v>65.850200978809085</v>
      </c>
      <c r="D547" s="39"/>
      <c r="E547" s="39"/>
    </row>
    <row r="548" spans="1:5" ht="15.6">
      <c r="A548">
        <v>493</v>
      </c>
      <c r="B548" s="166">
        <v>96.314336421516742</v>
      </c>
      <c r="D548" s="39"/>
      <c r="E548" s="39"/>
    </row>
    <row r="549" spans="1:5" ht="15.6">
      <c r="A549">
        <v>494</v>
      </c>
      <c r="B549" s="166">
        <v>100.891033975772</v>
      </c>
      <c r="D549" s="39"/>
      <c r="E549" s="39"/>
    </row>
    <row r="550" spans="1:5" ht="15.6">
      <c r="A550">
        <v>495</v>
      </c>
      <c r="B550" s="166">
        <v>88.389157564515145</v>
      </c>
      <c r="D550" s="39"/>
      <c r="E550" s="39"/>
    </row>
    <row r="551" spans="1:5" ht="15.6">
      <c r="A551">
        <v>496</v>
      </c>
      <c r="B551" s="166">
        <v>95.061649316008598</v>
      </c>
      <c r="D551" s="39"/>
      <c r="E551" s="39"/>
    </row>
    <row r="552" spans="1:5" ht="15.6">
      <c r="A552">
        <v>497</v>
      </c>
      <c r="B552" s="166">
        <v>74.63192436007688</v>
      </c>
      <c r="D552" s="39"/>
      <c r="E552" s="39"/>
    </row>
    <row r="553" spans="1:5" ht="15.6">
      <c r="A553">
        <v>498</v>
      </c>
      <c r="B553" s="166">
        <v>94.660363364569463</v>
      </c>
      <c r="D553" s="39"/>
      <c r="E553" s="39"/>
    </row>
    <row r="554" spans="1:5" ht="15.6">
      <c r="A554">
        <v>499</v>
      </c>
      <c r="B554" s="166">
        <v>94.79298474344894</v>
      </c>
      <c r="D554" s="39"/>
      <c r="E554" s="39"/>
    </row>
    <row r="555" spans="1:5" ht="15.6">
      <c r="A555">
        <v>500</v>
      </c>
      <c r="B555" s="166">
        <v>61.654427207603341</v>
      </c>
      <c r="D555" s="39"/>
      <c r="E555" s="39"/>
    </row>
    <row r="556" spans="1:5" ht="15.6">
      <c r="A556">
        <v>501</v>
      </c>
      <c r="B556" s="166">
        <v>82.765618832442044</v>
      </c>
      <c r="D556" s="39"/>
      <c r="E556" s="39"/>
    </row>
    <row r="557" spans="1:5" ht="15.6">
      <c r="A557">
        <v>502</v>
      </c>
      <c r="B557" s="166">
        <v>119.33445482997067</v>
      </c>
      <c r="D557" s="39"/>
      <c r="E557" s="39"/>
    </row>
    <row r="558" spans="1:5" ht="15.6">
      <c r="A558">
        <v>503</v>
      </c>
      <c r="B558" s="166">
        <v>79.967626408593091</v>
      </c>
      <c r="D558" s="39"/>
      <c r="E558" s="39"/>
    </row>
    <row r="559" spans="1:5" ht="15.6">
      <c r="A559">
        <v>504</v>
      </c>
      <c r="B559" s="166">
        <v>100.12326611988824</v>
      </c>
      <c r="D559" s="39"/>
      <c r="E559" s="39"/>
    </row>
    <row r="560" spans="1:5" ht="15.6">
      <c r="A560">
        <v>505</v>
      </c>
      <c r="B560" s="166">
        <v>182.60797165682305</v>
      </c>
      <c r="D560" s="39"/>
      <c r="E560" s="39"/>
    </row>
    <row r="561" spans="1:5" ht="15.6">
      <c r="A561">
        <v>506</v>
      </c>
      <c r="B561" s="166">
        <v>107.04595930978687</v>
      </c>
      <c r="D561" s="39"/>
      <c r="E561" s="39"/>
    </row>
    <row r="562" spans="1:5" ht="15.6">
      <c r="A562">
        <v>507</v>
      </c>
      <c r="B562" s="166">
        <v>95.657858675094545</v>
      </c>
      <c r="D562" s="39"/>
      <c r="E562" s="39"/>
    </row>
    <row r="563" spans="1:5" ht="15.6">
      <c r="A563">
        <v>508</v>
      </c>
      <c r="B563" s="166">
        <v>72.96737210311862</v>
      </c>
      <c r="D563" s="39"/>
      <c r="E563" s="39"/>
    </row>
    <row r="564" spans="1:5" ht="15.6">
      <c r="A564">
        <v>509</v>
      </c>
      <c r="B564" s="166">
        <v>121.83736575104031</v>
      </c>
      <c r="D564" s="39"/>
      <c r="E564" s="39"/>
    </row>
    <row r="565" spans="1:5" ht="15.6">
      <c r="A565">
        <v>510</v>
      </c>
      <c r="B565" s="166">
        <v>64.724366605391879</v>
      </c>
      <c r="D565" s="39"/>
      <c r="E565" s="39"/>
    </row>
    <row r="566" spans="1:5" ht="15.6">
      <c r="A566">
        <v>511</v>
      </c>
      <c r="B566" s="166">
        <v>156.73141352263909</v>
      </c>
      <c r="D566" s="39"/>
      <c r="E566" s="39"/>
    </row>
    <row r="567" spans="1:5" ht="15.6">
      <c r="A567">
        <v>512</v>
      </c>
      <c r="B567" s="166">
        <v>119.99605266259776</v>
      </c>
      <c r="D567" s="39"/>
      <c r="E567" s="39"/>
    </row>
    <row r="568" spans="1:5" ht="15.6">
      <c r="A568">
        <v>513</v>
      </c>
      <c r="B568" s="166">
        <v>82.328938126169547</v>
      </c>
      <c r="D568" s="39"/>
      <c r="E568" s="39"/>
    </row>
    <row r="569" spans="1:5" ht="15.6">
      <c r="A569">
        <v>514</v>
      </c>
      <c r="B569" s="166">
        <v>103.23967345470206</v>
      </c>
      <c r="D569" s="39"/>
      <c r="E569" s="39"/>
    </row>
    <row r="570" spans="1:5" ht="15.6">
      <c r="A570">
        <v>515</v>
      </c>
      <c r="B570" s="166">
        <v>103.36667811824519</v>
      </c>
      <c r="D570" s="39"/>
      <c r="E570" s="39"/>
    </row>
    <row r="571" spans="1:5" ht="15.6">
      <c r="A571">
        <v>516</v>
      </c>
      <c r="B571" s="166">
        <v>145.29307734962765</v>
      </c>
      <c r="D571" s="39"/>
      <c r="E571" s="39"/>
    </row>
    <row r="572" spans="1:5" ht="15.6">
      <c r="A572">
        <v>517</v>
      </c>
      <c r="B572" s="166">
        <v>211.92880723074254</v>
      </c>
      <c r="D572" s="39"/>
      <c r="E572" s="39"/>
    </row>
    <row r="573" spans="1:5" ht="15.6">
      <c r="A573">
        <v>518</v>
      </c>
      <c r="B573" s="166">
        <v>111.15078498469011</v>
      </c>
      <c r="D573" s="39"/>
      <c r="E573" s="39"/>
    </row>
    <row r="574" spans="1:5" ht="15.6">
      <c r="A574">
        <v>519</v>
      </c>
      <c r="B574" s="166">
        <v>109.67735108311176</v>
      </c>
      <c r="D574" s="39"/>
      <c r="E574" s="39"/>
    </row>
    <row r="575" spans="1:5" ht="15.6">
      <c r="A575">
        <v>520</v>
      </c>
      <c r="B575" s="166">
        <v>168.50641545180892</v>
      </c>
      <c r="D575" s="39"/>
      <c r="E575" s="39"/>
    </row>
    <row r="576" spans="1:5" ht="15.6">
      <c r="A576">
        <v>521</v>
      </c>
      <c r="B576" s="166">
        <v>87.172019885561994</v>
      </c>
      <c r="D576" s="39"/>
      <c r="E576" s="39"/>
    </row>
    <row r="577" spans="1:5" ht="15.6">
      <c r="A577">
        <v>522</v>
      </c>
      <c r="B577" s="166">
        <v>79.604995262624598</v>
      </c>
      <c r="D577" s="39"/>
      <c r="E577" s="39"/>
    </row>
    <row r="578" spans="1:5" ht="15.6">
      <c r="A578">
        <v>523</v>
      </c>
      <c r="B578" s="166">
        <v>52.311227701292012</v>
      </c>
      <c r="D578" s="39"/>
      <c r="E578" s="39"/>
    </row>
    <row r="579" spans="1:5" ht="15.6">
      <c r="A579">
        <v>524</v>
      </c>
      <c r="B579" s="166">
        <v>87.163777712410479</v>
      </c>
      <c r="D579" s="39"/>
      <c r="E579" s="39"/>
    </row>
    <row r="580" spans="1:5" ht="15.6">
      <c r="A580">
        <v>525</v>
      </c>
      <c r="B580" s="166">
        <v>120.08958871212312</v>
      </c>
      <c r="D580" s="39"/>
      <c r="E580" s="39"/>
    </row>
    <row r="581" spans="1:5" ht="15.6">
      <c r="A581">
        <v>526</v>
      </c>
      <c r="B581" s="166">
        <v>69.250459585310267</v>
      </c>
      <c r="D581" s="39"/>
      <c r="E581" s="39"/>
    </row>
    <row r="582" spans="1:5" ht="15.6">
      <c r="A582">
        <v>527</v>
      </c>
      <c r="B582" s="166">
        <v>156.63416674935019</v>
      </c>
      <c r="D582" s="39"/>
      <c r="E582" s="39"/>
    </row>
    <row r="583" spans="1:5" ht="15.6">
      <c r="A583">
        <v>528</v>
      </c>
      <c r="B583" s="166">
        <v>125.40199033304059</v>
      </c>
      <c r="D583" s="39"/>
      <c r="E583" s="39"/>
    </row>
    <row r="584" spans="1:5" ht="15.6">
      <c r="A584">
        <v>529</v>
      </c>
      <c r="B584" s="166">
        <v>78.248907096797183</v>
      </c>
      <c r="D584" s="39"/>
      <c r="E584" s="39"/>
    </row>
    <row r="585" spans="1:5" ht="15.6">
      <c r="A585">
        <v>530</v>
      </c>
      <c r="B585" s="166">
        <v>128.44429734384406</v>
      </c>
      <c r="D585" s="39"/>
      <c r="E585" s="39"/>
    </row>
    <row r="586" spans="1:5" ht="15.6">
      <c r="A586">
        <v>531</v>
      </c>
      <c r="B586" s="166">
        <v>82.310106149752954</v>
      </c>
      <c r="D586" s="39"/>
      <c r="E586" s="39"/>
    </row>
    <row r="587" spans="1:5" ht="15.6">
      <c r="A587">
        <v>532</v>
      </c>
      <c r="B587" s="166">
        <v>96.080186472129654</v>
      </c>
      <c r="D587" s="39"/>
      <c r="E587" s="39"/>
    </row>
    <row r="588" spans="1:5" ht="15.6">
      <c r="A588">
        <v>533</v>
      </c>
      <c r="B588" s="166">
        <v>79.966107991819257</v>
      </c>
      <c r="D588" s="39"/>
      <c r="E588" s="39"/>
    </row>
    <row r="589" spans="1:5" ht="15.6">
      <c r="A589">
        <v>534</v>
      </c>
      <c r="B589" s="166">
        <v>96.070177679587303</v>
      </c>
      <c r="D589" s="39"/>
      <c r="E589" s="39"/>
    </row>
    <row r="590" spans="1:5" ht="15.6">
      <c r="A590">
        <v>535</v>
      </c>
      <c r="B590" s="166">
        <v>163.28801399995021</v>
      </c>
      <c r="D590" s="39"/>
      <c r="E590" s="39"/>
    </row>
    <row r="591" spans="1:5" ht="15.6">
      <c r="A591">
        <v>536</v>
      </c>
      <c r="B591" s="166">
        <v>74.968970122288354</v>
      </c>
      <c r="D591" s="39"/>
      <c r="E591" s="39"/>
    </row>
    <row r="592" spans="1:5" ht="15.6">
      <c r="A592">
        <v>537</v>
      </c>
      <c r="B592" s="166">
        <v>115.73242505442437</v>
      </c>
      <c r="D592" s="39"/>
      <c r="E592" s="39"/>
    </row>
    <row r="593" spans="1:5" ht="15.6">
      <c r="A593">
        <v>538</v>
      </c>
      <c r="B593" s="166">
        <v>110.0608343886265</v>
      </c>
      <c r="D593" s="39"/>
      <c r="E593" s="39"/>
    </row>
    <row r="594" spans="1:5" ht="15.6">
      <c r="A594">
        <v>539</v>
      </c>
      <c r="B594" s="166">
        <v>74.152242567310708</v>
      </c>
      <c r="D594" s="39"/>
      <c r="E594" s="39"/>
    </row>
    <row r="595" spans="1:5" ht="15.6">
      <c r="A595">
        <v>540</v>
      </c>
      <c r="B595" s="166">
        <v>92.815840499810321</v>
      </c>
      <c r="D595" s="39"/>
      <c r="E595" s="39"/>
    </row>
    <row r="596" spans="1:5" ht="15.6">
      <c r="A596">
        <v>541</v>
      </c>
      <c r="B596" s="166">
        <v>119.49448868382869</v>
      </c>
      <c r="D596" s="39"/>
      <c r="E596" s="39"/>
    </row>
    <row r="597" spans="1:5" ht="15.6">
      <c r="A597">
        <v>542</v>
      </c>
      <c r="B597" s="166">
        <v>207.75488269101237</v>
      </c>
      <c r="D597" s="39"/>
      <c r="E597" s="39"/>
    </row>
    <row r="598" spans="1:5" ht="15.6">
      <c r="A598">
        <v>543</v>
      </c>
      <c r="B598" s="166">
        <v>66.597029519787185</v>
      </c>
      <c r="D598" s="39"/>
      <c r="E598" s="39"/>
    </row>
    <row r="599" spans="1:5" ht="15.6">
      <c r="A599">
        <v>544</v>
      </c>
      <c r="B599" s="166">
        <v>242.49901846602967</v>
      </c>
      <c r="D599" s="39"/>
      <c r="E599" s="39"/>
    </row>
    <row r="600" spans="1:5" ht="15.6">
      <c r="A600">
        <v>545</v>
      </c>
      <c r="B600" s="166">
        <v>62.566643671952846</v>
      </c>
      <c r="D600" s="39"/>
      <c r="E600" s="39"/>
    </row>
    <row r="601" spans="1:5" ht="15.6">
      <c r="A601">
        <v>546</v>
      </c>
      <c r="B601" s="166">
        <v>87.13929758019961</v>
      </c>
      <c r="D601" s="39"/>
      <c r="E601" s="39"/>
    </row>
    <row r="602" spans="1:5" ht="15.6">
      <c r="A602">
        <v>547</v>
      </c>
      <c r="B602" s="166">
        <v>125.02610597608296</v>
      </c>
      <c r="D602" s="39"/>
      <c r="E602" s="39"/>
    </row>
    <row r="603" spans="1:5" ht="15.6">
      <c r="A603">
        <v>548</v>
      </c>
      <c r="B603" s="166">
        <v>78.266651834434256</v>
      </c>
      <c r="D603" s="39"/>
      <c r="E603" s="39"/>
    </row>
    <row r="604" spans="1:5" ht="15.6">
      <c r="A604">
        <v>549</v>
      </c>
      <c r="B604" s="166">
        <v>127.12480624789808</v>
      </c>
      <c r="D604" s="39"/>
      <c r="E604" s="39"/>
    </row>
    <row r="605" spans="1:5" ht="15.6">
      <c r="A605">
        <v>550</v>
      </c>
      <c r="B605" s="166">
        <v>226.82258398023214</v>
      </c>
      <c r="D605" s="39"/>
      <c r="E605" s="39"/>
    </row>
    <row r="606" spans="1:5" ht="15.6">
      <c r="A606">
        <v>551</v>
      </c>
      <c r="B606" s="166">
        <v>130.86539321348016</v>
      </c>
      <c r="D606" s="39"/>
      <c r="E606" s="39"/>
    </row>
    <row r="607" spans="1:5" ht="15.6">
      <c r="A607">
        <v>552</v>
      </c>
      <c r="B607" s="166">
        <v>147.73262107040802</v>
      </c>
      <c r="D607" s="39"/>
      <c r="E607" s="39"/>
    </row>
    <row r="608" spans="1:5" ht="15.6">
      <c r="A608">
        <v>553</v>
      </c>
      <c r="B608" s="166">
        <v>126.79500487902369</v>
      </c>
      <c r="D608" s="39"/>
      <c r="E608" s="39"/>
    </row>
    <row r="609" spans="1:5" ht="15.6">
      <c r="A609">
        <v>554</v>
      </c>
      <c r="B609" s="166">
        <v>128.89537933769452</v>
      </c>
      <c r="D609" s="39"/>
      <c r="E609" s="39"/>
    </row>
    <row r="610" spans="1:5" ht="15.6">
      <c r="A610">
        <v>555</v>
      </c>
      <c r="B610" s="166">
        <v>83.675197193736807</v>
      </c>
      <c r="D610" s="39"/>
      <c r="E610" s="39"/>
    </row>
    <row r="611" spans="1:5" ht="15.6">
      <c r="A611">
        <v>556</v>
      </c>
      <c r="B611" s="166">
        <v>101.73071907839507</v>
      </c>
      <c r="D611" s="39"/>
      <c r="E611" s="39"/>
    </row>
    <row r="612" spans="1:5" ht="15.6">
      <c r="A612">
        <v>557</v>
      </c>
      <c r="B612" s="166">
        <v>125.74876326788386</v>
      </c>
      <c r="D612" s="39"/>
      <c r="E612" s="39"/>
    </row>
    <row r="613" spans="1:5" ht="15.6">
      <c r="A613">
        <v>558</v>
      </c>
      <c r="B613" s="166">
        <v>55.258579040964435</v>
      </c>
      <c r="D613" s="39"/>
      <c r="E613" s="39"/>
    </row>
    <row r="614" spans="1:5" ht="15.6">
      <c r="A614">
        <v>559</v>
      </c>
      <c r="B614" s="166">
        <v>64.543542405375831</v>
      </c>
      <c r="D614" s="39"/>
      <c r="E614" s="39"/>
    </row>
    <row r="615" spans="1:5" ht="15.6">
      <c r="A615">
        <v>560</v>
      </c>
      <c r="B615" s="166">
        <v>123.91532136608923</v>
      </c>
      <c r="D615" s="39"/>
      <c r="E615" s="39"/>
    </row>
    <row r="616" spans="1:5" ht="15.6">
      <c r="A616">
        <v>561</v>
      </c>
      <c r="B616" s="166">
        <v>166.42316147146556</v>
      </c>
      <c r="D616" s="39"/>
      <c r="E616" s="39"/>
    </row>
    <row r="617" spans="1:5" ht="15.6">
      <c r="A617">
        <v>562</v>
      </c>
      <c r="B617" s="166">
        <v>49.508750687686138</v>
      </c>
      <c r="D617" s="39"/>
      <c r="E617" s="39"/>
    </row>
    <row r="618" spans="1:5" ht="15.6">
      <c r="A618">
        <v>563</v>
      </c>
      <c r="B618" s="166">
        <v>96.662096285828</v>
      </c>
      <c r="D618" s="39"/>
      <c r="E618" s="39"/>
    </row>
    <row r="619" spans="1:5" ht="15.6">
      <c r="A619">
        <v>564</v>
      </c>
      <c r="B619" s="166">
        <v>123.5986870182137</v>
      </c>
      <c r="D619" s="39"/>
      <c r="E619" s="39"/>
    </row>
    <row r="620" spans="1:5" ht="15.6">
      <c r="A620">
        <v>565</v>
      </c>
      <c r="B620" s="166">
        <v>77.488057487910282</v>
      </c>
      <c r="D620" s="39"/>
      <c r="E620" s="39"/>
    </row>
    <row r="621" spans="1:5" ht="15.6">
      <c r="A621">
        <v>566</v>
      </c>
      <c r="B621" s="166">
        <v>157.62871814940598</v>
      </c>
      <c r="D621" s="39"/>
      <c r="E621" s="39"/>
    </row>
    <row r="622" spans="1:5" ht="15.6">
      <c r="A622">
        <v>567</v>
      </c>
      <c r="B622" s="166">
        <v>134.65303858383604</v>
      </c>
      <c r="D622" s="39"/>
      <c r="E622" s="39"/>
    </row>
    <row r="623" spans="1:5" ht="15.6">
      <c r="A623">
        <v>568</v>
      </c>
      <c r="B623" s="166">
        <v>150.6417192580696</v>
      </c>
      <c r="D623" s="39"/>
      <c r="E623" s="39"/>
    </row>
    <row r="624" spans="1:5" ht="15.6">
      <c r="A624">
        <v>569</v>
      </c>
      <c r="B624" s="166">
        <v>80.882236255457755</v>
      </c>
      <c r="D624" s="39"/>
      <c r="E624" s="39"/>
    </row>
    <row r="625" spans="1:5" ht="15.6">
      <c r="A625">
        <v>570</v>
      </c>
      <c r="B625" s="166">
        <v>95.383195477134834</v>
      </c>
      <c r="D625" s="39"/>
      <c r="E625" s="39"/>
    </row>
    <row r="626" spans="1:5" ht="15.6">
      <c r="A626">
        <v>571</v>
      </c>
      <c r="B626" s="166">
        <v>70.292361217346539</v>
      </c>
      <c r="D626" s="39"/>
      <c r="E626" s="39"/>
    </row>
    <row r="627" spans="1:5" ht="15.6">
      <c r="A627">
        <v>572</v>
      </c>
      <c r="B627" s="166">
        <v>113.68321650612151</v>
      </c>
      <c r="D627" s="39"/>
      <c r="E627" s="39"/>
    </row>
    <row r="628" spans="1:5" ht="15.6">
      <c r="A628">
        <v>573</v>
      </c>
      <c r="B628" s="166">
        <v>71.925096778843297</v>
      </c>
      <c r="D628" s="39"/>
      <c r="E628" s="39"/>
    </row>
    <row r="629" spans="1:5" ht="15.6">
      <c r="A629">
        <v>574</v>
      </c>
      <c r="B629" s="166">
        <v>133.86234189023003</v>
      </c>
      <c r="D629" s="39"/>
      <c r="E629" s="39"/>
    </row>
    <row r="630" spans="1:5" ht="15.6">
      <c r="A630">
        <v>575</v>
      </c>
      <c r="B630" s="166">
        <v>165.07754842530218</v>
      </c>
      <c r="D630" s="39"/>
      <c r="E630" s="39"/>
    </row>
    <row r="631" spans="1:5" ht="15.6">
      <c r="A631">
        <v>576</v>
      </c>
      <c r="B631" s="166">
        <v>201.84604260502448</v>
      </c>
      <c r="D631" s="39"/>
      <c r="E631" s="39"/>
    </row>
    <row r="632" spans="1:5" ht="15.6">
      <c r="A632">
        <v>577</v>
      </c>
      <c r="B632" s="166">
        <v>111.89252303410862</v>
      </c>
      <c r="D632" s="39"/>
      <c r="E632" s="39"/>
    </row>
    <row r="633" spans="1:5" ht="15.6">
      <c r="A633">
        <v>578</v>
      </c>
      <c r="B633" s="166">
        <v>101.22930202192524</v>
      </c>
      <c r="D633" s="39"/>
      <c r="E633" s="39"/>
    </row>
    <row r="634" spans="1:5" ht="15.6">
      <c r="A634">
        <v>579</v>
      </c>
      <c r="B634" s="166">
        <v>68.869957849684127</v>
      </c>
      <c r="D634" s="39"/>
      <c r="E634" s="39"/>
    </row>
    <row r="635" spans="1:5" ht="15.6">
      <c r="A635">
        <v>580</v>
      </c>
      <c r="B635" s="166">
        <v>76.76525732782153</v>
      </c>
      <c r="D635" s="39"/>
      <c r="E635" s="39"/>
    </row>
    <row r="636" spans="1:5" ht="15.6">
      <c r="A636">
        <v>581</v>
      </c>
      <c r="B636" s="166">
        <v>111.40492051349095</v>
      </c>
      <c r="D636" s="39"/>
      <c r="E636" s="39"/>
    </row>
    <row r="637" spans="1:5" ht="15.6">
      <c r="A637">
        <v>582</v>
      </c>
      <c r="B637" s="166">
        <v>193.21611856873122</v>
      </c>
      <c r="D637" s="39"/>
      <c r="E637" s="39"/>
    </row>
    <row r="638" spans="1:5" ht="15.6">
      <c r="A638">
        <v>583</v>
      </c>
      <c r="B638" s="166">
        <v>47.612217569254433</v>
      </c>
      <c r="D638" s="39"/>
      <c r="E638" s="39"/>
    </row>
    <row r="639" spans="1:5" ht="15.6">
      <c r="A639">
        <v>584</v>
      </c>
      <c r="B639" s="166">
        <v>124.22802365085776</v>
      </c>
      <c r="D639" s="39"/>
      <c r="E639" s="39"/>
    </row>
    <row r="640" spans="1:5" ht="15.6">
      <c r="A640">
        <v>585</v>
      </c>
      <c r="B640" s="166">
        <v>52.197386388035163</v>
      </c>
      <c r="D640" s="39"/>
      <c r="E640" s="39"/>
    </row>
    <row r="641" spans="1:5" ht="15.6">
      <c r="A641">
        <v>586</v>
      </c>
      <c r="B641" s="166">
        <v>132.26424020093035</v>
      </c>
      <c r="D641" s="39"/>
      <c r="E641" s="39"/>
    </row>
    <row r="642" spans="1:5" ht="15.6">
      <c r="A642">
        <v>587</v>
      </c>
      <c r="B642" s="166">
        <v>136.51813311127418</v>
      </c>
      <c r="D642" s="39"/>
      <c r="E642" s="39"/>
    </row>
    <row r="643" spans="1:5" ht="15.6">
      <c r="A643">
        <v>588</v>
      </c>
      <c r="B643" s="166">
        <v>99.305552001714304</v>
      </c>
      <c r="D643" s="39"/>
      <c r="E643" s="39"/>
    </row>
    <row r="644" spans="1:5" ht="15.6">
      <c r="A644">
        <v>589</v>
      </c>
      <c r="B644" s="166">
        <v>99.298624452250749</v>
      </c>
      <c r="D644" s="39"/>
      <c r="E644" s="39"/>
    </row>
    <row r="645" spans="1:5" ht="15.6">
      <c r="A645">
        <v>590</v>
      </c>
      <c r="B645" s="166">
        <v>66.259435743860209</v>
      </c>
      <c r="D645" s="39"/>
      <c r="E645" s="39"/>
    </row>
    <row r="646" spans="1:5" ht="15.6">
      <c r="A646">
        <v>591</v>
      </c>
      <c r="B646" s="166">
        <v>51.987043699356548</v>
      </c>
      <c r="D646" s="39"/>
      <c r="E646" s="39"/>
    </row>
    <row r="647" spans="1:5" ht="15.6">
      <c r="A647">
        <v>592</v>
      </c>
      <c r="B647" s="166">
        <v>82.280882423795774</v>
      </c>
      <c r="D647" s="39"/>
      <c r="E647" s="39"/>
    </row>
    <row r="648" spans="1:5" ht="15.6">
      <c r="A648">
        <v>593</v>
      </c>
      <c r="B648" s="166">
        <v>107.4384306065097</v>
      </c>
      <c r="D648" s="39"/>
      <c r="E648" s="39"/>
    </row>
    <row r="649" spans="1:5" ht="15.6">
      <c r="A649">
        <v>594</v>
      </c>
      <c r="B649" s="166">
        <v>113.189477349404</v>
      </c>
      <c r="D649" s="39"/>
      <c r="E649" s="39"/>
    </row>
    <row r="650" spans="1:5" ht="15.6">
      <c r="A650">
        <v>595</v>
      </c>
      <c r="B650" s="166">
        <v>125.6380099342138</v>
      </c>
      <c r="D650" s="39"/>
      <c r="E650" s="39"/>
    </row>
    <row r="651" spans="1:5" ht="15.6">
      <c r="A651">
        <v>596</v>
      </c>
      <c r="B651" s="166">
        <v>111.12899755409927</v>
      </c>
      <c r="D651" s="39"/>
      <c r="E651" s="39"/>
    </row>
    <row r="652" spans="1:5" ht="15.6">
      <c r="A652">
        <v>597</v>
      </c>
      <c r="B652" s="166">
        <v>66.986457669476181</v>
      </c>
      <c r="D652" s="39"/>
      <c r="E652" s="39"/>
    </row>
    <row r="653" spans="1:5" ht="15.6">
      <c r="A653">
        <v>598</v>
      </c>
      <c r="B653" s="166">
        <v>175.24851858919584</v>
      </c>
      <c r="D653" s="39"/>
      <c r="E653" s="39"/>
    </row>
    <row r="654" spans="1:5" ht="15.6">
      <c r="A654">
        <v>599</v>
      </c>
      <c r="B654" s="166">
        <v>91.557066287111056</v>
      </c>
      <c r="D654" s="39"/>
      <c r="E654" s="39"/>
    </row>
    <row r="655" spans="1:5" ht="15.6">
      <c r="A655">
        <v>600</v>
      </c>
      <c r="B655" s="166">
        <v>144.02854848595317</v>
      </c>
      <c r="D655" s="39"/>
      <c r="E655" s="39"/>
    </row>
    <row r="656" spans="1:5" ht="15.6">
      <c r="A656">
        <v>601</v>
      </c>
      <c r="B656" s="166">
        <v>236.01174184705022</v>
      </c>
      <c r="D656" s="39"/>
      <c r="E656" s="39"/>
    </row>
    <row r="657" spans="1:5" ht="15.6">
      <c r="A657">
        <v>602</v>
      </c>
      <c r="B657" s="166">
        <v>46.652642179649931</v>
      </c>
      <c r="D657" s="39"/>
      <c r="E657" s="39"/>
    </row>
    <row r="658" spans="1:5" ht="15.6">
      <c r="A658">
        <v>603</v>
      </c>
      <c r="B658" s="166">
        <v>137.75566247337474</v>
      </c>
      <c r="D658" s="39"/>
      <c r="E658" s="39"/>
    </row>
    <row r="659" spans="1:5" ht="15.6">
      <c r="A659">
        <v>604</v>
      </c>
      <c r="B659" s="166">
        <v>102.40150953746064</v>
      </c>
      <c r="D659" s="39"/>
      <c r="E659" s="39"/>
    </row>
    <row r="660" spans="1:5" ht="15.6">
      <c r="A660">
        <v>605</v>
      </c>
      <c r="B660" s="166">
        <v>81.281739840007717</v>
      </c>
      <c r="D660" s="39"/>
      <c r="E660" s="39"/>
    </row>
    <row r="661" spans="1:5" ht="15.6">
      <c r="A661">
        <v>606</v>
      </c>
      <c r="B661" s="166">
        <v>155.52641159845518</v>
      </c>
      <c r="D661" s="39"/>
      <c r="E661" s="39"/>
    </row>
    <row r="662" spans="1:5" ht="15.6">
      <c r="A662">
        <v>607</v>
      </c>
      <c r="B662" s="166">
        <v>144.44395789751729</v>
      </c>
      <c r="D662" s="39"/>
      <c r="E662" s="39"/>
    </row>
    <row r="663" spans="1:5" ht="15.6">
      <c r="A663">
        <v>608</v>
      </c>
      <c r="B663" s="166">
        <v>67.191439310273154</v>
      </c>
      <c r="D663" s="39"/>
      <c r="E663" s="39"/>
    </row>
    <row r="664" spans="1:5" ht="15.6">
      <c r="A664">
        <v>609</v>
      </c>
      <c r="B664" s="166">
        <v>84.742061986544527</v>
      </c>
      <c r="D664" s="39"/>
      <c r="E664" s="39"/>
    </row>
    <row r="665" spans="1:5" ht="15.6">
      <c r="A665">
        <v>610</v>
      </c>
      <c r="B665" s="166">
        <v>95.746527684883176</v>
      </c>
      <c r="D665" s="39"/>
      <c r="E665" s="39"/>
    </row>
    <row r="666" spans="1:5" ht="15.6">
      <c r="A666">
        <v>611</v>
      </c>
      <c r="B666" s="166">
        <v>129.28972016388681</v>
      </c>
      <c r="D666" s="39"/>
      <c r="E666" s="39"/>
    </row>
    <row r="667" spans="1:5" ht="15.6">
      <c r="A667">
        <v>612</v>
      </c>
      <c r="B667" s="166">
        <v>54.03646153642412</v>
      </c>
      <c r="D667" s="39"/>
      <c r="E667" s="39"/>
    </row>
    <row r="668" spans="1:5" ht="15.6">
      <c r="A668">
        <v>613</v>
      </c>
      <c r="B668" s="166">
        <v>134.72582820686318</v>
      </c>
      <c r="D668" s="39"/>
      <c r="E668" s="39"/>
    </row>
    <row r="669" spans="1:5" ht="15.6">
      <c r="A669">
        <v>614</v>
      </c>
      <c r="B669" s="166">
        <v>117.23103110131795</v>
      </c>
      <c r="D669" s="39"/>
      <c r="E669" s="39"/>
    </row>
    <row r="670" spans="1:5" ht="15.6">
      <c r="A670">
        <v>615</v>
      </c>
      <c r="B670" s="166">
        <v>111.34115351674072</v>
      </c>
      <c r="D670" s="39"/>
      <c r="E670" s="39"/>
    </row>
    <row r="671" spans="1:5" ht="15.6">
      <c r="A671">
        <v>616</v>
      </c>
      <c r="B671" s="166">
        <v>52.263168437989734</v>
      </c>
      <c r="D671" s="39"/>
      <c r="E671" s="39"/>
    </row>
    <row r="672" spans="1:5" ht="15.6">
      <c r="A672">
        <v>617</v>
      </c>
      <c r="B672" s="166">
        <v>175.25466512990954</v>
      </c>
      <c r="D672" s="39"/>
      <c r="E672" s="39"/>
    </row>
    <row r="673" spans="1:5" ht="15.6">
      <c r="A673">
        <v>618</v>
      </c>
      <c r="B673" s="166">
        <v>110.10818396429417</v>
      </c>
      <c r="D673" s="39"/>
      <c r="E673" s="39"/>
    </row>
    <row r="674" spans="1:5" ht="15.6">
      <c r="A674">
        <v>619</v>
      </c>
      <c r="B674" s="166">
        <v>132.30982844266612</v>
      </c>
      <c r="D674" s="39"/>
      <c r="E674" s="39"/>
    </row>
    <row r="675" spans="1:5" ht="15.6">
      <c r="A675">
        <v>620</v>
      </c>
      <c r="B675" s="166">
        <v>57.089993655756601</v>
      </c>
      <c r="D675" s="39"/>
      <c r="E675" s="39"/>
    </row>
    <row r="676" spans="1:5" ht="15.6">
      <c r="A676">
        <v>621</v>
      </c>
      <c r="B676" s="166">
        <v>129.44100128319451</v>
      </c>
      <c r="D676" s="39"/>
      <c r="E676" s="39"/>
    </row>
    <row r="677" spans="1:5" ht="15.6">
      <c r="A677">
        <v>622</v>
      </c>
      <c r="B677" s="166">
        <v>117.1336307986399</v>
      </c>
      <c r="D677" s="39"/>
      <c r="E677" s="39"/>
    </row>
    <row r="678" spans="1:5" ht="15.6">
      <c r="A678">
        <v>623</v>
      </c>
      <c r="B678" s="166">
        <v>103.66331803125307</v>
      </c>
      <c r="D678" s="39"/>
      <c r="E678" s="39"/>
    </row>
    <row r="679" spans="1:5" ht="15.6">
      <c r="A679">
        <v>624</v>
      </c>
      <c r="B679" s="166">
        <v>110.18211317326308</v>
      </c>
      <c r="D679" s="39"/>
      <c r="E679" s="39"/>
    </row>
    <row r="680" spans="1:5" ht="15.6">
      <c r="A680">
        <v>625</v>
      </c>
      <c r="B680" s="166">
        <v>62.262186282010397</v>
      </c>
      <c r="D680" s="39"/>
      <c r="E680" s="39"/>
    </row>
    <row r="681" spans="1:5" ht="15.6">
      <c r="A681">
        <v>626</v>
      </c>
      <c r="B681" s="166">
        <v>97.802262653150621</v>
      </c>
      <c r="D681" s="39"/>
      <c r="E681" s="39"/>
    </row>
    <row r="682" spans="1:5" ht="15.6">
      <c r="A682">
        <v>627</v>
      </c>
      <c r="B682" s="166">
        <v>100.60162959379312</v>
      </c>
      <c r="D682" s="39"/>
      <c r="E682" s="39"/>
    </row>
    <row r="683" spans="1:5" ht="15.6">
      <c r="A683">
        <v>628</v>
      </c>
      <c r="B683" s="166">
        <v>73.934269047240974</v>
      </c>
      <c r="D683" s="39"/>
      <c r="E683" s="39"/>
    </row>
    <row r="684" spans="1:5" ht="15.6">
      <c r="A684">
        <v>629</v>
      </c>
      <c r="B684" s="166">
        <v>181.48240211824887</v>
      </c>
      <c r="D684" s="39"/>
      <c r="E684" s="39"/>
    </row>
    <row r="685" spans="1:5" ht="15.6">
      <c r="A685">
        <v>630</v>
      </c>
      <c r="B685" s="166">
        <v>154.4972166522908</v>
      </c>
      <c r="D685" s="39"/>
      <c r="E685" s="39"/>
    </row>
    <row r="686" spans="1:5" ht="15.6">
      <c r="A686">
        <v>631</v>
      </c>
      <c r="B686" s="166">
        <v>128.97942373598192</v>
      </c>
      <c r="D686" s="39"/>
      <c r="E686" s="39"/>
    </row>
    <row r="687" spans="1:5" ht="15.6">
      <c r="A687">
        <v>632</v>
      </c>
      <c r="B687" s="166">
        <v>54.955982583060006</v>
      </c>
      <c r="D687" s="39"/>
      <c r="E687" s="39"/>
    </row>
    <row r="688" spans="1:5" ht="15.6">
      <c r="A688">
        <v>633</v>
      </c>
      <c r="B688" s="166">
        <v>175.45403238821009</v>
      </c>
      <c r="D688" s="39"/>
      <c r="E688" s="39"/>
    </row>
    <row r="689" spans="1:5" ht="15.6">
      <c r="A689">
        <v>634</v>
      </c>
      <c r="B689" s="166">
        <v>63.03894433169306</v>
      </c>
      <c r="D689" s="39"/>
      <c r="E689" s="39"/>
    </row>
    <row r="690" spans="1:5" ht="15.6">
      <c r="A690">
        <v>635</v>
      </c>
      <c r="B690" s="166">
        <v>70.618320799964764</v>
      </c>
      <c r="D690" s="39"/>
      <c r="E690" s="39"/>
    </row>
    <row r="691" spans="1:5" ht="15.6">
      <c r="A691">
        <v>636</v>
      </c>
      <c r="B691" s="166">
        <v>150.24225704410938</v>
      </c>
      <c r="D691" s="39"/>
      <c r="E691" s="39"/>
    </row>
    <row r="692" spans="1:5" ht="15.6">
      <c r="A692">
        <v>637</v>
      </c>
      <c r="B692" s="166">
        <v>69.098925587538886</v>
      </c>
      <c r="D692" s="39"/>
      <c r="E692" s="39"/>
    </row>
    <row r="693" spans="1:5" ht="15.6">
      <c r="A693">
        <v>638</v>
      </c>
      <c r="B693" s="166">
        <v>130.33874237589711</v>
      </c>
      <c r="D693" s="39"/>
      <c r="E693" s="39"/>
    </row>
    <row r="694" spans="1:5" ht="15.6">
      <c r="A694">
        <v>639</v>
      </c>
      <c r="B694" s="166">
        <v>101.42199429023937</v>
      </c>
      <c r="D694" s="39"/>
      <c r="E694" s="39"/>
    </row>
    <row r="695" spans="1:5" ht="15.6">
      <c r="A695">
        <v>640</v>
      </c>
      <c r="B695" s="166">
        <v>144.96184715795553</v>
      </c>
      <c r="D695" s="39"/>
      <c r="E695" s="39"/>
    </row>
    <row r="696" spans="1:5" ht="15.6">
      <c r="A696">
        <v>641</v>
      </c>
      <c r="B696" s="166">
        <v>79.471326376721009</v>
      </c>
      <c r="D696" s="39"/>
      <c r="E696" s="39"/>
    </row>
    <row r="697" spans="1:5" ht="15.6">
      <c r="A697">
        <v>642</v>
      </c>
      <c r="B697" s="166">
        <v>105.49877520668215</v>
      </c>
      <c r="D697" s="39"/>
      <c r="E697" s="39"/>
    </row>
    <row r="698" spans="1:5" ht="15.6">
      <c r="A698">
        <v>643</v>
      </c>
      <c r="B698" s="166">
        <v>123.74950125832721</v>
      </c>
      <c r="D698" s="39"/>
      <c r="E698" s="39"/>
    </row>
    <row r="699" spans="1:5" ht="15.6">
      <c r="A699">
        <v>644</v>
      </c>
      <c r="B699" s="166">
        <v>128.58832607749943</v>
      </c>
      <c r="D699" s="39"/>
      <c r="E699" s="39"/>
    </row>
    <row r="700" spans="1:5" ht="15.6">
      <c r="A700">
        <v>645</v>
      </c>
      <c r="B700" s="166">
        <v>175.95570490067223</v>
      </c>
      <c r="D700" s="39"/>
      <c r="E700" s="39"/>
    </row>
    <row r="701" spans="1:5" ht="15.6">
      <c r="A701">
        <v>646</v>
      </c>
      <c r="B701" s="166">
        <v>150.25709193273786</v>
      </c>
      <c r="D701" s="39"/>
      <c r="E701" s="39"/>
    </row>
    <row r="702" spans="1:5" ht="15.6">
      <c r="A702">
        <v>647</v>
      </c>
      <c r="B702" s="166">
        <v>121.36150692998862</v>
      </c>
      <c r="D702" s="39"/>
      <c r="E702" s="39"/>
    </row>
    <row r="703" spans="1:5" ht="15.6">
      <c r="A703">
        <v>648</v>
      </c>
      <c r="B703" s="166">
        <v>122.03319050296822</v>
      </c>
      <c r="D703" s="39"/>
      <c r="E703" s="39"/>
    </row>
    <row r="704" spans="1:5" ht="15.6">
      <c r="A704">
        <v>649</v>
      </c>
      <c r="B704" s="166">
        <v>69.801997711824825</v>
      </c>
      <c r="D704" s="39"/>
      <c r="E704" s="39"/>
    </row>
    <row r="705" spans="1:5" ht="15.6">
      <c r="A705">
        <v>650</v>
      </c>
      <c r="B705" s="166">
        <v>124.84347616190774</v>
      </c>
      <c r="D705" s="39"/>
      <c r="E705" s="39"/>
    </row>
    <row r="706" spans="1:5" ht="15.6">
      <c r="A706">
        <v>651</v>
      </c>
      <c r="B706" s="166">
        <v>109.85737285483295</v>
      </c>
      <c r="D706" s="39"/>
      <c r="E706" s="39"/>
    </row>
    <row r="707" spans="1:5" ht="15.6">
      <c r="A707">
        <v>652</v>
      </c>
      <c r="B707" s="166">
        <v>87.467318110166616</v>
      </c>
      <c r="D707" s="39"/>
      <c r="E707" s="39"/>
    </row>
    <row r="708" spans="1:5" ht="15.6">
      <c r="A708">
        <v>653</v>
      </c>
      <c r="B708" s="166">
        <v>118.14464027278628</v>
      </c>
      <c r="D708" s="39"/>
      <c r="E708" s="39"/>
    </row>
    <row r="709" spans="1:5" ht="15.6">
      <c r="A709">
        <v>654</v>
      </c>
      <c r="B709" s="166">
        <v>81.52724975852351</v>
      </c>
      <c r="D709" s="39"/>
      <c r="E709" s="39"/>
    </row>
    <row r="710" spans="1:5" ht="15.6">
      <c r="A710">
        <v>655</v>
      </c>
      <c r="B710" s="166">
        <v>81.929015073790069</v>
      </c>
      <c r="D710" s="39"/>
      <c r="E710" s="39"/>
    </row>
    <row r="711" spans="1:5" ht="15.6">
      <c r="A711">
        <v>656</v>
      </c>
      <c r="B711" s="166">
        <v>89.642855518915127</v>
      </c>
      <c r="D711" s="39"/>
      <c r="E711" s="39"/>
    </row>
    <row r="712" spans="1:5" ht="15.6">
      <c r="A712">
        <v>657</v>
      </c>
      <c r="B712" s="166">
        <v>96.33369709209056</v>
      </c>
      <c r="D712" s="39"/>
      <c r="E712" s="39"/>
    </row>
    <row r="713" spans="1:5" ht="15.6">
      <c r="A713">
        <v>658</v>
      </c>
      <c r="B713" s="166">
        <v>112.56992740796451</v>
      </c>
      <c r="D713" s="39"/>
      <c r="E713" s="39"/>
    </row>
    <row r="714" spans="1:5" ht="15.6">
      <c r="A714">
        <v>659</v>
      </c>
      <c r="B714" s="166">
        <v>91.388309424771904</v>
      </c>
      <c r="D714" s="39"/>
      <c r="E714" s="39"/>
    </row>
    <row r="715" spans="1:5" ht="15.6">
      <c r="A715">
        <v>660</v>
      </c>
      <c r="B715" s="166">
        <v>83.174499048249089</v>
      </c>
      <c r="D715" s="39"/>
      <c r="E715" s="39"/>
    </row>
    <row r="716" spans="1:5" ht="15.6">
      <c r="A716">
        <v>661</v>
      </c>
      <c r="B716" s="166">
        <v>99.764142527129096</v>
      </c>
      <c r="D716" s="39"/>
      <c r="E716" s="39"/>
    </row>
    <row r="717" spans="1:5" ht="15.6">
      <c r="A717">
        <v>662</v>
      </c>
      <c r="B717" s="166">
        <v>124.83252329368543</v>
      </c>
      <c r="D717" s="39"/>
      <c r="E717" s="39"/>
    </row>
    <row r="718" spans="1:5" ht="15.6">
      <c r="A718">
        <v>663</v>
      </c>
      <c r="B718" s="166">
        <v>128.83152296641543</v>
      </c>
      <c r="D718" s="39"/>
      <c r="E718" s="39"/>
    </row>
    <row r="719" spans="1:5" ht="15.6">
      <c r="A719">
        <v>664</v>
      </c>
      <c r="B719" s="166">
        <v>69.020566496126349</v>
      </c>
      <c r="D719" s="39"/>
      <c r="E719" s="39"/>
    </row>
    <row r="720" spans="1:5" ht="15.6">
      <c r="A720">
        <v>665</v>
      </c>
      <c r="B720" s="166">
        <v>92.312476391246989</v>
      </c>
      <c r="D720" s="39"/>
      <c r="E720" s="39"/>
    </row>
    <row r="721" spans="1:5" ht="15.6">
      <c r="A721">
        <v>666</v>
      </c>
      <c r="B721" s="166">
        <v>134.17107025963594</v>
      </c>
      <c r="D721" s="39"/>
      <c r="E721" s="39"/>
    </row>
    <row r="722" spans="1:5" ht="15.6">
      <c r="A722">
        <v>667</v>
      </c>
      <c r="B722" s="166">
        <v>175.8939300231915</v>
      </c>
      <c r="D722" s="39"/>
      <c r="E722" s="39"/>
    </row>
    <row r="723" spans="1:5" ht="15.6">
      <c r="A723">
        <v>668</v>
      </c>
      <c r="B723" s="166">
        <v>147.55464957427463</v>
      </c>
      <c r="D723" s="39"/>
      <c r="E723" s="39"/>
    </row>
    <row r="724" spans="1:5" ht="15.6">
      <c r="A724">
        <v>669</v>
      </c>
      <c r="B724" s="166">
        <v>62.505038349490235</v>
      </c>
      <c r="D724" s="39"/>
      <c r="E724" s="39"/>
    </row>
    <row r="725" spans="1:5" ht="15.6">
      <c r="A725">
        <v>670</v>
      </c>
      <c r="B725" s="166">
        <v>112.04567264163933</v>
      </c>
      <c r="D725" s="39"/>
      <c r="E725" s="39"/>
    </row>
    <row r="726" spans="1:5" ht="15.6">
      <c r="A726">
        <v>671</v>
      </c>
      <c r="B726" s="166">
        <v>119.30942662267533</v>
      </c>
      <c r="D726" s="39"/>
      <c r="E726" s="39"/>
    </row>
    <row r="727" spans="1:5" ht="15.6">
      <c r="A727">
        <v>672</v>
      </c>
      <c r="B727" s="166">
        <v>77.567335676247595</v>
      </c>
      <c r="D727" s="39"/>
      <c r="E727" s="39"/>
    </row>
    <row r="728" spans="1:5" ht="15.6">
      <c r="A728">
        <v>673</v>
      </c>
      <c r="B728" s="166">
        <v>98.680289975204829</v>
      </c>
      <c r="D728" s="39"/>
      <c r="E728" s="39"/>
    </row>
    <row r="729" spans="1:5" ht="15.6">
      <c r="A729">
        <v>674</v>
      </c>
      <c r="B729" s="166">
        <v>122.72450674266767</v>
      </c>
      <c r="D729" s="39"/>
      <c r="E729" s="39"/>
    </row>
    <row r="730" spans="1:5" ht="15.6">
      <c r="A730">
        <v>675</v>
      </c>
      <c r="B730" s="166">
        <v>125.49340961261132</v>
      </c>
      <c r="D730" s="39"/>
      <c r="E730" s="39"/>
    </row>
    <row r="731" spans="1:5" ht="15.6">
      <c r="A731">
        <v>676</v>
      </c>
      <c r="B731" s="166">
        <v>114.04412393240135</v>
      </c>
      <c r="D731" s="39"/>
      <c r="E731" s="39"/>
    </row>
    <row r="732" spans="1:5" ht="15.6">
      <c r="A732">
        <v>677</v>
      </c>
      <c r="B732" s="166">
        <v>152.76353445656076</v>
      </c>
      <c r="D732" s="39"/>
      <c r="E732" s="39"/>
    </row>
    <row r="733" spans="1:5" ht="15.6">
      <c r="A733">
        <v>678</v>
      </c>
      <c r="B733" s="166">
        <v>99.690131775715841</v>
      </c>
      <c r="D733" s="39"/>
      <c r="E733" s="39"/>
    </row>
    <row r="734" spans="1:5" ht="15.6">
      <c r="A734">
        <v>679</v>
      </c>
      <c r="B734" s="166">
        <v>122.62456364536823</v>
      </c>
      <c r="D734" s="39"/>
      <c r="E734" s="39"/>
    </row>
    <row r="735" spans="1:5" ht="15.6">
      <c r="A735">
        <v>680</v>
      </c>
      <c r="B735" s="166">
        <v>86.055417398895571</v>
      </c>
      <c r="D735" s="39"/>
      <c r="E735" s="39"/>
    </row>
    <row r="736" spans="1:5" ht="15.6">
      <c r="A736">
        <v>681</v>
      </c>
      <c r="B736" s="166">
        <v>81.444969436463353</v>
      </c>
      <c r="D736" s="39"/>
      <c r="E736" s="39"/>
    </row>
    <row r="737" spans="1:5" ht="15.6">
      <c r="A737">
        <v>682</v>
      </c>
      <c r="B737" s="166">
        <v>101.10504325681192</v>
      </c>
      <c r="D737" s="39"/>
      <c r="E737" s="39"/>
    </row>
    <row r="738" spans="1:5" ht="15.6">
      <c r="A738">
        <v>683</v>
      </c>
      <c r="B738" s="166">
        <v>76.111329776849971</v>
      </c>
      <c r="D738" s="39"/>
      <c r="E738" s="39"/>
    </row>
    <row r="739" spans="1:5" ht="15.6">
      <c r="A739">
        <v>684</v>
      </c>
      <c r="B739" s="166">
        <v>140.87180949726371</v>
      </c>
      <c r="D739" s="39"/>
      <c r="E739" s="39"/>
    </row>
    <row r="740" spans="1:5" ht="15.6">
      <c r="A740">
        <v>685</v>
      </c>
      <c r="B740" s="166">
        <v>100.01628092919778</v>
      </c>
      <c r="D740" s="39"/>
      <c r="E740" s="39"/>
    </row>
    <row r="741" spans="1:5" ht="15.6">
      <c r="A741">
        <v>686</v>
      </c>
      <c r="B741" s="166">
        <v>239.86699532937354</v>
      </c>
      <c r="D741" s="39"/>
      <c r="E741" s="39"/>
    </row>
    <row r="742" spans="1:5" ht="15.6">
      <c r="A742">
        <v>687</v>
      </c>
      <c r="B742" s="166">
        <v>214.97530382096809</v>
      </c>
      <c r="D742" s="39"/>
      <c r="E742" s="39"/>
    </row>
    <row r="743" spans="1:5" ht="15.6">
      <c r="A743">
        <v>688</v>
      </c>
      <c r="B743" s="166">
        <v>76.583693957141108</v>
      </c>
      <c r="D743" s="39"/>
      <c r="E743" s="39"/>
    </row>
    <row r="744" spans="1:5" ht="15.6">
      <c r="A744">
        <v>689</v>
      </c>
      <c r="B744" s="166">
        <v>175.28561958316561</v>
      </c>
      <c r="D744" s="39"/>
      <c r="E744" s="39"/>
    </row>
    <row r="745" spans="1:5" ht="15.6">
      <c r="A745">
        <v>690</v>
      </c>
      <c r="B745" s="166">
        <v>157.77014319859916</v>
      </c>
      <c r="D745" s="39"/>
      <c r="E745" s="39"/>
    </row>
    <row r="746" spans="1:5" ht="15.6">
      <c r="A746">
        <v>691</v>
      </c>
      <c r="B746" s="166">
        <v>47.123853291276632</v>
      </c>
      <c r="D746" s="39"/>
      <c r="E746" s="39"/>
    </row>
    <row r="747" spans="1:5" ht="15.6">
      <c r="A747">
        <v>692</v>
      </c>
      <c r="B747" s="166">
        <v>78.024357081438822</v>
      </c>
      <c r="D747" s="39"/>
      <c r="E747" s="39"/>
    </row>
    <row r="748" spans="1:5" ht="15.6">
      <c r="A748">
        <v>693</v>
      </c>
      <c r="B748" s="166">
        <v>73.900864923068809</v>
      </c>
      <c r="D748" s="39"/>
      <c r="E748" s="39"/>
    </row>
    <row r="749" spans="1:5" ht="15.6">
      <c r="A749">
        <v>694</v>
      </c>
      <c r="B749" s="166">
        <v>140.12519270338663</v>
      </c>
      <c r="D749" s="39"/>
      <c r="E749" s="39"/>
    </row>
    <row r="750" spans="1:5" ht="15.6">
      <c r="A750">
        <v>695</v>
      </c>
      <c r="B750" s="166">
        <v>78.811522761767151</v>
      </c>
      <c r="D750" s="39"/>
      <c r="E750" s="39"/>
    </row>
    <row r="751" spans="1:5" ht="15.6">
      <c r="A751">
        <v>696</v>
      </c>
      <c r="B751" s="166">
        <v>67.170316142828398</v>
      </c>
      <c r="D751" s="39"/>
      <c r="E751" s="39"/>
    </row>
    <row r="752" spans="1:5" ht="15.6">
      <c r="A752">
        <v>697</v>
      </c>
      <c r="B752" s="166">
        <v>108.04601108419068</v>
      </c>
      <c r="D752" s="39"/>
      <c r="E752" s="39"/>
    </row>
    <row r="753" spans="1:5" ht="15.6">
      <c r="A753">
        <v>698</v>
      </c>
      <c r="B753" s="166">
        <v>118.74659332143688</v>
      </c>
      <c r="D753" s="39"/>
      <c r="E753" s="39"/>
    </row>
    <row r="754" spans="1:5" ht="15.6">
      <c r="A754">
        <v>699</v>
      </c>
      <c r="B754" s="166">
        <v>90.218179940300232</v>
      </c>
      <c r="D754" s="39"/>
      <c r="E754" s="39"/>
    </row>
    <row r="755" spans="1:5" ht="15.6">
      <c r="A755">
        <v>700</v>
      </c>
      <c r="B755" s="166">
        <v>84.477885724955939</v>
      </c>
      <c r="D755" s="39"/>
      <c r="E755" s="39"/>
    </row>
    <row r="756" spans="1:5" ht="15.6">
      <c r="A756">
        <v>701</v>
      </c>
      <c r="B756" s="166">
        <v>144.31578496917624</v>
      </c>
      <c r="D756" s="39"/>
      <c r="E756" s="39"/>
    </row>
    <row r="757" spans="1:5" ht="15.6">
      <c r="A757">
        <v>702</v>
      </c>
      <c r="B757" s="166">
        <v>53.277369142866391</v>
      </c>
      <c r="D757" s="39"/>
      <c r="E757" s="39"/>
    </row>
    <row r="758" spans="1:5" ht="15.6">
      <c r="A758">
        <v>703</v>
      </c>
      <c r="B758" s="166">
        <v>78.748193256569877</v>
      </c>
      <c r="D758" s="39"/>
      <c r="E758" s="39"/>
    </row>
    <row r="759" spans="1:5" ht="15.6">
      <c r="A759">
        <v>704</v>
      </c>
      <c r="B759" s="166">
        <v>143.97231712771014</v>
      </c>
      <c r="D759" s="39"/>
      <c r="E759" s="39"/>
    </row>
    <row r="760" spans="1:5" ht="15.6">
      <c r="A760">
        <v>705</v>
      </c>
      <c r="B760" s="166">
        <v>78.414003567734369</v>
      </c>
      <c r="D760" s="39"/>
      <c r="E760" s="39"/>
    </row>
    <row r="761" spans="1:5" ht="15.6">
      <c r="A761">
        <v>706</v>
      </c>
      <c r="B761" s="166">
        <v>75.476219038284142</v>
      </c>
      <c r="D761" s="39"/>
      <c r="E761" s="39"/>
    </row>
    <row r="762" spans="1:5" ht="15.6">
      <c r="A762">
        <v>707</v>
      </c>
      <c r="B762" s="166">
        <v>90.815564540067641</v>
      </c>
      <c r="D762" s="39"/>
      <c r="E762" s="39"/>
    </row>
    <row r="763" spans="1:5" ht="15.6">
      <c r="A763">
        <v>708</v>
      </c>
      <c r="B763" s="166">
        <v>109.62273855385148</v>
      </c>
      <c r="D763" s="39"/>
      <c r="E763" s="39"/>
    </row>
    <row r="764" spans="1:5" ht="15.6">
      <c r="A764">
        <v>709</v>
      </c>
      <c r="B764" s="166">
        <v>113.92987255368732</v>
      </c>
      <c r="D764" s="39"/>
      <c r="E764" s="39"/>
    </row>
    <row r="765" spans="1:5" ht="15.6">
      <c r="A765">
        <v>710</v>
      </c>
      <c r="B765" s="166">
        <v>67.997610945256781</v>
      </c>
      <c r="D765" s="39"/>
      <c r="E765" s="39"/>
    </row>
    <row r="766" spans="1:5" ht="15.6">
      <c r="A766">
        <v>711</v>
      </c>
      <c r="B766" s="166">
        <v>134.64108661311818</v>
      </c>
      <c r="D766" s="39"/>
      <c r="E766" s="39"/>
    </row>
    <row r="767" spans="1:5" ht="15.6">
      <c r="A767">
        <v>712</v>
      </c>
      <c r="B767" s="166">
        <v>131.60160947902762</v>
      </c>
      <c r="D767" s="39"/>
      <c r="E767" s="39"/>
    </row>
    <row r="768" spans="1:5" ht="15.6">
      <c r="A768">
        <v>713</v>
      </c>
      <c r="B768" s="166">
        <v>169.32713271793219</v>
      </c>
      <c r="D768" s="39"/>
      <c r="E768" s="39"/>
    </row>
    <row r="769" spans="1:5" ht="15.6">
      <c r="A769">
        <v>714</v>
      </c>
      <c r="B769" s="166">
        <v>108.24082123215631</v>
      </c>
      <c r="D769" s="39"/>
      <c r="E769" s="39"/>
    </row>
    <row r="770" spans="1:5" ht="15.6">
      <c r="A770">
        <v>715</v>
      </c>
      <c r="B770" s="166">
        <v>144.53461674504373</v>
      </c>
      <c r="D770" s="39"/>
      <c r="E770" s="39"/>
    </row>
    <row r="771" spans="1:5" ht="15.6">
      <c r="A771">
        <v>716</v>
      </c>
      <c r="B771" s="166">
        <v>140.03054042237017</v>
      </c>
      <c r="D771" s="39"/>
      <c r="E771" s="39"/>
    </row>
    <row r="772" spans="1:5" ht="15.6">
      <c r="A772">
        <v>717</v>
      </c>
      <c r="B772" s="166">
        <v>70.219621769848374</v>
      </c>
      <c r="D772" s="39"/>
      <c r="E772" s="39"/>
    </row>
    <row r="773" spans="1:5" ht="15.6">
      <c r="A773">
        <v>718</v>
      </c>
      <c r="B773" s="166">
        <v>168.91122412136974</v>
      </c>
      <c r="D773" s="39"/>
      <c r="E773" s="39"/>
    </row>
    <row r="774" spans="1:5" ht="15.6">
      <c r="A774">
        <v>719</v>
      </c>
      <c r="B774" s="166">
        <v>199.36845615140763</v>
      </c>
      <c r="D774" s="39"/>
      <c r="E774" s="39"/>
    </row>
    <row r="775" spans="1:5" ht="15.6">
      <c r="A775">
        <v>720</v>
      </c>
      <c r="B775" s="166">
        <v>152.85582778654455</v>
      </c>
      <c r="D775" s="39"/>
      <c r="E775" s="39"/>
    </row>
    <row r="776" spans="1:5" ht="15.6">
      <c r="A776">
        <v>721</v>
      </c>
      <c r="B776" s="166">
        <v>92.911171246686465</v>
      </c>
      <c r="D776" s="39"/>
      <c r="E776" s="39"/>
    </row>
    <row r="777" spans="1:5" ht="15.6">
      <c r="A777">
        <v>722</v>
      </c>
      <c r="B777" s="166">
        <v>67.600498067969113</v>
      </c>
      <c r="D777" s="39"/>
      <c r="E777" s="39"/>
    </row>
    <row r="778" spans="1:5" ht="15.6">
      <c r="A778">
        <v>723</v>
      </c>
      <c r="B778" s="166">
        <v>71.742731290951482</v>
      </c>
      <c r="D778" s="39"/>
      <c r="E778" s="39"/>
    </row>
    <row r="779" spans="1:5" ht="15.6">
      <c r="A779">
        <v>724</v>
      </c>
      <c r="B779" s="166">
        <v>66.892222959136632</v>
      </c>
      <c r="D779" s="39"/>
      <c r="E779" s="39"/>
    </row>
    <row r="780" spans="1:5" ht="15.6">
      <c r="A780">
        <v>725</v>
      </c>
      <c r="B780" s="166">
        <v>91.954211944633855</v>
      </c>
      <c r="D780" s="39"/>
      <c r="E780" s="39"/>
    </row>
    <row r="781" spans="1:5" ht="15.6">
      <c r="A781">
        <v>726</v>
      </c>
      <c r="B781" s="166">
        <v>147.82319333131349</v>
      </c>
      <c r="D781" s="39"/>
      <c r="E781" s="39"/>
    </row>
    <row r="782" spans="1:5" ht="15.6">
      <c r="A782">
        <v>727</v>
      </c>
      <c r="B782" s="166">
        <v>95.98350090887692</v>
      </c>
      <c r="D782" s="39"/>
      <c r="E782" s="39"/>
    </row>
    <row r="783" spans="1:5" ht="15.6">
      <c r="A783">
        <v>728</v>
      </c>
      <c r="B783" s="166">
        <v>61.593782568539346</v>
      </c>
      <c r="D783" s="39"/>
      <c r="E783" s="39"/>
    </row>
    <row r="784" spans="1:5" ht="15.6">
      <c r="A784">
        <v>729</v>
      </c>
      <c r="B784" s="166">
        <v>108.79845887442782</v>
      </c>
      <c r="D784" s="39"/>
      <c r="E784" s="39"/>
    </row>
    <row r="785" spans="1:5" ht="15.6">
      <c r="A785">
        <v>730</v>
      </c>
      <c r="B785" s="166">
        <v>119.63885914095678</v>
      </c>
      <c r="D785" s="39"/>
      <c r="E785" s="39"/>
    </row>
    <row r="786" spans="1:5" ht="15.6">
      <c r="A786">
        <v>731</v>
      </c>
      <c r="B786" s="166">
        <v>143.11353378273859</v>
      </c>
      <c r="D786" s="39"/>
      <c r="E786" s="39"/>
    </row>
    <row r="787" spans="1:5" ht="15.6">
      <c r="A787">
        <v>732</v>
      </c>
      <c r="B787" s="166">
        <v>90.004567785148126</v>
      </c>
      <c r="D787" s="39"/>
      <c r="E787" s="39"/>
    </row>
    <row r="788" spans="1:5" ht="15.6">
      <c r="A788">
        <v>733</v>
      </c>
      <c r="B788" s="166">
        <v>211.16624704474742</v>
      </c>
      <c r="D788" s="39"/>
      <c r="E788" s="39"/>
    </row>
    <row r="789" spans="1:5" ht="15.6">
      <c r="A789">
        <v>734</v>
      </c>
      <c r="B789" s="166">
        <v>162.75039681826695</v>
      </c>
      <c r="D789" s="39"/>
      <c r="E789" s="39"/>
    </row>
    <row r="790" spans="1:5" ht="15.6">
      <c r="A790">
        <v>735</v>
      </c>
      <c r="B790" s="166">
        <v>167.08245128703044</v>
      </c>
      <c r="D790" s="39"/>
      <c r="E790" s="39"/>
    </row>
    <row r="791" spans="1:5" ht="15.6">
      <c r="A791">
        <v>736</v>
      </c>
      <c r="B791" s="166">
        <v>69.096739066542796</v>
      </c>
      <c r="D791" s="39"/>
      <c r="E791" s="39"/>
    </row>
    <row r="792" spans="1:5" ht="15.6">
      <c r="A792">
        <v>737</v>
      </c>
      <c r="B792" s="166">
        <v>90.212788653533892</v>
      </c>
      <c r="D792" s="39"/>
      <c r="E792" s="39"/>
    </row>
    <row r="793" spans="1:5" ht="15.6">
      <c r="A793">
        <v>738</v>
      </c>
      <c r="B793" s="166">
        <v>47.441368814465953</v>
      </c>
      <c r="D793" s="39"/>
      <c r="E793" s="39"/>
    </row>
    <row r="794" spans="1:5" ht="15.6">
      <c r="A794">
        <v>739</v>
      </c>
      <c r="B794" s="166">
        <v>67.706878999142958</v>
      </c>
      <c r="D794" s="39"/>
      <c r="E794" s="39"/>
    </row>
    <row r="795" spans="1:5" ht="15.6">
      <c r="A795">
        <v>740</v>
      </c>
      <c r="B795" s="166">
        <v>62.027827917000572</v>
      </c>
      <c r="D795" s="39"/>
      <c r="E795" s="39"/>
    </row>
    <row r="796" spans="1:5" ht="15.6">
      <c r="A796">
        <v>741</v>
      </c>
      <c r="B796" s="166">
        <v>79.491288555953759</v>
      </c>
      <c r="D796" s="39"/>
      <c r="E796" s="39"/>
    </row>
    <row r="797" spans="1:5" ht="15.6">
      <c r="A797">
        <v>742</v>
      </c>
      <c r="B797" s="166">
        <v>142.82273881397808</v>
      </c>
      <c r="D797" s="39"/>
      <c r="E797" s="39"/>
    </row>
    <row r="798" spans="1:5" ht="15.6">
      <c r="A798">
        <v>743</v>
      </c>
      <c r="B798" s="166">
        <v>77.080755142769007</v>
      </c>
      <c r="D798" s="39"/>
      <c r="E798" s="39"/>
    </row>
    <row r="799" spans="1:5" ht="15.6">
      <c r="A799">
        <v>744</v>
      </c>
      <c r="B799" s="166">
        <v>119.18047454430108</v>
      </c>
      <c r="D799" s="39"/>
      <c r="E799" s="39"/>
    </row>
    <row r="800" spans="1:5" ht="15.6">
      <c r="A800">
        <v>745</v>
      </c>
      <c r="B800" s="166">
        <v>73.991656957337867</v>
      </c>
      <c r="D800" s="39"/>
      <c r="E800" s="39"/>
    </row>
    <row r="801" spans="1:5" ht="15.6">
      <c r="A801">
        <v>746</v>
      </c>
      <c r="B801" s="166">
        <v>72.806305325283503</v>
      </c>
      <c r="D801" s="39"/>
      <c r="E801" s="39"/>
    </row>
    <row r="802" spans="1:5" ht="15.6">
      <c r="A802">
        <v>747</v>
      </c>
      <c r="B802" s="166">
        <v>240.1862869785256</v>
      </c>
      <c r="D802" s="39"/>
      <c r="E802" s="39"/>
    </row>
    <row r="803" spans="1:5" ht="15.6">
      <c r="A803">
        <v>748</v>
      </c>
      <c r="B803" s="166">
        <v>69.441940440522302</v>
      </c>
      <c r="D803" s="39"/>
      <c r="E803" s="39"/>
    </row>
    <row r="804" spans="1:5" ht="15.6">
      <c r="A804">
        <v>749</v>
      </c>
      <c r="B804" s="166">
        <v>97.897595085803317</v>
      </c>
      <c r="D804" s="39"/>
      <c r="E804" s="39"/>
    </row>
    <row r="805" spans="1:5" ht="15.6">
      <c r="A805">
        <v>750</v>
      </c>
      <c r="B805" s="166">
        <v>183.28413793425148</v>
      </c>
      <c r="D805" s="39"/>
      <c r="E805" s="39"/>
    </row>
    <row r="806" spans="1:5" ht="15.6">
      <c r="A806">
        <v>751</v>
      </c>
      <c r="B806" s="166">
        <v>137.79881791797391</v>
      </c>
      <c r="D806" s="39"/>
      <c r="E806" s="39"/>
    </row>
    <row r="807" spans="1:5" ht="15.6">
      <c r="A807">
        <v>752</v>
      </c>
      <c r="B807" s="166">
        <v>78.818605352401917</v>
      </c>
      <c r="D807" s="39"/>
      <c r="E807" s="39"/>
    </row>
    <row r="808" spans="1:5" ht="15.6">
      <c r="A808">
        <v>753</v>
      </c>
      <c r="B808" s="166">
        <v>103.17612134872807</v>
      </c>
      <c r="D808" s="39"/>
      <c r="E808" s="39"/>
    </row>
    <row r="809" spans="1:5" ht="15.6">
      <c r="A809">
        <v>754</v>
      </c>
      <c r="B809" s="166">
        <v>183.44122495249255</v>
      </c>
      <c r="D809" s="39"/>
      <c r="E809" s="39"/>
    </row>
    <row r="810" spans="1:5" ht="15.6">
      <c r="A810">
        <v>755</v>
      </c>
      <c r="B810" s="166">
        <v>76.980383840282997</v>
      </c>
      <c r="D810" s="39"/>
      <c r="E810" s="39"/>
    </row>
    <row r="811" spans="1:5" ht="15.6">
      <c r="A811">
        <v>756</v>
      </c>
      <c r="B811" s="166">
        <v>72.75779767071522</v>
      </c>
      <c r="D811" s="39"/>
      <c r="E811" s="39"/>
    </row>
    <row r="812" spans="1:5" ht="15.6">
      <c r="A812">
        <v>757</v>
      </c>
      <c r="B812" s="166">
        <v>85.907300106820244</v>
      </c>
      <c r="D812" s="39"/>
      <c r="E812" s="39"/>
    </row>
    <row r="813" spans="1:5" ht="15.6">
      <c r="A813">
        <v>758</v>
      </c>
      <c r="B813" s="166">
        <v>161.66662036711989</v>
      </c>
      <c r="D813" s="39"/>
      <c r="E813" s="39"/>
    </row>
    <row r="814" spans="1:5" ht="15.6">
      <c r="A814">
        <v>759</v>
      </c>
      <c r="B814" s="166">
        <v>115.22606314389608</v>
      </c>
      <c r="D814" s="39"/>
      <c r="E814" s="39"/>
    </row>
    <row r="815" spans="1:5" ht="15.6">
      <c r="A815">
        <v>760</v>
      </c>
      <c r="B815" s="166">
        <v>66.006370353605675</v>
      </c>
      <c r="D815" s="39"/>
      <c r="E815" s="39"/>
    </row>
    <row r="816" spans="1:5" ht="15.6">
      <c r="A816">
        <v>761</v>
      </c>
      <c r="B816" s="166">
        <v>139.42238068209852</v>
      </c>
      <c r="D816" s="39"/>
      <c r="E816" s="39"/>
    </row>
    <row r="817" spans="1:5" ht="15.6">
      <c r="A817">
        <v>762</v>
      </c>
      <c r="B817" s="166">
        <v>133.82757103875679</v>
      </c>
      <c r="D817" s="39"/>
      <c r="E817" s="39"/>
    </row>
    <row r="818" spans="1:5" ht="15.6">
      <c r="A818">
        <v>763</v>
      </c>
      <c r="B818" s="166">
        <v>239.84981818264077</v>
      </c>
      <c r="D818" s="39"/>
      <c r="E818" s="39"/>
    </row>
    <row r="819" spans="1:5" ht="15.6">
      <c r="A819">
        <v>764</v>
      </c>
      <c r="B819" s="166">
        <v>125.36125780161662</v>
      </c>
      <c r="D819" s="39"/>
      <c r="E819" s="39"/>
    </row>
    <row r="820" spans="1:5" ht="15.6">
      <c r="A820">
        <v>765</v>
      </c>
      <c r="B820" s="166">
        <v>106.9671662025949</v>
      </c>
      <c r="D820" s="39"/>
      <c r="E820" s="39"/>
    </row>
    <row r="821" spans="1:5" ht="15.6">
      <c r="A821">
        <v>766</v>
      </c>
      <c r="B821" s="166">
        <v>178.09956469553723</v>
      </c>
      <c r="D821" s="39"/>
      <c r="E821" s="39"/>
    </row>
    <row r="822" spans="1:5" ht="15.6">
      <c r="A822">
        <v>767</v>
      </c>
      <c r="B822" s="166">
        <v>123.00019041516117</v>
      </c>
      <c r="D822" s="39"/>
      <c r="E822" s="39"/>
    </row>
    <row r="823" spans="1:5" ht="15.6">
      <c r="A823">
        <v>768</v>
      </c>
      <c r="B823" s="166">
        <v>114.04557497252524</v>
      </c>
      <c r="D823" s="39"/>
      <c r="E823" s="39"/>
    </row>
    <row r="824" spans="1:5" ht="15.6">
      <c r="A824">
        <v>769</v>
      </c>
      <c r="B824" s="166">
        <v>60.603085421037356</v>
      </c>
      <c r="D824" s="39"/>
      <c r="E824" s="39"/>
    </row>
    <row r="825" spans="1:5" ht="15.6">
      <c r="A825">
        <v>770</v>
      </c>
      <c r="B825" s="166">
        <v>115.39430011015696</v>
      </c>
      <c r="D825" s="39"/>
      <c r="E825" s="39"/>
    </row>
    <row r="826" spans="1:5" ht="15.6">
      <c r="A826">
        <v>771</v>
      </c>
      <c r="B826" s="166">
        <v>114.09923113427598</v>
      </c>
      <c r="D826" s="39"/>
      <c r="E826" s="39"/>
    </row>
    <row r="827" spans="1:5" ht="15.6">
      <c r="A827">
        <v>772</v>
      </c>
      <c r="B827" s="166">
        <v>207.12645064801524</v>
      </c>
      <c r="D827" s="39"/>
      <c r="E827" s="39"/>
    </row>
    <row r="828" spans="1:5" ht="15.6">
      <c r="A828">
        <v>773</v>
      </c>
      <c r="B828" s="166">
        <v>71.25434691701895</v>
      </c>
      <c r="D828" s="39"/>
      <c r="E828" s="39"/>
    </row>
    <row r="829" spans="1:5" ht="15.6">
      <c r="A829">
        <v>774</v>
      </c>
      <c r="B829" s="166">
        <v>50.71226961000977</v>
      </c>
      <c r="D829" s="39"/>
      <c r="E829" s="39"/>
    </row>
    <row r="830" spans="1:5" ht="15.6">
      <c r="A830">
        <v>775</v>
      </c>
      <c r="B830" s="166">
        <v>167.87516991368227</v>
      </c>
      <c r="D830" s="39"/>
      <c r="E830" s="39"/>
    </row>
    <row r="831" spans="1:5" ht="15.6">
      <c r="A831">
        <v>776</v>
      </c>
      <c r="B831" s="166">
        <v>128.83707106223807</v>
      </c>
      <c r="D831" s="39"/>
      <c r="E831" s="39"/>
    </row>
    <row r="832" spans="1:5" ht="15.6">
      <c r="A832">
        <v>777</v>
      </c>
      <c r="B832" s="166">
        <v>200.8492108884592</v>
      </c>
      <c r="D832" s="39"/>
      <c r="E832" s="39"/>
    </row>
    <row r="833" spans="1:5" ht="15.6">
      <c r="A833">
        <v>778</v>
      </c>
      <c r="B833" s="166">
        <v>59.464158431914171</v>
      </c>
      <c r="D833" s="39"/>
      <c r="E833" s="39"/>
    </row>
    <row r="834" spans="1:5" ht="15.6">
      <c r="A834">
        <v>779</v>
      </c>
      <c r="B834" s="166">
        <v>93.820247144091979</v>
      </c>
      <c r="D834" s="39"/>
      <c r="E834" s="39"/>
    </row>
    <row r="835" spans="1:5" ht="15.6">
      <c r="A835">
        <v>780</v>
      </c>
      <c r="B835" s="166">
        <v>82.04314806541629</v>
      </c>
      <c r="D835" s="39"/>
      <c r="E835" s="39"/>
    </row>
    <row r="836" spans="1:5" ht="15.6">
      <c r="A836">
        <v>781</v>
      </c>
      <c r="B836" s="166">
        <v>112.25810558085465</v>
      </c>
      <c r="D836" s="39"/>
      <c r="E836" s="39"/>
    </row>
    <row r="837" spans="1:5" ht="15.6">
      <c r="A837">
        <v>782</v>
      </c>
      <c r="B837" s="166">
        <v>88.97683205565032</v>
      </c>
      <c r="D837" s="39"/>
      <c r="E837" s="39"/>
    </row>
    <row r="838" spans="1:5" ht="15.6">
      <c r="A838">
        <v>783</v>
      </c>
      <c r="B838" s="166">
        <v>120.19577794731667</v>
      </c>
      <c r="D838" s="39"/>
      <c r="E838" s="39"/>
    </row>
    <row r="839" spans="1:5" ht="15.6">
      <c r="A839">
        <v>784</v>
      </c>
      <c r="B839" s="166">
        <v>114.35422552652744</v>
      </c>
      <c r="D839" s="39"/>
      <c r="E839" s="39"/>
    </row>
    <row r="840" spans="1:5" ht="15.6">
      <c r="A840">
        <v>785</v>
      </c>
      <c r="B840" s="166">
        <v>101.72608626236946</v>
      </c>
      <c r="D840" s="39"/>
      <c r="E840" s="39"/>
    </row>
    <row r="841" spans="1:5" ht="15.6">
      <c r="A841">
        <v>786</v>
      </c>
      <c r="B841" s="166">
        <v>117.89860432649705</v>
      </c>
      <c r="D841" s="39"/>
      <c r="E841" s="39"/>
    </row>
    <row r="842" spans="1:5" ht="15.6">
      <c r="A842">
        <v>787</v>
      </c>
      <c r="B842" s="166">
        <v>131.78109012514028</v>
      </c>
      <c r="D842" s="39"/>
      <c r="E842" s="39"/>
    </row>
    <row r="843" spans="1:5" ht="15.6">
      <c r="A843">
        <v>788</v>
      </c>
      <c r="B843" s="166">
        <v>86.304641720377774</v>
      </c>
      <c r="D843" s="39"/>
      <c r="E843" s="39"/>
    </row>
    <row r="844" spans="1:5" ht="15.6">
      <c r="A844">
        <v>789</v>
      </c>
      <c r="B844" s="166">
        <v>65.770343108891637</v>
      </c>
      <c r="D844" s="39"/>
      <c r="E844" s="39"/>
    </row>
    <row r="845" spans="1:5" ht="15.6">
      <c r="A845">
        <v>790</v>
      </c>
      <c r="B845" s="166">
        <v>76.832722764700435</v>
      </c>
      <c r="D845" s="39"/>
      <c r="E845" s="39"/>
    </row>
    <row r="846" spans="1:5" ht="15.6">
      <c r="A846">
        <v>791</v>
      </c>
      <c r="B846" s="166">
        <v>51.312994278694902</v>
      </c>
      <c r="D846" s="39"/>
      <c r="E846" s="39"/>
    </row>
    <row r="847" spans="1:5" ht="15.6">
      <c r="A847">
        <v>792</v>
      </c>
      <c r="B847" s="166">
        <v>167.98362913151226</v>
      </c>
      <c r="D847" s="39"/>
      <c r="E847" s="39"/>
    </row>
    <row r="848" spans="1:5" ht="15.6">
      <c r="A848">
        <v>793</v>
      </c>
      <c r="B848" s="166">
        <v>95.945514823314056</v>
      </c>
      <c r="D848" s="39"/>
      <c r="E848" s="39"/>
    </row>
    <row r="849" spans="1:5" ht="15.6">
      <c r="A849">
        <v>794</v>
      </c>
      <c r="B849" s="166">
        <v>106.87833844812943</v>
      </c>
      <c r="D849" s="39"/>
      <c r="E849" s="39"/>
    </row>
    <row r="850" spans="1:5" ht="15.6">
      <c r="A850">
        <v>795</v>
      </c>
      <c r="B850" s="166">
        <v>111.38099890106696</v>
      </c>
      <c r="D850" s="39"/>
      <c r="E850" s="39"/>
    </row>
    <row r="851" spans="1:5" ht="15.6">
      <c r="A851">
        <v>796</v>
      </c>
      <c r="B851" s="166">
        <v>211.70065165061786</v>
      </c>
      <c r="D851" s="39"/>
      <c r="E851" s="39"/>
    </row>
    <row r="852" spans="1:5" ht="15.6">
      <c r="A852">
        <v>797</v>
      </c>
      <c r="B852" s="166">
        <v>216.62550030679344</v>
      </c>
      <c r="D852" s="39"/>
      <c r="E852" s="39"/>
    </row>
    <row r="853" spans="1:5" ht="15.6">
      <c r="A853">
        <v>798</v>
      </c>
      <c r="B853" s="166">
        <v>82.281170637531801</v>
      </c>
      <c r="D853" s="39"/>
      <c r="E853" s="39"/>
    </row>
    <row r="854" spans="1:5" ht="15.6">
      <c r="A854">
        <v>799</v>
      </c>
      <c r="B854" s="166">
        <v>168.52530149262901</v>
      </c>
      <c r="D854" s="39"/>
      <c r="E854" s="39"/>
    </row>
    <row r="855" spans="1:5" ht="15.6">
      <c r="A855">
        <v>800</v>
      </c>
      <c r="B855" s="166">
        <v>90.475717258568707</v>
      </c>
      <c r="D855" s="39"/>
      <c r="E855" s="39"/>
    </row>
    <row r="856" spans="1:5" ht="15.6">
      <c r="A856">
        <v>801</v>
      </c>
      <c r="B856" s="166">
        <v>84.107207084968252</v>
      </c>
      <c r="D856" s="39"/>
      <c r="E856" s="39"/>
    </row>
    <row r="857" spans="1:5" ht="15.6">
      <c r="A857">
        <v>802</v>
      </c>
      <c r="B857" s="166">
        <v>111.40626170576697</v>
      </c>
      <c r="D857" s="39"/>
      <c r="E857" s="39"/>
    </row>
    <row r="858" spans="1:5" ht="15.6">
      <c r="A858">
        <v>803</v>
      </c>
      <c r="B858" s="166">
        <v>70.67426380934188</v>
      </c>
      <c r="D858" s="39"/>
      <c r="E858" s="39"/>
    </row>
    <row r="859" spans="1:5" ht="15.6">
      <c r="A859">
        <v>804</v>
      </c>
      <c r="B859" s="166">
        <v>109.05861132105963</v>
      </c>
      <c r="D859" s="39"/>
      <c r="E859" s="39"/>
    </row>
    <row r="860" spans="1:5" ht="15.6">
      <c r="A860">
        <v>805</v>
      </c>
      <c r="B860" s="166">
        <v>94.090463433853628</v>
      </c>
      <c r="D860" s="39"/>
      <c r="E860" s="39"/>
    </row>
    <row r="861" spans="1:5" ht="15.6">
      <c r="A861">
        <v>806</v>
      </c>
      <c r="B861" s="166">
        <v>64.502318326685597</v>
      </c>
      <c r="D861" s="39"/>
      <c r="E861" s="39"/>
    </row>
    <row r="862" spans="1:5" ht="15.6">
      <c r="A862">
        <v>807</v>
      </c>
      <c r="B862" s="166">
        <v>150.57205657240431</v>
      </c>
      <c r="D862" s="39"/>
      <c r="E862" s="39"/>
    </row>
    <row r="863" spans="1:5" ht="15.6">
      <c r="A863">
        <v>808</v>
      </c>
      <c r="B863" s="166">
        <v>156.89362872780617</v>
      </c>
      <c r="D863" s="39"/>
      <c r="E863" s="39"/>
    </row>
    <row r="864" spans="1:5" ht="15.6">
      <c r="A864">
        <v>809</v>
      </c>
      <c r="B864" s="166">
        <v>139.25004156538091</v>
      </c>
      <c r="D864" s="39"/>
      <c r="E864" s="39"/>
    </row>
    <row r="865" spans="1:5" ht="15.6">
      <c r="A865">
        <v>810</v>
      </c>
      <c r="B865" s="166">
        <v>75.149415074022329</v>
      </c>
      <c r="D865" s="39"/>
      <c r="E865" s="39"/>
    </row>
    <row r="866" spans="1:5" ht="15.6">
      <c r="A866">
        <v>811</v>
      </c>
      <c r="B866" s="166">
        <v>100.8589119856786</v>
      </c>
      <c r="D866" s="39"/>
      <c r="E866" s="39"/>
    </row>
    <row r="867" spans="1:5" ht="15.6">
      <c r="A867">
        <v>812</v>
      </c>
      <c r="B867" s="166">
        <v>84.223864818554034</v>
      </c>
      <c r="D867" s="39"/>
      <c r="E867" s="39"/>
    </row>
    <row r="868" spans="1:5" ht="15.6">
      <c r="A868">
        <v>813</v>
      </c>
      <c r="B868" s="166">
        <v>188.49828609524971</v>
      </c>
      <c r="D868" s="39"/>
      <c r="E868" s="39"/>
    </row>
    <row r="869" spans="1:5" ht="15.6">
      <c r="A869">
        <v>814</v>
      </c>
      <c r="B869" s="166">
        <v>101.98659399317717</v>
      </c>
      <c r="D869" s="39"/>
      <c r="E869" s="39"/>
    </row>
    <row r="870" spans="1:5" ht="15.6">
      <c r="A870">
        <v>815</v>
      </c>
      <c r="B870" s="166">
        <v>94.793317201637421</v>
      </c>
      <c r="D870" s="39"/>
      <c r="E870" s="39"/>
    </row>
    <row r="871" spans="1:5" ht="15.6">
      <c r="A871">
        <v>816</v>
      </c>
      <c r="B871" s="166">
        <v>90.758671796774237</v>
      </c>
      <c r="D871" s="39"/>
      <c r="E871" s="39"/>
    </row>
    <row r="872" spans="1:5" ht="15.6">
      <c r="A872">
        <v>817</v>
      </c>
      <c r="B872" s="166">
        <v>91.57345185638043</v>
      </c>
      <c r="D872" s="39"/>
      <c r="E872" s="39"/>
    </row>
    <row r="873" spans="1:5" ht="15.6">
      <c r="A873">
        <v>818</v>
      </c>
      <c r="B873" s="166">
        <v>84.782675410515594</v>
      </c>
      <c r="D873" s="39"/>
      <c r="E873" s="39"/>
    </row>
    <row r="874" spans="1:5" ht="15.6">
      <c r="A874">
        <v>819</v>
      </c>
      <c r="B874" s="166">
        <v>196.86806189523051</v>
      </c>
      <c r="D874" s="39"/>
      <c r="E874" s="39"/>
    </row>
    <row r="875" spans="1:5" ht="15.6">
      <c r="A875">
        <v>820</v>
      </c>
      <c r="B875" s="166">
        <v>164.15796401761662</v>
      </c>
      <c r="D875" s="39"/>
      <c r="E875" s="39"/>
    </row>
    <row r="876" spans="1:5" ht="15.6">
      <c r="A876">
        <v>821</v>
      </c>
      <c r="B876" s="166">
        <v>100.1696783300937</v>
      </c>
      <c r="D876" s="39"/>
      <c r="E876" s="39"/>
    </row>
    <row r="877" spans="1:5" ht="15.6">
      <c r="A877">
        <v>822</v>
      </c>
      <c r="B877" s="166">
        <v>61.256909850739113</v>
      </c>
      <c r="D877" s="39"/>
      <c r="E877" s="39"/>
    </row>
    <row r="878" spans="1:5" ht="15.6">
      <c r="A878">
        <v>823</v>
      </c>
      <c r="B878" s="166">
        <v>113.1476064928612</v>
      </c>
      <c r="D878" s="39"/>
      <c r="E878" s="39"/>
    </row>
    <row r="879" spans="1:5" ht="15.6">
      <c r="A879">
        <v>824</v>
      </c>
      <c r="B879" s="166">
        <v>78.51500972373529</v>
      </c>
      <c r="D879" s="39"/>
      <c r="E879" s="39"/>
    </row>
    <row r="880" spans="1:5" ht="15.6">
      <c r="A880">
        <v>825</v>
      </c>
      <c r="B880" s="166">
        <v>85.056328124555549</v>
      </c>
      <c r="D880" s="39"/>
      <c r="E880" s="39"/>
    </row>
    <row r="881" spans="1:5" ht="15.6">
      <c r="A881">
        <v>826</v>
      </c>
      <c r="B881" s="166">
        <v>58.349541723555326</v>
      </c>
      <c r="D881" s="39"/>
      <c r="E881" s="39"/>
    </row>
    <row r="882" spans="1:5" ht="15.6">
      <c r="A882">
        <v>827</v>
      </c>
      <c r="B882" s="166">
        <v>88.305247328235055</v>
      </c>
      <c r="D882" s="39"/>
      <c r="E882" s="39"/>
    </row>
    <row r="883" spans="1:5" ht="15.6">
      <c r="A883">
        <v>828</v>
      </c>
      <c r="B883" s="166">
        <v>102.43119183566647</v>
      </c>
      <c r="D883" s="39"/>
      <c r="E883" s="39"/>
    </row>
    <row r="884" spans="1:5" ht="15.6">
      <c r="A884">
        <v>829</v>
      </c>
      <c r="B884" s="166">
        <v>195.15644127188543</v>
      </c>
      <c r="D884" s="39"/>
      <c r="E884" s="39"/>
    </row>
    <row r="885" spans="1:5" ht="15.6">
      <c r="A885">
        <v>830</v>
      </c>
      <c r="B885" s="166">
        <v>61.283889636168368</v>
      </c>
      <c r="D885" s="39"/>
      <c r="E885" s="39"/>
    </row>
    <row r="886" spans="1:5" ht="15.6">
      <c r="A886">
        <v>831</v>
      </c>
      <c r="B886" s="166">
        <v>133.78879882175531</v>
      </c>
      <c r="D886" s="39"/>
      <c r="E886" s="39"/>
    </row>
    <row r="887" spans="1:5" ht="15.6">
      <c r="A887">
        <v>832</v>
      </c>
      <c r="B887" s="166">
        <v>76.391596592724994</v>
      </c>
      <c r="D887" s="39"/>
      <c r="E887" s="39"/>
    </row>
    <row r="888" spans="1:5" ht="15.6">
      <c r="A888">
        <v>833</v>
      </c>
      <c r="B888" s="166">
        <v>81.607686811350931</v>
      </c>
      <c r="D888" s="39"/>
      <c r="E888" s="39"/>
    </row>
    <row r="889" spans="1:5" ht="15.6">
      <c r="A889">
        <v>834</v>
      </c>
      <c r="B889" s="166">
        <v>97.382672256499731</v>
      </c>
      <c r="D889" s="39"/>
      <c r="E889" s="39"/>
    </row>
    <row r="890" spans="1:5" ht="15.6">
      <c r="A890">
        <v>835</v>
      </c>
      <c r="B890" s="166">
        <v>51.54416849199378</v>
      </c>
      <c r="D890" s="39"/>
      <c r="E890" s="39"/>
    </row>
    <row r="891" spans="1:5" ht="15.6">
      <c r="A891">
        <v>836</v>
      </c>
      <c r="B891" s="166">
        <v>92.594843058215091</v>
      </c>
      <c r="D891" s="39"/>
      <c r="E891" s="39"/>
    </row>
    <row r="892" spans="1:5" ht="15.6">
      <c r="A892">
        <v>837</v>
      </c>
      <c r="B892" s="166">
        <v>77.986453914214906</v>
      </c>
      <c r="D892" s="39"/>
      <c r="E892" s="39"/>
    </row>
    <row r="893" spans="1:5" ht="15.6">
      <c r="A893">
        <v>838</v>
      </c>
      <c r="B893" s="166">
        <v>125.39453482741236</v>
      </c>
      <c r="D893" s="39"/>
      <c r="E893" s="39"/>
    </row>
    <row r="894" spans="1:5" ht="15.6">
      <c r="A894">
        <v>839</v>
      </c>
      <c r="B894" s="166">
        <v>71.205058673430557</v>
      </c>
      <c r="D894" s="39"/>
      <c r="E894" s="39"/>
    </row>
    <row r="895" spans="1:5" ht="15.6">
      <c r="A895">
        <v>840</v>
      </c>
      <c r="B895" s="166">
        <v>94.244831454822659</v>
      </c>
      <c r="D895" s="39"/>
      <c r="E895" s="39"/>
    </row>
    <row r="896" spans="1:5" ht="15.6">
      <c r="A896">
        <v>841</v>
      </c>
      <c r="B896" s="166">
        <v>124.06495384548555</v>
      </c>
      <c r="D896" s="39"/>
      <c r="E896" s="39"/>
    </row>
    <row r="897" spans="1:5" ht="15.6">
      <c r="A897">
        <v>842</v>
      </c>
      <c r="B897" s="166">
        <v>69.382256464479198</v>
      </c>
      <c r="D897" s="39"/>
      <c r="E897" s="39"/>
    </row>
    <row r="898" spans="1:5" ht="15.6">
      <c r="A898">
        <v>843</v>
      </c>
      <c r="B898" s="166">
        <v>74.368086286698102</v>
      </c>
      <c r="D898" s="39"/>
      <c r="E898" s="39"/>
    </row>
    <row r="899" spans="1:5" ht="15.6">
      <c r="A899">
        <v>844</v>
      </c>
      <c r="B899" s="166">
        <v>91.73669501213783</v>
      </c>
      <c r="D899" s="39"/>
      <c r="E899" s="39"/>
    </row>
    <row r="900" spans="1:5" ht="15.6">
      <c r="A900">
        <v>845</v>
      </c>
      <c r="B900" s="166">
        <v>100.63876241993617</v>
      </c>
      <c r="D900" s="39"/>
      <c r="E900" s="39"/>
    </row>
    <row r="901" spans="1:5" ht="15.6">
      <c r="A901">
        <v>846</v>
      </c>
      <c r="B901" s="166">
        <v>98.492022865445065</v>
      </c>
      <c r="D901" s="39"/>
      <c r="E901" s="39"/>
    </row>
    <row r="902" spans="1:5" ht="15.6">
      <c r="A902">
        <v>847</v>
      </c>
      <c r="B902" s="166">
        <v>109.45003394285395</v>
      </c>
      <c r="D902" s="39"/>
      <c r="E902" s="39"/>
    </row>
    <row r="903" spans="1:5" ht="15.6">
      <c r="A903">
        <v>848</v>
      </c>
      <c r="B903" s="166">
        <v>250.67207452477854</v>
      </c>
      <c r="D903" s="39"/>
      <c r="E903" s="39"/>
    </row>
    <row r="904" spans="1:5" ht="15.6">
      <c r="A904">
        <v>849</v>
      </c>
      <c r="B904" s="166">
        <v>100.73341049591832</v>
      </c>
      <c r="D904" s="39"/>
      <c r="E904" s="39"/>
    </row>
    <row r="905" spans="1:5" ht="15.6">
      <c r="A905">
        <v>850</v>
      </c>
      <c r="B905" s="166">
        <v>83.157549754683444</v>
      </c>
      <c r="D905" s="39"/>
      <c r="E905" s="39"/>
    </row>
    <row r="906" spans="1:5" ht="15.6">
      <c r="A906">
        <v>851</v>
      </c>
      <c r="B906" s="166">
        <v>104.91513288023795</v>
      </c>
      <c r="D906" s="39"/>
      <c r="E906" s="39"/>
    </row>
    <row r="907" spans="1:5" ht="15.6">
      <c r="A907">
        <v>852</v>
      </c>
      <c r="B907" s="166">
        <v>126.59606879040206</v>
      </c>
      <c r="D907" s="39"/>
      <c r="E907" s="39"/>
    </row>
    <row r="908" spans="1:5" ht="15.6">
      <c r="A908">
        <v>853</v>
      </c>
      <c r="B908" s="166">
        <v>107.41114900125538</v>
      </c>
      <c r="D908" s="39"/>
      <c r="E908" s="39"/>
    </row>
    <row r="909" spans="1:5" ht="15.6">
      <c r="A909">
        <v>854</v>
      </c>
      <c r="B909" s="166">
        <v>88.543337526686926</v>
      </c>
      <c r="D909" s="39"/>
      <c r="E909" s="39"/>
    </row>
    <row r="910" spans="1:5" ht="15.6">
      <c r="A910">
        <v>855</v>
      </c>
      <c r="B910" s="166">
        <v>126.92643113357281</v>
      </c>
      <c r="D910" s="39"/>
      <c r="E910" s="39"/>
    </row>
    <row r="911" spans="1:5" ht="15.6">
      <c r="A911">
        <v>856</v>
      </c>
      <c r="B911" s="166">
        <v>147.03814942107019</v>
      </c>
      <c r="D911" s="39"/>
      <c r="E911" s="39"/>
    </row>
    <row r="912" spans="1:5" ht="15.6">
      <c r="A912">
        <v>857</v>
      </c>
      <c r="B912" s="166">
        <v>161.90765824457068</v>
      </c>
      <c r="D912" s="39"/>
      <c r="E912" s="39"/>
    </row>
    <row r="913" spans="1:5" ht="15.6">
      <c r="A913">
        <v>858</v>
      </c>
      <c r="B913" s="166">
        <v>69.936659888420706</v>
      </c>
      <c r="D913" s="39"/>
      <c r="E913" s="39"/>
    </row>
    <row r="914" spans="1:5" ht="15.6">
      <c r="A914">
        <v>859</v>
      </c>
      <c r="B914" s="166">
        <v>88.777295540765522</v>
      </c>
      <c r="D914" s="39"/>
      <c r="E914" s="39"/>
    </row>
    <row r="915" spans="1:5" ht="15.6">
      <c r="A915">
        <v>860</v>
      </c>
      <c r="B915" s="166">
        <v>64.105062839199462</v>
      </c>
      <c r="D915" s="39"/>
      <c r="E915" s="39"/>
    </row>
    <row r="916" spans="1:5" ht="15.6">
      <c r="A916">
        <v>861</v>
      </c>
      <c r="B916" s="166">
        <v>114.79514685026946</v>
      </c>
      <c r="D916" s="39"/>
      <c r="E916" s="39"/>
    </row>
    <row r="917" spans="1:5" ht="15.6">
      <c r="A917">
        <v>862</v>
      </c>
      <c r="B917" s="166">
        <v>94.445028869155735</v>
      </c>
      <c r="D917" s="39"/>
      <c r="E917" s="39"/>
    </row>
    <row r="918" spans="1:5" ht="15.6">
      <c r="A918">
        <v>863</v>
      </c>
      <c r="B918" s="166">
        <v>104.98655170283115</v>
      </c>
      <c r="D918" s="39"/>
      <c r="E918" s="39"/>
    </row>
    <row r="919" spans="1:5" ht="15.6">
      <c r="A919">
        <v>864</v>
      </c>
      <c r="B919" s="166">
        <v>82.462897014996955</v>
      </c>
      <c r="D919" s="39"/>
      <c r="E919" s="39"/>
    </row>
    <row r="920" spans="1:5" ht="15.6">
      <c r="A920">
        <v>865</v>
      </c>
      <c r="B920" s="166">
        <v>88.011447302736727</v>
      </c>
      <c r="D920" s="39"/>
      <c r="E920" s="39"/>
    </row>
    <row r="921" spans="1:5" ht="15.6">
      <c r="A921">
        <v>866</v>
      </c>
      <c r="B921" s="166">
        <v>97.36698771622595</v>
      </c>
      <c r="D921" s="39"/>
      <c r="E921" s="39"/>
    </row>
    <row r="922" spans="1:5" ht="15.6">
      <c r="A922">
        <v>867</v>
      </c>
      <c r="B922" s="166">
        <v>77.244768977145227</v>
      </c>
      <c r="D922" s="39"/>
      <c r="E922" s="39"/>
    </row>
    <row r="923" spans="1:5" ht="15.6">
      <c r="A923">
        <v>868</v>
      </c>
      <c r="B923" s="166">
        <v>121.42307128251282</v>
      </c>
      <c r="D923" s="39"/>
      <c r="E923" s="39"/>
    </row>
    <row r="924" spans="1:5" ht="15.6">
      <c r="A924">
        <v>869</v>
      </c>
      <c r="B924" s="166">
        <v>89.309226276946305</v>
      </c>
      <c r="D924" s="39"/>
      <c r="E924" s="39"/>
    </row>
    <row r="925" spans="1:5" ht="15.6">
      <c r="A925">
        <v>870</v>
      </c>
      <c r="B925" s="166">
        <v>62.003410400653124</v>
      </c>
      <c r="D925" s="39"/>
      <c r="E925" s="39"/>
    </row>
    <row r="926" spans="1:5" ht="15.6">
      <c r="A926">
        <v>871</v>
      </c>
      <c r="B926" s="166">
        <v>136.8490876039001</v>
      </c>
      <c r="D926" s="39"/>
      <c r="E926" s="39"/>
    </row>
    <row r="927" spans="1:5" ht="15.6">
      <c r="A927">
        <v>872</v>
      </c>
      <c r="B927" s="166">
        <v>115.48995456015871</v>
      </c>
      <c r="D927" s="39"/>
      <c r="E927" s="39"/>
    </row>
    <row r="928" spans="1:5" ht="15.6">
      <c r="A928">
        <v>873</v>
      </c>
      <c r="B928" s="166">
        <v>141.5140620372901</v>
      </c>
      <c r="D928" s="39"/>
      <c r="E928" s="39"/>
    </row>
    <row r="929" spans="1:5" ht="15.6">
      <c r="A929">
        <v>874</v>
      </c>
      <c r="B929" s="166">
        <v>109.42542635416476</v>
      </c>
      <c r="D929" s="39"/>
      <c r="E929" s="39"/>
    </row>
    <row r="930" spans="1:5" ht="15.6">
      <c r="A930">
        <v>875</v>
      </c>
      <c r="B930" s="166">
        <v>236.45096822659573</v>
      </c>
      <c r="D930" s="39"/>
      <c r="E930" s="39"/>
    </row>
    <row r="931" spans="1:5" ht="15.6">
      <c r="A931">
        <v>876</v>
      </c>
      <c r="B931" s="166">
        <v>97.107755600116732</v>
      </c>
      <c r="D931" s="39"/>
      <c r="E931" s="39"/>
    </row>
    <row r="932" spans="1:5" ht="15.6">
      <c r="A932">
        <v>877</v>
      </c>
      <c r="B932" s="166">
        <v>65.305482084655182</v>
      </c>
      <c r="D932" s="39"/>
      <c r="E932" s="39"/>
    </row>
    <row r="933" spans="1:5" ht="15.6">
      <c r="A933">
        <v>878</v>
      </c>
      <c r="B933" s="166">
        <v>104.46957336984809</v>
      </c>
      <c r="D933" s="39"/>
      <c r="E933" s="39"/>
    </row>
    <row r="934" spans="1:5" ht="15.6">
      <c r="A934">
        <v>879</v>
      </c>
      <c r="B934" s="166">
        <v>139.40482912008213</v>
      </c>
      <c r="D934" s="39"/>
      <c r="E934" s="39"/>
    </row>
    <row r="935" spans="1:5" ht="15.6">
      <c r="A935">
        <v>880</v>
      </c>
      <c r="B935" s="166">
        <v>99.066710860814311</v>
      </c>
      <c r="D935" s="39"/>
      <c r="E935" s="39"/>
    </row>
    <row r="936" spans="1:5" ht="15.6">
      <c r="A936">
        <v>881</v>
      </c>
      <c r="B936" s="166">
        <v>87.482127069890637</v>
      </c>
      <c r="D936" s="39"/>
      <c r="E936" s="39"/>
    </row>
    <row r="937" spans="1:5" ht="15.6">
      <c r="A937">
        <v>882</v>
      </c>
      <c r="B937" s="166">
        <v>82.604989267980613</v>
      </c>
      <c r="D937" s="39"/>
      <c r="E937" s="39"/>
    </row>
    <row r="938" spans="1:5" ht="15.6">
      <c r="A938">
        <v>883</v>
      </c>
      <c r="B938" s="166">
        <v>83.512101534787774</v>
      </c>
      <c r="D938" s="39"/>
      <c r="E938" s="39"/>
    </row>
    <row r="939" spans="1:5" ht="15.6">
      <c r="A939">
        <v>884</v>
      </c>
      <c r="B939" s="166">
        <v>111.02375707368799</v>
      </c>
      <c r="D939" s="39"/>
      <c r="E939" s="39"/>
    </row>
    <row r="940" spans="1:5" ht="15.6">
      <c r="A940">
        <v>885</v>
      </c>
      <c r="B940" s="166">
        <v>117.89035169929979</v>
      </c>
      <c r="D940" s="39"/>
      <c r="E940" s="39"/>
    </row>
    <row r="941" spans="1:5" ht="15.6">
      <c r="A941">
        <v>886</v>
      </c>
      <c r="B941" s="166">
        <v>122.31697686398444</v>
      </c>
      <c r="D941" s="39"/>
      <c r="E941" s="39"/>
    </row>
    <row r="942" spans="1:5" ht="15.6">
      <c r="A942">
        <v>887</v>
      </c>
      <c r="B942" s="166">
        <v>101.16802219270437</v>
      </c>
      <c r="D942" s="39"/>
      <c r="E942" s="39"/>
    </row>
    <row r="943" spans="1:5" ht="15.6">
      <c r="A943">
        <v>888</v>
      </c>
      <c r="B943" s="166">
        <v>128.57154067768758</v>
      </c>
      <c r="D943" s="39"/>
      <c r="E943" s="39"/>
    </row>
    <row r="944" spans="1:5" ht="15.6">
      <c r="A944">
        <v>889</v>
      </c>
      <c r="B944" s="166">
        <v>98.220527461172935</v>
      </c>
      <c r="D944" s="39"/>
      <c r="E944" s="39"/>
    </row>
    <row r="945" spans="1:5" ht="15.6">
      <c r="A945">
        <v>890</v>
      </c>
      <c r="B945" s="166">
        <v>105.77591970786747</v>
      </c>
      <c r="D945" s="39"/>
      <c r="E945" s="39"/>
    </row>
    <row r="946" spans="1:5" ht="15.6">
      <c r="A946">
        <v>891</v>
      </c>
      <c r="B946" s="166">
        <v>123.53093474016123</v>
      </c>
      <c r="D946" s="39"/>
      <c r="E946" s="39"/>
    </row>
    <row r="947" spans="1:5" ht="15.6">
      <c r="A947">
        <v>892</v>
      </c>
      <c r="B947" s="166">
        <v>148.02270611469504</v>
      </c>
      <c r="D947" s="39"/>
      <c r="E947" s="39"/>
    </row>
    <row r="948" spans="1:5" ht="15.6">
      <c r="A948">
        <v>893</v>
      </c>
      <c r="B948" s="166">
        <v>65.956521306852053</v>
      </c>
      <c r="D948" s="39"/>
      <c r="E948" s="39"/>
    </row>
    <row r="949" spans="1:5" ht="15.6">
      <c r="A949">
        <v>894</v>
      </c>
      <c r="B949" s="166">
        <v>111.11295011144215</v>
      </c>
      <c r="D949" s="39"/>
      <c r="E949" s="39"/>
    </row>
    <row r="950" spans="1:5" ht="15.6">
      <c r="A950">
        <v>895</v>
      </c>
      <c r="B950" s="166">
        <v>48.678279820899952</v>
      </c>
      <c r="D950" s="39"/>
      <c r="E950" s="39"/>
    </row>
    <row r="951" spans="1:5" ht="15.6">
      <c r="A951">
        <v>896</v>
      </c>
      <c r="B951" s="166">
        <v>92.89242493586606</v>
      </c>
      <c r="D951" s="39"/>
      <c r="E951" s="39"/>
    </row>
    <row r="952" spans="1:5" ht="15.6">
      <c r="A952">
        <v>897</v>
      </c>
      <c r="B952" s="166">
        <v>90.580584058934718</v>
      </c>
      <c r="D952" s="39"/>
      <c r="E952" s="39"/>
    </row>
    <row r="953" spans="1:5" ht="15.6">
      <c r="A953">
        <v>898</v>
      </c>
      <c r="B953" s="166">
        <v>128.60336512923459</v>
      </c>
      <c r="D953" s="39"/>
      <c r="E953" s="39"/>
    </row>
    <row r="954" spans="1:5" ht="15.6">
      <c r="A954">
        <v>899</v>
      </c>
      <c r="B954" s="166">
        <v>81.36157141879869</v>
      </c>
      <c r="D954" s="39"/>
      <c r="E954" s="39"/>
    </row>
    <row r="955" spans="1:5" ht="15.6">
      <c r="A955">
        <v>900</v>
      </c>
      <c r="B955" s="166">
        <v>89.811254199995801</v>
      </c>
      <c r="D955" s="39"/>
      <c r="E955" s="39"/>
    </row>
    <row r="956" spans="1:5" ht="15.6">
      <c r="A956">
        <v>901</v>
      </c>
      <c r="B956" s="166">
        <v>59.610518616443443</v>
      </c>
      <c r="D956" s="39"/>
      <c r="E956" s="39"/>
    </row>
    <row r="957" spans="1:5" ht="15.6">
      <c r="A957">
        <v>902</v>
      </c>
      <c r="B957" s="166">
        <v>83.572661966429933</v>
      </c>
      <c r="D957" s="39"/>
      <c r="E957" s="39"/>
    </row>
    <row r="958" spans="1:5" ht="15.6">
      <c r="A958">
        <v>903</v>
      </c>
      <c r="B958" s="166">
        <v>134.73628087713374</v>
      </c>
      <c r="D958" s="39"/>
      <c r="E958" s="39"/>
    </row>
    <row r="959" spans="1:5" ht="15.6">
      <c r="A959">
        <v>904</v>
      </c>
      <c r="B959" s="166">
        <v>72.494891662159588</v>
      </c>
      <c r="D959" s="39"/>
      <c r="E959" s="39"/>
    </row>
    <row r="960" spans="1:5" ht="15.6">
      <c r="A960">
        <v>905</v>
      </c>
      <c r="B960" s="166">
        <v>110.51726913747606</v>
      </c>
      <c r="D960" s="39"/>
      <c r="E960" s="39"/>
    </row>
    <row r="961" spans="1:5" ht="15.6">
      <c r="A961">
        <v>906</v>
      </c>
      <c r="B961" s="166">
        <v>147.36142767260597</v>
      </c>
      <c r="D961" s="39"/>
      <c r="E961" s="39"/>
    </row>
    <row r="962" spans="1:5" ht="15.6">
      <c r="A962">
        <v>907</v>
      </c>
      <c r="B962" s="166">
        <v>105.14704092868614</v>
      </c>
      <c r="D962" s="39"/>
      <c r="E962" s="39"/>
    </row>
    <row r="963" spans="1:5" ht="15.6">
      <c r="A963">
        <v>908</v>
      </c>
      <c r="B963" s="166">
        <v>96.336082165899896</v>
      </c>
      <c r="D963" s="39"/>
      <c r="E963" s="39"/>
    </row>
    <row r="964" spans="1:5" ht="15.6">
      <c r="A964">
        <v>909</v>
      </c>
      <c r="B964" s="166">
        <v>121.88300769887017</v>
      </c>
      <c r="D964" s="39"/>
      <c r="E964" s="39"/>
    </row>
    <row r="965" spans="1:5" ht="15.6">
      <c r="A965">
        <v>910</v>
      </c>
      <c r="B965" s="166">
        <v>131.58316797542153</v>
      </c>
      <c r="D965" s="39"/>
      <c r="E965" s="39"/>
    </row>
    <row r="966" spans="1:5" ht="15.6">
      <c r="A966">
        <v>911</v>
      </c>
      <c r="B966" s="166">
        <v>82.798818856310888</v>
      </c>
      <c r="D966" s="39"/>
      <c r="E966" s="39"/>
    </row>
    <row r="967" spans="1:5" ht="15.6">
      <c r="A967">
        <v>912</v>
      </c>
      <c r="B967" s="166">
        <v>154.82153555282312</v>
      </c>
      <c r="D967" s="39"/>
      <c r="E967" s="39"/>
    </row>
    <row r="968" spans="1:5" ht="15.6">
      <c r="A968">
        <v>913</v>
      </c>
      <c r="B968" s="166">
        <v>176.82483428112778</v>
      </c>
      <c r="D968" s="39"/>
      <c r="E968" s="39"/>
    </row>
    <row r="969" spans="1:5" ht="15.6">
      <c r="A969">
        <v>914</v>
      </c>
      <c r="B969" s="166">
        <v>75.423163260380917</v>
      </c>
      <c r="D969" s="39"/>
      <c r="E969" s="39"/>
    </row>
    <row r="970" spans="1:5" ht="15.6">
      <c r="A970">
        <v>915</v>
      </c>
      <c r="B970" s="166">
        <v>116.84674472349197</v>
      </c>
      <c r="D970" s="39"/>
      <c r="E970" s="39"/>
    </row>
    <row r="971" spans="1:5" ht="15.6">
      <c r="A971">
        <v>916</v>
      </c>
      <c r="B971" s="166">
        <v>126.04508037319117</v>
      </c>
      <c r="D971" s="39"/>
      <c r="E971" s="39"/>
    </row>
    <row r="972" spans="1:5" ht="15.6">
      <c r="A972">
        <v>917</v>
      </c>
      <c r="B972" s="166">
        <v>87.552081463136943</v>
      </c>
      <c r="D972" s="39"/>
      <c r="E972" s="39"/>
    </row>
    <row r="973" spans="1:5" ht="15.6">
      <c r="A973">
        <v>918</v>
      </c>
      <c r="B973" s="166">
        <v>95.74752142242896</v>
      </c>
      <c r="D973" s="39"/>
      <c r="E973" s="39"/>
    </row>
    <row r="974" spans="1:5" ht="15.6">
      <c r="A974">
        <v>919</v>
      </c>
      <c r="B974" s="166">
        <v>176.85766770223086</v>
      </c>
      <c r="D974" s="39"/>
      <c r="E974" s="39"/>
    </row>
    <row r="975" spans="1:5" ht="15.6">
      <c r="A975">
        <v>920</v>
      </c>
      <c r="B975" s="166">
        <v>83.98485709282005</v>
      </c>
      <c r="D975" s="39"/>
      <c r="E975" s="39"/>
    </row>
    <row r="976" spans="1:5" ht="15.6">
      <c r="A976">
        <v>921</v>
      </c>
      <c r="B976" s="166">
        <v>163.99861556306931</v>
      </c>
      <c r="D976" s="39"/>
      <c r="E976" s="39"/>
    </row>
    <row r="977" spans="1:5" ht="15.6">
      <c r="A977">
        <v>922</v>
      </c>
      <c r="B977" s="166">
        <v>93.852360904755756</v>
      </c>
      <c r="D977" s="39"/>
      <c r="E977" s="39"/>
    </row>
    <row r="978" spans="1:5" ht="15.6">
      <c r="A978">
        <v>923</v>
      </c>
      <c r="B978" s="166">
        <v>95.759810676387744</v>
      </c>
      <c r="D978" s="39"/>
      <c r="E978" s="39"/>
    </row>
    <row r="979" spans="1:5" ht="15.6">
      <c r="A979">
        <v>924</v>
      </c>
      <c r="B979" s="166">
        <v>97.585666210454306</v>
      </c>
      <c r="D979" s="39"/>
      <c r="E979" s="39"/>
    </row>
    <row r="980" spans="1:5" ht="15.6">
      <c r="A980">
        <v>925</v>
      </c>
      <c r="B980" s="166">
        <v>224.79703904751139</v>
      </c>
      <c r="D980" s="39"/>
      <c r="E980" s="39"/>
    </row>
    <row r="981" spans="1:5" ht="15.6">
      <c r="A981">
        <v>926</v>
      </c>
      <c r="B981" s="166">
        <v>159.84744822812902</v>
      </c>
      <c r="D981" s="39"/>
      <c r="E981" s="39"/>
    </row>
    <row r="982" spans="1:5" ht="15.6">
      <c r="A982">
        <v>927</v>
      </c>
      <c r="B982" s="166">
        <v>189.93581479250489</v>
      </c>
      <c r="D982" s="39"/>
      <c r="E982" s="39"/>
    </row>
    <row r="983" spans="1:5" ht="15.6">
      <c r="A983">
        <v>928</v>
      </c>
      <c r="B983" s="166">
        <v>137.61853699749074</v>
      </c>
      <c r="D983" s="39"/>
      <c r="E983" s="39"/>
    </row>
    <row r="984" spans="1:5" ht="15.6">
      <c r="A984">
        <v>929</v>
      </c>
      <c r="B984" s="166">
        <v>65.133217087213723</v>
      </c>
      <c r="D984" s="39"/>
      <c r="E984" s="39"/>
    </row>
    <row r="985" spans="1:5" ht="15.6">
      <c r="A985">
        <v>930</v>
      </c>
      <c r="B985" s="166">
        <v>68.503850440031954</v>
      </c>
      <c r="D985" s="39"/>
      <c r="E985" s="39"/>
    </row>
    <row r="986" spans="1:5" ht="15.6">
      <c r="A986">
        <v>931</v>
      </c>
      <c r="B986" s="166">
        <v>93.606232661727404</v>
      </c>
      <c r="D986" s="39"/>
      <c r="E986" s="39"/>
    </row>
    <row r="987" spans="1:5" ht="15.6">
      <c r="A987">
        <v>932</v>
      </c>
      <c r="B987" s="166">
        <v>88.547431526715229</v>
      </c>
      <c r="D987" s="39"/>
      <c r="E987" s="39"/>
    </row>
    <row r="988" spans="1:5" ht="15.6">
      <c r="A988">
        <v>933</v>
      </c>
      <c r="B988" s="166">
        <v>119.63777102032434</v>
      </c>
      <c r="D988" s="39"/>
      <c r="E988" s="39"/>
    </row>
    <row r="989" spans="1:5" ht="15.6">
      <c r="A989">
        <v>934</v>
      </c>
      <c r="B989" s="166">
        <v>74.272832660507063</v>
      </c>
      <c r="D989" s="39"/>
      <c r="E989" s="39"/>
    </row>
    <row r="990" spans="1:5" ht="15.6">
      <c r="A990">
        <v>935</v>
      </c>
      <c r="B990" s="166">
        <v>121.40377278323311</v>
      </c>
      <c r="D990" s="39"/>
      <c r="E990" s="39"/>
    </row>
    <row r="991" spans="1:5" ht="15.6">
      <c r="A991">
        <v>936</v>
      </c>
      <c r="B991" s="166">
        <v>207.48285088806324</v>
      </c>
      <c r="D991" s="39"/>
      <c r="E991" s="39"/>
    </row>
    <row r="992" spans="1:5" ht="15.6">
      <c r="A992">
        <v>937</v>
      </c>
      <c r="B992" s="166">
        <v>121.41108490348982</v>
      </c>
      <c r="D992" s="39"/>
      <c r="E992" s="39"/>
    </row>
    <row r="993" spans="1:5" ht="15.6">
      <c r="A993">
        <v>938</v>
      </c>
      <c r="B993" s="166">
        <v>50.331314987386413</v>
      </c>
      <c r="D993" s="39"/>
      <c r="E993" s="39"/>
    </row>
    <row r="994" spans="1:5" ht="15.6">
      <c r="A994">
        <v>939</v>
      </c>
      <c r="B994" s="166">
        <v>98.652001247246233</v>
      </c>
      <c r="D994" s="39"/>
      <c r="E994" s="39"/>
    </row>
    <row r="995" spans="1:5" ht="15.6">
      <c r="A995">
        <v>940</v>
      </c>
      <c r="B995" s="166">
        <v>126.0891063750251</v>
      </c>
      <c r="D995" s="39"/>
      <c r="E995" s="39"/>
    </row>
    <row r="996" spans="1:5" ht="15.6">
      <c r="A996">
        <v>941</v>
      </c>
      <c r="B996" s="166">
        <v>83.271144122148556</v>
      </c>
      <c r="D996" s="39"/>
      <c r="E996" s="39"/>
    </row>
    <row r="997" spans="1:5" ht="15.6">
      <c r="A997">
        <v>942</v>
      </c>
      <c r="B997" s="166">
        <v>105.72341016453788</v>
      </c>
      <c r="D997" s="39"/>
      <c r="E997" s="39"/>
    </row>
    <row r="998" spans="1:5" ht="15.6">
      <c r="A998">
        <v>943</v>
      </c>
      <c r="B998" s="166">
        <v>91.38943981370079</v>
      </c>
      <c r="D998" s="39"/>
      <c r="E998" s="39"/>
    </row>
    <row r="999" spans="1:5" ht="15.6">
      <c r="A999">
        <v>944</v>
      </c>
      <c r="B999" s="166">
        <v>137.22245931094628</v>
      </c>
      <c r="D999" s="39"/>
      <c r="E999" s="39"/>
    </row>
    <row r="1000" spans="1:5" ht="15.6">
      <c r="A1000">
        <v>945</v>
      </c>
      <c r="B1000" s="166">
        <v>252.12552647858115</v>
      </c>
      <c r="D1000" s="39"/>
      <c r="E1000" s="39"/>
    </row>
    <row r="1001" spans="1:5" ht="15.6">
      <c r="A1001">
        <v>946</v>
      </c>
      <c r="B1001" s="166">
        <v>146.83389868124476</v>
      </c>
      <c r="D1001" s="39"/>
      <c r="E1001" s="39"/>
    </row>
    <row r="1002" spans="1:5" ht="15.6">
      <c r="A1002">
        <v>947</v>
      </c>
      <c r="B1002" s="166">
        <v>65.96051079810097</v>
      </c>
      <c r="D1002" s="39"/>
      <c r="E1002" s="39"/>
    </row>
    <row r="1003" spans="1:5" ht="15.6">
      <c r="A1003">
        <v>948</v>
      </c>
      <c r="B1003" s="166">
        <v>114.77732759415314</v>
      </c>
      <c r="D1003" s="39"/>
      <c r="E1003" s="39"/>
    </row>
    <row r="1004" spans="1:5" ht="15.6">
      <c r="A1004">
        <v>949</v>
      </c>
      <c r="B1004" s="166">
        <v>80.340845719535636</v>
      </c>
      <c r="D1004" s="39"/>
      <c r="E1004" s="39"/>
    </row>
    <row r="1005" spans="1:5" ht="15.6">
      <c r="A1005">
        <v>950</v>
      </c>
      <c r="B1005" s="166">
        <v>98.473875063023584</v>
      </c>
      <c r="D1005" s="39"/>
      <c r="E1005" s="39"/>
    </row>
    <row r="1006" spans="1:5" ht="15.6">
      <c r="A1006">
        <v>951</v>
      </c>
      <c r="B1006" s="166">
        <v>139.41320633390288</v>
      </c>
      <c r="D1006" s="39"/>
      <c r="E1006" s="39"/>
    </row>
    <row r="1007" spans="1:5" ht="15.6">
      <c r="A1007">
        <v>952</v>
      </c>
      <c r="B1007" s="166">
        <v>141.29188363108085</v>
      </c>
      <c r="D1007" s="39"/>
      <c r="E1007" s="39"/>
    </row>
    <row r="1008" spans="1:5" ht="15.6">
      <c r="A1008">
        <v>953</v>
      </c>
      <c r="B1008" s="166">
        <v>139.63327985311724</v>
      </c>
      <c r="D1008" s="39"/>
      <c r="E1008" s="39"/>
    </row>
    <row r="1009" spans="1:5" ht="15.6">
      <c r="A1009">
        <v>954</v>
      </c>
      <c r="B1009" s="166">
        <v>134.35972687374101</v>
      </c>
      <c r="D1009" s="39"/>
      <c r="E1009" s="39"/>
    </row>
    <row r="1010" spans="1:5" ht="15.6">
      <c r="A1010">
        <v>955</v>
      </c>
      <c r="B1010" s="166">
        <v>94.294547064332022</v>
      </c>
      <c r="D1010" s="39"/>
      <c r="E1010" s="39"/>
    </row>
    <row r="1011" spans="1:5" ht="15.6">
      <c r="A1011">
        <v>956</v>
      </c>
      <c r="B1011" s="166">
        <v>55.663393716922904</v>
      </c>
      <c r="D1011" s="39"/>
      <c r="E1011" s="39"/>
    </row>
    <row r="1012" spans="1:5" ht="15.6">
      <c r="A1012">
        <v>957</v>
      </c>
      <c r="B1012" s="166">
        <v>109.69912270583353</v>
      </c>
      <c r="D1012" s="39"/>
      <c r="E1012" s="39"/>
    </row>
    <row r="1013" spans="1:5" ht="15.6">
      <c r="A1013">
        <v>958</v>
      </c>
      <c r="B1013" s="166">
        <v>82.060759294776489</v>
      </c>
      <c r="D1013" s="39"/>
      <c r="E1013" s="39"/>
    </row>
    <row r="1014" spans="1:5" ht="15.6">
      <c r="A1014">
        <v>959</v>
      </c>
      <c r="B1014" s="166">
        <v>87.755300268268343</v>
      </c>
      <c r="D1014" s="39"/>
      <c r="E1014" s="39"/>
    </row>
    <row r="1015" spans="1:5" ht="15.6">
      <c r="A1015">
        <v>960</v>
      </c>
      <c r="B1015" s="166">
        <v>89.472380505635158</v>
      </c>
      <c r="D1015" s="39"/>
      <c r="E1015" s="39"/>
    </row>
    <row r="1016" spans="1:5" ht="15.6">
      <c r="A1016">
        <v>961</v>
      </c>
      <c r="B1016" s="166">
        <v>69.790227477764319</v>
      </c>
      <c r="D1016" s="39"/>
      <c r="E1016" s="39"/>
    </row>
    <row r="1017" spans="1:5" ht="15.6">
      <c r="A1017">
        <v>962</v>
      </c>
      <c r="B1017" s="166">
        <v>61.574508993459119</v>
      </c>
      <c r="D1017" s="39"/>
      <c r="E1017" s="39"/>
    </row>
    <row r="1018" spans="1:5" ht="15.6">
      <c r="A1018">
        <v>963</v>
      </c>
      <c r="B1018" s="166">
        <v>129.75073341200815</v>
      </c>
      <c r="D1018" s="39"/>
      <c r="E1018" s="39"/>
    </row>
    <row r="1019" spans="1:5" ht="15.6">
      <c r="A1019">
        <v>964</v>
      </c>
      <c r="B1019" s="166">
        <v>168.35735597293885</v>
      </c>
      <c r="D1019" s="39"/>
      <c r="E1019" s="39"/>
    </row>
    <row r="1020" spans="1:5" ht="15.6">
      <c r="A1020">
        <v>965</v>
      </c>
      <c r="B1020" s="166">
        <v>239.050970635477</v>
      </c>
      <c r="D1020" s="39"/>
      <c r="E1020" s="39"/>
    </row>
    <row r="1021" spans="1:5" ht="15.6">
      <c r="A1021">
        <v>966</v>
      </c>
      <c r="B1021" s="166">
        <v>96.092295805011474</v>
      </c>
      <c r="D1021" s="39"/>
      <c r="E1021" s="39"/>
    </row>
    <row r="1022" spans="1:5" ht="15.6">
      <c r="A1022">
        <v>967</v>
      </c>
      <c r="B1022" s="166">
        <v>101.61618219629386</v>
      </c>
      <c r="D1022" s="39"/>
      <c r="E1022" s="39"/>
    </row>
    <row r="1023" spans="1:5" ht="15.6">
      <c r="A1023">
        <v>968</v>
      </c>
      <c r="B1023" s="166">
        <v>131.26684931612709</v>
      </c>
      <c r="D1023" s="39"/>
      <c r="E1023" s="39"/>
    </row>
    <row r="1024" spans="1:5" ht="15.6">
      <c r="A1024">
        <v>969</v>
      </c>
      <c r="B1024" s="166">
        <v>105.30826433387692</v>
      </c>
      <c r="D1024" s="39"/>
      <c r="E1024" s="39"/>
    </row>
    <row r="1025" spans="1:5" ht="15.6">
      <c r="A1025">
        <v>970</v>
      </c>
      <c r="B1025" s="166">
        <v>54.315548763582939</v>
      </c>
      <c r="D1025" s="39"/>
      <c r="E1025" s="39"/>
    </row>
    <row r="1026" spans="1:5" ht="15.6">
      <c r="A1026">
        <v>971</v>
      </c>
      <c r="B1026" s="166">
        <v>193.78796769829248</v>
      </c>
      <c r="D1026" s="39"/>
      <c r="E1026" s="39"/>
    </row>
    <row r="1027" spans="1:5" ht="15.6">
      <c r="A1027">
        <v>972</v>
      </c>
      <c r="B1027" s="166">
        <v>71.247856438599698</v>
      </c>
      <c r="D1027" s="39"/>
      <c r="E1027" s="39"/>
    </row>
    <row r="1028" spans="1:5" ht="15.6">
      <c r="A1028">
        <v>973</v>
      </c>
      <c r="B1028" s="166">
        <v>88.102352262487472</v>
      </c>
      <c r="D1028" s="39"/>
      <c r="E1028" s="39"/>
    </row>
    <row r="1029" spans="1:5" ht="15.6">
      <c r="A1029">
        <v>974</v>
      </c>
      <c r="B1029" s="166">
        <v>100.16342783904706</v>
      </c>
      <c r="D1029" s="39"/>
      <c r="E1029" s="39"/>
    </row>
    <row r="1030" spans="1:5" ht="15.6">
      <c r="A1030">
        <v>975</v>
      </c>
      <c r="B1030" s="166">
        <v>89.996554407107823</v>
      </c>
      <c r="D1030" s="39"/>
      <c r="E1030" s="39"/>
    </row>
    <row r="1031" spans="1:5" ht="15.6">
      <c r="A1031">
        <v>976</v>
      </c>
      <c r="B1031" s="166">
        <v>95.578306647820952</v>
      </c>
      <c r="D1031" s="39"/>
      <c r="E1031" s="39"/>
    </row>
    <row r="1032" spans="1:5" ht="15.6">
      <c r="A1032">
        <v>977</v>
      </c>
      <c r="B1032" s="166">
        <v>56.588077221398372</v>
      </c>
      <c r="D1032" s="39"/>
      <c r="E1032" s="39"/>
    </row>
    <row r="1033" spans="1:5" ht="15.6">
      <c r="A1033">
        <v>978</v>
      </c>
      <c r="B1033" s="166">
        <v>61.464679976035427</v>
      </c>
      <c r="D1033" s="39"/>
      <c r="E1033" s="39"/>
    </row>
    <row r="1034" spans="1:5" ht="15.6">
      <c r="A1034">
        <v>979</v>
      </c>
      <c r="B1034" s="166">
        <v>78.400798507920371</v>
      </c>
      <c r="D1034" s="39"/>
      <c r="E1034" s="39"/>
    </row>
    <row r="1035" spans="1:5" ht="15.6">
      <c r="A1035">
        <v>980</v>
      </c>
      <c r="B1035" s="166">
        <v>81.539266786075572</v>
      </c>
      <c r="D1035" s="39"/>
      <c r="E1035" s="39"/>
    </row>
    <row r="1036" spans="1:5" ht="15.6">
      <c r="A1036">
        <v>981</v>
      </c>
      <c r="B1036" s="166">
        <v>106.16178738071839</v>
      </c>
      <c r="D1036" s="39"/>
      <c r="E1036" s="39"/>
    </row>
    <row r="1037" spans="1:5" ht="15.6">
      <c r="A1037">
        <v>982</v>
      </c>
      <c r="B1037" s="166">
        <v>143.74352679264027</v>
      </c>
      <c r="D1037" s="39"/>
      <c r="E1037" s="39"/>
    </row>
    <row r="1038" spans="1:5" ht="15.6">
      <c r="A1038">
        <v>983</v>
      </c>
      <c r="B1038" s="166">
        <v>90.546327483823646</v>
      </c>
      <c r="D1038" s="39"/>
      <c r="E1038" s="39"/>
    </row>
    <row r="1039" spans="1:5" ht="15.6">
      <c r="A1039">
        <v>984</v>
      </c>
      <c r="B1039" s="166">
        <v>173.24672037516765</v>
      </c>
      <c r="D1039" s="39"/>
      <c r="E1039" s="39"/>
    </row>
    <row r="1040" spans="1:5" ht="15.6">
      <c r="A1040">
        <v>985</v>
      </c>
      <c r="B1040" s="166">
        <v>65.931417066950829</v>
      </c>
      <c r="D1040" s="39"/>
      <c r="E1040" s="39"/>
    </row>
    <row r="1041" spans="1:5" ht="15.6">
      <c r="A1041">
        <v>986</v>
      </c>
      <c r="B1041" s="166">
        <v>55.834117620646332</v>
      </c>
      <c r="D1041" s="39"/>
      <c r="E1041" s="39"/>
    </row>
    <row r="1042" spans="1:5" ht="15.6">
      <c r="A1042">
        <v>987</v>
      </c>
      <c r="B1042" s="166">
        <v>110.3842656740353</v>
      </c>
      <c r="D1042" s="39"/>
      <c r="E1042" s="39"/>
    </row>
    <row r="1043" spans="1:5" ht="15.6">
      <c r="A1043">
        <v>988</v>
      </c>
      <c r="B1043" s="166">
        <v>147.57689406452661</v>
      </c>
      <c r="D1043" s="39"/>
      <c r="E1043" s="39"/>
    </row>
    <row r="1044" spans="1:5" ht="15.6">
      <c r="A1044">
        <v>989</v>
      </c>
      <c r="B1044" s="166">
        <v>97.741806622708907</v>
      </c>
      <c r="D1044" s="39"/>
      <c r="E1044" s="39"/>
    </row>
    <row r="1045" spans="1:5" ht="15.6">
      <c r="A1045">
        <v>990</v>
      </c>
      <c r="B1045" s="166">
        <v>85.218696739431252</v>
      </c>
      <c r="D1045" s="39"/>
      <c r="E1045" s="39"/>
    </row>
    <row r="1046" spans="1:5" ht="15.6">
      <c r="A1046">
        <v>991</v>
      </c>
      <c r="B1046" s="166">
        <v>94.643410910748486</v>
      </c>
      <c r="D1046" s="39"/>
      <c r="E1046" s="39"/>
    </row>
    <row r="1047" spans="1:5" ht="15.6">
      <c r="A1047">
        <v>992</v>
      </c>
      <c r="B1047" s="166">
        <v>108.74754150835884</v>
      </c>
      <c r="D1047" s="39"/>
      <c r="E1047" s="39"/>
    </row>
    <row r="1048" spans="1:5" ht="15.6">
      <c r="A1048">
        <v>993</v>
      </c>
      <c r="B1048" s="166">
        <v>59.560235393263923</v>
      </c>
      <c r="D1048" s="39"/>
      <c r="E1048" s="39"/>
    </row>
    <row r="1049" spans="1:5" ht="15.6">
      <c r="A1049">
        <v>994</v>
      </c>
      <c r="B1049" s="166">
        <v>90.898916805435732</v>
      </c>
      <c r="D1049" s="39"/>
      <c r="E1049" s="39"/>
    </row>
    <row r="1050" spans="1:5" ht="15.6">
      <c r="A1050">
        <v>995</v>
      </c>
      <c r="B1050" s="166">
        <v>171.92056264256993</v>
      </c>
      <c r="D1050" s="39"/>
      <c r="E1050" s="39"/>
    </row>
    <row r="1051" spans="1:5" ht="15.6">
      <c r="A1051">
        <v>996</v>
      </c>
      <c r="B1051" s="166">
        <v>102.7641414956406</v>
      </c>
      <c r="D1051" s="39"/>
      <c r="E1051" s="39"/>
    </row>
    <row r="1052" spans="1:5" ht="15.6">
      <c r="A1052">
        <v>997</v>
      </c>
      <c r="B1052" s="166">
        <v>79.642382952797419</v>
      </c>
      <c r="D1052" s="39"/>
      <c r="E1052" s="39"/>
    </row>
    <row r="1053" spans="1:5" ht="15.6">
      <c r="A1053">
        <v>998</v>
      </c>
      <c r="B1053" s="166">
        <v>146.41840034159952</v>
      </c>
      <c r="D1053" s="39"/>
      <c r="E1053" s="39"/>
    </row>
    <row r="1054" spans="1:5" ht="15.6">
      <c r="A1054">
        <v>999</v>
      </c>
      <c r="B1054" s="166">
        <v>142.50019034974156</v>
      </c>
      <c r="D1054" s="39"/>
      <c r="E1054" s="39"/>
    </row>
    <row r="1055" spans="1:5" ht="15.6">
      <c r="A1055">
        <v>1000</v>
      </c>
      <c r="B1055" s="166">
        <v>133.32681545135856</v>
      </c>
      <c r="D1055" s="39"/>
      <c r="E1055" s="39"/>
    </row>
    <row r="1056" spans="1:5" ht="15.6">
      <c r="A1056">
        <v>1001</v>
      </c>
      <c r="B1056" s="166">
        <v>155.1612569778552</v>
      </c>
      <c r="D1056" s="39"/>
      <c r="E1056" s="39"/>
    </row>
    <row r="1057" spans="1:5" ht="15.6">
      <c r="A1057">
        <v>1002</v>
      </c>
      <c r="B1057" s="166">
        <v>165.23739844600848</v>
      </c>
      <c r="D1057" s="39"/>
      <c r="E1057" s="39"/>
    </row>
    <row r="1058" spans="1:5" ht="15.6">
      <c r="A1058">
        <v>1003</v>
      </c>
      <c r="B1058" s="166">
        <v>88.938585551803698</v>
      </c>
      <c r="D1058" s="39"/>
      <c r="E1058" s="39"/>
    </row>
    <row r="1059" spans="1:5" ht="15.6">
      <c r="A1059">
        <v>1004</v>
      </c>
      <c r="B1059" s="166">
        <v>146.81348342199692</v>
      </c>
      <c r="D1059" s="39"/>
      <c r="E1059" s="39"/>
    </row>
    <row r="1060" spans="1:5" ht="15.6">
      <c r="A1060">
        <v>1005</v>
      </c>
      <c r="B1060" s="166">
        <v>222.07691961538265</v>
      </c>
      <c r="D1060" s="39"/>
      <c r="E1060" s="39"/>
    </row>
    <row r="1061" spans="1:5" ht="15.6">
      <c r="A1061">
        <v>1006</v>
      </c>
      <c r="B1061" s="166">
        <v>79.941141776808394</v>
      </c>
      <c r="D1061" s="39"/>
      <c r="E1061" s="39"/>
    </row>
    <row r="1062" spans="1:5" ht="15.6">
      <c r="A1062">
        <v>1007</v>
      </c>
      <c r="B1062" s="166">
        <v>85.909797378995336</v>
      </c>
      <c r="D1062" s="39"/>
      <c r="E1062" s="39"/>
    </row>
    <row r="1063" spans="1:5" ht="15.6">
      <c r="A1063">
        <v>1008</v>
      </c>
      <c r="B1063" s="166">
        <v>94.837455248923504</v>
      </c>
      <c r="D1063" s="39"/>
      <c r="E1063" s="39"/>
    </row>
    <row r="1064" spans="1:5" ht="15.6">
      <c r="A1064">
        <v>1009</v>
      </c>
      <c r="B1064" s="166">
        <v>137.10982107641138</v>
      </c>
      <c r="D1064" s="39"/>
      <c r="E1064" s="39"/>
    </row>
    <row r="1065" spans="1:5" ht="15.6">
      <c r="A1065">
        <v>1010</v>
      </c>
      <c r="B1065" s="166">
        <v>116.3259547458664</v>
      </c>
      <c r="D1065" s="39"/>
      <c r="E1065" s="39"/>
    </row>
    <row r="1066" spans="1:5" ht="15.6">
      <c r="A1066">
        <v>1011</v>
      </c>
      <c r="B1066" s="166">
        <v>77.952905850027037</v>
      </c>
      <c r="D1066" s="39"/>
      <c r="E1066" s="39"/>
    </row>
    <row r="1067" spans="1:5" ht="15.6">
      <c r="A1067">
        <v>1012</v>
      </c>
      <c r="B1067" s="166">
        <v>49.725080323846051</v>
      </c>
      <c r="D1067" s="39"/>
      <c r="E1067" s="39"/>
    </row>
    <row r="1068" spans="1:5" ht="15.6">
      <c r="A1068">
        <v>1013</v>
      </c>
      <c r="B1068" s="166">
        <v>117.96700736078584</v>
      </c>
      <c r="D1068" s="39"/>
      <c r="E1068" s="39"/>
    </row>
    <row r="1069" spans="1:5" ht="15.6">
      <c r="A1069">
        <v>1014</v>
      </c>
      <c r="B1069" s="166">
        <v>139.06055634659677</v>
      </c>
      <c r="D1069" s="39"/>
      <c r="E1069" s="39"/>
    </row>
    <row r="1070" spans="1:5" ht="15.6">
      <c r="A1070">
        <v>1015</v>
      </c>
      <c r="B1070" s="166">
        <v>74.85905228916242</v>
      </c>
      <c r="D1070" s="39"/>
      <c r="E1070" s="39"/>
    </row>
    <row r="1071" spans="1:5" ht="15.6">
      <c r="A1071">
        <v>1016</v>
      </c>
      <c r="B1071" s="166">
        <v>76.094057561807873</v>
      </c>
      <c r="D1071" s="39"/>
      <c r="E1071" s="39"/>
    </row>
    <row r="1072" spans="1:5" ht="15.6">
      <c r="A1072">
        <v>1017</v>
      </c>
      <c r="B1072" s="166">
        <v>186.99764049758124</v>
      </c>
      <c r="D1072" s="39"/>
      <c r="E1072" s="39"/>
    </row>
    <row r="1073" spans="1:5" ht="15.6">
      <c r="A1073">
        <v>1018</v>
      </c>
      <c r="B1073" s="166">
        <v>78.891896374938611</v>
      </c>
      <c r="D1073" s="39"/>
      <c r="E1073" s="39"/>
    </row>
    <row r="1074" spans="1:5" ht="15.6">
      <c r="A1074">
        <v>1019</v>
      </c>
      <c r="B1074" s="166">
        <v>106.37451714149324</v>
      </c>
      <c r="D1074" s="39"/>
      <c r="E1074" s="39"/>
    </row>
    <row r="1075" spans="1:5" ht="15.6">
      <c r="A1075">
        <v>1020</v>
      </c>
      <c r="B1075" s="166">
        <v>95.813521790144463</v>
      </c>
      <c r="D1075" s="39"/>
      <c r="E1075" s="39"/>
    </row>
    <row r="1076" spans="1:5" ht="15.6">
      <c r="A1076">
        <v>1021</v>
      </c>
      <c r="B1076" s="166">
        <v>107.47651419614344</v>
      </c>
      <c r="D1076" s="39"/>
      <c r="E1076" s="39"/>
    </row>
    <row r="1077" spans="1:5" ht="15.6">
      <c r="A1077">
        <v>1022</v>
      </c>
      <c r="B1077" s="166">
        <v>117.75197073122283</v>
      </c>
      <c r="D1077" s="39"/>
      <c r="E1077" s="39"/>
    </row>
    <row r="1078" spans="1:5" ht="15.6">
      <c r="A1078">
        <v>1023</v>
      </c>
      <c r="B1078" s="166">
        <v>101.38066398638809</v>
      </c>
      <c r="D1078" s="39"/>
      <c r="E1078" s="39"/>
    </row>
    <row r="1079" spans="1:5" ht="15.6">
      <c r="A1079">
        <v>1024</v>
      </c>
      <c r="B1079" s="166">
        <v>198.79462554098703</v>
      </c>
      <c r="D1079" s="39"/>
      <c r="E1079" s="39"/>
    </row>
    <row r="1080" spans="1:5" ht="15.6">
      <c r="A1080">
        <v>1025</v>
      </c>
      <c r="B1080" s="166">
        <v>94.058835544432426</v>
      </c>
      <c r="D1080" s="39"/>
      <c r="E1080" s="39"/>
    </row>
    <row r="1081" spans="1:5" ht="15.6">
      <c r="A1081">
        <v>1026</v>
      </c>
      <c r="B1081" s="166">
        <v>89.737190233603414</v>
      </c>
      <c r="D1081" s="39"/>
      <c r="E1081" s="39"/>
    </row>
    <row r="1082" spans="1:5" ht="15.6">
      <c r="A1082">
        <v>1027</v>
      </c>
      <c r="B1082" s="166">
        <v>76.279709311607775</v>
      </c>
      <c r="D1082" s="39"/>
      <c r="E1082" s="39"/>
    </row>
    <row r="1083" spans="1:5" ht="15.6">
      <c r="A1083">
        <v>1028</v>
      </c>
      <c r="B1083" s="166">
        <v>75.614076016175218</v>
      </c>
      <c r="D1083" s="39"/>
      <c r="E1083" s="39"/>
    </row>
    <row r="1084" spans="1:5" ht="15.6">
      <c r="A1084">
        <v>1029</v>
      </c>
      <c r="B1084" s="166">
        <v>122.67337546635761</v>
      </c>
      <c r="D1084" s="39"/>
      <c r="E1084" s="39"/>
    </row>
    <row r="1085" spans="1:5" ht="15.6">
      <c r="A1085">
        <v>1030</v>
      </c>
      <c r="B1085" s="166">
        <v>101.54439932555069</v>
      </c>
      <c r="D1085" s="39"/>
      <c r="E1085" s="39"/>
    </row>
    <row r="1086" spans="1:5" ht="15.6">
      <c r="A1086">
        <v>1031</v>
      </c>
      <c r="B1086" s="166">
        <v>126.86580166470276</v>
      </c>
      <c r="D1086" s="39"/>
      <c r="E1086" s="39"/>
    </row>
    <row r="1087" spans="1:5" ht="15.6">
      <c r="A1087">
        <v>1032</v>
      </c>
      <c r="B1087" s="166">
        <v>94.665480966694147</v>
      </c>
      <c r="D1087" s="39"/>
      <c r="E1087" s="39"/>
    </row>
    <row r="1088" spans="1:5" ht="15.6">
      <c r="A1088">
        <v>1033</v>
      </c>
      <c r="B1088" s="166">
        <v>90.678772105544169</v>
      </c>
      <c r="D1088" s="39"/>
      <c r="E1088" s="39"/>
    </row>
    <row r="1089" spans="1:5" ht="15.6">
      <c r="A1089">
        <v>1034</v>
      </c>
      <c r="B1089" s="166">
        <v>84.0499857443574</v>
      </c>
      <c r="D1089" s="39"/>
      <c r="E1089" s="39"/>
    </row>
    <row r="1090" spans="1:5" ht="15.6">
      <c r="A1090">
        <v>1035</v>
      </c>
      <c r="B1090" s="166">
        <v>164.52886778838868</v>
      </c>
      <c r="D1090" s="39"/>
      <c r="E1090" s="39"/>
    </row>
    <row r="1091" spans="1:5" ht="15.6">
      <c r="A1091">
        <v>1036</v>
      </c>
      <c r="B1091" s="166">
        <v>163.96868547928611</v>
      </c>
      <c r="D1091" s="39"/>
      <c r="E1091" s="39"/>
    </row>
    <row r="1092" spans="1:5" ht="15.6">
      <c r="A1092">
        <v>1037</v>
      </c>
      <c r="B1092" s="166">
        <v>67.882329888530322</v>
      </c>
      <c r="D1092" s="39"/>
      <c r="E1092" s="39"/>
    </row>
    <row r="1093" spans="1:5" ht="15.6">
      <c r="A1093">
        <v>1038</v>
      </c>
      <c r="B1093" s="166">
        <v>81.876959733462712</v>
      </c>
      <c r="D1093" s="39"/>
      <c r="E1093" s="39"/>
    </row>
    <row r="1094" spans="1:5" ht="15.6">
      <c r="A1094">
        <v>1039</v>
      </c>
      <c r="B1094" s="166">
        <v>84.237011093853809</v>
      </c>
      <c r="D1094" s="39"/>
      <c r="E1094" s="39"/>
    </row>
    <row r="1095" spans="1:5" ht="15.6">
      <c r="A1095">
        <v>1040</v>
      </c>
      <c r="B1095" s="166">
        <v>137.92570897843697</v>
      </c>
      <c r="D1095" s="39"/>
      <c r="E1095" s="39"/>
    </row>
    <row r="1096" spans="1:5" ht="15.6">
      <c r="A1096">
        <v>1041</v>
      </c>
      <c r="B1096" s="166">
        <v>85.732207174615951</v>
      </c>
      <c r="D1096" s="39"/>
      <c r="E1096" s="39"/>
    </row>
    <row r="1097" spans="1:5" ht="15.6">
      <c r="A1097">
        <v>1042</v>
      </c>
      <c r="B1097" s="166">
        <v>84.753124942316944</v>
      </c>
      <c r="D1097" s="39"/>
      <c r="E1097" s="39"/>
    </row>
    <row r="1098" spans="1:5" ht="15.6">
      <c r="A1098">
        <v>1043</v>
      </c>
      <c r="B1098" s="166">
        <v>139.44359162254835</v>
      </c>
      <c r="D1098" s="39"/>
      <c r="E1098" s="39"/>
    </row>
    <row r="1099" spans="1:5" ht="15.6">
      <c r="A1099">
        <v>1044</v>
      </c>
      <c r="B1099" s="166">
        <v>80.773620638508916</v>
      </c>
      <c r="D1099" s="39"/>
      <c r="E1099" s="39"/>
    </row>
    <row r="1100" spans="1:5" ht="15.6">
      <c r="A1100">
        <v>1045</v>
      </c>
      <c r="B1100" s="166">
        <v>91.914857136706928</v>
      </c>
      <c r="D1100" s="39"/>
      <c r="E1100" s="39"/>
    </row>
    <row r="1101" spans="1:5" ht="15.6">
      <c r="A1101">
        <v>1046</v>
      </c>
      <c r="B1101" s="166">
        <v>103.94083790815837</v>
      </c>
      <c r="D1101" s="39"/>
      <c r="E1101" s="39"/>
    </row>
    <row r="1102" spans="1:5" ht="15.6">
      <c r="A1102">
        <v>1047</v>
      </c>
      <c r="B1102" s="166">
        <v>69.027553389281294</v>
      </c>
      <c r="D1102" s="39"/>
      <c r="E1102" s="39"/>
    </row>
    <row r="1103" spans="1:5" ht="15.6">
      <c r="A1103">
        <v>1048</v>
      </c>
      <c r="B1103" s="166">
        <v>107.32081826135554</v>
      </c>
      <c r="D1103" s="39"/>
      <c r="E1103" s="39"/>
    </row>
    <row r="1104" spans="1:5" ht="15.6">
      <c r="A1104">
        <v>1049</v>
      </c>
      <c r="B1104" s="166">
        <v>136.87209711371594</v>
      </c>
      <c r="D1104" s="39"/>
      <c r="E1104" s="39"/>
    </row>
    <row r="1105" spans="1:5" ht="15.6">
      <c r="A1105">
        <v>1050</v>
      </c>
      <c r="B1105" s="166">
        <v>94.157270887667124</v>
      </c>
      <c r="D1105" s="39"/>
      <c r="E1105" s="39"/>
    </row>
    <row r="1106" spans="1:5" ht="15.6">
      <c r="A1106">
        <v>1051</v>
      </c>
      <c r="B1106" s="166">
        <v>50.887415734285547</v>
      </c>
      <c r="D1106" s="39"/>
      <c r="E1106" s="39"/>
    </row>
    <row r="1107" spans="1:5" ht="15.6">
      <c r="A1107">
        <v>1052</v>
      </c>
      <c r="B1107" s="166">
        <v>117.91857854628135</v>
      </c>
      <c r="D1107" s="39"/>
      <c r="E1107" s="39"/>
    </row>
    <row r="1108" spans="1:5" ht="15.6">
      <c r="A1108">
        <v>1053</v>
      </c>
      <c r="B1108" s="166">
        <v>89.055830907177651</v>
      </c>
      <c r="D1108" s="39"/>
      <c r="E1108" s="39"/>
    </row>
    <row r="1109" spans="1:5" ht="15.6">
      <c r="A1109">
        <v>1054</v>
      </c>
      <c r="B1109" s="166">
        <v>74.545254784462628</v>
      </c>
      <c r="D1109" s="39"/>
      <c r="E1109" s="39"/>
    </row>
    <row r="1110" spans="1:5" ht="15.6">
      <c r="A1110">
        <v>1055</v>
      </c>
      <c r="B1110" s="166">
        <v>75.033919070750699</v>
      </c>
      <c r="D1110" s="39"/>
      <c r="E1110" s="39"/>
    </row>
    <row r="1111" spans="1:5" ht="15.6">
      <c r="A1111">
        <v>1056</v>
      </c>
      <c r="B1111" s="166">
        <v>143.8641343412225</v>
      </c>
      <c r="D1111" s="39"/>
      <c r="E1111" s="39"/>
    </row>
    <row r="1112" spans="1:5" ht="15.6">
      <c r="A1112">
        <v>1057</v>
      </c>
      <c r="B1112" s="166">
        <v>120.4350581778056</v>
      </c>
      <c r="D1112" s="39"/>
      <c r="E1112" s="39"/>
    </row>
    <row r="1113" spans="1:5" ht="15.6">
      <c r="A1113">
        <v>1058</v>
      </c>
      <c r="B1113" s="166">
        <v>63.249117388878538</v>
      </c>
      <c r="D1113" s="39"/>
      <c r="E1113" s="39"/>
    </row>
    <row r="1114" spans="1:5" ht="15.6">
      <c r="A1114">
        <v>1059</v>
      </c>
      <c r="B1114" s="166">
        <v>176.62501132339818</v>
      </c>
      <c r="D1114" s="39"/>
      <c r="E1114" s="39"/>
    </row>
    <row r="1115" spans="1:5" ht="15.6">
      <c r="A1115">
        <v>1060</v>
      </c>
      <c r="B1115" s="166">
        <v>134.83860782115045</v>
      </c>
      <c r="D1115" s="39"/>
      <c r="E1115" s="39"/>
    </row>
    <row r="1116" spans="1:5" ht="15.6">
      <c r="A1116">
        <v>1061</v>
      </c>
      <c r="B1116" s="166">
        <v>133.09836170735312</v>
      </c>
      <c r="D1116" s="39"/>
      <c r="E1116" s="39"/>
    </row>
    <row r="1117" spans="1:5" ht="15.6">
      <c r="A1117">
        <v>1062</v>
      </c>
      <c r="B1117" s="166">
        <v>144.43209191825602</v>
      </c>
      <c r="D1117" s="39"/>
      <c r="E1117" s="39"/>
    </row>
    <row r="1118" spans="1:5" ht="15.6">
      <c r="A1118">
        <v>1063</v>
      </c>
      <c r="B1118" s="166">
        <v>160.36092298727525</v>
      </c>
      <c r="D1118" s="39"/>
      <c r="E1118" s="39"/>
    </row>
    <row r="1119" spans="1:5" ht="15.6">
      <c r="A1119">
        <v>1064</v>
      </c>
      <c r="B1119" s="166">
        <v>120.792829517076</v>
      </c>
      <c r="D1119" s="39"/>
      <c r="E1119" s="39"/>
    </row>
    <row r="1120" spans="1:5" ht="15.6">
      <c r="A1120">
        <v>1065</v>
      </c>
      <c r="B1120" s="166">
        <v>140.16803529588185</v>
      </c>
      <c r="D1120" s="39"/>
      <c r="E1120" s="39"/>
    </row>
    <row r="1121" spans="1:5" ht="15.6">
      <c r="A1121">
        <v>1066</v>
      </c>
      <c r="B1121" s="166">
        <v>95.088745163465489</v>
      </c>
      <c r="D1121" s="39"/>
      <c r="E1121" s="39"/>
    </row>
    <row r="1122" spans="1:5" ht="15.6">
      <c r="A1122">
        <v>1067</v>
      </c>
      <c r="B1122" s="166">
        <v>69.284463339428029</v>
      </c>
      <c r="D1122" s="39"/>
      <c r="E1122" s="39"/>
    </row>
    <row r="1123" spans="1:5" ht="15.6">
      <c r="A1123">
        <v>1068</v>
      </c>
      <c r="B1123" s="166">
        <v>126.0775412490076</v>
      </c>
      <c r="D1123" s="39"/>
      <c r="E1123" s="39"/>
    </row>
    <row r="1124" spans="1:5" ht="15.6">
      <c r="A1124">
        <v>1069</v>
      </c>
      <c r="B1124" s="166">
        <v>173.77051341670094</v>
      </c>
      <c r="D1124" s="39"/>
      <c r="E1124" s="39"/>
    </row>
    <row r="1125" spans="1:5" ht="15.6">
      <c r="A1125">
        <v>1070</v>
      </c>
      <c r="B1125" s="166">
        <v>99.82926355133074</v>
      </c>
      <c r="D1125" s="39"/>
      <c r="E1125" s="39"/>
    </row>
    <row r="1126" spans="1:5" ht="15.6">
      <c r="A1126">
        <v>1071</v>
      </c>
      <c r="B1126" s="166">
        <v>112.37781853003415</v>
      </c>
      <c r="D1126" s="39"/>
      <c r="E1126" s="39"/>
    </row>
    <row r="1127" spans="1:5" ht="15.6">
      <c r="A1127">
        <v>1072</v>
      </c>
      <c r="B1127" s="166">
        <v>136.61329264628449</v>
      </c>
      <c r="D1127" s="39"/>
      <c r="E1127" s="39"/>
    </row>
    <row r="1128" spans="1:5" ht="15.6">
      <c r="A1128">
        <v>1073</v>
      </c>
      <c r="B1128" s="166">
        <v>82.322760241358608</v>
      </c>
      <c r="D1128" s="39"/>
      <c r="E1128" s="39"/>
    </row>
    <row r="1129" spans="1:5" ht="15.6">
      <c r="A1129">
        <v>1074</v>
      </c>
      <c r="B1129" s="166">
        <v>104.52389342520037</v>
      </c>
      <c r="D1129" s="39"/>
      <c r="E1129" s="39"/>
    </row>
    <row r="1130" spans="1:5" ht="15.6">
      <c r="A1130">
        <v>1075</v>
      </c>
      <c r="B1130" s="166">
        <v>70.597296130906216</v>
      </c>
      <c r="D1130" s="39"/>
      <c r="E1130" s="39"/>
    </row>
    <row r="1131" spans="1:5" ht="15.6">
      <c r="A1131">
        <v>1076</v>
      </c>
      <c r="B1131" s="166">
        <v>148.02668269496436</v>
      </c>
      <c r="D1131" s="39"/>
      <c r="E1131" s="39"/>
    </row>
    <row r="1132" spans="1:5" ht="15.6">
      <c r="A1132">
        <v>1077</v>
      </c>
      <c r="B1132" s="166">
        <v>83.002824975806931</v>
      </c>
      <c r="D1132" s="39"/>
      <c r="E1132" s="39"/>
    </row>
    <row r="1133" spans="1:5" ht="15.6">
      <c r="A1133">
        <v>1078</v>
      </c>
      <c r="B1133" s="166">
        <v>77.054610697832857</v>
      </c>
      <c r="D1133" s="39"/>
      <c r="E1133" s="39"/>
    </row>
    <row r="1134" spans="1:5" ht="15.6">
      <c r="A1134">
        <v>1079</v>
      </c>
      <c r="B1134" s="166">
        <v>67.101075305201817</v>
      </c>
      <c r="D1134" s="39"/>
      <c r="E1134" s="39"/>
    </row>
    <row r="1135" spans="1:5" ht="15.6">
      <c r="A1135">
        <v>1080</v>
      </c>
      <c r="B1135" s="166">
        <v>154.83146815544956</v>
      </c>
      <c r="D1135" s="39"/>
      <c r="E1135" s="39"/>
    </row>
    <row r="1136" spans="1:5" ht="15.6">
      <c r="A1136">
        <v>1081</v>
      </c>
      <c r="B1136" s="166">
        <v>72.257594393370766</v>
      </c>
      <c r="D1136" s="39"/>
      <c r="E1136" s="39"/>
    </row>
    <row r="1137" spans="1:5" ht="15.6">
      <c r="A1137">
        <v>1082</v>
      </c>
      <c r="B1137" s="166">
        <v>113.94199502201158</v>
      </c>
      <c r="D1137" s="39"/>
      <c r="E1137" s="39"/>
    </row>
    <row r="1138" spans="1:5" ht="15.6">
      <c r="A1138">
        <v>1083</v>
      </c>
      <c r="B1138" s="166">
        <v>144.84426280470007</v>
      </c>
      <c r="D1138" s="39"/>
      <c r="E1138" s="39"/>
    </row>
    <row r="1139" spans="1:5" ht="15.6">
      <c r="A1139">
        <v>1084</v>
      </c>
      <c r="B1139" s="166">
        <v>99.466574738756009</v>
      </c>
      <c r="D1139" s="39"/>
      <c r="E1139" s="39"/>
    </row>
    <row r="1140" spans="1:5" ht="15.6">
      <c r="A1140">
        <v>1085</v>
      </c>
      <c r="B1140" s="166">
        <v>65.575897625300428</v>
      </c>
      <c r="D1140" s="39"/>
      <c r="E1140" s="39"/>
    </row>
    <row r="1141" spans="1:5" ht="15.6">
      <c r="A1141">
        <v>1086</v>
      </c>
      <c r="B1141" s="166">
        <v>161.58223677607094</v>
      </c>
      <c r="D1141" s="39"/>
      <c r="E1141" s="39"/>
    </row>
    <row r="1142" spans="1:5" ht="15.6">
      <c r="A1142">
        <v>1087</v>
      </c>
      <c r="B1142" s="166">
        <v>97.01900769468476</v>
      </c>
      <c r="D1142" s="39"/>
      <c r="E1142" s="39"/>
    </row>
    <row r="1143" spans="1:5" ht="15.6">
      <c r="A1143">
        <v>1088</v>
      </c>
      <c r="B1143" s="166">
        <v>88.152857745395337</v>
      </c>
      <c r="D1143" s="39"/>
      <c r="E1143" s="39"/>
    </row>
    <row r="1144" spans="1:5" ht="15.6">
      <c r="A1144">
        <v>1089</v>
      </c>
      <c r="B1144" s="166">
        <v>161.24968935168565</v>
      </c>
      <c r="D1144" s="39"/>
      <c r="E1144" s="39"/>
    </row>
    <row r="1145" spans="1:5" ht="15.6">
      <c r="A1145">
        <v>1090</v>
      </c>
      <c r="B1145" s="166">
        <v>152.71497164089968</v>
      </c>
      <c r="D1145" s="39"/>
      <c r="E1145" s="39"/>
    </row>
    <row r="1146" spans="1:5" ht="15.6">
      <c r="A1146">
        <v>1091</v>
      </c>
      <c r="B1146" s="166">
        <v>85.807842963600024</v>
      </c>
      <c r="D1146" s="39"/>
      <c r="E1146" s="39"/>
    </row>
    <row r="1147" spans="1:5" ht="15.6">
      <c r="A1147">
        <v>1092</v>
      </c>
      <c r="B1147" s="166">
        <v>125.09659812047974</v>
      </c>
      <c r="D1147" s="39"/>
      <c r="E1147" s="39"/>
    </row>
    <row r="1148" spans="1:5" ht="15.6">
      <c r="A1148">
        <v>1093</v>
      </c>
      <c r="B1148" s="166">
        <v>91.013663487812352</v>
      </c>
      <c r="D1148" s="39"/>
      <c r="E1148" s="39"/>
    </row>
    <row r="1149" spans="1:5" ht="15.6">
      <c r="A1149">
        <v>1094</v>
      </c>
      <c r="B1149" s="166">
        <v>180.55122754108544</v>
      </c>
      <c r="D1149" s="39"/>
      <c r="E1149" s="39"/>
    </row>
    <row r="1150" spans="1:5" ht="15.6">
      <c r="A1150">
        <v>1095</v>
      </c>
      <c r="B1150" s="166">
        <v>117.89737910559685</v>
      </c>
      <c r="D1150" s="39"/>
      <c r="E1150" s="39"/>
    </row>
    <row r="1151" spans="1:5" ht="15.6">
      <c r="A1151">
        <v>1096</v>
      </c>
      <c r="B1151" s="166">
        <v>100.59308242300281</v>
      </c>
      <c r="D1151" s="39"/>
      <c r="E1151" s="39"/>
    </row>
    <row r="1152" spans="1:5" ht="15.6">
      <c r="A1152">
        <v>1097</v>
      </c>
      <c r="B1152" s="166">
        <v>144.62769895506869</v>
      </c>
      <c r="D1152" s="39"/>
      <c r="E1152" s="39"/>
    </row>
    <row r="1153" spans="1:5" ht="15.6">
      <c r="A1153">
        <v>1098</v>
      </c>
      <c r="B1153" s="166">
        <v>81.21469126641189</v>
      </c>
      <c r="D1153" s="39"/>
      <c r="E1153" s="39"/>
    </row>
    <row r="1154" spans="1:5" ht="15.6">
      <c r="A1154">
        <v>1099</v>
      </c>
      <c r="B1154" s="166">
        <v>107.66889392822917</v>
      </c>
      <c r="D1154" s="39"/>
      <c r="E1154" s="39"/>
    </row>
    <row r="1155" spans="1:5" ht="15.6">
      <c r="A1155">
        <v>1100</v>
      </c>
      <c r="B1155" s="166">
        <v>67.973367345852225</v>
      </c>
      <c r="D1155" s="39"/>
      <c r="E1155" s="39"/>
    </row>
    <row r="1156" spans="1:5" ht="15.6">
      <c r="A1156">
        <v>1101</v>
      </c>
      <c r="B1156" s="166">
        <v>72.131149406877981</v>
      </c>
      <c r="D1156" s="39"/>
      <c r="E1156" s="39"/>
    </row>
    <row r="1157" spans="1:5" ht="15.6">
      <c r="A1157">
        <v>1102</v>
      </c>
      <c r="B1157" s="166">
        <v>240.39323105233862</v>
      </c>
      <c r="D1157" s="39"/>
      <c r="E1157" s="39"/>
    </row>
    <row r="1158" spans="1:5" ht="15.6">
      <c r="A1158">
        <v>1103</v>
      </c>
      <c r="B1158" s="166">
        <v>140.09743897889609</v>
      </c>
      <c r="D1158" s="39"/>
      <c r="E1158" s="39"/>
    </row>
    <row r="1159" spans="1:5" ht="15.6">
      <c r="A1159">
        <v>1104</v>
      </c>
      <c r="B1159" s="166">
        <v>127.24185082895443</v>
      </c>
      <c r="D1159" s="39"/>
      <c r="E1159" s="39"/>
    </row>
    <row r="1160" spans="1:5" ht="15.6">
      <c r="A1160">
        <v>1105</v>
      </c>
      <c r="B1160" s="166">
        <v>132.92922424242462</v>
      </c>
      <c r="D1160" s="39"/>
      <c r="E1160" s="39"/>
    </row>
    <row r="1161" spans="1:5" ht="15.6">
      <c r="A1161">
        <v>1106</v>
      </c>
      <c r="B1161" s="166">
        <v>72.583140136172119</v>
      </c>
      <c r="D1161" s="39"/>
      <c r="E1161" s="39"/>
    </row>
    <row r="1162" spans="1:5" ht="15.6">
      <c r="A1162">
        <v>1107</v>
      </c>
      <c r="B1162" s="166">
        <v>143.55409470660354</v>
      </c>
      <c r="D1162" s="39"/>
      <c r="E1162" s="39"/>
    </row>
    <row r="1163" spans="1:5" ht="15.6">
      <c r="A1163">
        <v>1108</v>
      </c>
      <c r="B1163" s="166">
        <v>175.70982177337669</v>
      </c>
      <c r="D1163" s="39"/>
      <c r="E1163" s="39"/>
    </row>
    <row r="1164" spans="1:5" ht="15.6">
      <c r="A1164">
        <v>1109</v>
      </c>
      <c r="B1164" s="166">
        <v>150.74861942363967</v>
      </c>
      <c r="D1164" s="39"/>
      <c r="E1164" s="39"/>
    </row>
    <row r="1165" spans="1:5" ht="15.6">
      <c r="A1165">
        <v>1110</v>
      </c>
      <c r="B1165" s="166">
        <v>105.69285248615685</v>
      </c>
      <c r="D1165" s="39"/>
      <c r="E1165" s="39"/>
    </row>
    <row r="1166" spans="1:5" ht="15.6">
      <c r="A1166">
        <v>1111</v>
      </c>
      <c r="B1166" s="166">
        <v>178.41149927160654</v>
      </c>
      <c r="D1166" s="39"/>
      <c r="E1166" s="39"/>
    </row>
    <row r="1167" spans="1:5" ht="15.6">
      <c r="A1167">
        <v>1112</v>
      </c>
      <c r="B1167" s="166">
        <v>127.14424300103772</v>
      </c>
      <c r="D1167" s="39"/>
      <c r="E1167" s="39"/>
    </row>
    <row r="1168" spans="1:5" ht="15.6">
      <c r="A1168">
        <v>1113</v>
      </c>
      <c r="B1168" s="166">
        <v>126.03083167330637</v>
      </c>
      <c r="D1168" s="39"/>
      <c r="E1168" s="39"/>
    </row>
    <row r="1169" spans="1:5" ht="15.6">
      <c r="A1169">
        <v>1114</v>
      </c>
      <c r="B1169" s="166">
        <v>128.00064584042102</v>
      </c>
      <c r="D1169" s="39"/>
      <c r="E1169" s="39"/>
    </row>
    <row r="1170" spans="1:5" ht="15.6">
      <c r="A1170">
        <v>1115</v>
      </c>
      <c r="B1170" s="166">
        <v>175.52465864188284</v>
      </c>
      <c r="D1170" s="39"/>
      <c r="E1170" s="39"/>
    </row>
    <row r="1171" spans="1:5" ht="15.6">
      <c r="A1171">
        <v>1116</v>
      </c>
      <c r="B1171" s="166">
        <v>86.087318274708082</v>
      </c>
      <c r="D1171" s="39"/>
      <c r="E1171" s="39"/>
    </row>
    <row r="1172" spans="1:5" ht="15.6">
      <c r="A1172">
        <v>1117</v>
      </c>
      <c r="B1172" s="166">
        <v>80.195336981061018</v>
      </c>
      <c r="D1172" s="39"/>
      <c r="E1172" s="39"/>
    </row>
    <row r="1173" spans="1:5" ht="15.6">
      <c r="A1173">
        <v>1118</v>
      </c>
      <c r="B1173" s="166">
        <v>132.54425634906571</v>
      </c>
      <c r="D1173" s="39"/>
      <c r="E1173" s="39"/>
    </row>
    <row r="1174" spans="1:5" ht="15.6">
      <c r="A1174">
        <v>1119</v>
      </c>
      <c r="B1174" s="166">
        <v>168.2450213082131</v>
      </c>
      <c r="D1174" s="39"/>
      <c r="E1174" s="39"/>
    </row>
    <row r="1175" spans="1:5" ht="15.6">
      <c r="A1175">
        <v>1120</v>
      </c>
      <c r="B1175" s="166">
        <v>193.46199939099387</v>
      </c>
      <c r="D1175" s="39"/>
      <c r="E1175" s="39"/>
    </row>
    <row r="1176" spans="1:5" ht="15.6">
      <c r="A1176">
        <v>1121</v>
      </c>
      <c r="B1176" s="166">
        <v>93.547246864569303</v>
      </c>
      <c r="D1176" s="39"/>
      <c r="E1176" s="39"/>
    </row>
    <row r="1177" spans="1:5" ht="15.6">
      <c r="A1177">
        <v>1122</v>
      </c>
      <c r="B1177" s="166">
        <v>54.118450947855024</v>
      </c>
      <c r="D1177" s="39"/>
      <c r="E1177" s="39"/>
    </row>
    <row r="1178" spans="1:5" ht="15.6">
      <c r="A1178">
        <v>1123</v>
      </c>
      <c r="B1178" s="166">
        <v>80.688378079386453</v>
      </c>
      <c r="D1178" s="39"/>
      <c r="E1178" s="39"/>
    </row>
    <row r="1179" spans="1:5" ht="15.6">
      <c r="A1179">
        <v>1124</v>
      </c>
      <c r="B1179" s="166">
        <v>141.10542449346508</v>
      </c>
      <c r="D1179" s="39"/>
      <c r="E1179" s="39"/>
    </row>
    <row r="1180" spans="1:5" ht="15.6">
      <c r="A1180">
        <v>1125</v>
      </c>
      <c r="B1180" s="166">
        <v>90.032929371895278</v>
      </c>
      <c r="D1180" s="39"/>
      <c r="E1180" s="39"/>
    </row>
    <row r="1181" spans="1:5" ht="15.6">
      <c r="A1181">
        <v>1126</v>
      </c>
      <c r="B1181" s="166">
        <v>89.725628392918338</v>
      </c>
      <c r="D1181" s="39"/>
      <c r="E1181" s="39"/>
    </row>
    <row r="1182" spans="1:5" ht="15.6">
      <c r="A1182">
        <v>1127</v>
      </c>
      <c r="B1182" s="166">
        <v>57.589708902394818</v>
      </c>
      <c r="D1182" s="39"/>
      <c r="E1182" s="39"/>
    </row>
    <row r="1183" spans="1:5" ht="15.6">
      <c r="A1183">
        <v>1128</v>
      </c>
      <c r="B1183" s="166">
        <v>96.506834082491224</v>
      </c>
      <c r="D1183" s="39"/>
      <c r="E1183" s="39"/>
    </row>
    <row r="1184" spans="1:5" ht="15.6">
      <c r="A1184">
        <v>1129</v>
      </c>
      <c r="B1184" s="166">
        <v>70.297276952445998</v>
      </c>
      <c r="D1184" s="39"/>
      <c r="E1184" s="39"/>
    </row>
    <row r="1185" spans="1:5" ht="15.6">
      <c r="A1185">
        <v>1130</v>
      </c>
      <c r="B1185" s="166">
        <v>141.97644912054048</v>
      </c>
      <c r="D1185" s="39"/>
      <c r="E1185" s="39"/>
    </row>
    <row r="1186" spans="1:5" ht="15.6">
      <c r="A1186">
        <v>1131</v>
      </c>
      <c r="B1186" s="166">
        <v>70.268782334046946</v>
      </c>
      <c r="D1186" s="39"/>
      <c r="E1186" s="39"/>
    </row>
    <row r="1187" spans="1:5" ht="15.6">
      <c r="A1187">
        <v>1132</v>
      </c>
      <c r="B1187" s="166">
        <v>149.680602286647</v>
      </c>
      <c r="D1187" s="39"/>
      <c r="E1187" s="39"/>
    </row>
    <row r="1188" spans="1:5" ht="15.6">
      <c r="A1188">
        <v>1133</v>
      </c>
      <c r="B1188" s="166">
        <v>103.05503285561555</v>
      </c>
      <c r="D1188" s="39"/>
      <c r="E1188" s="39"/>
    </row>
    <row r="1189" spans="1:5" ht="15.6">
      <c r="A1189">
        <v>1134</v>
      </c>
      <c r="B1189" s="166">
        <v>84.944838756323563</v>
      </c>
      <c r="D1189" s="39"/>
      <c r="E1189" s="39"/>
    </row>
    <row r="1190" spans="1:5" ht="15.6">
      <c r="A1190">
        <v>1135</v>
      </c>
      <c r="B1190" s="166">
        <v>153.65056506196166</v>
      </c>
      <c r="D1190" s="39"/>
      <c r="E1190" s="39"/>
    </row>
    <row r="1191" spans="1:5" ht="15.6">
      <c r="A1191">
        <v>1136</v>
      </c>
      <c r="B1191" s="166">
        <v>134.69915981574354</v>
      </c>
      <c r="D1191" s="39"/>
      <c r="E1191" s="39"/>
    </row>
    <row r="1192" spans="1:5" ht="15.6">
      <c r="A1192">
        <v>1137</v>
      </c>
      <c r="B1192" s="166">
        <v>73.354732893470597</v>
      </c>
      <c r="D1192" s="39"/>
      <c r="E1192" s="39"/>
    </row>
    <row r="1193" spans="1:5" ht="15.6">
      <c r="A1193">
        <v>1138</v>
      </c>
      <c r="B1193" s="166">
        <v>131.76253825878308</v>
      </c>
      <c r="D1193" s="39"/>
      <c r="E1193" s="39"/>
    </row>
    <row r="1194" spans="1:5" ht="15.6">
      <c r="A1194">
        <v>1139</v>
      </c>
      <c r="B1194" s="166">
        <v>91.17731439670338</v>
      </c>
      <c r="D1194" s="39"/>
      <c r="E1194" s="39"/>
    </row>
    <row r="1195" spans="1:5" ht="15.6">
      <c r="A1195">
        <v>1140</v>
      </c>
      <c r="B1195" s="166">
        <v>232.27368820106429</v>
      </c>
      <c r="D1195" s="39"/>
      <c r="E1195" s="39"/>
    </row>
    <row r="1196" spans="1:5" ht="15.6">
      <c r="A1196">
        <v>1141</v>
      </c>
      <c r="B1196" s="166">
        <v>159.15033411265088</v>
      </c>
      <c r="D1196" s="39"/>
      <c r="E1196" s="39"/>
    </row>
    <row r="1197" spans="1:5" ht="15.6">
      <c r="A1197">
        <v>1142</v>
      </c>
      <c r="B1197" s="166">
        <v>151.13381581715359</v>
      </c>
      <c r="D1197" s="39"/>
      <c r="E1197" s="39"/>
    </row>
    <row r="1198" spans="1:5" ht="15.6">
      <c r="A1198">
        <v>1143</v>
      </c>
      <c r="B1198" s="166">
        <v>133.96991144396026</v>
      </c>
      <c r="D1198" s="39"/>
      <c r="E1198" s="39"/>
    </row>
    <row r="1199" spans="1:5" ht="15.6">
      <c r="A1199">
        <v>1144</v>
      </c>
      <c r="B1199" s="166">
        <v>188.2625343689337</v>
      </c>
      <c r="D1199" s="39"/>
      <c r="E1199" s="39"/>
    </row>
    <row r="1200" spans="1:5" ht="15.6">
      <c r="A1200">
        <v>1145</v>
      </c>
      <c r="B1200" s="166">
        <v>121.04336355216577</v>
      </c>
      <c r="D1200" s="39"/>
      <c r="E1200" s="39"/>
    </row>
    <row r="1201" spans="1:5" ht="15.6">
      <c r="A1201">
        <v>1146</v>
      </c>
      <c r="B1201" s="166">
        <v>117.61282613463028</v>
      </c>
      <c r="D1201" s="39"/>
      <c r="E1201" s="39"/>
    </row>
    <row r="1202" spans="1:5" ht="15.6">
      <c r="A1202">
        <v>1147</v>
      </c>
      <c r="B1202" s="166">
        <v>72.311905115939979</v>
      </c>
      <c r="D1202" s="39"/>
      <c r="E1202" s="39"/>
    </row>
    <row r="1203" spans="1:5" ht="15.6">
      <c r="A1203">
        <v>1148</v>
      </c>
      <c r="B1203" s="166">
        <v>181.53562582992319</v>
      </c>
      <c r="D1203" s="39"/>
      <c r="E1203" s="39"/>
    </row>
    <row r="1204" spans="1:5" ht="15.6">
      <c r="A1204">
        <v>1149</v>
      </c>
      <c r="B1204" s="166">
        <v>161.05886636587675</v>
      </c>
      <c r="D1204" s="39"/>
      <c r="E1204" s="39"/>
    </row>
    <row r="1205" spans="1:5" ht="15.6">
      <c r="A1205">
        <v>1150</v>
      </c>
      <c r="B1205" s="166">
        <v>125.38258484765163</v>
      </c>
      <c r="D1205" s="39"/>
      <c r="E1205" s="39"/>
    </row>
    <row r="1206" spans="1:5" ht="15.6">
      <c r="A1206">
        <v>1151</v>
      </c>
      <c r="B1206" s="166">
        <v>75.324066702068592</v>
      </c>
      <c r="D1206" s="39"/>
      <c r="E1206" s="39"/>
    </row>
    <row r="1207" spans="1:5" ht="15.6">
      <c r="A1207">
        <v>1152</v>
      </c>
      <c r="B1207" s="166">
        <v>88.591778876234031</v>
      </c>
      <c r="D1207" s="39"/>
      <c r="E1207" s="39"/>
    </row>
    <row r="1208" spans="1:5" ht="15.6">
      <c r="A1208">
        <v>1153</v>
      </c>
      <c r="B1208" s="166">
        <v>88.443421558740283</v>
      </c>
      <c r="D1208" s="39"/>
      <c r="E1208" s="39"/>
    </row>
    <row r="1209" spans="1:5" ht="15.6">
      <c r="A1209">
        <v>1154</v>
      </c>
      <c r="B1209" s="166">
        <v>202.13408272814399</v>
      </c>
      <c r="D1209" s="39"/>
      <c r="E1209" s="39"/>
    </row>
    <row r="1210" spans="1:5" ht="15.6">
      <c r="A1210">
        <v>1155</v>
      </c>
      <c r="B1210" s="166">
        <v>101.69471955633121</v>
      </c>
      <c r="D1210" s="39"/>
      <c r="E1210" s="39"/>
    </row>
    <row r="1211" spans="1:5" ht="15.6">
      <c r="A1211">
        <v>1156</v>
      </c>
      <c r="B1211" s="166">
        <v>219.12524912266221</v>
      </c>
      <c r="D1211" s="39"/>
      <c r="E1211" s="39"/>
    </row>
    <row r="1212" spans="1:5" ht="15.6">
      <c r="A1212">
        <v>1157</v>
      </c>
      <c r="B1212" s="166">
        <v>134.11123314327011</v>
      </c>
      <c r="D1212" s="39"/>
      <c r="E1212" s="39"/>
    </row>
    <row r="1213" spans="1:5" ht="15.6">
      <c r="A1213">
        <v>1158</v>
      </c>
      <c r="B1213" s="166">
        <v>103.72691134905466</v>
      </c>
      <c r="D1213" s="39"/>
      <c r="E1213" s="39"/>
    </row>
    <row r="1214" spans="1:5" ht="15.6">
      <c r="A1214">
        <v>1159</v>
      </c>
      <c r="B1214" s="166">
        <v>56.783453474723181</v>
      </c>
      <c r="D1214" s="39"/>
      <c r="E1214" s="39"/>
    </row>
    <row r="1215" spans="1:5" ht="15.6">
      <c r="A1215">
        <v>1160</v>
      </c>
      <c r="B1215" s="166">
        <v>89.157402846318377</v>
      </c>
      <c r="D1215" s="39"/>
      <c r="E1215" s="39"/>
    </row>
    <row r="1216" spans="1:5" ht="15.6">
      <c r="A1216">
        <v>1161</v>
      </c>
      <c r="B1216" s="166">
        <v>118.13171531255806</v>
      </c>
      <c r="D1216" s="39"/>
      <c r="E1216" s="39"/>
    </row>
    <row r="1217" spans="1:5" ht="15.6">
      <c r="A1217">
        <v>1162</v>
      </c>
      <c r="B1217" s="166">
        <v>160.4864341467391</v>
      </c>
      <c r="D1217" s="39"/>
      <c r="E1217" s="39"/>
    </row>
    <row r="1218" spans="1:5" ht="15.6">
      <c r="A1218">
        <v>1163</v>
      </c>
      <c r="B1218" s="166">
        <v>59.886066363886762</v>
      </c>
      <c r="D1218" s="39"/>
      <c r="E1218" s="39"/>
    </row>
    <row r="1219" spans="1:5" ht="15.6">
      <c r="A1219">
        <v>1164</v>
      </c>
      <c r="B1219" s="166">
        <v>75.003260802945505</v>
      </c>
      <c r="D1219" s="39"/>
      <c r="E1219" s="39"/>
    </row>
    <row r="1220" spans="1:5" ht="15.6">
      <c r="A1220">
        <v>1165</v>
      </c>
      <c r="B1220" s="166">
        <v>78.315615919487556</v>
      </c>
      <c r="D1220" s="39"/>
      <c r="E1220" s="39"/>
    </row>
    <row r="1221" spans="1:5" ht="15.6">
      <c r="A1221">
        <v>1166</v>
      </c>
      <c r="B1221" s="166">
        <v>85.714349767244116</v>
      </c>
      <c r="D1221" s="39"/>
      <c r="E1221" s="39"/>
    </row>
    <row r="1222" spans="1:5" ht="15.6">
      <c r="A1222">
        <v>1167</v>
      </c>
      <c r="B1222" s="166">
        <v>70.417034391169935</v>
      </c>
      <c r="D1222" s="39"/>
      <c r="E1222" s="39"/>
    </row>
    <row r="1223" spans="1:5" ht="15.6">
      <c r="A1223">
        <v>1168</v>
      </c>
      <c r="B1223" s="166">
        <v>69.849416126767764</v>
      </c>
      <c r="D1223" s="39"/>
      <c r="E1223" s="39"/>
    </row>
    <row r="1224" spans="1:5" ht="15.6">
      <c r="A1224">
        <v>1169</v>
      </c>
      <c r="B1224" s="166">
        <v>116.1507324642412</v>
      </c>
      <c r="D1224" s="39"/>
      <c r="E1224" s="39"/>
    </row>
    <row r="1225" spans="1:5" ht="15.6">
      <c r="A1225">
        <v>1170</v>
      </c>
      <c r="B1225" s="166">
        <v>230.44341063965351</v>
      </c>
      <c r="D1225" s="39"/>
      <c r="E1225" s="39"/>
    </row>
    <row r="1226" spans="1:5" ht="15.6">
      <c r="A1226">
        <v>1171</v>
      </c>
      <c r="B1226" s="166">
        <v>69.954013607825161</v>
      </c>
      <c r="D1226" s="39"/>
      <c r="E1226" s="39"/>
    </row>
    <row r="1227" spans="1:5" ht="15.6">
      <c r="A1227">
        <v>1172</v>
      </c>
      <c r="B1227" s="166">
        <v>126.45297297028189</v>
      </c>
      <c r="D1227" s="39"/>
      <c r="E1227" s="39"/>
    </row>
    <row r="1228" spans="1:5" ht="15.6">
      <c r="A1228">
        <v>1173</v>
      </c>
      <c r="B1228" s="166">
        <v>98.260569569290439</v>
      </c>
      <c r="D1228" s="39"/>
      <c r="E1228" s="39"/>
    </row>
    <row r="1229" spans="1:5" ht="15.6">
      <c r="A1229">
        <v>1174</v>
      </c>
      <c r="B1229" s="166">
        <v>94.001364341108101</v>
      </c>
      <c r="D1229" s="39"/>
      <c r="E1229" s="39"/>
    </row>
    <row r="1230" spans="1:5" ht="15.6">
      <c r="A1230">
        <v>1175</v>
      </c>
      <c r="B1230" s="166">
        <v>50.789837885514437</v>
      </c>
      <c r="D1230" s="39"/>
      <c r="E1230" s="39"/>
    </row>
    <row r="1231" spans="1:5" ht="15.6">
      <c r="A1231">
        <v>1176</v>
      </c>
      <c r="B1231" s="166">
        <v>97.190178980595391</v>
      </c>
      <c r="D1231" s="39"/>
      <c r="E1231" s="39"/>
    </row>
    <row r="1232" spans="1:5" ht="15.6">
      <c r="A1232">
        <v>1177</v>
      </c>
      <c r="B1232" s="166">
        <v>121.84713212486628</v>
      </c>
      <c r="D1232" s="39"/>
      <c r="E1232" s="39"/>
    </row>
    <row r="1233" spans="1:5" ht="15.6">
      <c r="A1233">
        <v>1178</v>
      </c>
      <c r="B1233" s="166">
        <v>118.11660266600289</v>
      </c>
      <c r="D1233" s="39"/>
      <c r="E1233" s="39"/>
    </row>
    <row r="1234" spans="1:5" ht="15.6">
      <c r="A1234">
        <v>1179</v>
      </c>
      <c r="B1234" s="166">
        <v>126.35978407483353</v>
      </c>
      <c r="D1234" s="39"/>
      <c r="E1234" s="39"/>
    </row>
    <row r="1235" spans="1:5" ht="15.6">
      <c r="A1235">
        <v>1180</v>
      </c>
      <c r="B1235" s="166">
        <v>82.527618346734272</v>
      </c>
      <c r="D1235" s="39"/>
      <c r="E1235" s="39"/>
    </row>
    <row r="1236" spans="1:5" ht="15.6">
      <c r="A1236">
        <v>1181</v>
      </c>
      <c r="B1236" s="166">
        <v>68.333663309350669</v>
      </c>
      <c r="D1236" s="39"/>
      <c r="E1236" s="39"/>
    </row>
    <row r="1237" spans="1:5" ht="15.6">
      <c r="A1237">
        <v>1182</v>
      </c>
      <c r="B1237" s="166">
        <v>90.792052755450271</v>
      </c>
      <c r="D1237" s="39"/>
      <c r="E1237" s="39"/>
    </row>
    <row r="1238" spans="1:5" ht="15.6">
      <c r="A1238">
        <v>1183</v>
      </c>
      <c r="B1238" s="166">
        <v>174.44524257526464</v>
      </c>
      <c r="D1238" s="39"/>
      <c r="E1238" s="39"/>
    </row>
    <row r="1239" spans="1:5" ht="15.6">
      <c r="A1239">
        <v>1184</v>
      </c>
      <c r="B1239" s="166">
        <v>78.682574338941905</v>
      </c>
      <c r="D1239" s="39"/>
      <c r="E1239" s="39"/>
    </row>
    <row r="1240" spans="1:5" ht="15.6">
      <c r="A1240">
        <v>1185</v>
      </c>
      <c r="B1240" s="166">
        <v>68.312090142608525</v>
      </c>
      <c r="D1240" s="39"/>
      <c r="E1240" s="39"/>
    </row>
    <row r="1241" spans="1:5" ht="15.6">
      <c r="A1241">
        <v>1186</v>
      </c>
      <c r="B1241" s="166">
        <v>72.099758279100584</v>
      </c>
      <c r="D1241" s="39"/>
      <c r="E1241" s="39"/>
    </row>
    <row r="1242" spans="1:5" ht="15.6">
      <c r="A1242">
        <v>1187</v>
      </c>
      <c r="B1242" s="166">
        <v>82.24386467354492</v>
      </c>
      <c r="D1242" s="39"/>
      <c r="E1242" s="39"/>
    </row>
    <row r="1243" spans="1:5" ht="15.6">
      <c r="A1243">
        <v>1188</v>
      </c>
      <c r="B1243" s="166">
        <v>142.37015973038936</v>
      </c>
      <c r="D1243" s="39"/>
      <c r="E1243" s="39"/>
    </row>
    <row r="1244" spans="1:5" ht="15.6">
      <c r="A1244">
        <v>1189</v>
      </c>
      <c r="B1244" s="166">
        <v>78.96792534785034</v>
      </c>
      <c r="D1244" s="39"/>
      <c r="E1244" s="39"/>
    </row>
    <row r="1245" spans="1:5" ht="15.6">
      <c r="A1245">
        <v>1190</v>
      </c>
      <c r="B1245" s="166">
        <v>158.95982993286387</v>
      </c>
      <c r="D1245" s="39"/>
      <c r="E1245" s="39"/>
    </row>
    <row r="1246" spans="1:5" ht="15.6">
      <c r="A1246">
        <v>1191</v>
      </c>
      <c r="B1246" s="166">
        <v>96.055903074697085</v>
      </c>
      <c r="D1246" s="39"/>
      <c r="E1246" s="39"/>
    </row>
    <row r="1247" spans="1:5" ht="15.6">
      <c r="A1247">
        <v>1192</v>
      </c>
      <c r="B1247" s="166">
        <v>171.31857836877535</v>
      </c>
      <c r="D1247" s="39"/>
      <c r="E1247" s="39"/>
    </row>
    <row r="1248" spans="1:5" ht="15.6">
      <c r="A1248">
        <v>1193</v>
      </c>
      <c r="B1248" s="166">
        <v>62.411216873365817</v>
      </c>
      <c r="D1248" s="39"/>
      <c r="E1248" s="39"/>
    </row>
    <row r="1249" spans="1:5" ht="15.6">
      <c r="A1249">
        <v>1194</v>
      </c>
      <c r="B1249" s="166">
        <v>108.11641951583736</v>
      </c>
      <c r="D1249" s="39"/>
      <c r="E1249" s="39"/>
    </row>
    <row r="1250" spans="1:5" ht="15.6">
      <c r="A1250">
        <v>1195</v>
      </c>
      <c r="B1250" s="166">
        <v>74.639935437464956</v>
      </c>
      <c r="D1250" s="39"/>
      <c r="E1250" s="39"/>
    </row>
    <row r="1251" spans="1:5" ht="15.6">
      <c r="A1251">
        <v>1196</v>
      </c>
      <c r="B1251" s="166">
        <v>64.504049457868604</v>
      </c>
      <c r="D1251" s="39"/>
      <c r="E1251" s="39"/>
    </row>
    <row r="1252" spans="1:5" ht="15.6">
      <c r="A1252">
        <v>1197</v>
      </c>
      <c r="B1252" s="166">
        <v>69.104697639334617</v>
      </c>
      <c r="D1252" s="39"/>
      <c r="E1252" s="39"/>
    </row>
    <row r="1253" spans="1:5" ht="15.6">
      <c r="A1253">
        <v>1198</v>
      </c>
      <c r="B1253" s="166">
        <v>134.28400396697495</v>
      </c>
      <c r="D1253" s="39"/>
      <c r="E1253" s="39"/>
    </row>
    <row r="1254" spans="1:5" ht="15.6">
      <c r="A1254">
        <v>1199</v>
      </c>
      <c r="B1254" s="166">
        <v>126.86214135277613</v>
      </c>
      <c r="D1254" s="39"/>
      <c r="E1254" s="39"/>
    </row>
    <row r="1255" spans="1:5" ht="15.6">
      <c r="A1255">
        <v>1200</v>
      </c>
      <c r="B1255" s="166">
        <v>72.552833543547578</v>
      </c>
      <c r="D1255" s="39"/>
      <c r="E1255" s="39"/>
    </row>
    <row r="1256" spans="1:5" ht="15.6">
      <c r="A1256">
        <v>1201</v>
      </c>
      <c r="B1256" s="166">
        <v>114.73179904420799</v>
      </c>
      <c r="D1256" s="39"/>
      <c r="E1256" s="39"/>
    </row>
    <row r="1257" spans="1:5" ht="15.6">
      <c r="A1257">
        <v>1202</v>
      </c>
      <c r="B1257" s="166">
        <v>81.795708392680723</v>
      </c>
      <c r="D1257" s="39"/>
      <c r="E1257" s="39"/>
    </row>
    <row r="1258" spans="1:5" ht="15.6">
      <c r="A1258">
        <v>1203</v>
      </c>
      <c r="B1258" s="166">
        <v>129.75954169634642</v>
      </c>
      <c r="D1258" s="39"/>
      <c r="E1258" s="39"/>
    </row>
    <row r="1259" spans="1:5" ht="15.6">
      <c r="A1259">
        <v>1204</v>
      </c>
      <c r="B1259" s="166">
        <v>118.27865337905969</v>
      </c>
      <c r="D1259" s="39"/>
      <c r="E1259" s="39"/>
    </row>
    <row r="1260" spans="1:5" ht="15.6">
      <c r="A1260">
        <v>1205</v>
      </c>
      <c r="B1260" s="166">
        <v>93.563783657421524</v>
      </c>
      <c r="D1260" s="39"/>
      <c r="E1260" s="39"/>
    </row>
    <row r="1261" spans="1:5" ht="15.6">
      <c r="A1261">
        <v>1206</v>
      </c>
      <c r="B1261" s="166">
        <v>90.304392969976334</v>
      </c>
      <c r="D1261" s="39"/>
      <c r="E1261" s="39"/>
    </row>
    <row r="1262" spans="1:5" ht="15.6">
      <c r="A1262">
        <v>1207</v>
      </c>
      <c r="B1262" s="166">
        <v>88.173359564950431</v>
      </c>
      <c r="D1262" s="39"/>
      <c r="E1262" s="39"/>
    </row>
    <row r="1263" spans="1:5" ht="15.6">
      <c r="A1263">
        <v>1208</v>
      </c>
      <c r="B1263" s="166">
        <v>150.60270367637278</v>
      </c>
      <c r="D1263" s="39"/>
      <c r="E1263" s="39"/>
    </row>
    <row r="1264" spans="1:5" ht="15.6">
      <c r="A1264">
        <v>1209</v>
      </c>
      <c r="B1264" s="166">
        <v>67.007978946134614</v>
      </c>
      <c r="D1264" s="39"/>
      <c r="E1264" s="39"/>
    </row>
    <row r="1265" spans="1:5" ht="15.6">
      <c r="A1265">
        <v>1210</v>
      </c>
      <c r="B1265" s="166">
        <v>87.895686998870787</v>
      </c>
      <c r="D1265" s="39"/>
      <c r="E1265" s="39"/>
    </row>
    <row r="1266" spans="1:5" ht="15.6">
      <c r="A1266">
        <v>1211</v>
      </c>
      <c r="B1266" s="166">
        <v>95.171478263285849</v>
      </c>
      <c r="D1266" s="39"/>
      <c r="E1266" s="39"/>
    </row>
    <row r="1267" spans="1:5" ht="15.6">
      <c r="A1267">
        <v>1212</v>
      </c>
      <c r="B1267" s="166">
        <v>105.18210393090925</v>
      </c>
      <c r="D1267" s="39"/>
      <c r="E1267" s="39"/>
    </row>
    <row r="1268" spans="1:5" ht="15.6">
      <c r="A1268">
        <v>1213</v>
      </c>
      <c r="B1268" s="166">
        <v>130.63888380094502</v>
      </c>
      <c r="D1268" s="39"/>
      <c r="E1268" s="39"/>
    </row>
    <row r="1269" spans="1:5" ht="15.6">
      <c r="A1269">
        <v>1214</v>
      </c>
      <c r="B1269" s="166">
        <v>145.61285238078949</v>
      </c>
      <c r="D1269" s="39"/>
      <c r="E1269" s="39"/>
    </row>
    <row r="1270" spans="1:5" ht="15.6">
      <c r="A1270">
        <v>1215</v>
      </c>
      <c r="B1270" s="166">
        <v>110.97627775752255</v>
      </c>
      <c r="D1270" s="39"/>
      <c r="E1270" s="39"/>
    </row>
    <row r="1271" spans="1:5" ht="15.6">
      <c r="A1271">
        <v>1216</v>
      </c>
      <c r="B1271" s="166">
        <v>152.35443965556493</v>
      </c>
      <c r="D1271" s="39"/>
      <c r="E1271" s="39"/>
    </row>
    <row r="1272" spans="1:5" ht="15.6">
      <c r="A1272">
        <v>1217</v>
      </c>
      <c r="B1272" s="166">
        <v>80.546619298515026</v>
      </c>
      <c r="D1272" s="39"/>
      <c r="E1272" s="39"/>
    </row>
    <row r="1273" spans="1:5" ht="15.6">
      <c r="A1273">
        <v>1218</v>
      </c>
      <c r="B1273" s="166">
        <v>135.25034355630629</v>
      </c>
      <c r="D1273" s="39"/>
      <c r="E1273" s="39"/>
    </row>
    <row r="1274" spans="1:5" ht="15.6">
      <c r="A1274">
        <v>1219</v>
      </c>
      <c r="B1274" s="166">
        <v>141.4334679519165</v>
      </c>
      <c r="D1274" s="39"/>
      <c r="E1274" s="39"/>
    </row>
    <row r="1275" spans="1:5" ht="15.6">
      <c r="A1275">
        <v>1220</v>
      </c>
      <c r="B1275" s="166">
        <v>123.14508282793301</v>
      </c>
      <c r="D1275" s="39"/>
      <c r="E1275" s="39"/>
    </row>
    <row r="1276" spans="1:5" ht="15.6">
      <c r="A1276">
        <v>1221</v>
      </c>
      <c r="B1276" s="166">
        <v>212.02947431974383</v>
      </c>
      <c r="D1276" s="39"/>
      <c r="E1276" s="39"/>
    </row>
    <row r="1277" spans="1:5" ht="15.6">
      <c r="A1277">
        <v>1222</v>
      </c>
      <c r="B1277" s="166">
        <v>82.065445211052307</v>
      </c>
      <c r="D1277" s="39"/>
      <c r="E1277" s="39"/>
    </row>
    <row r="1278" spans="1:5" ht="15.6">
      <c r="A1278">
        <v>1223</v>
      </c>
      <c r="B1278" s="166">
        <v>149.58935300095942</v>
      </c>
      <c r="D1278" s="39"/>
      <c r="E1278" s="39"/>
    </row>
    <row r="1279" spans="1:5" ht="15.6">
      <c r="A1279">
        <v>1224</v>
      </c>
      <c r="B1279" s="166">
        <v>68.965377529123842</v>
      </c>
      <c r="D1279" s="39"/>
      <c r="E1279" s="39"/>
    </row>
    <row r="1280" spans="1:5" ht="15.6">
      <c r="A1280">
        <v>1225</v>
      </c>
      <c r="B1280" s="166">
        <v>130.11991909009328</v>
      </c>
      <c r="D1280" s="39"/>
      <c r="E1280" s="39"/>
    </row>
    <row r="1281" spans="1:5" ht="15.6">
      <c r="A1281">
        <v>1226</v>
      </c>
      <c r="B1281" s="166">
        <v>100.31449032000123</v>
      </c>
      <c r="D1281" s="39"/>
      <c r="E1281" s="39"/>
    </row>
    <row r="1282" spans="1:5" ht="15.6">
      <c r="A1282">
        <v>1227</v>
      </c>
      <c r="B1282" s="166">
        <v>137.05542960627346</v>
      </c>
      <c r="D1282" s="39"/>
      <c r="E1282" s="39"/>
    </row>
    <row r="1283" spans="1:5" ht="15.6">
      <c r="A1283">
        <v>1228</v>
      </c>
      <c r="B1283" s="166">
        <v>133.7991774203108</v>
      </c>
      <c r="D1283" s="39"/>
      <c r="E1283" s="39"/>
    </row>
    <row r="1284" spans="1:5" ht="15.6">
      <c r="A1284">
        <v>1229</v>
      </c>
      <c r="B1284" s="166">
        <v>95.148866591626103</v>
      </c>
      <c r="D1284" s="39"/>
      <c r="E1284" s="39"/>
    </row>
    <row r="1285" spans="1:5" ht="15.6">
      <c r="A1285">
        <v>1230</v>
      </c>
      <c r="B1285" s="166">
        <v>164.54360780534026</v>
      </c>
      <c r="D1285" s="39"/>
      <c r="E1285" s="39"/>
    </row>
    <row r="1286" spans="1:5" ht="15.6">
      <c r="A1286">
        <v>1231</v>
      </c>
      <c r="B1286" s="166">
        <v>156.99437819820258</v>
      </c>
      <c r="D1286" s="39"/>
      <c r="E1286" s="39"/>
    </row>
    <row r="1287" spans="1:5" ht="15.6">
      <c r="A1287">
        <v>1232</v>
      </c>
      <c r="B1287" s="166">
        <v>110.36853246797342</v>
      </c>
      <c r="D1287" s="39"/>
      <c r="E1287" s="39"/>
    </row>
    <row r="1288" spans="1:5" ht="15.6">
      <c r="A1288">
        <v>1233</v>
      </c>
      <c r="B1288" s="166">
        <v>152.6258064218986</v>
      </c>
      <c r="D1288" s="39"/>
      <c r="E1288" s="39"/>
    </row>
    <row r="1289" spans="1:5" ht="15.6">
      <c r="A1289">
        <v>1234</v>
      </c>
      <c r="B1289" s="166">
        <v>94.515830580447087</v>
      </c>
      <c r="D1289" s="39"/>
      <c r="E1289" s="39"/>
    </row>
    <row r="1290" spans="1:5" ht="15.6">
      <c r="A1290">
        <v>1235</v>
      </c>
      <c r="B1290" s="166">
        <v>131.1298752606026</v>
      </c>
      <c r="D1290" s="39"/>
      <c r="E1290" s="39"/>
    </row>
    <row r="1291" spans="1:5" ht="15.6">
      <c r="A1291">
        <v>1236</v>
      </c>
      <c r="B1291" s="166">
        <v>94.48567290740823</v>
      </c>
      <c r="D1291" s="39"/>
      <c r="E1291" s="39"/>
    </row>
    <row r="1292" spans="1:5" ht="15.6">
      <c r="A1292">
        <v>1237</v>
      </c>
      <c r="B1292" s="166">
        <v>89.411927114234885</v>
      </c>
      <c r="D1292" s="39"/>
      <c r="E1292" s="39"/>
    </row>
    <row r="1293" spans="1:5" ht="15.6">
      <c r="A1293">
        <v>1238</v>
      </c>
      <c r="B1293" s="166">
        <v>110.84502849874009</v>
      </c>
      <c r="D1293" s="39"/>
      <c r="E1293" s="39"/>
    </row>
    <row r="1294" spans="1:5" ht="15.6">
      <c r="A1294">
        <v>1239</v>
      </c>
      <c r="B1294" s="166">
        <v>73.434294943142632</v>
      </c>
      <c r="D1294" s="39"/>
      <c r="E1294" s="39"/>
    </row>
    <row r="1295" spans="1:5" ht="15.6">
      <c r="A1295">
        <v>1240</v>
      </c>
      <c r="B1295" s="166">
        <v>69.444267215281684</v>
      </c>
      <c r="D1295" s="39"/>
      <c r="E1295" s="39"/>
    </row>
    <row r="1296" spans="1:5" ht="15.6">
      <c r="A1296">
        <v>1241</v>
      </c>
      <c r="B1296" s="166">
        <v>88.201528732474415</v>
      </c>
      <c r="D1296" s="39"/>
      <c r="E1296" s="39"/>
    </row>
    <row r="1297" spans="1:5" ht="15.6">
      <c r="A1297">
        <v>1242</v>
      </c>
      <c r="B1297" s="166">
        <v>75.322664568005635</v>
      </c>
      <c r="D1297" s="39"/>
      <c r="E1297" s="39"/>
    </row>
    <row r="1298" spans="1:5" ht="15.6">
      <c r="A1298">
        <v>1243</v>
      </c>
      <c r="B1298" s="166">
        <v>107.82518935844611</v>
      </c>
      <c r="D1298" s="39"/>
      <c r="E1298" s="39"/>
    </row>
    <row r="1299" spans="1:5" ht="15.6">
      <c r="A1299">
        <v>1244</v>
      </c>
      <c r="B1299" s="166">
        <v>63.522036481836317</v>
      </c>
      <c r="D1299" s="39"/>
      <c r="E1299" s="39"/>
    </row>
    <row r="1300" spans="1:5" ht="15.6">
      <c r="A1300">
        <v>1245</v>
      </c>
      <c r="B1300" s="166">
        <v>120.14874348903926</v>
      </c>
      <c r="D1300" s="39"/>
      <c r="E1300" s="39"/>
    </row>
    <row r="1301" spans="1:5" ht="15.6">
      <c r="A1301">
        <v>1246</v>
      </c>
      <c r="B1301" s="166">
        <v>93.662916624534873</v>
      </c>
      <c r="D1301" s="39"/>
      <c r="E1301" s="39"/>
    </row>
    <row r="1302" spans="1:5" ht="15.6">
      <c r="A1302">
        <v>1247</v>
      </c>
      <c r="B1302" s="166">
        <v>61.004991982492605</v>
      </c>
      <c r="D1302" s="39"/>
      <c r="E1302" s="39"/>
    </row>
    <row r="1303" spans="1:5" ht="15.6">
      <c r="A1303">
        <v>1248</v>
      </c>
      <c r="B1303" s="166">
        <v>166.18726356273837</v>
      </c>
      <c r="D1303" s="39"/>
      <c r="E1303" s="39"/>
    </row>
    <row r="1304" spans="1:5" ht="15.6">
      <c r="A1304">
        <v>1249</v>
      </c>
      <c r="B1304" s="166">
        <v>134.56814451764458</v>
      </c>
      <c r="D1304" s="39"/>
      <c r="E1304" s="39"/>
    </row>
    <row r="1305" spans="1:5" ht="15.6">
      <c r="A1305">
        <v>1250</v>
      </c>
      <c r="B1305" s="166">
        <v>142.19008975010655</v>
      </c>
      <c r="D1305" s="39"/>
      <c r="E1305" s="39"/>
    </row>
    <row r="1306" spans="1:5" ht="15.6">
      <c r="A1306">
        <v>1251</v>
      </c>
      <c r="B1306" s="166">
        <v>110.4262541180243</v>
      </c>
      <c r="D1306" s="39"/>
      <c r="E1306" s="39"/>
    </row>
    <row r="1307" spans="1:5" ht="15.6">
      <c r="A1307">
        <v>1252</v>
      </c>
      <c r="B1307" s="166">
        <v>76.087493166520872</v>
      </c>
      <c r="D1307" s="39"/>
      <c r="E1307" s="39"/>
    </row>
    <row r="1308" spans="1:5" ht="15.6">
      <c r="A1308">
        <v>1253</v>
      </c>
      <c r="B1308" s="166">
        <v>142.20915056819109</v>
      </c>
      <c r="D1308" s="39"/>
      <c r="E1308" s="39"/>
    </row>
    <row r="1309" spans="1:5" ht="15.6">
      <c r="A1309">
        <v>1254</v>
      </c>
      <c r="B1309" s="166">
        <v>120.58100125364233</v>
      </c>
      <c r="D1309" s="39"/>
      <c r="E1309" s="39"/>
    </row>
    <row r="1310" spans="1:5" ht="15.6">
      <c r="A1310">
        <v>1255</v>
      </c>
      <c r="B1310" s="166">
        <v>94.621063735009628</v>
      </c>
      <c r="D1310" s="39"/>
      <c r="E1310" s="39"/>
    </row>
    <row r="1311" spans="1:5" ht="15.6">
      <c r="A1311">
        <v>1256</v>
      </c>
      <c r="B1311" s="166">
        <v>77.488126145990307</v>
      </c>
      <c r="D1311" s="39"/>
      <c r="E1311" s="39"/>
    </row>
    <row r="1312" spans="1:5" ht="15.6">
      <c r="A1312">
        <v>1257</v>
      </c>
      <c r="B1312" s="166">
        <v>170.75658311483676</v>
      </c>
      <c r="D1312" s="39"/>
      <c r="E1312" s="39"/>
    </row>
    <row r="1313" spans="1:5" ht="15.6">
      <c r="A1313">
        <v>1258</v>
      </c>
      <c r="B1313" s="166">
        <v>119.41221279330678</v>
      </c>
      <c r="D1313" s="39"/>
      <c r="E1313" s="39"/>
    </row>
    <row r="1314" spans="1:5" ht="15.6">
      <c r="A1314">
        <v>1259</v>
      </c>
      <c r="B1314" s="166">
        <v>75.906182424088826</v>
      </c>
      <c r="D1314" s="39"/>
      <c r="E1314" s="39"/>
    </row>
    <row r="1315" spans="1:5" ht="15.6">
      <c r="A1315">
        <v>1260</v>
      </c>
      <c r="B1315" s="166">
        <v>115.89316036362348</v>
      </c>
      <c r="D1315" s="39"/>
      <c r="E1315" s="39"/>
    </row>
    <row r="1316" spans="1:5" ht="15.6">
      <c r="A1316">
        <v>1261</v>
      </c>
      <c r="B1316" s="166">
        <v>172.14269397568827</v>
      </c>
      <c r="D1316" s="39"/>
      <c r="E1316" s="39"/>
    </row>
    <row r="1317" spans="1:5" ht="15.6">
      <c r="A1317">
        <v>1262</v>
      </c>
      <c r="B1317" s="166">
        <v>93.886463411388092</v>
      </c>
      <c r="D1317" s="39"/>
      <c r="E1317" s="39"/>
    </row>
    <row r="1318" spans="1:5" ht="15.6">
      <c r="A1318">
        <v>1263</v>
      </c>
      <c r="B1318" s="166">
        <v>138.68943498994076</v>
      </c>
      <c r="D1318" s="39"/>
      <c r="E1318" s="39"/>
    </row>
    <row r="1319" spans="1:5" ht="15.6">
      <c r="A1319">
        <v>1264</v>
      </c>
      <c r="B1319" s="166">
        <v>95.221251189236682</v>
      </c>
      <c r="D1319" s="39"/>
      <c r="E1319" s="39"/>
    </row>
    <row r="1320" spans="1:5" ht="15.6">
      <c r="A1320">
        <v>1265</v>
      </c>
      <c r="B1320" s="166">
        <v>55.05822156043628</v>
      </c>
      <c r="D1320" s="39"/>
      <c r="E1320" s="39"/>
    </row>
    <row r="1321" spans="1:5" ht="15.6">
      <c r="A1321">
        <v>1266</v>
      </c>
      <c r="B1321" s="166">
        <v>110.7402918201644</v>
      </c>
      <c r="D1321" s="39"/>
      <c r="E1321" s="39"/>
    </row>
    <row r="1322" spans="1:5" ht="15.6">
      <c r="A1322">
        <v>1267</v>
      </c>
      <c r="B1322" s="166">
        <v>126.7677924127595</v>
      </c>
      <c r="D1322" s="39"/>
      <c r="E1322" s="39"/>
    </row>
    <row r="1323" spans="1:5" ht="15.6">
      <c r="A1323">
        <v>1268</v>
      </c>
      <c r="B1323" s="166">
        <v>52.47203679210476</v>
      </c>
      <c r="D1323" s="39"/>
      <c r="E1323" s="39"/>
    </row>
    <row r="1324" spans="1:5" ht="15.6">
      <c r="A1324">
        <v>1269</v>
      </c>
      <c r="B1324" s="166">
        <v>124.17974240959686</v>
      </c>
      <c r="D1324" s="39"/>
      <c r="E1324" s="39"/>
    </row>
    <row r="1325" spans="1:5" ht="15.6">
      <c r="A1325">
        <v>1270</v>
      </c>
      <c r="B1325" s="166">
        <v>52.215259390275982</v>
      </c>
      <c r="D1325" s="39"/>
      <c r="E1325" s="39"/>
    </row>
    <row r="1326" spans="1:5" ht="15.6">
      <c r="A1326">
        <v>1271</v>
      </c>
      <c r="B1326" s="166">
        <v>183.20536456185957</v>
      </c>
      <c r="D1326" s="39"/>
      <c r="E1326" s="39"/>
    </row>
    <row r="1327" spans="1:5" ht="15.6">
      <c r="A1327">
        <v>1272</v>
      </c>
      <c r="B1327" s="166">
        <v>89.391402619442388</v>
      </c>
      <c r="D1327" s="39"/>
      <c r="E1327" s="39"/>
    </row>
    <row r="1328" spans="1:5" ht="15.6">
      <c r="A1328">
        <v>1273</v>
      </c>
      <c r="B1328" s="166">
        <v>125.73039679015291</v>
      </c>
      <c r="D1328" s="39"/>
      <c r="E1328" s="39"/>
    </row>
    <row r="1329" spans="1:5" ht="15.6">
      <c r="A1329">
        <v>1274</v>
      </c>
      <c r="B1329" s="166">
        <v>152.23535458265596</v>
      </c>
      <c r="D1329" s="39"/>
      <c r="E1329" s="39"/>
    </row>
    <row r="1330" spans="1:5" ht="15.6">
      <c r="A1330">
        <v>1275</v>
      </c>
      <c r="B1330" s="166">
        <v>76.666761248247241</v>
      </c>
      <c r="D1330" s="39"/>
      <c r="E1330" s="39"/>
    </row>
    <row r="1331" spans="1:5" ht="15.6">
      <c r="A1331">
        <v>1276</v>
      </c>
      <c r="B1331" s="166">
        <v>123.97912916508371</v>
      </c>
      <c r="D1331" s="39"/>
      <c r="E1331" s="39"/>
    </row>
    <row r="1332" spans="1:5" ht="15.6">
      <c r="A1332">
        <v>1277</v>
      </c>
      <c r="B1332" s="166">
        <v>126.76913511976274</v>
      </c>
      <c r="D1332" s="39"/>
      <c r="E1332" s="39"/>
    </row>
    <row r="1333" spans="1:5" ht="15.6">
      <c r="A1333">
        <v>1278</v>
      </c>
      <c r="B1333" s="166">
        <v>72.537285757153057</v>
      </c>
      <c r="D1333" s="39"/>
      <c r="E1333" s="39"/>
    </row>
    <row r="1334" spans="1:5" ht="15.6">
      <c r="A1334">
        <v>1279</v>
      </c>
      <c r="B1334" s="166">
        <v>88.320918883637788</v>
      </c>
      <c r="D1334" s="39"/>
      <c r="E1334" s="39"/>
    </row>
    <row r="1335" spans="1:5" ht="15.6">
      <c r="A1335">
        <v>1280</v>
      </c>
      <c r="B1335" s="166">
        <v>122.16547905833031</v>
      </c>
      <c r="D1335" s="39"/>
      <c r="E1335" s="39"/>
    </row>
    <row r="1336" spans="1:5" ht="15.6">
      <c r="A1336">
        <v>1281</v>
      </c>
      <c r="B1336" s="166">
        <v>86.124505072925857</v>
      </c>
      <c r="D1336" s="39"/>
      <c r="E1336" s="39"/>
    </row>
    <row r="1337" spans="1:5" ht="15.6">
      <c r="A1337">
        <v>1282</v>
      </c>
      <c r="B1337" s="166">
        <v>98.535059794002265</v>
      </c>
      <c r="D1337" s="39"/>
      <c r="E1337" s="39"/>
    </row>
    <row r="1338" spans="1:5" ht="15.6">
      <c r="A1338">
        <v>1283</v>
      </c>
      <c r="B1338" s="166">
        <v>118.33849469199117</v>
      </c>
      <c r="D1338" s="39"/>
      <c r="E1338" s="39"/>
    </row>
    <row r="1339" spans="1:5" ht="15.6">
      <c r="A1339">
        <v>1284</v>
      </c>
      <c r="B1339" s="166">
        <v>70.51854027498824</v>
      </c>
      <c r="D1339" s="39"/>
      <c r="E1339" s="39"/>
    </row>
    <row r="1340" spans="1:5" ht="15.6">
      <c r="A1340">
        <v>1285</v>
      </c>
      <c r="B1340" s="166">
        <v>96.719296538920702</v>
      </c>
      <c r="D1340" s="39"/>
      <c r="E1340" s="39"/>
    </row>
    <row r="1341" spans="1:5" ht="15.6">
      <c r="A1341">
        <v>1286</v>
      </c>
      <c r="B1341" s="166">
        <v>171.312131269948</v>
      </c>
      <c r="D1341" s="39"/>
      <c r="E1341" s="39"/>
    </row>
    <row r="1342" spans="1:5" ht="15.6">
      <c r="A1342">
        <v>1287</v>
      </c>
      <c r="B1342" s="166">
        <v>105.23257644229335</v>
      </c>
      <c r="D1342" s="39"/>
      <c r="E1342" s="39"/>
    </row>
    <row r="1343" spans="1:5" ht="15.6">
      <c r="A1343">
        <v>1288</v>
      </c>
      <c r="B1343" s="166">
        <v>139.23872483101073</v>
      </c>
      <c r="D1343" s="39"/>
      <c r="E1343" s="39"/>
    </row>
    <row r="1344" spans="1:5" ht="15.6">
      <c r="A1344">
        <v>1289</v>
      </c>
      <c r="B1344" s="166">
        <v>101.56221253931945</v>
      </c>
      <c r="D1344" s="39"/>
      <c r="E1344" s="39"/>
    </row>
    <row r="1345" spans="1:5" ht="15.6">
      <c r="A1345">
        <v>1290</v>
      </c>
      <c r="B1345" s="166">
        <v>137.35418627371143</v>
      </c>
      <c r="D1345" s="39"/>
      <c r="E1345" s="39"/>
    </row>
    <row r="1346" spans="1:5" ht="15.6">
      <c r="A1346">
        <v>1291</v>
      </c>
      <c r="B1346" s="166">
        <v>79.399512994999455</v>
      </c>
      <c r="D1346" s="39"/>
      <c r="E1346" s="39"/>
    </row>
    <row r="1347" spans="1:5" ht="15.6">
      <c r="A1347">
        <v>1292</v>
      </c>
      <c r="B1347" s="166">
        <v>105.42931049863436</v>
      </c>
      <c r="D1347" s="39"/>
      <c r="E1347" s="39"/>
    </row>
    <row r="1348" spans="1:5" ht="15.6">
      <c r="A1348">
        <v>1293</v>
      </c>
      <c r="B1348" s="166">
        <v>68.423714029741973</v>
      </c>
      <c r="D1348" s="39"/>
      <c r="E1348" s="39"/>
    </row>
    <row r="1349" spans="1:5" ht="15.6">
      <c r="A1349">
        <v>1294</v>
      </c>
      <c r="B1349" s="166">
        <v>69.420249123536379</v>
      </c>
      <c r="D1349" s="39"/>
      <c r="E1349" s="39"/>
    </row>
    <row r="1350" spans="1:5" ht="15.6">
      <c r="A1350">
        <v>1295</v>
      </c>
      <c r="B1350" s="166">
        <v>132.06706728297198</v>
      </c>
      <c r="D1350" s="39"/>
      <c r="E1350" s="39"/>
    </row>
    <row r="1351" spans="1:5" ht="15.6">
      <c r="A1351">
        <v>1296</v>
      </c>
      <c r="B1351" s="166">
        <v>107.70769171347338</v>
      </c>
      <c r="D1351" s="39"/>
      <c r="E1351" s="39"/>
    </row>
    <row r="1352" spans="1:5" ht="15.6">
      <c r="A1352">
        <v>1297</v>
      </c>
      <c r="B1352" s="166">
        <v>114.42029170033209</v>
      </c>
      <c r="D1352" s="39"/>
      <c r="E1352" s="39"/>
    </row>
    <row r="1353" spans="1:5" ht="15.6">
      <c r="A1353">
        <v>1298</v>
      </c>
      <c r="B1353" s="166">
        <v>100.58180115851975</v>
      </c>
      <c r="D1353" s="39"/>
      <c r="E1353" s="39"/>
    </row>
    <row r="1354" spans="1:5" ht="15.6">
      <c r="A1354">
        <v>1299</v>
      </c>
      <c r="B1354" s="166">
        <v>94.689375180880177</v>
      </c>
      <c r="D1354" s="39"/>
      <c r="E1354" s="39"/>
    </row>
    <row r="1355" spans="1:5" ht="15.6">
      <c r="A1355">
        <v>1300</v>
      </c>
      <c r="B1355" s="166">
        <v>276.29274015216856</v>
      </c>
      <c r="D1355" s="39"/>
      <c r="E1355" s="39"/>
    </row>
    <row r="1356" spans="1:5" ht="15.6">
      <c r="A1356">
        <v>1301</v>
      </c>
      <c r="B1356" s="166">
        <v>99.034315418672421</v>
      </c>
      <c r="D1356" s="39"/>
      <c r="E1356" s="39"/>
    </row>
    <row r="1357" spans="1:5" ht="15.6">
      <c r="A1357">
        <v>1302</v>
      </c>
      <c r="B1357" s="166">
        <v>173.3839449223197</v>
      </c>
      <c r="D1357" s="39"/>
      <c r="E1357" s="39"/>
    </row>
    <row r="1358" spans="1:5" ht="15.6">
      <c r="A1358">
        <v>1303</v>
      </c>
      <c r="B1358" s="166">
        <v>143.39519362326328</v>
      </c>
      <c r="D1358" s="39"/>
      <c r="E1358" s="39"/>
    </row>
    <row r="1359" spans="1:5" ht="15.6">
      <c r="A1359">
        <v>1304</v>
      </c>
      <c r="B1359" s="166">
        <v>140.35954868199977</v>
      </c>
      <c r="D1359" s="39"/>
      <c r="E1359" s="39"/>
    </row>
    <row r="1360" spans="1:5" ht="15.6">
      <c r="A1360">
        <v>1305</v>
      </c>
      <c r="B1360" s="166">
        <v>91.157210714888095</v>
      </c>
      <c r="D1360" s="39"/>
      <c r="E1360" s="39"/>
    </row>
    <row r="1361" spans="1:5" ht="15.6">
      <c r="A1361">
        <v>1306</v>
      </c>
      <c r="B1361" s="166">
        <v>116.76229103417947</v>
      </c>
      <c r="D1361" s="39"/>
      <c r="E1361" s="39"/>
    </row>
    <row r="1362" spans="1:5" ht="15.6">
      <c r="A1362">
        <v>1307</v>
      </c>
      <c r="B1362" s="166">
        <v>128.27683213721951</v>
      </c>
      <c r="D1362" s="39"/>
      <c r="E1362" s="39"/>
    </row>
    <row r="1363" spans="1:5" ht="15.6">
      <c r="A1363">
        <v>1308</v>
      </c>
      <c r="B1363" s="166">
        <v>141.23862150749213</v>
      </c>
      <c r="D1363" s="39"/>
      <c r="E1363" s="39"/>
    </row>
    <row r="1364" spans="1:5" ht="15.6">
      <c r="A1364">
        <v>1309</v>
      </c>
      <c r="B1364" s="166">
        <v>90.832547364894012</v>
      </c>
      <c r="D1364" s="39"/>
      <c r="E1364" s="39"/>
    </row>
    <row r="1365" spans="1:5" ht="15.6">
      <c r="A1365">
        <v>1310</v>
      </c>
      <c r="B1365" s="166">
        <v>57.354894562029813</v>
      </c>
      <c r="D1365" s="39"/>
      <c r="E1365" s="39"/>
    </row>
    <row r="1366" spans="1:5" ht="15.6">
      <c r="A1366">
        <v>1311</v>
      </c>
      <c r="B1366" s="166">
        <v>134.14691502096167</v>
      </c>
      <c r="D1366" s="39"/>
      <c r="E1366" s="39"/>
    </row>
    <row r="1367" spans="1:5" ht="15.6">
      <c r="A1367">
        <v>1312</v>
      </c>
      <c r="B1367" s="166">
        <v>84.666292300731357</v>
      </c>
      <c r="D1367" s="39"/>
      <c r="E1367" s="39"/>
    </row>
    <row r="1368" spans="1:5" ht="15.6">
      <c r="A1368">
        <v>1313</v>
      </c>
      <c r="B1368" s="166">
        <v>154.59688549480637</v>
      </c>
      <c r="D1368" s="39"/>
      <c r="E1368" s="39"/>
    </row>
    <row r="1369" spans="1:5" ht="15.6">
      <c r="A1369">
        <v>1314</v>
      </c>
      <c r="B1369" s="166">
        <v>82.694950888536198</v>
      </c>
      <c r="D1369" s="39"/>
      <c r="E1369" s="39"/>
    </row>
    <row r="1370" spans="1:5" ht="15.6">
      <c r="A1370">
        <v>1315</v>
      </c>
      <c r="B1370" s="166">
        <v>240.71921599449556</v>
      </c>
      <c r="D1370" s="39"/>
      <c r="E1370" s="39"/>
    </row>
    <row r="1371" spans="1:5" ht="15.6">
      <c r="A1371">
        <v>1316</v>
      </c>
      <c r="B1371" s="166">
        <v>60.29144463431934</v>
      </c>
      <c r="D1371" s="39"/>
      <c r="E1371" s="39"/>
    </row>
    <row r="1372" spans="1:5" ht="15.6">
      <c r="A1372">
        <v>1317</v>
      </c>
      <c r="B1372" s="166">
        <v>129.42107209371093</v>
      </c>
      <c r="D1372" s="39"/>
      <c r="E1372" s="39"/>
    </row>
    <row r="1373" spans="1:5" ht="15.6">
      <c r="A1373">
        <v>1318</v>
      </c>
      <c r="B1373" s="166">
        <v>69.216120990440771</v>
      </c>
      <c r="D1373" s="39"/>
      <c r="E1373" s="39"/>
    </row>
    <row r="1374" spans="1:5" ht="15.6">
      <c r="A1374">
        <v>1319</v>
      </c>
      <c r="B1374" s="166">
        <v>90.174158944695876</v>
      </c>
      <c r="D1374" s="39"/>
      <c r="E1374" s="39"/>
    </row>
    <row r="1375" spans="1:5" ht="15.6">
      <c r="A1375">
        <v>1320</v>
      </c>
      <c r="B1375" s="166">
        <v>74.83212352784463</v>
      </c>
      <c r="D1375" s="39"/>
      <c r="E1375" s="39"/>
    </row>
    <row r="1376" spans="1:5" ht="15.6">
      <c r="A1376">
        <v>1321</v>
      </c>
      <c r="B1376" s="166">
        <v>123.1075133291933</v>
      </c>
      <c r="D1376" s="39"/>
      <c r="E1376" s="39"/>
    </row>
    <row r="1377" spans="1:5" ht="15.6">
      <c r="A1377">
        <v>1322</v>
      </c>
      <c r="B1377" s="166">
        <v>66.111071217672432</v>
      </c>
      <c r="D1377" s="39"/>
      <c r="E1377" s="39"/>
    </row>
    <row r="1378" spans="1:5" ht="15.6">
      <c r="A1378">
        <v>1323</v>
      </c>
      <c r="B1378" s="166">
        <v>168.24101388798135</v>
      </c>
      <c r="D1378" s="39"/>
      <c r="E1378" s="39"/>
    </row>
    <row r="1379" spans="1:5" ht="15.6">
      <c r="A1379">
        <v>1324</v>
      </c>
      <c r="B1379" s="166">
        <v>103.68984333095396</v>
      </c>
      <c r="D1379" s="39"/>
      <c r="E1379" s="39"/>
    </row>
    <row r="1380" spans="1:5" ht="15.6">
      <c r="A1380">
        <v>1325</v>
      </c>
      <c r="B1380" s="166">
        <v>115.84112671835901</v>
      </c>
      <c r="D1380" s="39"/>
      <c r="E1380" s="39"/>
    </row>
    <row r="1381" spans="1:5" ht="15.6">
      <c r="A1381">
        <v>1326</v>
      </c>
      <c r="B1381" s="166">
        <v>78.697703133603085</v>
      </c>
      <c r="D1381" s="39"/>
      <c r="E1381" s="39"/>
    </row>
    <row r="1382" spans="1:5" ht="15.6">
      <c r="A1382">
        <v>1327</v>
      </c>
      <c r="B1382" s="166">
        <v>81.608988155876418</v>
      </c>
      <c r="D1382" s="39"/>
      <c r="E1382" s="39"/>
    </row>
    <row r="1383" spans="1:5" ht="15.6">
      <c r="A1383">
        <v>1328</v>
      </c>
      <c r="B1383" s="166">
        <v>121.2119382976921</v>
      </c>
      <c r="D1383" s="39"/>
      <c r="E1383" s="39"/>
    </row>
    <row r="1384" spans="1:5" ht="15.6">
      <c r="A1384">
        <v>1329</v>
      </c>
      <c r="B1384" s="166">
        <v>84.081792098537591</v>
      </c>
      <c r="D1384" s="39"/>
      <c r="E1384" s="39"/>
    </row>
    <row r="1385" spans="1:5" ht="15.6">
      <c r="A1385">
        <v>1330</v>
      </c>
      <c r="B1385" s="166">
        <v>141.21828734760709</v>
      </c>
      <c r="D1385" s="39"/>
      <c r="E1385" s="39"/>
    </row>
    <row r="1386" spans="1:5" ht="15.6">
      <c r="A1386">
        <v>1331</v>
      </c>
      <c r="B1386" s="166">
        <v>62.665761631173702</v>
      </c>
      <c r="D1386" s="39"/>
      <c r="E1386" s="39"/>
    </row>
    <row r="1387" spans="1:5" ht="15.6">
      <c r="A1387">
        <v>1332</v>
      </c>
      <c r="B1387" s="166">
        <v>136.82845797178743</v>
      </c>
      <c r="D1387" s="39"/>
      <c r="E1387" s="39"/>
    </row>
    <row r="1388" spans="1:5" ht="15.6">
      <c r="A1388">
        <v>1333</v>
      </c>
      <c r="B1388" s="166">
        <v>78.834168874023902</v>
      </c>
      <c r="D1388" s="39"/>
      <c r="E1388" s="39"/>
    </row>
    <row r="1389" spans="1:5" ht="15.6">
      <c r="A1389">
        <v>1334</v>
      </c>
      <c r="B1389" s="166">
        <v>59.131717735628968</v>
      </c>
      <c r="D1389" s="39"/>
      <c r="E1389" s="39"/>
    </row>
    <row r="1390" spans="1:5" ht="15.6">
      <c r="A1390">
        <v>1335</v>
      </c>
      <c r="B1390" s="166">
        <v>57.326156379940322</v>
      </c>
      <c r="D1390" s="39"/>
      <c r="E1390" s="39"/>
    </row>
    <row r="1391" spans="1:5" ht="15.6">
      <c r="A1391">
        <v>1336</v>
      </c>
      <c r="B1391" s="166">
        <v>236.11705747845565</v>
      </c>
      <c r="D1391" s="39"/>
      <c r="E1391" s="39"/>
    </row>
    <row r="1392" spans="1:5" ht="15.6">
      <c r="A1392">
        <v>1337</v>
      </c>
      <c r="B1392" s="166">
        <v>132.36527762276981</v>
      </c>
      <c r="D1392" s="39"/>
      <c r="E1392" s="39"/>
    </row>
    <row r="1393" spans="1:5" ht="15.6">
      <c r="A1393">
        <v>1338</v>
      </c>
      <c r="B1393" s="166">
        <v>116.68638297070201</v>
      </c>
      <c r="D1393" s="39"/>
      <c r="E1393" s="39"/>
    </row>
    <row r="1394" spans="1:5" ht="15.6">
      <c r="A1394">
        <v>1339</v>
      </c>
      <c r="B1394" s="166">
        <v>142.72524678900123</v>
      </c>
      <c r="D1394" s="39"/>
      <c r="E1394" s="39"/>
    </row>
    <row r="1395" spans="1:5" ht="15.6">
      <c r="A1395">
        <v>1340</v>
      </c>
      <c r="B1395" s="166">
        <v>100.95009154505897</v>
      </c>
      <c r="D1395" s="39"/>
      <c r="E1395" s="39"/>
    </row>
    <row r="1396" spans="1:5" ht="15.6">
      <c r="A1396">
        <v>1341</v>
      </c>
      <c r="B1396" s="166">
        <v>112.3548227078246</v>
      </c>
      <c r="D1396" s="39"/>
      <c r="E1396" s="39"/>
    </row>
    <row r="1397" spans="1:5" ht="15.6">
      <c r="A1397">
        <v>1342</v>
      </c>
      <c r="B1397" s="166">
        <v>121.38035038421275</v>
      </c>
      <c r="D1397" s="39"/>
      <c r="E1397" s="39"/>
    </row>
    <row r="1398" spans="1:5" ht="15.6">
      <c r="A1398">
        <v>1343</v>
      </c>
      <c r="B1398" s="166">
        <v>228.59742496122789</v>
      </c>
      <c r="D1398" s="39"/>
      <c r="E1398" s="39"/>
    </row>
    <row r="1399" spans="1:5" ht="15.6">
      <c r="A1399">
        <v>1344</v>
      </c>
      <c r="B1399" s="166">
        <v>171.09388165091912</v>
      </c>
      <c r="D1399" s="39"/>
      <c r="E1399" s="39"/>
    </row>
    <row r="1400" spans="1:5" ht="15.6">
      <c r="A1400">
        <v>1345</v>
      </c>
      <c r="B1400" s="166">
        <v>82.945074120919443</v>
      </c>
      <c r="D1400" s="39"/>
      <c r="E1400" s="39"/>
    </row>
    <row r="1401" spans="1:5" ht="15.6">
      <c r="A1401">
        <v>1346</v>
      </c>
      <c r="B1401" s="166">
        <v>133.47926531260006</v>
      </c>
      <c r="D1401" s="39"/>
      <c r="E1401" s="39"/>
    </row>
    <row r="1402" spans="1:5" ht="15.6">
      <c r="A1402">
        <v>1347</v>
      </c>
      <c r="B1402" s="166">
        <v>148.88426748654331</v>
      </c>
      <c r="D1402" s="39"/>
      <c r="E1402" s="39"/>
    </row>
    <row r="1403" spans="1:5" ht="15.6">
      <c r="A1403">
        <v>1348</v>
      </c>
      <c r="B1403" s="166">
        <v>81.402521599811749</v>
      </c>
      <c r="D1403" s="39"/>
      <c r="E1403" s="39"/>
    </row>
    <row r="1404" spans="1:5" ht="15.6">
      <c r="A1404">
        <v>1349</v>
      </c>
      <c r="B1404" s="166">
        <v>81.250581720260001</v>
      </c>
      <c r="D1404" s="39"/>
      <c r="E1404" s="39"/>
    </row>
    <row r="1405" spans="1:5" ht="15.6">
      <c r="A1405">
        <v>1350</v>
      </c>
      <c r="B1405" s="166">
        <v>140.65541533626191</v>
      </c>
      <c r="D1405" s="39"/>
      <c r="E1405" s="39"/>
    </row>
    <row r="1406" spans="1:5" ht="15.6">
      <c r="A1406">
        <v>1351</v>
      </c>
      <c r="B1406" s="166">
        <v>98.207931216624843</v>
      </c>
      <c r="D1406" s="39"/>
      <c r="E1406" s="39"/>
    </row>
    <row r="1407" spans="1:5" ht="15.6">
      <c r="A1407">
        <v>1352</v>
      </c>
      <c r="B1407" s="166">
        <v>106.40138654584888</v>
      </c>
      <c r="D1407" s="39"/>
      <c r="E1407" s="39"/>
    </row>
    <row r="1408" spans="1:5" ht="15.6">
      <c r="A1408">
        <v>1353</v>
      </c>
      <c r="B1408" s="166">
        <v>217.63145099337507</v>
      </c>
      <c r="D1408" s="39"/>
      <c r="E1408" s="39"/>
    </row>
    <row r="1409" spans="1:5" ht="15.6">
      <c r="A1409">
        <v>1354</v>
      </c>
      <c r="B1409" s="166">
        <v>75.498186691140759</v>
      </c>
      <c r="D1409" s="39"/>
      <c r="E1409" s="39"/>
    </row>
    <row r="1410" spans="1:5" ht="15.6">
      <c r="A1410">
        <v>1355</v>
      </c>
      <c r="B1410" s="166">
        <v>68.464765779745207</v>
      </c>
      <c r="D1410" s="39"/>
      <c r="E1410" s="39"/>
    </row>
    <row r="1411" spans="1:5" ht="15.6">
      <c r="A1411">
        <v>1356</v>
      </c>
      <c r="B1411" s="166">
        <v>124.07266019295977</v>
      </c>
      <c r="D1411" s="39"/>
      <c r="E1411" s="39"/>
    </row>
    <row r="1412" spans="1:5" ht="15.6">
      <c r="A1412">
        <v>1357</v>
      </c>
      <c r="B1412" s="166">
        <v>70.400378030290753</v>
      </c>
      <c r="D1412" s="39"/>
      <c r="E1412" s="39"/>
    </row>
    <row r="1413" spans="1:5" ht="15.6">
      <c r="A1413">
        <v>1358</v>
      </c>
      <c r="B1413" s="166">
        <v>61.86581506079132</v>
      </c>
      <c r="D1413" s="39"/>
      <c r="E1413" s="39"/>
    </row>
    <row r="1414" spans="1:5" ht="15.6">
      <c r="A1414">
        <v>1359</v>
      </c>
      <c r="B1414" s="166">
        <v>127.36809827876652</v>
      </c>
      <c r="D1414" s="39"/>
      <c r="E1414" s="39"/>
    </row>
    <row r="1415" spans="1:5" ht="15.6">
      <c r="A1415">
        <v>1360</v>
      </c>
      <c r="B1415" s="166">
        <v>109.5185826202397</v>
      </c>
      <c r="D1415" s="39"/>
      <c r="E1415" s="39"/>
    </row>
    <row r="1416" spans="1:5" ht="15.6">
      <c r="A1416">
        <v>1361</v>
      </c>
      <c r="B1416" s="166">
        <v>96.79446931824954</v>
      </c>
      <c r="D1416" s="39"/>
      <c r="E1416" s="39"/>
    </row>
    <row r="1417" spans="1:5" ht="15.6">
      <c r="A1417">
        <v>1362</v>
      </c>
      <c r="B1417" s="166">
        <v>122.16366349993316</v>
      </c>
      <c r="D1417" s="39"/>
      <c r="E1417" s="39"/>
    </row>
    <row r="1418" spans="1:5" ht="15.6">
      <c r="A1418">
        <v>1363</v>
      </c>
      <c r="B1418" s="166">
        <v>166.62809748633677</v>
      </c>
      <c r="D1418" s="39"/>
      <c r="E1418" s="39"/>
    </row>
    <row r="1419" spans="1:5" ht="15.6">
      <c r="A1419">
        <v>1364</v>
      </c>
      <c r="B1419" s="166">
        <v>67.998880636523893</v>
      </c>
      <c r="D1419" s="39"/>
      <c r="E1419" s="39"/>
    </row>
    <row r="1420" spans="1:5" ht="15.6">
      <c r="A1420">
        <v>1365</v>
      </c>
      <c r="B1420" s="166">
        <v>144.80781458401179</v>
      </c>
      <c r="D1420" s="39"/>
      <c r="E1420" s="39"/>
    </row>
    <row r="1421" spans="1:5" ht="15.6">
      <c r="A1421">
        <v>1366</v>
      </c>
      <c r="B1421" s="166">
        <v>133.99535087974857</v>
      </c>
      <c r="D1421" s="39"/>
      <c r="E1421" s="39"/>
    </row>
    <row r="1422" spans="1:5" ht="15.6">
      <c r="A1422">
        <v>1367</v>
      </c>
      <c r="B1422" s="166">
        <v>66.293710336001439</v>
      </c>
      <c r="D1422" s="39"/>
      <c r="E1422" s="39"/>
    </row>
    <row r="1423" spans="1:5" ht="15.6">
      <c r="A1423">
        <v>1368</v>
      </c>
      <c r="B1423" s="166">
        <v>187.56044046041194</v>
      </c>
      <c r="D1423" s="39"/>
      <c r="E1423" s="39"/>
    </row>
    <row r="1424" spans="1:5" ht="15.6">
      <c r="A1424">
        <v>1369</v>
      </c>
      <c r="B1424" s="166">
        <v>204.82863466821925</v>
      </c>
      <c r="D1424" s="39"/>
      <c r="E1424" s="39"/>
    </row>
    <row r="1425" spans="1:5" ht="15.6">
      <c r="A1425">
        <v>1370</v>
      </c>
      <c r="B1425" s="166">
        <v>118.1754526246965</v>
      </c>
      <c r="D1425" s="39"/>
      <c r="E1425" s="39"/>
    </row>
    <row r="1426" spans="1:5" ht="15.6">
      <c r="A1426">
        <v>1371</v>
      </c>
      <c r="B1426" s="166">
        <v>274.5278820354979</v>
      </c>
      <c r="D1426" s="39"/>
      <c r="E1426" s="39"/>
    </row>
    <row r="1427" spans="1:5" ht="15.6">
      <c r="A1427">
        <v>1372</v>
      </c>
      <c r="B1427" s="166">
        <v>67.911370280909921</v>
      </c>
      <c r="D1427" s="39"/>
      <c r="E1427" s="39"/>
    </row>
    <row r="1428" spans="1:5" ht="15.6">
      <c r="A1428">
        <v>1373</v>
      </c>
      <c r="B1428" s="166">
        <v>174.89952632099548</v>
      </c>
      <c r="D1428" s="39"/>
      <c r="E1428" s="39"/>
    </row>
    <row r="1429" spans="1:5" ht="15.6">
      <c r="A1429">
        <v>1374</v>
      </c>
      <c r="B1429" s="166">
        <v>130.38808360510504</v>
      </c>
      <c r="D1429" s="39"/>
      <c r="E1429" s="39"/>
    </row>
    <row r="1430" spans="1:5" ht="15.6">
      <c r="A1430">
        <v>1375</v>
      </c>
      <c r="B1430" s="166">
        <v>76.153261796100679</v>
      </c>
      <c r="D1430" s="39"/>
      <c r="E1430" s="39"/>
    </row>
    <row r="1431" spans="1:5" ht="15.6">
      <c r="A1431">
        <v>1376</v>
      </c>
      <c r="B1431" s="166">
        <v>116.83125869599978</v>
      </c>
      <c r="D1431" s="39"/>
      <c r="E1431" s="39"/>
    </row>
    <row r="1432" spans="1:5" ht="15.6">
      <c r="A1432">
        <v>1377</v>
      </c>
      <c r="B1432" s="166">
        <v>194.19025237003606</v>
      </c>
      <c r="D1432" s="39"/>
      <c r="E1432" s="39"/>
    </row>
    <row r="1433" spans="1:5" ht="15.6">
      <c r="A1433">
        <v>1378</v>
      </c>
      <c r="B1433" s="166">
        <v>174.56806217063203</v>
      </c>
      <c r="D1433" s="39"/>
      <c r="E1433" s="39"/>
    </row>
    <row r="1434" spans="1:5" ht="15.6">
      <c r="A1434">
        <v>1379</v>
      </c>
      <c r="B1434" s="166">
        <v>107.96106958622234</v>
      </c>
      <c r="D1434" s="39"/>
      <c r="E1434" s="39"/>
    </row>
    <row r="1435" spans="1:5" ht="15.6">
      <c r="A1435">
        <v>1380</v>
      </c>
      <c r="B1435" s="166">
        <v>144.05259812200572</v>
      </c>
      <c r="D1435" s="39"/>
      <c r="E1435" s="39"/>
    </row>
    <row r="1436" spans="1:5" ht="15.6">
      <c r="A1436">
        <v>1381</v>
      </c>
      <c r="B1436" s="166">
        <v>210.83082894977619</v>
      </c>
      <c r="D1436" s="39"/>
      <c r="E1436" s="39"/>
    </row>
    <row r="1437" spans="1:5" ht="15.6">
      <c r="A1437">
        <v>1382</v>
      </c>
      <c r="B1437" s="166">
        <v>180.09865028835446</v>
      </c>
      <c r="D1437" s="39"/>
      <c r="E1437" s="39"/>
    </row>
    <row r="1438" spans="1:5" ht="15.6">
      <c r="A1438">
        <v>1383</v>
      </c>
      <c r="B1438" s="166">
        <v>152.70440471658421</v>
      </c>
      <c r="D1438" s="39"/>
      <c r="E1438" s="39"/>
    </row>
    <row r="1439" spans="1:5" ht="15.6">
      <c r="A1439">
        <v>1384</v>
      </c>
      <c r="B1439" s="166">
        <v>109.42900482542031</v>
      </c>
      <c r="D1439" s="39"/>
      <c r="E1439" s="39"/>
    </row>
    <row r="1440" spans="1:5" ht="15.6">
      <c r="A1440">
        <v>1385</v>
      </c>
      <c r="B1440" s="166">
        <v>113.22513097055879</v>
      </c>
      <c r="D1440" s="39"/>
      <c r="E1440" s="39"/>
    </row>
    <row r="1441" spans="1:5" ht="15.6">
      <c r="A1441">
        <v>1386</v>
      </c>
      <c r="B1441" s="166">
        <v>133.86734788838152</v>
      </c>
      <c r="D1441" s="39"/>
      <c r="E1441" s="39"/>
    </row>
    <row r="1442" spans="1:5" ht="15.6">
      <c r="A1442">
        <v>1387</v>
      </c>
      <c r="B1442" s="166">
        <v>111.23490029575193</v>
      </c>
      <c r="D1442" s="39"/>
      <c r="E1442" s="39"/>
    </row>
    <row r="1443" spans="1:5" ht="15.6">
      <c r="A1443">
        <v>1388</v>
      </c>
      <c r="B1443" s="166">
        <v>62.624855637795378</v>
      </c>
      <c r="D1443" s="39"/>
      <c r="E1443" s="39"/>
    </row>
    <row r="1444" spans="1:5" ht="15.6">
      <c r="A1444">
        <v>1389</v>
      </c>
      <c r="B1444" s="166">
        <v>89.974181791811262</v>
      </c>
      <c r="D1444" s="39"/>
      <c r="E1444" s="39"/>
    </row>
    <row r="1445" spans="1:5" ht="15.6">
      <c r="A1445">
        <v>1390</v>
      </c>
      <c r="B1445" s="166">
        <v>167.25466045433959</v>
      </c>
      <c r="D1445" s="39"/>
      <c r="E1445" s="39"/>
    </row>
    <row r="1446" spans="1:5" ht="15.6">
      <c r="A1446">
        <v>1391</v>
      </c>
      <c r="B1446" s="166">
        <v>119.70016702400203</v>
      </c>
      <c r="D1446" s="39"/>
      <c r="E1446" s="39"/>
    </row>
    <row r="1447" spans="1:5" ht="15.6">
      <c r="A1447">
        <v>1392</v>
      </c>
      <c r="B1447" s="166">
        <v>106.99911671953824</v>
      </c>
      <c r="D1447" s="39"/>
      <c r="E1447" s="39"/>
    </row>
    <row r="1448" spans="1:5" ht="15.6">
      <c r="A1448">
        <v>1393</v>
      </c>
      <c r="B1448" s="166">
        <v>66.176261527578106</v>
      </c>
      <c r="D1448" s="39"/>
      <c r="E1448" s="39"/>
    </row>
    <row r="1449" spans="1:5" ht="15.6">
      <c r="A1449">
        <v>1394</v>
      </c>
      <c r="B1449" s="166">
        <v>64.058526064377645</v>
      </c>
      <c r="D1449" s="39"/>
      <c r="E1449" s="39"/>
    </row>
    <row r="1450" spans="1:5" ht="15.6">
      <c r="A1450">
        <v>1395</v>
      </c>
      <c r="B1450" s="166">
        <v>139.97581868465249</v>
      </c>
      <c r="D1450" s="39"/>
      <c r="E1450" s="39"/>
    </row>
    <row r="1451" spans="1:5" ht="15.6">
      <c r="A1451">
        <v>1396</v>
      </c>
      <c r="B1451" s="166">
        <v>105.4116891641651</v>
      </c>
      <c r="D1451" s="39"/>
      <c r="E1451" s="39"/>
    </row>
    <row r="1452" spans="1:5" ht="15.6">
      <c r="A1452">
        <v>1397</v>
      </c>
      <c r="B1452" s="166">
        <v>86.953711153452502</v>
      </c>
      <c r="D1452" s="39"/>
      <c r="E1452" s="39"/>
    </row>
    <row r="1453" spans="1:5" ht="15.6">
      <c r="A1453">
        <v>1398</v>
      </c>
      <c r="B1453" s="166">
        <v>79.077997592333915</v>
      </c>
      <c r="D1453" s="39"/>
      <c r="E1453" s="39"/>
    </row>
    <row r="1454" spans="1:5" ht="15.6">
      <c r="A1454">
        <v>1399</v>
      </c>
      <c r="B1454" s="166">
        <v>95.718538250671841</v>
      </c>
      <c r="D1454" s="39"/>
      <c r="E1454" s="39"/>
    </row>
    <row r="1455" spans="1:5" ht="15.6">
      <c r="A1455">
        <v>1400</v>
      </c>
      <c r="B1455" s="166">
        <v>179.22828765558401</v>
      </c>
      <c r="D1455" s="39"/>
      <c r="E1455" s="39"/>
    </row>
    <row r="1456" spans="1:5" ht="15.6">
      <c r="A1456">
        <v>1401</v>
      </c>
      <c r="B1456" s="166">
        <v>126.73290780634167</v>
      </c>
      <c r="D1456" s="39"/>
      <c r="E1456" s="39"/>
    </row>
    <row r="1457" spans="1:5" ht="15.6">
      <c r="A1457">
        <v>1402</v>
      </c>
      <c r="B1457" s="166">
        <v>131.34157443957434</v>
      </c>
      <c r="D1457" s="39"/>
      <c r="E1457" s="39"/>
    </row>
    <row r="1458" spans="1:5" ht="15.6">
      <c r="A1458">
        <v>1403</v>
      </c>
      <c r="B1458" s="166">
        <v>178.14608787702326</v>
      </c>
      <c r="D1458" s="39"/>
      <c r="E1458" s="39"/>
    </row>
    <row r="1459" spans="1:5" ht="15.6">
      <c r="A1459">
        <v>1404</v>
      </c>
      <c r="B1459" s="166">
        <v>57.175608360556922</v>
      </c>
      <c r="D1459" s="39"/>
      <c r="E1459" s="39"/>
    </row>
    <row r="1460" spans="1:5" ht="15.6">
      <c r="A1460">
        <v>1405</v>
      </c>
      <c r="B1460" s="166">
        <v>72.179246870793946</v>
      </c>
      <c r="D1460" s="39"/>
      <c r="E1460" s="39"/>
    </row>
    <row r="1461" spans="1:5" ht="15.6">
      <c r="A1461">
        <v>1406</v>
      </c>
      <c r="B1461" s="166">
        <v>162.7057364661805</v>
      </c>
      <c r="D1461" s="39"/>
      <c r="E1461" s="39"/>
    </row>
    <row r="1462" spans="1:5" ht="15.6">
      <c r="A1462">
        <v>1407</v>
      </c>
      <c r="B1462" s="166">
        <v>57.785353307627595</v>
      </c>
      <c r="D1462" s="39"/>
      <c r="E1462" s="39"/>
    </row>
    <row r="1463" spans="1:5" ht="15.6">
      <c r="A1463">
        <v>1408</v>
      </c>
      <c r="B1463" s="166">
        <v>117.40365798003258</v>
      </c>
      <c r="D1463" s="39"/>
      <c r="E1463" s="39"/>
    </row>
    <row r="1464" spans="1:5" ht="15.6">
      <c r="A1464">
        <v>1409</v>
      </c>
      <c r="B1464" s="166">
        <v>116.76958025764013</v>
      </c>
      <c r="D1464" s="39"/>
      <c r="E1464" s="39"/>
    </row>
    <row r="1465" spans="1:5" ht="15.6">
      <c r="A1465">
        <v>1410</v>
      </c>
      <c r="B1465" s="166">
        <v>50.236038223806709</v>
      </c>
      <c r="D1465" s="39"/>
      <c r="E1465" s="39"/>
    </row>
    <row r="1466" spans="1:5" ht="15.6">
      <c r="A1466">
        <v>1411</v>
      </c>
      <c r="B1466" s="166">
        <v>105.1559978538059</v>
      </c>
      <c r="D1466" s="39"/>
      <c r="E1466" s="39"/>
    </row>
    <row r="1467" spans="1:5" ht="15.6">
      <c r="A1467">
        <v>1412</v>
      </c>
      <c r="B1467" s="166">
        <v>132.84125439380247</v>
      </c>
      <c r="D1467" s="39"/>
      <c r="E1467" s="39"/>
    </row>
    <row r="1468" spans="1:5" ht="15.6">
      <c r="A1468">
        <v>1413</v>
      </c>
      <c r="B1468" s="166">
        <v>126.74051590707607</v>
      </c>
      <c r="D1468" s="39"/>
      <c r="E1468" s="39"/>
    </row>
    <row r="1469" spans="1:5" ht="15.6">
      <c r="A1469">
        <v>1414</v>
      </c>
      <c r="B1469" s="166">
        <v>94.471900516057659</v>
      </c>
      <c r="D1469" s="39"/>
      <c r="E1469" s="39"/>
    </row>
    <row r="1470" spans="1:5" ht="15.6">
      <c r="A1470">
        <v>1415</v>
      </c>
      <c r="B1470" s="166">
        <v>118.63086957754835</v>
      </c>
      <c r="D1470" s="39"/>
      <c r="E1470" s="39"/>
    </row>
    <row r="1471" spans="1:5" ht="15.6">
      <c r="A1471">
        <v>1416</v>
      </c>
      <c r="B1471" s="166">
        <v>175.95677493691107</v>
      </c>
      <c r="D1471" s="39"/>
      <c r="E1471" s="39"/>
    </row>
    <row r="1472" spans="1:5" ht="15.6">
      <c r="A1472">
        <v>1417</v>
      </c>
      <c r="B1472" s="166">
        <v>168.22359606726684</v>
      </c>
      <c r="D1472" s="39"/>
      <c r="E1472" s="39"/>
    </row>
    <row r="1473" spans="1:5" ht="15.6">
      <c r="A1473">
        <v>1418</v>
      </c>
      <c r="B1473" s="166">
        <v>90.19616603921979</v>
      </c>
      <c r="D1473" s="39"/>
      <c r="E1473" s="39"/>
    </row>
    <row r="1474" spans="1:5" ht="15.6">
      <c r="A1474">
        <v>1419</v>
      </c>
      <c r="B1474" s="166">
        <v>206.30199894135797</v>
      </c>
      <c r="D1474" s="39"/>
      <c r="E1474" s="39"/>
    </row>
    <row r="1475" spans="1:5" ht="15.6">
      <c r="A1475">
        <v>1420</v>
      </c>
      <c r="B1475" s="166">
        <v>84.560423536003967</v>
      </c>
      <c r="D1475" s="39"/>
      <c r="E1475" s="39"/>
    </row>
    <row r="1476" spans="1:5" ht="15.6">
      <c r="A1476">
        <v>1421</v>
      </c>
      <c r="B1476" s="166">
        <v>58.407460682586766</v>
      </c>
      <c r="D1476" s="39"/>
      <c r="E1476" s="39"/>
    </row>
    <row r="1477" spans="1:5" ht="15.6">
      <c r="A1477">
        <v>1422</v>
      </c>
      <c r="B1477" s="166">
        <v>66.399950179273944</v>
      </c>
      <c r="D1477" s="39"/>
      <c r="E1477" s="39"/>
    </row>
    <row r="1478" spans="1:5" ht="15.6">
      <c r="A1478">
        <v>1423</v>
      </c>
      <c r="B1478" s="166">
        <v>128.60714170817891</v>
      </c>
      <c r="D1478" s="39"/>
      <c r="E1478" s="39"/>
    </row>
    <row r="1479" spans="1:5" ht="15.6">
      <c r="A1479">
        <v>1424</v>
      </c>
      <c r="B1479" s="166">
        <v>64.206736790617384</v>
      </c>
      <c r="D1479" s="39"/>
      <c r="E1479" s="39"/>
    </row>
    <row r="1480" spans="1:5" ht="15.6">
      <c r="A1480">
        <v>1425</v>
      </c>
      <c r="B1480" s="166">
        <v>203.6319181903194</v>
      </c>
      <c r="D1480" s="39"/>
      <c r="E1480" s="39"/>
    </row>
    <row r="1481" spans="1:5" ht="15.6">
      <c r="A1481">
        <v>1426</v>
      </c>
      <c r="B1481" s="166">
        <v>106.5374913756809</v>
      </c>
      <c r="D1481" s="39"/>
      <c r="E1481" s="39"/>
    </row>
    <row r="1482" spans="1:5" ht="15.6">
      <c r="A1482">
        <v>1427</v>
      </c>
      <c r="B1482" s="166">
        <v>145.66897074087152</v>
      </c>
      <c r="D1482" s="39"/>
      <c r="E1482" s="39"/>
    </row>
    <row r="1483" spans="1:5" ht="15.6">
      <c r="A1483">
        <v>1428</v>
      </c>
      <c r="B1483" s="166">
        <v>126.04910034667361</v>
      </c>
      <c r="D1483" s="39"/>
      <c r="E1483" s="39"/>
    </row>
    <row r="1484" spans="1:5" ht="15.6">
      <c r="A1484">
        <v>1429</v>
      </c>
      <c r="B1484" s="166">
        <v>138.93997303288245</v>
      </c>
      <c r="D1484" s="39"/>
      <c r="E1484" s="39"/>
    </row>
    <row r="1485" spans="1:5" ht="15.6">
      <c r="A1485">
        <v>1430</v>
      </c>
      <c r="B1485" s="166">
        <v>66.112395562307285</v>
      </c>
      <c r="D1485" s="39"/>
      <c r="E1485" s="39"/>
    </row>
    <row r="1486" spans="1:5" ht="15.6">
      <c r="A1486">
        <v>1431</v>
      </c>
      <c r="B1486" s="166">
        <v>163.07669590531412</v>
      </c>
      <c r="D1486" s="39"/>
      <c r="E1486" s="39"/>
    </row>
    <row r="1487" spans="1:5" ht="15.6">
      <c r="A1487">
        <v>1432</v>
      </c>
      <c r="B1487" s="166">
        <v>95.996197834906368</v>
      </c>
      <c r="D1487" s="39"/>
      <c r="E1487" s="39"/>
    </row>
    <row r="1488" spans="1:5" ht="15.6">
      <c r="A1488">
        <v>1433</v>
      </c>
      <c r="B1488" s="166">
        <v>67.344832535618622</v>
      </c>
      <c r="D1488" s="39"/>
      <c r="E1488" s="39"/>
    </row>
    <row r="1489" spans="1:5" ht="15.6">
      <c r="A1489">
        <v>1434</v>
      </c>
      <c r="B1489" s="166">
        <v>138.45996302881875</v>
      </c>
      <c r="D1489" s="39"/>
      <c r="E1489" s="39"/>
    </row>
    <row r="1490" spans="1:5" ht="15.6">
      <c r="A1490">
        <v>1435</v>
      </c>
      <c r="B1490" s="166">
        <v>148.6662493944892</v>
      </c>
      <c r="D1490" s="39"/>
      <c r="E1490" s="39"/>
    </row>
    <row r="1491" spans="1:5" ht="15.6">
      <c r="A1491">
        <v>1436</v>
      </c>
      <c r="B1491" s="166">
        <v>76.083882138424812</v>
      </c>
      <c r="D1491" s="39"/>
      <c r="E1491" s="39"/>
    </row>
    <row r="1492" spans="1:5" ht="15.6">
      <c r="A1492">
        <v>1437</v>
      </c>
      <c r="B1492" s="166">
        <v>124.95663794053573</v>
      </c>
      <c r="D1492" s="39"/>
      <c r="E1492" s="39"/>
    </row>
    <row r="1493" spans="1:5" ht="15.6">
      <c r="A1493">
        <v>1438</v>
      </c>
      <c r="B1493" s="166">
        <v>98.204449532885036</v>
      </c>
      <c r="D1493" s="39"/>
      <c r="E1493" s="39"/>
    </row>
    <row r="1494" spans="1:5" ht="15.6">
      <c r="A1494">
        <v>1439</v>
      </c>
      <c r="B1494" s="166">
        <v>78.887959431596073</v>
      </c>
      <c r="D1494" s="39"/>
      <c r="E1494" s="39"/>
    </row>
    <row r="1495" spans="1:5" ht="15.6">
      <c r="A1495">
        <v>1440</v>
      </c>
      <c r="B1495" s="166">
        <v>139.39200858693746</v>
      </c>
      <c r="D1495" s="39"/>
      <c r="E1495" s="39"/>
    </row>
    <row r="1496" spans="1:5" ht="15.6">
      <c r="A1496">
        <v>1441</v>
      </c>
      <c r="B1496" s="166">
        <v>100.05717477284453</v>
      </c>
      <c r="D1496" s="39"/>
      <c r="E1496" s="39"/>
    </row>
    <row r="1497" spans="1:5" ht="15.6">
      <c r="A1497">
        <v>1442</v>
      </c>
      <c r="B1497" s="166">
        <v>189.22396334671578</v>
      </c>
      <c r="D1497" s="39"/>
      <c r="E1497" s="39"/>
    </row>
    <row r="1498" spans="1:5" ht="15.6">
      <c r="A1498">
        <v>1443</v>
      </c>
      <c r="B1498" s="166">
        <v>96.879213131247184</v>
      </c>
      <c r="D1498" s="39"/>
      <c r="E1498" s="39"/>
    </row>
    <row r="1499" spans="1:5" ht="15.6">
      <c r="A1499">
        <v>1444</v>
      </c>
      <c r="B1499" s="166">
        <v>150.4375272549415</v>
      </c>
      <c r="D1499" s="39"/>
      <c r="E1499" s="39"/>
    </row>
    <row r="1500" spans="1:5" ht="15.6">
      <c r="A1500">
        <v>1445</v>
      </c>
      <c r="B1500" s="166">
        <v>133.52342209970979</v>
      </c>
      <c r="D1500" s="39"/>
      <c r="E1500" s="39"/>
    </row>
    <row r="1501" spans="1:5" ht="15.6">
      <c r="A1501">
        <v>1446</v>
      </c>
      <c r="B1501" s="166">
        <v>82.084777594725168</v>
      </c>
      <c r="D1501" s="39"/>
      <c r="E1501" s="39"/>
    </row>
    <row r="1502" spans="1:5" ht="15.6">
      <c r="A1502">
        <v>1447</v>
      </c>
      <c r="B1502" s="166">
        <v>102.98782555486443</v>
      </c>
      <c r="D1502" s="39"/>
      <c r="E1502" s="39"/>
    </row>
    <row r="1503" spans="1:5" ht="15.6">
      <c r="A1503">
        <v>1448</v>
      </c>
      <c r="B1503" s="166">
        <v>138.7201131523791</v>
      </c>
      <c r="D1503" s="39"/>
      <c r="E1503" s="39"/>
    </row>
    <row r="1504" spans="1:5" ht="15.6">
      <c r="A1504">
        <v>1449</v>
      </c>
      <c r="B1504" s="166">
        <v>113.94108411695213</v>
      </c>
      <c r="D1504" s="39"/>
      <c r="E1504" s="39"/>
    </row>
    <row r="1505" spans="1:5" ht="15.6">
      <c r="A1505">
        <v>1450</v>
      </c>
      <c r="B1505" s="166">
        <v>174.22176054231559</v>
      </c>
      <c r="D1505" s="39"/>
      <c r="E1505" s="39"/>
    </row>
    <row r="1506" spans="1:5" ht="15.6">
      <c r="A1506">
        <v>1451</v>
      </c>
      <c r="B1506" s="166">
        <v>104.71309165325725</v>
      </c>
      <c r="D1506" s="39"/>
      <c r="E1506" s="39"/>
    </row>
    <row r="1507" spans="1:5" ht="15.6">
      <c r="A1507">
        <v>1452</v>
      </c>
      <c r="B1507" s="166">
        <v>98.37031179584605</v>
      </c>
      <c r="D1507" s="39"/>
      <c r="E1507" s="39"/>
    </row>
    <row r="1508" spans="1:5" ht="15.6">
      <c r="A1508">
        <v>1453</v>
      </c>
      <c r="B1508" s="166">
        <v>111.42464731252556</v>
      </c>
      <c r="D1508" s="39"/>
      <c r="E1508" s="39"/>
    </row>
    <row r="1509" spans="1:5" ht="15.6">
      <c r="A1509">
        <v>1454</v>
      </c>
      <c r="B1509" s="166">
        <v>244.67193879426964</v>
      </c>
      <c r="D1509" s="39"/>
      <c r="E1509" s="39"/>
    </row>
    <row r="1510" spans="1:5" ht="15.6">
      <c r="A1510">
        <v>1455</v>
      </c>
      <c r="B1510" s="166">
        <v>76.957956421511014</v>
      </c>
      <c r="D1510" s="39"/>
      <c r="E1510" s="39"/>
    </row>
    <row r="1511" spans="1:5" ht="15.6">
      <c r="A1511">
        <v>1456</v>
      </c>
      <c r="B1511" s="166">
        <v>82.330311035800719</v>
      </c>
      <c r="D1511" s="39"/>
      <c r="E1511" s="39"/>
    </row>
    <row r="1512" spans="1:5" ht="15.6">
      <c r="A1512">
        <v>1457</v>
      </c>
      <c r="B1512" s="166">
        <v>71.624099700708669</v>
      </c>
      <c r="D1512" s="39"/>
      <c r="E1512" s="39"/>
    </row>
    <row r="1513" spans="1:5" ht="15.6">
      <c r="A1513">
        <v>1458</v>
      </c>
      <c r="B1513" s="166">
        <v>160.48027460794938</v>
      </c>
      <c r="D1513" s="39"/>
      <c r="E1513" s="39"/>
    </row>
    <row r="1514" spans="1:5" ht="15.6">
      <c r="A1514">
        <v>1459</v>
      </c>
      <c r="B1514" s="166">
        <v>120.7061605902186</v>
      </c>
      <c r="D1514" s="39"/>
      <c r="E1514" s="39"/>
    </row>
    <row r="1515" spans="1:5" ht="15.6">
      <c r="A1515">
        <v>1460</v>
      </c>
      <c r="B1515" s="166">
        <v>144.66857444389436</v>
      </c>
      <c r="D1515" s="39"/>
      <c r="E1515" s="39"/>
    </row>
    <row r="1516" spans="1:5" ht="15.6">
      <c r="A1516">
        <v>1461</v>
      </c>
      <c r="B1516" s="166">
        <v>65.359228166064852</v>
      </c>
      <c r="D1516" s="39"/>
      <c r="E1516" s="39"/>
    </row>
    <row r="1517" spans="1:5" ht="15.6">
      <c r="A1517">
        <v>1462</v>
      </c>
      <c r="B1517" s="166">
        <v>129.36985505127493</v>
      </c>
      <c r="D1517" s="39"/>
      <c r="E1517" s="39"/>
    </row>
    <row r="1518" spans="1:5" ht="15.6">
      <c r="A1518">
        <v>1463</v>
      </c>
      <c r="B1518" s="166">
        <v>92.224175642507916</v>
      </c>
      <c r="D1518" s="39"/>
      <c r="E1518" s="39"/>
    </row>
    <row r="1519" spans="1:5" ht="15.6">
      <c r="A1519">
        <v>1464</v>
      </c>
      <c r="B1519" s="166">
        <v>68.871898860343762</v>
      </c>
      <c r="D1519" s="39"/>
      <c r="E1519" s="39"/>
    </row>
    <row r="1520" spans="1:5" ht="15.6">
      <c r="A1520">
        <v>1465</v>
      </c>
      <c r="B1520" s="166">
        <v>77.339290402634234</v>
      </c>
      <c r="D1520" s="39"/>
      <c r="E1520" s="39"/>
    </row>
    <row r="1521" spans="1:5" ht="15.6">
      <c r="A1521">
        <v>1466</v>
      </c>
      <c r="B1521" s="166">
        <v>73.291896867342174</v>
      </c>
      <c r="D1521" s="39"/>
      <c r="E1521" s="39"/>
    </row>
    <row r="1522" spans="1:5" ht="15.6">
      <c r="A1522">
        <v>1467</v>
      </c>
      <c r="B1522" s="166">
        <v>192.84177704143144</v>
      </c>
      <c r="D1522" s="39"/>
      <c r="E1522" s="39"/>
    </row>
    <row r="1523" spans="1:5" ht="15.6">
      <c r="A1523">
        <v>1468</v>
      </c>
      <c r="B1523" s="166">
        <v>73.997445316072643</v>
      </c>
      <c r="D1523" s="39"/>
      <c r="E1523" s="39"/>
    </row>
    <row r="1524" spans="1:5" ht="15.6">
      <c r="A1524">
        <v>1469</v>
      </c>
      <c r="B1524" s="166">
        <v>92.700287578648584</v>
      </c>
      <c r="D1524" s="39"/>
      <c r="E1524" s="39"/>
    </row>
    <row r="1525" spans="1:5" ht="15.6">
      <c r="A1525">
        <v>1470</v>
      </c>
      <c r="B1525" s="166">
        <v>61.489036279735338</v>
      </c>
      <c r="D1525" s="39"/>
      <c r="E1525" s="39"/>
    </row>
    <row r="1526" spans="1:5" ht="15.6">
      <c r="A1526">
        <v>1471</v>
      </c>
      <c r="B1526" s="166">
        <v>93.023635702180087</v>
      </c>
      <c r="D1526" s="39"/>
      <c r="E1526" s="39"/>
    </row>
    <row r="1527" spans="1:5" ht="15.6">
      <c r="A1527">
        <v>1472</v>
      </c>
      <c r="B1527" s="166">
        <v>121.47130245818303</v>
      </c>
      <c r="D1527" s="39"/>
      <c r="E1527" s="39"/>
    </row>
    <row r="1528" spans="1:5" ht="15.6">
      <c r="A1528">
        <v>1473</v>
      </c>
      <c r="B1528" s="166">
        <v>91.040431588220443</v>
      </c>
      <c r="D1528" s="39"/>
      <c r="E1528" s="39"/>
    </row>
    <row r="1529" spans="1:5" ht="15.6">
      <c r="A1529">
        <v>1474</v>
      </c>
      <c r="B1529" s="166">
        <v>185.03302273737751</v>
      </c>
      <c r="D1529" s="39"/>
      <c r="E1529" s="39"/>
    </row>
    <row r="1530" spans="1:5" ht="15.6">
      <c r="A1530">
        <v>1475</v>
      </c>
      <c r="B1530" s="166">
        <v>82.756493701177931</v>
      </c>
      <c r="D1530" s="39"/>
      <c r="E1530" s="39"/>
    </row>
    <row r="1531" spans="1:5" ht="15.6">
      <c r="A1531">
        <v>1476</v>
      </c>
      <c r="B1531" s="166">
        <v>55.432352391316002</v>
      </c>
      <c r="D1531" s="39"/>
      <c r="E1531" s="39"/>
    </row>
    <row r="1532" spans="1:5" ht="15.6">
      <c r="A1532">
        <v>1477</v>
      </c>
      <c r="B1532" s="166">
        <v>155.09247759313834</v>
      </c>
      <c r="D1532" s="39"/>
      <c r="E1532" s="39"/>
    </row>
    <row r="1533" spans="1:5" ht="15.6">
      <c r="A1533">
        <v>1478</v>
      </c>
      <c r="B1533" s="166">
        <v>103.72377436286105</v>
      </c>
      <c r="D1533" s="39"/>
      <c r="E1533" s="39"/>
    </row>
    <row r="1534" spans="1:5" ht="15.6">
      <c r="A1534">
        <v>1479</v>
      </c>
      <c r="B1534" s="166">
        <v>54.96482865449029</v>
      </c>
      <c r="D1534" s="39"/>
      <c r="E1534" s="39"/>
    </row>
    <row r="1535" spans="1:5" ht="15.6">
      <c r="A1535">
        <v>1480</v>
      </c>
      <c r="B1535" s="166">
        <v>197.39279466052318</v>
      </c>
      <c r="D1535" s="39"/>
      <c r="E1535" s="39"/>
    </row>
    <row r="1536" spans="1:5" ht="15.6">
      <c r="A1536">
        <v>1481</v>
      </c>
      <c r="B1536" s="166">
        <v>105.10674366143827</v>
      </c>
      <c r="D1536" s="39"/>
      <c r="E1536" s="39"/>
    </row>
    <row r="1537" spans="1:5" ht="15.6">
      <c r="A1537">
        <v>1482</v>
      </c>
      <c r="B1537" s="166">
        <v>104.32254959477821</v>
      </c>
      <c r="D1537" s="39"/>
      <c r="E1537" s="39"/>
    </row>
    <row r="1538" spans="1:5" ht="15.6">
      <c r="A1538">
        <v>1483</v>
      </c>
      <c r="B1538" s="166">
        <v>99.861108617815589</v>
      </c>
      <c r="D1538" s="39"/>
      <c r="E1538" s="39"/>
    </row>
    <row r="1539" spans="1:5" ht="15.6">
      <c r="A1539">
        <v>1484</v>
      </c>
      <c r="B1539" s="166">
        <v>87.02907890284186</v>
      </c>
      <c r="D1539" s="39"/>
      <c r="E1539" s="39"/>
    </row>
    <row r="1540" spans="1:5" ht="15.6">
      <c r="A1540">
        <v>1485</v>
      </c>
      <c r="B1540" s="166">
        <v>151.79687961609991</v>
      </c>
      <c r="D1540" s="39"/>
      <c r="E1540" s="39"/>
    </row>
    <row r="1541" spans="1:5" ht="15.6">
      <c r="A1541">
        <v>1486</v>
      </c>
      <c r="B1541" s="166">
        <v>70.229526889848557</v>
      </c>
      <c r="D1541" s="39"/>
      <c r="E1541" s="39"/>
    </row>
    <row r="1542" spans="1:5" ht="15.6">
      <c r="A1542">
        <v>1487</v>
      </c>
      <c r="B1542" s="166">
        <v>101.14936183494179</v>
      </c>
      <c r="D1542" s="39"/>
      <c r="E1542" s="39"/>
    </row>
    <row r="1543" spans="1:5" ht="15.6">
      <c r="A1543">
        <v>1488</v>
      </c>
      <c r="B1543" s="166">
        <v>134.9322310744615</v>
      </c>
      <c r="D1543" s="39"/>
      <c r="E1543" s="39"/>
    </row>
    <row r="1544" spans="1:5" ht="15.6">
      <c r="A1544">
        <v>1489</v>
      </c>
      <c r="B1544" s="166">
        <v>96.255798147892719</v>
      </c>
      <c r="D1544" s="39"/>
      <c r="E1544" s="39"/>
    </row>
    <row r="1545" spans="1:5" ht="15.6">
      <c r="A1545">
        <v>1490</v>
      </c>
      <c r="B1545" s="166">
        <v>107.43138366869341</v>
      </c>
      <c r="D1545" s="39"/>
      <c r="E1545" s="39"/>
    </row>
    <row r="1546" spans="1:5" ht="15.6">
      <c r="A1546">
        <v>1491</v>
      </c>
      <c r="B1546" s="166">
        <v>113.75010187384176</v>
      </c>
      <c r="D1546" s="39"/>
      <c r="E1546" s="39"/>
    </row>
    <row r="1547" spans="1:5" ht="15.6">
      <c r="A1547">
        <v>1492</v>
      </c>
      <c r="B1547" s="166">
        <v>99.479410186003761</v>
      </c>
      <c r="D1547" s="39"/>
      <c r="E1547" s="39"/>
    </row>
    <row r="1548" spans="1:5" ht="15.6">
      <c r="A1548">
        <v>1493</v>
      </c>
      <c r="B1548" s="166">
        <v>187.39173731176766</v>
      </c>
      <c r="D1548" s="39"/>
      <c r="E1548" s="39"/>
    </row>
    <row r="1549" spans="1:5" ht="15.6">
      <c r="A1549">
        <v>1494</v>
      </c>
      <c r="B1549" s="166">
        <v>61.214668181994782</v>
      </c>
      <c r="D1549" s="39"/>
      <c r="E1549" s="39"/>
    </row>
    <row r="1550" spans="1:5" ht="15.6">
      <c r="A1550">
        <v>1495</v>
      </c>
      <c r="B1550" s="166">
        <v>76.553855021126012</v>
      </c>
      <c r="D1550" s="39"/>
      <c r="E1550" s="39"/>
    </row>
    <row r="1551" spans="1:5" ht="15.6">
      <c r="A1551">
        <v>1496</v>
      </c>
      <c r="B1551" s="166">
        <v>210.95132046684671</v>
      </c>
      <c r="D1551" s="39"/>
      <c r="E1551" s="39"/>
    </row>
    <row r="1552" spans="1:5" ht="15.6">
      <c r="A1552">
        <v>1497</v>
      </c>
      <c r="B1552" s="166">
        <v>136.50518714005571</v>
      </c>
      <c r="D1552" s="39"/>
      <c r="E1552" s="39"/>
    </row>
    <row r="1553" spans="1:5" ht="15.6">
      <c r="A1553">
        <v>1498</v>
      </c>
      <c r="B1553" s="166">
        <v>135.79857790877972</v>
      </c>
      <c r="D1553" s="39"/>
      <c r="E1553" s="39"/>
    </row>
    <row r="1554" spans="1:5" ht="15.6">
      <c r="A1554">
        <v>1499</v>
      </c>
      <c r="B1554" s="166">
        <v>122.83253668247303</v>
      </c>
      <c r="D1554" s="39"/>
      <c r="E1554" s="39"/>
    </row>
    <row r="1555" spans="1:5" ht="15.6">
      <c r="A1555">
        <v>1500</v>
      </c>
      <c r="B1555" s="166">
        <v>98.259708896466734</v>
      </c>
      <c r="D1555" s="39"/>
      <c r="E1555" s="39"/>
    </row>
    <row r="1556" spans="1:5" ht="15.6">
      <c r="A1556">
        <v>1501</v>
      </c>
      <c r="B1556" s="166">
        <v>59.436405250103824</v>
      </c>
      <c r="D1556" s="39"/>
      <c r="E1556" s="39"/>
    </row>
    <row r="1557" spans="1:5" ht="15.6">
      <c r="A1557">
        <v>1502</v>
      </c>
      <c r="B1557" s="166">
        <v>160.23364644421639</v>
      </c>
      <c r="D1557" s="39"/>
      <c r="E1557" s="39"/>
    </row>
    <row r="1558" spans="1:5" ht="15.6">
      <c r="A1558">
        <v>1503</v>
      </c>
      <c r="B1558" s="166">
        <v>78.400619087945117</v>
      </c>
      <c r="D1558" s="39"/>
      <c r="E1558" s="39"/>
    </row>
    <row r="1559" spans="1:5" ht="15.6">
      <c r="A1559">
        <v>1504</v>
      </c>
      <c r="B1559" s="166">
        <v>93.895387047480753</v>
      </c>
      <c r="D1559" s="39"/>
      <c r="E1559" s="39"/>
    </row>
    <row r="1560" spans="1:5" ht="15.6">
      <c r="A1560">
        <v>1505</v>
      </c>
      <c r="B1560" s="166">
        <v>141.45074763743193</v>
      </c>
      <c r="D1560" s="39"/>
      <c r="E1560" s="39"/>
    </row>
    <row r="1561" spans="1:5" ht="15.6">
      <c r="A1561">
        <v>1506</v>
      </c>
      <c r="B1561" s="166">
        <v>80.419352947780226</v>
      </c>
      <c r="D1561" s="39"/>
      <c r="E1561" s="39"/>
    </row>
    <row r="1562" spans="1:5" ht="15.6">
      <c r="A1562">
        <v>1507</v>
      </c>
      <c r="B1562" s="166">
        <v>61.29137522775909</v>
      </c>
      <c r="D1562" s="39"/>
      <c r="E1562" s="39"/>
    </row>
    <row r="1563" spans="1:5" ht="15.6">
      <c r="A1563">
        <v>1508</v>
      </c>
      <c r="B1563" s="166">
        <v>50.204458522799385</v>
      </c>
      <c r="D1563" s="39"/>
      <c r="E1563" s="39"/>
    </row>
    <row r="1564" spans="1:5" ht="15.6">
      <c r="A1564">
        <v>1509</v>
      </c>
      <c r="B1564" s="166">
        <v>72.786856333596972</v>
      </c>
      <c r="D1564" s="39"/>
      <c r="E1564" s="39"/>
    </row>
    <row r="1565" spans="1:5" ht="15.6">
      <c r="A1565">
        <v>1510</v>
      </c>
      <c r="B1565" s="166">
        <v>244.61648095575711</v>
      </c>
      <c r="D1565" s="39"/>
      <c r="E1565" s="39"/>
    </row>
    <row r="1566" spans="1:5" ht="15.6">
      <c r="A1566">
        <v>1511</v>
      </c>
      <c r="B1566" s="166">
        <v>152.99120750350795</v>
      </c>
      <c r="D1566" s="39"/>
      <c r="E1566" s="39"/>
    </row>
    <row r="1567" spans="1:5" ht="15.6">
      <c r="A1567">
        <v>1512</v>
      </c>
      <c r="B1567" s="166">
        <v>106.07002864801358</v>
      </c>
      <c r="D1567" s="39"/>
      <c r="E1567" s="39"/>
    </row>
    <row r="1568" spans="1:5" ht="15.6">
      <c r="A1568">
        <v>1513</v>
      </c>
      <c r="B1568" s="166">
        <v>55.650756334566452</v>
      </c>
      <c r="D1568" s="39"/>
      <c r="E1568" s="39"/>
    </row>
    <row r="1569" spans="1:5" ht="15.6">
      <c r="A1569">
        <v>1514</v>
      </c>
      <c r="B1569" s="166">
        <v>167.89723382400194</v>
      </c>
      <c r="D1569" s="39"/>
      <c r="E1569" s="39"/>
    </row>
    <row r="1570" spans="1:5" ht="15.6">
      <c r="A1570">
        <v>1515</v>
      </c>
      <c r="B1570" s="166">
        <v>75.693118754048456</v>
      </c>
      <c r="D1570" s="39"/>
      <c r="E1570" s="39"/>
    </row>
    <row r="1571" spans="1:5" ht="15.6">
      <c r="A1571">
        <v>1516</v>
      </c>
      <c r="B1571" s="166">
        <v>68.258508856642564</v>
      </c>
      <c r="D1571" s="39"/>
      <c r="E1571" s="39"/>
    </row>
    <row r="1572" spans="1:5" ht="15.6">
      <c r="A1572">
        <v>1517</v>
      </c>
      <c r="B1572" s="166">
        <v>81.531701911376828</v>
      </c>
      <c r="D1572" s="39"/>
      <c r="E1572" s="39"/>
    </row>
    <row r="1573" spans="1:5" ht="15.6">
      <c r="A1573">
        <v>1518</v>
      </c>
      <c r="B1573" s="166">
        <v>79.67333143095253</v>
      </c>
      <c r="D1573" s="39"/>
      <c r="E1573" s="39"/>
    </row>
    <row r="1574" spans="1:5" ht="15.6">
      <c r="A1574">
        <v>1519</v>
      </c>
      <c r="B1574" s="166">
        <v>124.3247116690961</v>
      </c>
      <c r="D1574" s="39"/>
      <c r="E1574" s="39"/>
    </row>
    <row r="1575" spans="1:5" ht="15.6">
      <c r="A1575">
        <v>1520</v>
      </c>
      <c r="B1575" s="166">
        <v>84.758513503946233</v>
      </c>
      <c r="D1575" s="39"/>
      <c r="E1575" s="39"/>
    </row>
    <row r="1576" spans="1:5" ht="15.6">
      <c r="A1576">
        <v>1521</v>
      </c>
      <c r="B1576" s="166">
        <v>120.36107041710441</v>
      </c>
      <c r="D1576" s="39"/>
      <c r="E1576" s="39"/>
    </row>
    <row r="1577" spans="1:5" ht="15.6">
      <c r="A1577">
        <v>1522</v>
      </c>
      <c r="B1577" s="166">
        <v>211.33025598791053</v>
      </c>
      <c r="D1577" s="39"/>
      <c r="E1577" s="39"/>
    </row>
    <row r="1578" spans="1:5" ht="15.6">
      <c r="A1578">
        <v>1523</v>
      </c>
      <c r="B1578" s="166">
        <v>62.791844861182248</v>
      </c>
      <c r="D1578" s="39"/>
      <c r="E1578" s="39"/>
    </row>
    <row r="1579" spans="1:5" ht="15.6">
      <c r="A1579">
        <v>1524</v>
      </c>
      <c r="B1579" s="166">
        <v>169.74097184050012</v>
      </c>
      <c r="D1579" s="39"/>
      <c r="E1579" s="39"/>
    </row>
    <row r="1580" spans="1:5" ht="15.6">
      <c r="A1580">
        <v>1525</v>
      </c>
      <c r="B1580" s="166">
        <v>159.5912792389382</v>
      </c>
      <c r="D1580" s="39"/>
      <c r="E1580" s="39"/>
    </row>
    <row r="1581" spans="1:5" ht="15.6">
      <c r="A1581">
        <v>1526</v>
      </c>
      <c r="B1581" s="166">
        <v>56.615612864457468</v>
      </c>
      <c r="D1581" s="39"/>
      <c r="E1581" s="39"/>
    </row>
    <row r="1582" spans="1:5" ht="15.6">
      <c r="A1582">
        <v>1527</v>
      </c>
      <c r="B1582" s="166">
        <v>104.15582066206719</v>
      </c>
      <c r="D1582" s="39"/>
      <c r="E1582" s="39"/>
    </row>
    <row r="1583" spans="1:5" ht="15.6">
      <c r="A1583">
        <v>1528</v>
      </c>
      <c r="B1583" s="166">
        <v>147.24107036872934</v>
      </c>
      <c r="D1583" s="39"/>
      <c r="E1583" s="39"/>
    </row>
    <row r="1584" spans="1:5" ht="15.6">
      <c r="A1584">
        <v>1529</v>
      </c>
      <c r="B1584" s="166">
        <v>80.296061405583487</v>
      </c>
      <c r="D1584" s="39"/>
      <c r="E1584" s="39"/>
    </row>
    <row r="1585" spans="1:5" ht="15.6">
      <c r="A1585">
        <v>1530</v>
      </c>
      <c r="B1585" s="166">
        <v>49.166238406696365</v>
      </c>
      <c r="D1585" s="39"/>
      <c r="E1585" s="39"/>
    </row>
    <row r="1586" spans="1:5" ht="15.6">
      <c r="A1586">
        <v>1531</v>
      </c>
      <c r="B1586" s="166">
        <v>89.631017333943774</v>
      </c>
      <c r="D1586" s="39"/>
      <c r="E1586" s="39"/>
    </row>
    <row r="1587" spans="1:5" ht="15.6">
      <c r="A1587">
        <v>1532</v>
      </c>
      <c r="B1587" s="166">
        <v>167.88440355605402</v>
      </c>
      <c r="D1587" s="39"/>
      <c r="E1587" s="39"/>
    </row>
    <row r="1588" spans="1:5" ht="15.6">
      <c r="A1588">
        <v>1533</v>
      </c>
      <c r="B1588" s="166">
        <v>85.795849525387979</v>
      </c>
      <c r="D1588" s="39"/>
      <c r="E1588" s="39"/>
    </row>
    <row r="1589" spans="1:5" ht="15.6">
      <c r="A1589">
        <v>1534</v>
      </c>
      <c r="B1589" s="166">
        <v>96.763654006547611</v>
      </c>
      <c r="D1589" s="39"/>
      <c r="E1589" s="39"/>
    </row>
    <row r="1590" spans="1:5" ht="15.6">
      <c r="A1590">
        <v>1535</v>
      </c>
      <c r="B1590" s="166">
        <v>71.282797549289299</v>
      </c>
      <c r="D1590" s="39"/>
      <c r="E1590" s="39"/>
    </row>
    <row r="1591" spans="1:5" ht="15.6">
      <c r="A1591">
        <v>1536</v>
      </c>
      <c r="B1591" s="166">
        <v>85.627807287775042</v>
      </c>
      <c r="D1591" s="39"/>
      <c r="E1591" s="39"/>
    </row>
    <row r="1592" spans="1:5" ht="15.6">
      <c r="A1592">
        <v>1537</v>
      </c>
      <c r="B1592" s="166">
        <v>78.642886650482552</v>
      </c>
      <c r="D1592" s="39"/>
      <c r="E1592" s="39"/>
    </row>
    <row r="1593" spans="1:5" ht="15.6">
      <c r="A1593">
        <v>1538</v>
      </c>
      <c r="B1593" s="166">
        <v>105.1422611471059</v>
      </c>
      <c r="D1593" s="39"/>
      <c r="E1593" s="39"/>
    </row>
    <row r="1594" spans="1:5" ht="15.6">
      <c r="A1594">
        <v>1539</v>
      </c>
      <c r="B1594" s="166">
        <v>67.183977222769485</v>
      </c>
      <c r="D1594" s="39"/>
      <c r="E1594" s="39"/>
    </row>
    <row r="1595" spans="1:5" ht="15.6">
      <c r="A1595">
        <v>1540</v>
      </c>
      <c r="B1595" s="166">
        <v>174.64966048180011</v>
      </c>
      <c r="D1595" s="39"/>
      <c r="E1595" s="39"/>
    </row>
    <row r="1596" spans="1:5" ht="15.6">
      <c r="A1596">
        <v>1541</v>
      </c>
      <c r="B1596" s="166">
        <v>129.67761831708782</v>
      </c>
      <c r="D1596" s="39"/>
      <c r="E1596" s="39"/>
    </row>
    <row r="1597" spans="1:5" ht="15.6">
      <c r="A1597">
        <v>1542</v>
      </c>
      <c r="B1597" s="166">
        <v>135.70518249691801</v>
      </c>
      <c r="D1597" s="39"/>
      <c r="E1597" s="39"/>
    </row>
    <row r="1598" spans="1:5" ht="15.6">
      <c r="A1598">
        <v>1543</v>
      </c>
      <c r="B1598" s="166">
        <v>119.40443047897021</v>
      </c>
      <c r="D1598" s="39"/>
      <c r="E1598" s="39"/>
    </row>
    <row r="1599" spans="1:5" ht="15.6">
      <c r="A1599">
        <v>1544</v>
      </c>
      <c r="B1599" s="166">
        <v>170.18368004764193</v>
      </c>
      <c r="D1599" s="39"/>
      <c r="E1599" s="39"/>
    </row>
    <row r="1600" spans="1:5" ht="15.6">
      <c r="A1600">
        <v>1545</v>
      </c>
      <c r="B1600" s="166">
        <v>94.317575648970589</v>
      </c>
      <c r="D1600" s="39"/>
      <c r="E1600" s="39"/>
    </row>
    <row r="1601" spans="1:5" ht="15.6">
      <c r="A1601">
        <v>1546</v>
      </c>
      <c r="B1601" s="166">
        <v>113.21476932953472</v>
      </c>
      <c r="D1601" s="39"/>
      <c r="E1601" s="39"/>
    </row>
    <row r="1602" spans="1:5" ht="15.6">
      <c r="A1602">
        <v>1547</v>
      </c>
      <c r="B1602" s="166">
        <v>55.092378438320701</v>
      </c>
      <c r="D1602" s="39"/>
      <c r="E1602" s="39"/>
    </row>
    <row r="1603" spans="1:5" ht="15.6">
      <c r="A1603">
        <v>1548</v>
      </c>
      <c r="B1603" s="166">
        <v>105.99481933495517</v>
      </c>
      <c r="D1603" s="39"/>
      <c r="E1603" s="39"/>
    </row>
    <row r="1604" spans="1:5" ht="15.6">
      <c r="A1604">
        <v>1549</v>
      </c>
      <c r="B1604" s="166">
        <v>167.04139288405713</v>
      </c>
      <c r="D1604" s="39"/>
      <c r="E1604" s="39"/>
    </row>
    <row r="1605" spans="1:5" ht="15.6">
      <c r="A1605">
        <v>1550</v>
      </c>
      <c r="B1605" s="166">
        <v>119.91448881073283</v>
      </c>
      <c r="D1605" s="39"/>
      <c r="E1605" s="39"/>
    </row>
    <row r="1606" spans="1:5" ht="15.6">
      <c r="A1606">
        <v>1551</v>
      </c>
      <c r="B1606" s="166">
        <v>162.41964364717703</v>
      </c>
      <c r="D1606" s="39"/>
      <c r="E1606" s="39"/>
    </row>
    <row r="1607" spans="1:5" ht="15.6">
      <c r="A1607">
        <v>1552</v>
      </c>
      <c r="B1607" s="166">
        <v>108.26731182632146</v>
      </c>
      <c r="D1607" s="39"/>
      <c r="E1607" s="39"/>
    </row>
    <row r="1608" spans="1:5" ht="15.6">
      <c r="A1608">
        <v>1553</v>
      </c>
      <c r="B1608" s="166">
        <v>75.363851959743656</v>
      </c>
      <c r="D1608" s="39"/>
      <c r="E1608" s="39"/>
    </row>
    <row r="1609" spans="1:5" ht="15.6">
      <c r="A1609">
        <v>1554</v>
      </c>
      <c r="B1609" s="166">
        <v>101.58790908462286</v>
      </c>
      <c r="D1609" s="39"/>
      <c r="E1609" s="39"/>
    </row>
    <row r="1610" spans="1:5" ht="15.6">
      <c r="A1610">
        <v>1555</v>
      </c>
      <c r="B1610" s="166">
        <v>191.16890649733759</v>
      </c>
      <c r="D1610" s="39"/>
      <c r="E1610" s="39"/>
    </row>
    <row r="1611" spans="1:5" ht="15.6">
      <c r="A1611">
        <v>1556</v>
      </c>
      <c r="B1611" s="166">
        <v>104.8128793241082</v>
      </c>
      <c r="D1611" s="39"/>
      <c r="E1611" s="39"/>
    </row>
    <row r="1612" spans="1:5" ht="15.6">
      <c r="A1612">
        <v>1557</v>
      </c>
      <c r="B1612" s="166">
        <v>118.54221242635947</v>
      </c>
      <c r="D1612" s="39"/>
      <c r="E1612" s="39"/>
    </row>
    <row r="1613" spans="1:5" ht="15.6">
      <c r="A1613">
        <v>1558</v>
      </c>
      <c r="B1613" s="166">
        <v>110.74251004927072</v>
      </c>
      <c r="D1613" s="39"/>
      <c r="E1613" s="39"/>
    </row>
    <row r="1614" spans="1:5" ht="15.6">
      <c r="A1614">
        <v>1559</v>
      </c>
      <c r="B1614" s="166">
        <v>60.527129595610887</v>
      </c>
      <c r="D1614" s="39"/>
      <c r="E1614" s="39"/>
    </row>
    <row r="1615" spans="1:5" ht="15.6">
      <c r="A1615">
        <v>1560</v>
      </c>
      <c r="B1615" s="166">
        <v>170.30913989761072</v>
      </c>
      <c r="D1615" s="39"/>
      <c r="E1615" s="39"/>
    </row>
    <row r="1616" spans="1:5" ht="15.6">
      <c r="A1616">
        <v>1561</v>
      </c>
      <c r="B1616" s="166">
        <v>122.07280340430512</v>
      </c>
      <c r="D1616" s="39"/>
      <c r="E1616" s="39"/>
    </row>
    <row r="1617" spans="1:5" ht="15.6">
      <c r="A1617">
        <v>1562</v>
      </c>
      <c r="B1617" s="166">
        <v>64.119651787377038</v>
      </c>
      <c r="D1617" s="39"/>
      <c r="E1617" s="39"/>
    </row>
    <row r="1618" spans="1:5" ht="15.6">
      <c r="A1618">
        <v>1563</v>
      </c>
      <c r="B1618" s="166">
        <v>119.49684602872264</v>
      </c>
      <c r="D1618" s="39"/>
      <c r="E1618" s="39"/>
    </row>
    <row r="1619" spans="1:5" ht="15.6">
      <c r="A1619">
        <v>1564</v>
      </c>
      <c r="B1619" s="166">
        <v>83.856333023460977</v>
      </c>
      <c r="D1619" s="39"/>
      <c r="E1619" s="39"/>
    </row>
    <row r="1620" spans="1:5" ht="15.6">
      <c r="A1620">
        <v>1565</v>
      </c>
      <c r="B1620" s="166">
        <v>111.800898284871</v>
      </c>
      <c r="D1620" s="39"/>
      <c r="E1620" s="39"/>
    </row>
    <row r="1621" spans="1:5" ht="15.6">
      <c r="A1621">
        <v>1566</v>
      </c>
      <c r="B1621" s="166">
        <v>183.49805186955626</v>
      </c>
      <c r="D1621" s="39"/>
      <c r="E1621" s="39"/>
    </row>
    <row r="1622" spans="1:5" ht="15.6">
      <c r="A1622">
        <v>1567</v>
      </c>
      <c r="B1622" s="166">
        <v>116.40552193489206</v>
      </c>
      <c r="D1622" s="39"/>
      <c r="E1622" s="39"/>
    </row>
    <row r="1623" spans="1:5" ht="15.6">
      <c r="A1623">
        <v>1568</v>
      </c>
      <c r="B1623" s="166">
        <v>146.60913324066792</v>
      </c>
      <c r="D1623" s="39"/>
      <c r="E1623" s="39"/>
    </row>
    <row r="1624" spans="1:5" ht="15.6">
      <c r="A1624">
        <v>1569</v>
      </c>
      <c r="B1624" s="166">
        <v>131.06014556441119</v>
      </c>
      <c r="D1624" s="39"/>
      <c r="E1624" s="39"/>
    </row>
    <row r="1625" spans="1:5" ht="15.6">
      <c r="A1625">
        <v>1570</v>
      </c>
      <c r="B1625" s="166">
        <v>81.121981724253544</v>
      </c>
      <c r="D1625" s="39"/>
      <c r="E1625" s="39"/>
    </row>
    <row r="1626" spans="1:5" ht="15.6">
      <c r="A1626">
        <v>1571</v>
      </c>
      <c r="B1626" s="166">
        <v>164.33316092075916</v>
      </c>
      <c r="D1626" s="39"/>
      <c r="E1626" s="39"/>
    </row>
    <row r="1627" spans="1:5" ht="15.6">
      <c r="A1627">
        <v>1572</v>
      </c>
      <c r="B1627" s="166">
        <v>48.848178079035932</v>
      </c>
      <c r="D1627" s="39"/>
      <c r="E1627" s="39"/>
    </row>
    <row r="1628" spans="1:5" ht="15.6">
      <c r="A1628">
        <v>1573</v>
      </c>
      <c r="B1628" s="166">
        <v>145.51050955506159</v>
      </c>
      <c r="D1628" s="39"/>
      <c r="E1628" s="39"/>
    </row>
    <row r="1629" spans="1:5" ht="15.6">
      <c r="A1629">
        <v>1574</v>
      </c>
      <c r="B1629" s="166">
        <v>66.913967219074038</v>
      </c>
      <c r="D1629" s="39"/>
      <c r="E1629" s="39"/>
    </row>
    <row r="1630" spans="1:5" ht="15.6">
      <c r="A1630">
        <v>1575</v>
      </c>
      <c r="B1630" s="166">
        <v>73.825053903511716</v>
      </c>
      <c r="D1630" s="39"/>
      <c r="E1630" s="39"/>
    </row>
    <row r="1631" spans="1:5" ht="15.6">
      <c r="A1631">
        <v>1576</v>
      </c>
      <c r="B1631" s="166">
        <v>109.70225608359395</v>
      </c>
      <c r="D1631" s="39"/>
      <c r="E1631" s="39"/>
    </row>
    <row r="1632" spans="1:5" ht="15.6">
      <c r="A1632">
        <v>1577</v>
      </c>
      <c r="B1632" s="166">
        <v>69.888806262700427</v>
      </c>
      <c r="D1632" s="39"/>
      <c r="E1632" s="39"/>
    </row>
    <row r="1633" spans="1:5" ht="15.6">
      <c r="A1633">
        <v>1578</v>
      </c>
      <c r="B1633" s="166">
        <v>114.13776265354279</v>
      </c>
      <c r="D1633" s="39"/>
      <c r="E1633" s="39"/>
    </row>
    <row r="1634" spans="1:5" ht="15.6">
      <c r="A1634">
        <v>1579</v>
      </c>
      <c r="B1634" s="166">
        <v>78.662042061490567</v>
      </c>
      <c r="D1634" s="39"/>
      <c r="E1634" s="39"/>
    </row>
    <row r="1635" spans="1:5" ht="15.6">
      <c r="A1635">
        <v>1580</v>
      </c>
      <c r="B1635" s="166">
        <v>90.187745322078484</v>
      </c>
      <c r="D1635" s="39"/>
      <c r="E1635" s="39"/>
    </row>
    <row r="1636" spans="1:5" ht="15.6">
      <c r="A1636">
        <v>1581</v>
      </c>
      <c r="B1636" s="166">
        <v>189.09058297435448</v>
      </c>
      <c r="D1636" s="39"/>
      <c r="E1636" s="39"/>
    </row>
    <row r="1637" spans="1:5" ht="15.6">
      <c r="A1637">
        <v>1582</v>
      </c>
      <c r="B1637" s="166">
        <v>168.15354776635166</v>
      </c>
      <c r="D1637" s="39"/>
      <c r="E1637" s="39"/>
    </row>
    <row r="1638" spans="1:5" ht="15.6">
      <c r="A1638">
        <v>1583</v>
      </c>
      <c r="B1638" s="166">
        <v>128.07048960184218</v>
      </c>
      <c r="D1638" s="39"/>
      <c r="E1638" s="39"/>
    </row>
    <row r="1639" spans="1:5" ht="15.6">
      <c r="A1639">
        <v>1584</v>
      </c>
      <c r="B1639" s="166">
        <v>122.13741364111833</v>
      </c>
      <c r="D1639" s="39"/>
      <c r="E1639" s="39"/>
    </row>
    <row r="1640" spans="1:5" ht="15.6">
      <c r="A1640">
        <v>1585</v>
      </c>
      <c r="B1640" s="166">
        <v>129.61210814020882</v>
      </c>
      <c r="D1640" s="39"/>
      <c r="E1640" s="39"/>
    </row>
    <row r="1641" spans="1:5" ht="15.6">
      <c r="A1641">
        <v>1586</v>
      </c>
      <c r="B1641" s="166">
        <v>151.10260118987648</v>
      </c>
      <c r="D1641" s="39"/>
      <c r="E1641" s="39"/>
    </row>
    <row r="1642" spans="1:5" ht="15.6">
      <c r="A1642">
        <v>1587</v>
      </c>
      <c r="B1642" s="166">
        <v>119.06066880593403</v>
      </c>
      <c r="D1642" s="39"/>
      <c r="E1642" s="39"/>
    </row>
    <row r="1643" spans="1:5" ht="15.6">
      <c r="A1643">
        <v>1588</v>
      </c>
      <c r="B1643" s="166">
        <v>81.839185798910023</v>
      </c>
      <c r="D1643" s="39"/>
      <c r="E1643" s="39"/>
    </row>
    <row r="1644" spans="1:5" ht="15.6">
      <c r="A1644">
        <v>1589</v>
      </c>
      <c r="B1644" s="166">
        <v>91.534029123671843</v>
      </c>
      <c r="D1644" s="39"/>
      <c r="E1644" s="39"/>
    </row>
    <row r="1645" spans="1:5" ht="15.6">
      <c r="A1645">
        <v>1590</v>
      </c>
      <c r="B1645" s="166">
        <v>71.862586124805219</v>
      </c>
      <c r="D1645" s="39"/>
      <c r="E1645" s="39"/>
    </row>
    <row r="1646" spans="1:5" ht="15.6">
      <c r="A1646">
        <v>1591</v>
      </c>
      <c r="B1646" s="166">
        <v>74.786273135437895</v>
      </c>
      <c r="D1646" s="39"/>
      <c r="E1646" s="39"/>
    </row>
    <row r="1647" spans="1:5" ht="15.6">
      <c r="A1647">
        <v>1592</v>
      </c>
      <c r="B1647" s="166">
        <v>143.21990425051482</v>
      </c>
      <c r="D1647" s="39"/>
      <c r="E1647" s="39"/>
    </row>
    <row r="1648" spans="1:5" ht="15.6">
      <c r="A1648">
        <v>1593</v>
      </c>
      <c r="B1648" s="166">
        <v>64.442464265211171</v>
      </c>
      <c r="D1648" s="39"/>
      <c r="E1648" s="39"/>
    </row>
    <row r="1649" spans="1:5" ht="15.6">
      <c r="A1649">
        <v>1594</v>
      </c>
      <c r="B1649" s="166">
        <v>114.20055099058567</v>
      </c>
      <c r="D1649" s="39"/>
      <c r="E1649" s="39"/>
    </row>
    <row r="1650" spans="1:5" ht="15.6">
      <c r="A1650">
        <v>1595</v>
      </c>
      <c r="B1650" s="166">
        <v>103.13968107056101</v>
      </c>
      <c r="D1650" s="39"/>
      <c r="E1650" s="39"/>
    </row>
    <row r="1651" spans="1:5" ht="15.6">
      <c r="A1651">
        <v>1596</v>
      </c>
      <c r="B1651" s="166">
        <v>101.08793973506521</v>
      </c>
      <c r="D1651" s="39"/>
      <c r="E1651" s="39"/>
    </row>
    <row r="1652" spans="1:5" ht="15.6">
      <c r="A1652">
        <v>1597</v>
      </c>
      <c r="B1652" s="166">
        <v>96.619116582715606</v>
      </c>
      <c r="D1652" s="39"/>
      <c r="E1652" s="39"/>
    </row>
    <row r="1653" spans="1:5" ht="15.6">
      <c r="A1653">
        <v>1598</v>
      </c>
      <c r="B1653" s="166">
        <v>102.93689566864784</v>
      </c>
      <c r="D1653" s="39"/>
      <c r="E1653" s="39"/>
    </row>
    <row r="1654" spans="1:5" ht="15.6">
      <c r="A1654">
        <v>1599</v>
      </c>
      <c r="B1654" s="166">
        <v>186.20246719181867</v>
      </c>
      <c r="D1654" s="39"/>
      <c r="E1654" s="39"/>
    </row>
    <row r="1655" spans="1:5" ht="15.6">
      <c r="A1655">
        <v>1600</v>
      </c>
      <c r="B1655" s="166">
        <v>69.44357727531991</v>
      </c>
      <c r="D1655" s="39"/>
      <c r="E1655" s="39"/>
    </row>
    <row r="1656" spans="1:5" ht="15.6">
      <c r="A1656">
        <v>1601</v>
      </c>
      <c r="B1656" s="166">
        <v>89.228172629065142</v>
      </c>
      <c r="D1656" s="39"/>
      <c r="E1656" s="39"/>
    </row>
    <row r="1657" spans="1:5" ht="15.6">
      <c r="A1657">
        <v>1602</v>
      </c>
      <c r="B1657" s="166">
        <v>104.5579554453886</v>
      </c>
      <c r="D1657" s="39"/>
      <c r="E1657" s="39"/>
    </row>
    <row r="1658" spans="1:5" ht="15.6">
      <c r="A1658">
        <v>1603</v>
      </c>
      <c r="B1658" s="166">
        <v>104.96414627374476</v>
      </c>
      <c r="D1658" s="39"/>
      <c r="E1658" s="39"/>
    </row>
    <row r="1659" spans="1:5" ht="15.6">
      <c r="A1659">
        <v>1604</v>
      </c>
      <c r="B1659" s="166">
        <v>74.566790654313181</v>
      </c>
      <c r="D1659" s="39"/>
      <c r="E1659" s="39"/>
    </row>
    <row r="1660" spans="1:5" ht="15.6">
      <c r="A1660">
        <v>1605</v>
      </c>
      <c r="B1660" s="166">
        <v>117.68298328985783</v>
      </c>
      <c r="D1660" s="39"/>
      <c r="E1660" s="39"/>
    </row>
    <row r="1661" spans="1:5" ht="15.6">
      <c r="A1661">
        <v>1606</v>
      </c>
      <c r="B1661" s="166">
        <v>90.357111456501599</v>
      </c>
      <c r="D1661" s="39"/>
      <c r="E1661" s="39"/>
    </row>
    <row r="1662" spans="1:5" ht="15.6">
      <c r="A1662">
        <v>1607</v>
      </c>
      <c r="B1662" s="166">
        <v>132.88398783959269</v>
      </c>
      <c r="D1662" s="39"/>
      <c r="E1662" s="39"/>
    </row>
    <row r="1663" spans="1:5" ht="15.6">
      <c r="A1663">
        <v>1608</v>
      </c>
      <c r="B1663" s="166">
        <v>89.351519897042081</v>
      </c>
      <c r="D1663" s="39"/>
      <c r="E1663" s="39"/>
    </row>
    <row r="1664" spans="1:5" ht="15.6">
      <c r="A1664">
        <v>1609</v>
      </c>
      <c r="B1664" s="166">
        <v>77.272742226712879</v>
      </c>
      <c r="D1664" s="39"/>
      <c r="E1664" s="39"/>
    </row>
    <row r="1665" spans="1:5" ht="15.6">
      <c r="A1665">
        <v>1610</v>
      </c>
      <c r="B1665" s="166">
        <v>162.49795457879392</v>
      </c>
      <c r="D1665" s="39"/>
      <c r="E1665" s="39"/>
    </row>
    <row r="1666" spans="1:5" ht="15.6">
      <c r="A1666">
        <v>1611</v>
      </c>
      <c r="B1666" s="166">
        <v>169.4610654950464</v>
      </c>
      <c r="D1666" s="39"/>
      <c r="E1666" s="39"/>
    </row>
    <row r="1667" spans="1:5" ht="15.6">
      <c r="A1667">
        <v>1612</v>
      </c>
      <c r="B1667" s="166">
        <v>159.83530952366746</v>
      </c>
      <c r="D1667" s="39"/>
      <c r="E1667" s="39"/>
    </row>
    <row r="1668" spans="1:5" ht="15.6">
      <c r="A1668">
        <v>1613</v>
      </c>
      <c r="B1668" s="166">
        <v>119.91012194438244</v>
      </c>
      <c r="D1668" s="39"/>
      <c r="E1668" s="39"/>
    </row>
    <row r="1669" spans="1:5" ht="15.6">
      <c r="A1669">
        <v>1614</v>
      </c>
      <c r="B1669" s="166">
        <v>122.06586600408639</v>
      </c>
      <c r="D1669" s="39"/>
      <c r="E1669" s="39"/>
    </row>
    <row r="1670" spans="1:5" ht="15.6">
      <c r="A1670">
        <v>1615</v>
      </c>
      <c r="B1670" s="166">
        <v>121.42820559567623</v>
      </c>
      <c r="D1670" s="39"/>
      <c r="E1670" s="39"/>
    </row>
    <row r="1671" spans="1:5" ht="15.6">
      <c r="A1671">
        <v>1616</v>
      </c>
      <c r="B1671" s="166">
        <v>80.292295664833048</v>
      </c>
      <c r="D1671" s="39"/>
      <c r="E1671" s="39"/>
    </row>
    <row r="1672" spans="1:5" ht="15.6">
      <c r="A1672">
        <v>1617</v>
      </c>
      <c r="B1672" s="166">
        <v>161.42552833092893</v>
      </c>
      <c r="D1672" s="39"/>
      <c r="E1672" s="39"/>
    </row>
    <row r="1673" spans="1:5" ht="15.6">
      <c r="A1673">
        <v>1618</v>
      </c>
      <c r="B1673" s="166">
        <v>144.9579547919038</v>
      </c>
      <c r="D1673" s="39"/>
      <c r="E1673" s="39"/>
    </row>
    <row r="1674" spans="1:5" ht="15.6">
      <c r="A1674">
        <v>1619</v>
      </c>
      <c r="B1674" s="166">
        <v>125.42890113738035</v>
      </c>
      <c r="D1674" s="39"/>
      <c r="E1674" s="39"/>
    </row>
    <row r="1675" spans="1:5" ht="15.6">
      <c r="A1675">
        <v>1620</v>
      </c>
      <c r="B1675" s="166">
        <v>64.104243036061064</v>
      </c>
      <c r="D1675" s="39"/>
      <c r="E1675" s="39"/>
    </row>
    <row r="1676" spans="1:5" ht="15.6">
      <c r="A1676">
        <v>1621</v>
      </c>
      <c r="B1676" s="166">
        <v>91.167221647161625</v>
      </c>
      <c r="D1676" s="39"/>
      <c r="E1676" s="39"/>
    </row>
    <row r="1677" spans="1:5" ht="15.6">
      <c r="A1677">
        <v>1622</v>
      </c>
      <c r="B1677" s="166">
        <v>124.81959502470214</v>
      </c>
      <c r="D1677" s="39"/>
      <c r="E1677" s="39"/>
    </row>
    <row r="1678" spans="1:5" ht="15.6">
      <c r="A1678">
        <v>1623</v>
      </c>
      <c r="B1678" s="166">
        <v>110.86695983213892</v>
      </c>
      <c r="D1678" s="39"/>
      <c r="E1678" s="39"/>
    </row>
    <row r="1679" spans="1:5" ht="15.6">
      <c r="A1679">
        <v>1624</v>
      </c>
      <c r="B1679" s="166">
        <v>71.572103438905145</v>
      </c>
      <c r="D1679" s="39"/>
      <c r="E1679" s="39"/>
    </row>
    <row r="1680" spans="1:5" ht="15.6">
      <c r="A1680">
        <v>1625</v>
      </c>
      <c r="B1680" s="166">
        <v>74.947121443282427</v>
      </c>
      <c r="D1680" s="39"/>
      <c r="E1680" s="39"/>
    </row>
    <row r="1681" spans="1:5" ht="15.6">
      <c r="A1681">
        <v>1626</v>
      </c>
      <c r="B1681" s="166">
        <v>129.75507530513829</v>
      </c>
      <c r="D1681" s="39"/>
      <c r="E1681" s="39"/>
    </row>
    <row r="1682" spans="1:5" ht="15.6">
      <c r="A1682">
        <v>1627</v>
      </c>
      <c r="B1682" s="166">
        <v>282.94559007737837</v>
      </c>
      <c r="D1682" s="39"/>
      <c r="E1682" s="39"/>
    </row>
    <row r="1683" spans="1:5" ht="15.6">
      <c r="A1683">
        <v>1628</v>
      </c>
      <c r="B1683" s="166">
        <v>65.645115066752425</v>
      </c>
      <c r="D1683" s="39"/>
      <c r="E1683" s="39"/>
    </row>
    <row r="1684" spans="1:5" ht="15.6">
      <c r="A1684">
        <v>1629</v>
      </c>
      <c r="B1684" s="166">
        <v>112.43379835104362</v>
      </c>
      <c r="D1684" s="39"/>
      <c r="E1684" s="39"/>
    </row>
    <row r="1685" spans="1:5" ht="15.6">
      <c r="A1685">
        <v>1630</v>
      </c>
      <c r="B1685" s="166">
        <v>102.15532376858673</v>
      </c>
      <c r="D1685" s="39"/>
      <c r="E1685" s="39"/>
    </row>
    <row r="1686" spans="1:5" ht="15.6">
      <c r="A1686">
        <v>1631</v>
      </c>
      <c r="B1686" s="166">
        <v>233.83445393343837</v>
      </c>
      <c r="D1686" s="39"/>
      <c r="E1686" s="39"/>
    </row>
    <row r="1687" spans="1:5" ht="15.6">
      <c r="A1687">
        <v>1632</v>
      </c>
      <c r="B1687" s="166">
        <v>55.322388435042384</v>
      </c>
      <c r="D1687" s="39"/>
      <c r="E1687" s="39"/>
    </row>
    <row r="1688" spans="1:5" ht="15.6">
      <c r="A1688">
        <v>1633</v>
      </c>
      <c r="B1688" s="166">
        <v>79.476815071749257</v>
      </c>
      <c r="D1688" s="39"/>
      <c r="E1688" s="39"/>
    </row>
    <row r="1689" spans="1:5" ht="15.6">
      <c r="A1689">
        <v>1634</v>
      </c>
      <c r="B1689" s="166">
        <v>107.17251923711613</v>
      </c>
      <c r="D1689" s="39"/>
      <c r="E1689" s="39"/>
    </row>
    <row r="1690" spans="1:5" ht="15.6">
      <c r="A1690">
        <v>1635</v>
      </c>
      <c r="B1690" s="166">
        <v>68.325300512703038</v>
      </c>
      <c r="D1690" s="39"/>
      <c r="E1690" s="39"/>
    </row>
    <row r="1691" spans="1:5" ht="15.6">
      <c r="A1691">
        <v>1636</v>
      </c>
      <c r="B1691" s="166">
        <v>60.270416141454234</v>
      </c>
      <c r="D1691" s="39"/>
      <c r="E1691" s="39"/>
    </row>
    <row r="1692" spans="1:5" ht="15.6">
      <c r="A1692">
        <v>1637</v>
      </c>
      <c r="B1692" s="166">
        <v>72.859280420520975</v>
      </c>
      <c r="D1692" s="39"/>
      <c r="E1692" s="39"/>
    </row>
    <row r="1693" spans="1:5" ht="15.6">
      <c r="A1693">
        <v>1638</v>
      </c>
      <c r="B1693" s="166">
        <v>161.98788381618135</v>
      </c>
      <c r="D1693" s="39"/>
      <c r="E1693" s="39"/>
    </row>
    <row r="1694" spans="1:5" ht="15.6">
      <c r="A1694">
        <v>1639</v>
      </c>
      <c r="B1694" s="166">
        <v>48.751604954477685</v>
      </c>
      <c r="D1694" s="39"/>
      <c r="E1694" s="39"/>
    </row>
    <row r="1695" spans="1:5" ht="15.6">
      <c r="A1695">
        <v>1640</v>
      </c>
      <c r="B1695" s="166">
        <v>80.583295417330149</v>
      </c>
      <c r="D1695" s="39"/>
      <c r="E1695" s="39"/>
    </row>
    <row r="1696" spans="1:5" ht="15.6">
      <c r="A1696">
        <v>1641</v>
      </c>
      <c r="B1696" s="166">
        <v>90.272838461549526</v>
      </c>
      <c r="D1696" s="39"/>
      <c r="E1696" s="39"/>
    </row>
    <row r="1697" spans="1:5" ht="15.6">
      <c r="A1697">
        <v>1642</v>
      </c>
      <c r="B1697" s="166">
        <v>50.087958257541402</v>
      </c>
      <c r="D1697" s="39"/>
      <c r="E1697" s="39"/>
    </row>
    <row r="1698" spans="1:5" ht="15.6">
      <c r="A1698">
        <v>1643</v>
      </c>
      <c r="B1698" s="166">
        <v>132.95353423935447</v>
      </c>
      <c r="D1698" s="39"/>
      <c r="E1698" s="39"/>
    </row>
    <row r="1699" spans="1:5" ht="15.6">
      <c r="A1699">
        <v>1644</v>
      </c>
      <c r="B1699" s="166">
        <v>78.565193037638736</v>
      </c>
      <c r="D1699" s="39"/>
      <c r="E1699" s="39"/>
    </row>
    <row r="1700" spans="1:5" ht="15.6">
      <c r="A1700">
        <v>1645</v>
      </c>
      <c r="B1700" s="166">
        <v>161.33043474998405</v>
      </c>
      <c r="D1700" s="39"/>
      <c r="E1700" s="39"/>
    </row>
    <row r="1701" spans="1:5" ht="15.6">
      <c r="A1701">
        <v>1646</v>
      </c>
      <c r="B1701" s="166">
        <v>68.487149915030173</v>
      </c>
      <c r="D1701" s="39"/>
      <c r="E1701" s="39"/>
    </row>
    <row r="1702" spans="1:5" ht="15.6">
      <c r="A1702">
        <v>1647</v>
      </c>
      <c r="B1702" s="166">
        <v>98.225691224031578</v>
      </c>
      <c r="D1702" s="39"/>
      <c r="E1702" s="39"/>
    </row>
    <row r="1703" spans="1:5" ht="15.6">
      <c r="A1703">
        <v>1648</v>
      </c>
      <c r="B1703" s="166">
        <v>143.36619248089389</v>
      </c>
      <c r="D1703" s="39"/>
      <c r="E1703" s="39"/>
    </row>
    <row r="1704" spans="1:5" ht="15.6">
      <c r="A1704">
        <v>1649</v>
      </c>
      <c r="B1704" s="166">
        <v>120.33830550979118</v>
      </c>
      <c r="D1704" s="39"/>
      <c r="E1704" s="39"/>
    </row>
    <row r="1705" spans="1:5" ht="15.6">
      <c r="A1705">
        <v>1650</v>
      </c>
      <c r="B1705" s="166">
        <v>135.10176111554213</v>
      </c>
      <c r="D1705" s="39"/>
      <c r="E1705" s="39"/>
    </row>
    <row r="1706" spans="1:5" ht="15.6">
      <c r="A1706">
        <v>1651</v>
      </c>
      <c r="B1706" s="166">
        <v>102.43413300243206</v>
      </c>
      <c r="D1706" s="39"/>
      <c r="E1706" s="39"/>
    </row>
    <row r="1707" spans="1:5" ht="15.6">
      <c r="A1707">
        <v>1652</v>
      </c>
      <c r="B1707" s="166">
        <v>151.91959463166182</v>
      </c>
      <c r="D1707" s="39"/>
      <c r="E1707" s="39"/>
    </row>
    <row r="1708" spans="1:5" ht="15.6">
      <c r="A1708">
        <v>1653</v>
      </c>
      <c r="B1708" s="166">
        <v>165.3433136481718</v>
      </c>
      <c r="D1708" s="39"/>
      <c r="E1708" s="39"/>
    </row>
    <row r="1709" spans="1:5" ht="15.6">
      <c r="A1709">
        <v>1654</v>
      </c>
      <c r="B1709" s="166">
        <v>107.04738130746871</v>
      </c>
      <c r="D1709" s="39"/>
      <c r="E1709" s="39"/>
    </row>
    <row r="1710" spans="1:5" ht="15.6">
      <c r="A1710">
        <v>1655</v>
      </c>
      <c r="B1710" s="166">
        <v>158.97845507313647</v>
      </c>
      <c r="D1710" s="39"/>
      <c r="E1710" s="39"/>
    </row>
    <row r="1711" spans="1:5" ht="15.6">
      <c r="A1711">
        <v>1656</v>
      </c>
      <c r="B1711" s="166">
        <v>166.51851683228105</v>
      </c>
      <c r="D1711" s="39"/>
      <c r="E1711" s="39"/>
    </row>
    <row r="1712" spans="1:5" ht="15.6">
      <c r="A1712">
        <v>1657</v>
      </c>
      <c r="B1712" s="166">
        <v>139.84205878910814</v>
      </c>
      <c r="D1712" s="39"/>
      <c r="E1712" s="39"/>
    </row>
    <row r="1713" spans="1:5" ht="15.6">
      <c r="A1713">
        <v>1658</v>
      </c>
      <c r="B1713" s="166">
        <v>118.48654448762852</v>
      </c>
      <c r="D1713" s="39"/>
      <c r="E1713" s="39"/>
    </row>
    <row r="1714" spans="1:5" ht="15.6">
      <c r="A1714">
        <v>1659</v>
      </c>
      <c r="B1714" s="166">
        <v>153.81817139921634</v>
      </c>
      <c r="D1714" s="39"/>
      <c r="E1714" s="39"/>
    </row>
    <row r="1715" spans="1:5" ht="15.6">
      <c r="A1715">
        <v>1660</v>
      </c>
      <c r="B1715" s="166">
        <v>55.182919745649606</v>
      </c>
      <c r="D1715" s="39"/>
      <c r="E1715" s="39"/>
    </row>
    <row r="1716" spans="1:5" ht="15.6">
      <c r="A1716">
        <v>1661</v>
      </c>
      <c r="B1716" s="166">
        <v>161.28476386565822</v>
      </c>
      <c r="D1716" s="39"/>
      <c r="E1716" s="39"/>
    </row>
    <row r="1717" spans="1:5" ht="15.6">
      <c r="A1717">
        <v>1662</v>
      </c>
      <c r="B1717" s="166">
        <v>194.38459342520378</v>
      </c>
      <c r="D1717" s="39"/>
      <c r="E1717" s="39"/>
    </row>
    <row r="1718" spans="1:5" ht="15.6">
      <c r="A1718">
        <v>1663</v>
      </c>
      <c r="B1718" s="166">
        <v>60.298740483138801</v>
      </c>
      <c r="D1718" s="39"/>
      <c r="E1718" s="39"/>
    </row>
    <row r="1719" spans="1:5" ht="15.6">
      <c r="A1719">
        <v>1664</v>
      </c>
      <c r="B1719" s="166">
        <v>85.852175965656969</v>
      </c>
      <c r="D1719" s="39"/>
      <c r="E1719" s="39"/>
    </row>
    <row r="1720" spans="1:5" ht="15.6">
      <c r="A1720">
        <v>1665</v>
      </c>
      <c r="B1720" s="166">
        <v>155.2058249762085</v>
      </c>
      <c r="D1720" s="39"/>
      <c r="E1720" s="39"/>
    </row>
    <row r="1721" spans="1:5" ht="15.6">
      <c r="A1721">
        <v>1666</v>
      </c>
      <c r="B1721" s="166">
        <v>189.38261040936601</v>
      </c>
      <c r="D1721" s="39"/>
      <c r="E1721" s="39"/>
    </row>
    <row r="1722" spans="1:5" ht="15.6">
      <c r="A1722">
        <v>1667</v>
      </c>
      <c r="B1722" s="166">
        <v>88.031028422824008</v>
      </c>
      <c r="D1722" s="39"/>
      <c r="E1722" s="39"/>
    </row>
    <row r="1723" spans="1:5" ht="15.6">
      <c r="A1723">
        <v>1668</v>
      </c>
      <c r="B1723" s="166">
        <v>57.031275477055324</v>
      </c>
      <c r="D1723" s="39"/>
      <c r="E1723" s="39"/>
    </row>
    <row r="1724" spans="1:5" ht="15.6">
      <c r="A1724">
        <v>1669</v>
      </c>
      <c r="B1724" s="166">
        <v>92.018341134239066</v>
      </c>
      <c r="D1724" s="39"/>
      <c r="E1724" s="39"/>
    </row>
    <row r="1725" spans="1:5" ht="15.6">
      <c r="A1725">
        <v>1670</v>
      </c>
      <c r="B1725" s="166">
        <v>78.140110950589133</v>
      </c>
      <c r="D1725" s="39"/>
      <c r="E1725" s="39"/>
    </row>
    <row r="1726" spans="1:5" ht="15.6">
      <c r="A1726">
        <v>1671</v>
      </c>
      <c r="B1726" s="166">
        <v>135.15622095913434</v>
      </c>
      <c r="D1726" s="39"/>
      <c r="E1726" s="39"/>
    </row>
    <row r="1727" spans="1:5" ht="15.6">
      <c r="A1727">
        <v>1672</v>
      </c>
      <c r="B1727" s="166">
        <v>99.681175055835567</v>
      </c>
      <c r="D1727" s="39"/>
      <c r="E1727" s="39"/>
    </row>
    <row r="1728" spans="1:5" ht="15.6">
      <c r="A1728">
        <v>1673</v>
      </c>
      <c r="B1728" s="166">
        <v>66.284823913648239</v>
      </c>
      <c r="D1728" s="39"/>
      <c r="E1728" s="39"/>
    </row>
    <row r="1729" spans="1:5" ht="15.6">
      <c r="A1729">
        <v>1674</v>
      </c>
      <c r="B1729" s="166">
        <v>109.83305099223861</v>
      </c>
      <c r="D1729" s="39"/>
      <c r="E1729" s="39"/>
    </row>
    <row r="1730" spans="1:5" ht="15.6">
      <c r="A1730">
        <v>1675</v>
      </c>
      <c r="B1730" s="166">
        <v>116.85239945831464</v>
      </c>
      <c r="D1730" s="39"/>
      <c r="E1730" s="39"/>
    </row>
    <row r="1731" spans="1:5" ht="15.6">
      <c r="A1731">
        <v>1676</v>
      </c>
      <c r="B1731" s="166">
        <v>101.42735111742017</v>
      </c>
      <c r="D1731" s="39"/>
      <c r="E1731" s="39"/>
    </row>
    <row r="1732" spans="1:5" ht="15.6">
      <c r="A1732">
        <v>1677</v>
      </c>
      <c r="B1732" s="166">
        <v>124.20516094884772</v>
      </c>
      <c r="D1732" s="39"/>
      <c r="E1732" s="39"/>
    </row>
    <row r="1733" spans="1:5" ht="15.6">
      <c r="A1733">
        <v>1678</v>
      </c>
      <c r="B1733" s="166">
        <v>171.68090058704914</v>
      </c>
      <c r="D1733" s="39"/>
      <c r="E1733" s="39"/>
    </row>
    <row r="1734" spans="1:5" ht="15.6">
      <c r="A1734">
        <v>1679</v>
      </c>
      <c r="B1734" s="166">
        <v>179.48292790859338</v>
      </c>
      <c r="D1734" s="39"/>
      <c r="E1734" s="39"/>
    </row>
    <row r="1735" spans="1:5" ht="15.6">
      <c r="A1735">
        <v>1680</v>
      </c>
      <c r="B1735" s="166">
        <v>76.062941499000218</v>
      </c>
      <c r="D1735" s="39"/>
      <c r="E1735" s="39"/>
    </row>
    <row r="1736" spans="1:5" ht="15.6">
      <c r="A1736">
        <v>1681</v>
      </c>
      <c r="B1736" s="166">
        <v>146.87127929632061</v>
      </c>
      <c r="D1736" s="39"/>
      <c r="E1736" s="39"/>
    </row>
    <row r="1737" spans="1:5" ht="15.6">
      <c r="A1737">
        <v>1682</v>
      </c>
      <c r="B1737" s="166">
        <v>81.445148341754361</v>
      </c>
      <c r="D1737" s="39"/>
      <c r="E1737" s="39"/>
    </row>
    <row r="1738" spans="1:5" ht="15.6">
      <c r="A1738">
        <v>1683</v>
      </c>
      <c r="B1738" s="166">
        <v>75.398016510087757</v>
      </c>
      <c r="D1738" s="39"/>
      <c r="E1738" s="39"/>
    </row>
    <row r="1739" spans="1:5" ht="15.6">
      <c r="A1739">
        <v>1684</v>
      </c>
      <c r="B1739" s="166">
        <v>154.45959102542295</v>
      </c>
      <c r="D1739" s="39"/>
      <c r="E1739" s="39"/>
    </row>
    <row r="1740" spans="1:5" ht="15.6">
      <c r="A1740">
        <v>1685</v>
      </c>
      <c r="B1740" s="166">
        <v>59.366265954290419</v>
      </c>
      <c r="D1740" s="39"/>
      <c r="E1740" s="39"/>
    </row>
    <row r="1741" spans="1:5" ht="15.6">
      <c r="A1741">
        <v>1686</v>
      </c>
      <c r="B1741" s="166">
        <v>162.07295622128075</v>
      </c>
      <c r="D1741" s="39"/>
      <c r="E1741" s="39"/>
    </row>
    <row r="1742" spans="1:5" ht="15.6">
      <c r="A1742">
        <v>1687</v>
      </c>
      <c r="B1742" s="166">
        <v>106.74523631546357</v>
      </c>
      <c r="D1742" s="39"/>
      <c r="E1742" s="39"/>
    </row>
    <row r="1743" spans="1:5" ht="15.6">
      <c r="A1743">
        <v>1688</v>
      </c>
      <c r="B1743" s="166">
        <v>111.23500132717501</v>
      </c>
      <c r="D1743" s="39"/>
      <c r="E1743" s="39"/>
    </row>
    <row r="1744" spans="1:5" ht="15.6">
      <c r="A1744">
        <v>1689</v>
      </c>
      <c r="B1744" s="166">
        <v>150.19148355922863</v>
      </c>
      <c r="D1744" s="39"/>
      <c r="E1744" s="39"/>
    </row>
    <row r="1745" spans="1:5" ht="15.6">
      <c r="A1745">
        <v>1690</v>
      </c>
      <c r="B1745" s="166">
        <v>131.02164208912092</v>
      </c>
      <c r="D1745" s="39"/>
      <c r="E1745" s="39"/>
    </row>
    <row r="1746" spans="1:5" ht="15.6">
      <c r="A1746">
        <v>1691</v>
      </c>
      <c r="B1746" s="166">
        <v>58.356053683380516</v>
      </c>
      <c r="D1746" s="39"/>
      <c r="E1746" s="39"/>
    </row>
    <row r="1747" spans="1:5" ht="15.6">
      <c r="A1747">
        <v>1692</v>
      </c>
      <c r="B1747" s="166">
        <v>168.06965820648904</v>
      </c>
      <c r="D1747" s="39"/>
      <c r="E1747" s="39"/>
    </row>
    <row r="1748" spans="1:5" ht="15.6">
      <c r="A1748">
        <v>1693</v>
      </c>
      <c r="B1748" s="166">
        <v>170.28336160511981</v>
      </c>
      <c r="D1748" s="39"/>
      <c r="E1748" s="39"/>
    </row>
    <row r="1749" spans="1:5" ht="15.6">
      <c r="A1749">
        <v>1694</v>
      </c>
      <c r="B1749" s="166">
        <v>205.21044546042305</v>
      </c>
      <c r="D1749" s="39"/>
      <c r="E1749" s="39"/>
    </row>
    <row r="1750" spans="1:5" ht="15.6">
      <c r="A1750">
        <v>1695</v>
      </c>
      <c r="B1750" s="166">
        <v>109.54347400351267</v>
      </c>
      <c r="D1750" s="39"/>
      <c r="E1750" s="39"/>
    </row>
    <row r="1751" spans="1:5" ht="15.6">
      <c r="A1751">
        <v>1696</v>
      </c>
      <c r="B1751" s="166">
        <v>150.09884876699687</v>
      </c>
      <c r="D1751" s="39"/>
      <c r="E1751" s="39"/>
    </row>
    <row r="1752" spans="1:5" ht="15.6">
      <c r="A1752">
        <v>1697</v>
      </c>
      <c r="B1752" s="166">
        <v>76.994720006664437</v>
      </c>
      <c r="D1752" s="39"/>
      <c r="E1752" s="39"/>
    </row>
    <row r="1753" spans="1:5" ht="15.6">
      <c r="A1753">
        <v>1698</v>
      </c>
      <c r="B1753" s="166">
        <v>124.90718973723136</v>
      </c>
      <c r="D1753" s="39"/>
      <c r="E1753" s="39"/>
    </row>
    <row r="1754" spans="1:5" ht="15.6">
      <c r="A1754">
        <v>1699</v>
      </c>
      <c r="B1754" s="166">
        <v>122.33867820025526</v>
      </c>
      <c r="D1754" s="39"/>
      <c r="E1754" s="39"/>
    </row>
    <row r="1755" spans="1:5" ht="15.6">
      <c r="A1755">
        <v>1700</v>
      </c>
      <c r="B1755" s="166">
        <v>100.43256331199736</v>
      </c>
      <c r="D1755" s="39"/>
      <c r="E1755" s="39"/>
    </row>
    <row r="1756" spans="1:5" ht="15.6">
      <c r="A1756">
        <v>1701</v>
      </c>
      <c r="B1756" s="166">
        <v>78.731942584665006</v>
      </c>
      <c r="D1756" s="39"/>
      <c r="E1756" s="39"/>
    </row>
    <row r="1757" spans="1:5" ht="15.6">
      <c r="A1757">
        <v>1702</v>
      </c>
      <c r="B1757" s="166">
        <v>106.81601321606003</v>
      </c>
      <c r="D1757" s="39"/>
      <c r="E1757" s="39"/>
    </row>
    <row r="1758" spans="1:5" ht="15.6">
      <c r="A1758">
        <v>1703</v>
      </c>
      <c r="B1758" s="166">
        <v>93.866551623088</v>
      </c>
      <c r="D1758" s="39"/>
      <c r="E1758" s="39"/>
    </row>
    <row r="1759" spans="1:5" ht="15.6">
      <c r="A1759">
        <v>1704</v>
      </c>
      <c r="B1759" s="166">
        <v>139.45251112211903</v>
      </c>
      <c r="D1759" s="39"/>
      <c r="E1759" s="39"/>
    </row>
    <row r="1760" spans="1:5" ht="15.6">
      <c r="A1760">
        <v>1705</v>
      </c>
      <c r="B1760" s="166">
        <v>162.58126708304292</v>
      </c>
      <c r="D1760" s="39"/>
      <c r="E1760" s="39"/>
    </row>
    <row r="1761" spans="1:5" ht="15.6">
      <c r="A1761">
        <v>1706</v>
      </c>
      <c r="B1761" s="166">
        <v>117.04760864321773</v>
      </c>
      <c r="D1761" s="39"/>
      <c r="E1761" s="39"/>
    </row>
    <row r="1762" spans="1:5" ht="15.6">
      <c r="A1762">
        <v>1707</v>
      </c>
      <c r="B1762" s="166">
        <v>151.9304224990052</v>
      </c>
      <c r="D1762" s="39"/>
      <c r="E1762" s="39"/>
    </row>
    <row r="1763" spans="1:5" ht="15.6">
      <c r="A1763">
        <v>1708</v>
      </c>
      <c r="B1763" s="166">
        <v>142.31803487032215</v>
      </c>
      <c r="D1763" s="39"/>
      <c r="E1763" s="39"/>
    </row>
    <row r="1764" spans="1:5" ht="15.6">
      <c r="A1764">
        <v>1709</v>
      </c>
      <c r="B1764" s="166">
        <v>114.67156870371529</v>
      </c>
      <c r="D1764" s="39"/>
      <c r="E1764" s="39"/>
    </row>
    <row r="1765" spans="1:5" ht="15.6">
      <c r="A1765">
        <v>1710</v>
      </c>
      <c r="B1765" s="166">
        <v>102.48748725599847</v>
      </c>
      <c r="D1765" s="39"/>
      <c r="E1765" s="39"/>
    </row>
    <row r="1766" spans="1:5" ht="15.6">
      <c r="A1766">
        <v>1711</v>
      </c>
      <c r="B1766" s="166">
        <v>98.553247881028938</v>
      </c>
      <c r="D1766" s="39"/>
      <c r="E1766" s="39"/>
    </row>
    <row r="1767" spans="1:5" ht="15.6">
      <c r="A1767">
        <v>1712</v>
      </c>
      <c r="B1767" s="166">
        <v>103.98848001471471</v>
      </c>
      <c r="D1767" s="39"/>
      <c r="E1767" s="39"/>
    </row>
    <row r="1768" spans="1:5" ht="15.6">
      <c r="A1768">
        <v>1713</v>
      </c>
      <c r="B1768" s="166">
        <v>105.4254463585672</v>
      </c>
      <c r="D1768" s="39"/>
      <c r="E1768" s="39"/>
    </row>
    <row r="1769" spans="1:5" ht="15.6">
      <c r="A1769">
        <v>1714</v>
      </c>
      <c r="B1769" s="166">
        <v>132.11154774886032</v>
      </c>
      <c r="D1769" s="39"/>
      <c r="E1769" s="39"/>
    </row>
    <row r="1770" spans="1:5" ht="15.6">
      <c r="A1770">
        <v>1715</v>
      </c>
      <c r="B1770" s="166">
        <v>94.731045991902491</v>
      </c>
      <c r="D1770" s="39"/>
      <c r="E1770" s="39"/>
    </row>
    <row r="1771" spans="1:5" ht="15.6">
      <c r="A1771">
        <v>1716</v>
      </c>
      <c r="B1771" s="166">
        <v>208.48553333882265</v>
      </c>
      <c r="D1771" s="39"/>
      <c r="E1771" s="39"/>
    </row>
    <row r="1772" spans="1:5" ht="15.6">
      <c r="A1772">
        <v>1717</v>
      </c>
      <c r="B1772" s="166">
        <v>130.28691952294122</v>
      </c>
      <c r="D1772" s="39"/>
      <c r="E1772" s="39"/>
    </row>
    <row r="1773" spans="1:5" ht="15.6">
      <c r="A1773">
        <v>1718</v>
      </c>
      <c r="B1773" s="166">
        <v>110.33962286760102</v>
      </c>
      <c r="D1773" s="39"/>
      <c r="E1773" s="39"/>
    </row>
    <row r="1774" spans="1:5" ht="15.6">
      <c r="A1774">
        <v>1719</v>
      </c>
      <c r="B1774" s="166">
        <v>123.28379497330897</v>
      </c>
      <c r="D1774" s="39"/>
      <c r="E1774" s="39"/>
    </row>
    <row r="1775" spans="1:5" ht="15.6">
      <c r="A1775">
        <v>1720</v>
      </c>
      <c r="B1775" s="166">
        <v>91.118020856383239</v>
      </c>
      <c r="D1775" s="39"/>
      <c r="E1775" s="39"/>
    </row>
    <row r="1776" spans="1:5" ht="15.6">
      <c r="A1776">
        <v>1721</v>
      </c>
      <c r="B1776" s="166">
        <v>118.14487469343918</v>
      </c>
      <c r="D1776" s="39"/>
      <c r="E1776" s="39"/>
    </row>
    <row r="1777" spans="1:5" ht="15.6">
      <c r="A1777">
        <v>1722</v>
      </c>
      <c r="B1777" s="166">
        <v>107.78961923091246</v>
      </c>
      <c r="D1777" s="39"/>
      <c r="E1777" s="39"/>
    </row>
    <row r="1778" spans="1:5" ht="15.6">
      <c r="A1778">
        <v>1723</v>
      </c>
      <c r="B1778" s="166">
        <v>123.17394017299569</v>
      </c>
      <c r="D1778" s="39"/>
      <c r="E1778" s="39"/>
    </row>
    <row r="1779" spans="1:5" ht="15.6">
      <c r="A1779">
        <v>1724</v>
      </c>
      <c r="B1779" s="166">
        <v>135.35844076055864</v>
      </c>
      <c r="D1779" s="39"/>
      <c r="E1779" s="39"/>
    </row>
    <row r="1780" spans="1:5" ht="15.6">
      <c r="A1780">
        <v>1725</v>
      </c>
      <c r="B1780" s="166">
        <v>81.218424304569922</v>
      </c>
      <c r="D1780" s="39"/>
      <c r="E1780" s="39"/>
    </row>
    <row r="1781" spans="1:5" ht="15.6">
      <c r="A1781">
        <v>1726</v>
      </c>
      <c r="B1781" s="166">
        <v>87.605399857040823</v>
      </c>
      <c r="D1781" s="39"/>
      <c r="E1781" s="39"/>
    </row>
    <row r="1782" spans="1:5" ht="15.6">
      <c r="A1782">
        <v>1727</v>
      </c>
      <c r="B1782" s="166">
        <v>85.102793136553103</v>
      </c>
      <c r="D1782" s="39"/>
      <c r="E1782" s="39"/>
    </row>
    <row r="1783" spans="1:5" ht="15.6">
      <c r="A1783">
        <v>1728</v>
      </c>
      <c r="B1783" s="166">
        <v>149.62266112732289</v>
      </c>
      <c r="D1783" s="39"/>
      <c r="E1783" s="39"/>
    </row>
    <row r="1784" spans="1:5" ht="15.6">
      <c r="A1784">
        <v>1729</v>
      </c>
      <c r="B1784" s="166">
        <v>156.98136764424694</v>
      </c>
      <c r="D1784" s="39"/>
      <c r="E1784" s="39"/>
    </row>
    <row r="1785" spans="1:5" ht="15.6">
      <c r="A1785">
        <v>1730</v>
      </c>
      <c r="B1785" s="166">
        <v>109.94733879945657</v>
      </c>
      <c r="D1785" s="39"/>
      <c r="E1785" s="39"/>
    </row>
    <row r="1786" spans="1:5" ht="15.6">
      <c r="A1786">
        <v>1731</v>
      </c>
      <c r="B1786" s="166">
        <v>144.81457433627847</v>
      </c>
      <c r="D1786" s="39"/>
      <c r="E1786" s="39"/>
    </row>
    <row r="1787" spans="1:5" ht="15.6">
      <c r="A1787">
        <v>1732</v>
      </c>
      <c r="B1787" s="166">
        <v>79.003076741465733</v>
      </c>
      <c r="D1787" s="39"/>
      <c r="E1787" s="39"/>
    </row>
    <row r="1788" spans="1:5" ht="15.6">
      <c r="A1788">
        <v>1733</v>
      </c>
      <c r="B1788" s="166">
        <v>134.83274988798803</v>
      </c>
      <c r="D1788" s="39"/>
      <c r="E1788" s="39"/>
    </row>
    <row r="1789" spans="1:5" ht="15.6">
      <c r="A1789">
        <v>1734</v>
      </c>
      <c r="B1789" s="166">
        <v>101.82057111861715</v>
      </c>
      <c r="D1789" s="39"/>
      <c r="E1789" s="39"/>
    </row>
    <row r="1790" spans="1:5" ht="15.6">
      <c r="A1790">
        <v>1735</v>
      </c>
      <c r="B1790" s="166">
        <v>165.61918763266317</v>
      </c>
      <c r="D1790" s="39"/>
      <c r="E1790" s="39"/>
    </row>
    <row r="1791" spans="1:5" ht="15.6">
      <c r="A1791">
        <v>1736</v>
      </c>
      <c r="B1791" s="166">
        <v>106.86472306365664</v>
      </c>
      <c r="D1791" s="39"/>
      <c r="E1791" s="39"/>
    </row>
    <row r="1792" spans="1:5" ht="15.6">
      <c r="A1792">
        <v>1737</v>
      </c>
      <c r="B1792" s="166">
        <v>174.21898630619987</v>
      </c>
      <c r="D1792" s="39"/>
      <c r="E1792" s="39"/>
    </row>
    <row r="1793" spans="1:5" ht="15.6">
      <c r="A1793">
        <v>1738</v>
      </c>
      <c r="B1793" s="166">
        <v>110.04592039818229</v>
      </c>
      <c r="D1793" s="39"/>
      <c r="E1793" s="39"/>
    </row>
    <row r="1794" spans="1:5" ht="15.6">
      <c r="A1794">
        <v>1739</v>
      </c>
      <c r="B1794" s="166">
        <v>77.946499751483131</v>
      </c>
      <c r="D1794" s="39"/>
      <c r="E1794" s="39"/>
    </row>
    <row r="1795" spans="1:5" ht="15.6">
      <c r="A1795">
        <v>1740</v>
      </c>
      <c r="B1795" s="166">
        <v>89.013051592328367</v>
      </c>
      <c r="D1795" s="39"/>
      <c r="E1795" s="39"/>
    </row>
    <row r="1796" spans="1:5" ht="15.6">
      <c r="A1796">
        <v>1741</v>
      </c>
      <c r="B1796" s="166">
        <v>140.52978150386039</v>
      </c>
      <c r="D1796" s="39"/>
      <c r="E1796" s="39"/>
    </row>
    <row r="1797" spans="1:5" ht="15.6">
      <c r="A1797">
        <v>1742</v>
      </c>
      <c r="B1797" s="166">
        <v>93.249336215391921</v>
      </c>
      <c r="D1797" s="39"/>
      <c r="E1797" s="39"/>
    </row>
    <row r="1798" spans="1:5" ht="15.6">
      <c r="A1798">
        <v>1743</v>
      </c>
      <c r="B1798" s="166">
        <v>64.202502187066472</v>
      </c>
      <c r="D1798" s="39"/>
      <c r="E1798" s="39"/>
    </row>
    <row r="1799" spans="1:5" ht="15.6">
      <c r="A1799">
        <v>1744</v>
      </c>
      <c r="B1799" s="166">
        <v>151.23810120405827</v>
      </c>
      <c r="D1799" s="39"/>
      <c r="E1799" s="39"/>
    </row>
    <row r="1800" spans="1:5" ht="15.6">
      <c r="A1800">
        <v>1745</v>
      </c>
      <c r="B1800" s="166">
        <v>104.55994601228082</v>
      </c>
      <c r="D1800" s="39"/>
      <c r="E1800" s="39"/>
    </row>
    <row r="1801" spans="1:5" ht="15.6">
      <c r="A1801">
        <v>1746</v>
      </c>
      <c r="B1801" s="166">
        <v>63.026266473681332</v>
      </c>
      <c r="D1801" s="39"/>
      <c r="E1801" s="39"/>
    </row>
    <row r="1802" spans="1:5" ht="15.6">
      <c r="A1802">
        <v>1747</v>
      </c>
      <c r="B1802" s="166">
        <v>79.10546954258119</v>
      </c>
      <c r="D1802" s="39"/>
      <c r="E1802" s="39"/>
    </row>
    <row r="1803" spans="1:5" ht="15.6">
      <c r="A1803">
        <v>1748</v>
      </c>
      <c r="B1803" s="166">
        <v>96.239390337661149</v>
      </c>
      <c r="D1803" s="39"/>
      <c r="E1803" s="39"/>
    </row>
    <row r="1804" spans="1:5" ht="15.6">
      <c r="A1804">
        <v>1749</v>
      </c>
      <c r="B1804" s="166">
        <v>93.564927678170505</v>
      </c>
      <c r="D1804" s="39"/>
      <c r="E1804" s="39"/>
    </row>
    <row r="1805" spans="1:5" ht="15.6">
      <c r="A1805">
        <v>1750</v>
      </c>
      <c r="B1805" s="166">
        <v>90.072973806608246</v>
      </c>
      <c r="D1805" s="39"/>
      <c r="E1805" s="39"/>
    </row>
    <row r="1806" spans="1:5" ht="15.6">
      <c r="A1806">
        <v>1751</v>
      </c>
      <c r="B1806" s="166">
        <v>109.44128931473799</v>
      </c>
      <c r="D1806" s="39"/>
      <c r="E1806" s="39"/>
    </row>
    <row r="1807" spans="1:5" ht="15.6">
      <c r="A1807">
        <v>1752</v>
      </c>
      <c r="B1807" s="166">
        <v>65.624192882989263</v>
      </c>
      <c r="D1807" s="39"/>
      <c r="E1807" s="39"/>
    </row>
    <row r="1808" spans="1:5" ht="15.6">
      <c r="A1808">
        <v>1753</v>
      </c>
      <c r="B1808" s="166">
        <v>96.230659120447442</v>
      </c>
      <c r="D1808" s="39"/>
      <c r="E1808" s="39"/>
    </row>
    <row r="1809" spans="1:5" ht="15.6">
      <c r="A1809">
        <v>1754</v>
      </c>
      <c r="B1809" s="166">
        <v>96.501866223922931</v>
      </c>
      <c r="D1809" s="39"/>
      <c r="E1809" s="39"/>
    </row>
    <row r="1810" spans="1:5" ht="15.6">
      <c r="A1810">
        <v>1755</v>
      </c>
      <c r="B1810" s="166">
        <v>95.57799203151491</v>
      </c>
      <c r="D1810" s="39"/>
      <c r="E1810" s="39"/>
    </row>
    <row r="1811" spans="1:5" ht="15.6">
      <c r="A1811">
        <v>1756</v>
      </c>
      <c r="B1811" s="166">
        <v>142.50998394710714</v>
      </c>
      <c r="D1811" s="39"/>
      <c r="E1811" s="39"/>
    </row>
    <row r="1812" spans="1:5" ht="15.6">
      <c r="A1812">
        <v>1757</v>
      </c>
      <c r="B1812" s="166">
        <v>74.4345486437945</v>
      </c>
      <c r="D1812" s="39"/>
      <c r="E1812" s="39"/>
    </row>
    <row r="1813" spans="1:5" ht="15.6">
      <c r="A1813">
        <v>1758</v>
      </c>
      <c r="B1813" s="166">
        <v>137.68072537695809</v>
      </c>
      <c r="D1813" s="39"/>
      <c r="E1813" s="39"/>
    </row>
    <row r="1814" spans="1:5" ht="15.6">
      <c r="A1814">
        <v>1759</v>
      </c>
      <c r="B1814" s="166">
        <v>75.037377939889922</v>
      </c>
      <c r="D1814" s="39"/>
      <c r="E1814" s="39"/>
    </row>
    <row r="1815" spans="1:5" ht="15.6">
      <c r="A1815">
        <v>1760</v>
      </c>
      <c r="B1815" s="166">
        <v>137.64322740844651</v>
      </c>
      <c r="D1815" s="39"/>
      <c r="E1815" s="39"/>
    </row>
    <row r="1816" spans="1:5" ht="15.6">
      <c r="A1816">
        <v>1761</v>
      </c>
      <c r="B1816" s="166">
        <v>199.06693956423649</v>
      </c>
      <c r="D1816" s="39"/>
      <c r="E1816" s="39"/>
    </row>
    <row r="1817" spans="1:5" ht="15.6">
      <c r="A1817">
        <v>1762</v>
      </c>
      <c r="B1817" s="166">
        <v>105.04409236205795</v>
      </c>
      <c r="D1817" s="39"/>
      <c r="E1817" s="39"/>
    </row>
    <row r="1818" spans="1:5" ht="15.6">
      <c r="A1818">
        <v>1763</v>
      </c>
      <c r="B1818" s="166">
        <v>67.832581339148874</v>
      </c>
      <c r="D1818" s="39"/>
      <c r="E1818" s="39"/>
    </row>
    <row r="1819" spans="1:5" ht="15.6">
      <c r="A1819">
        <v>1764</v>
      </c>
      <c r="B1819" s="166">
        <v>86.575093341714876</v>
      </c>
      <c r="D1819" s="39"/>
      <c r="E1819" s="39"/>
    </row>
    <row r="1820" spans="1:5" ht="15.6">
      <c r="A1820">
        <v>1765</v>
      </c>
      <c r="B1820" s="166">
        <v>84.544301431155134</v>
      </c>
      <c r="D1820" s="39"/>
      <c r="E1820" s="39"/>
    </row>
    <row r="1821" spans="1:5" ht="15.6">
      <c r="A1821">
        <v>1766</v>
      </c>
      <c r="B1821" s="166">
        <v>89.1120644566019</v>
      </c>
      <c r="D1821" s="39"/>
      <c r="E1821" s="39"/>
    </row>
    <row r="1822" spans="1:5" ht="15.6">
      <c r="A1822">
        <v>1767</v>
      </c>
      <c r="B1822" s="166">
        <v>102.02336555871059</v>
      </c>
      <c r="D1822" s="39"/>
      <c r="E1822" s="39"/>
    </row>
    <row r="1823" spans="1:5" ht="15.6">
      <c r="A1823">
        <v>1768</v>
      </c>
      <c r="B1823" s="166">
        <v>104.03335714453648</v>
      </c>
      <c r="D1823" s="39"/>
      <c r="E1823" s="39"/>
    </row>
    <row r="1824" spans="1:5" ht="15.6">
      <c r="A1824">
        <v>1769</v>
      </c>
      <c r="B1824" s="166">
        <v>82.721882080949086</v>
      </c>
      <c r="D1824" s="39"/>
      <c r="E1824" s="39"/>
    </row>
    <row r="1825" spans="1:5" ht="15.6">
      <c r="A1825">
        <v>1770</v>
      </c>
      <c r="B1825" s="166">
        <v>109.77749187989464</v>
      </c>
      <c r="D1825" s="39"/>
      <c r="E1825" s="39"/>
    </row>
    <row r="1826" spans="1:5" ht="15.6">
      <c r="A1826">
        <v>1771</v>
      </c>
      <c r="B1826" s="166">
        <v>85.001254626714911</v>
      </c>
      <c r="D1826" s="39"/>
      <c r="E1826" s="39"/>
    </row>
    <row r="1827" spans="1:5" ht="15.6">
      <c r="A1827">
        <v>1772</v>
      </c>
      <c r="B1827" s="166">
        <v>140.52259523769138</v>
      </c>
      <c r="D1827" s="39"/>
      <c r="E1827" s="39"/>
    </row>
    <row r="1828" spans="1:5" ht="15.6">
      <c r="A1828">
        <v>1773</v>
      </c>
      <c r="B1828" s="166">
        <v>136.60945290111567</v>
      </c>
      <c r="D1828" s="39"/>
      <c r="E1828" s="39"/>
    </row>
    <row r="1829" spans="1:5" ht="15.6">
      <c r="A1829">
        <v>1774</v>
      </c>
      <c r="B1829" s="166">
        <v>49.362750448788724</v>
      </c>
      <c r="D1829" s="39"/>
      <c r="E1829" s="39"/>
    </row>
    <row r="1830" spans="1:5" ht="15.6">
      <c r="A1830">
        <v>1775</v>
      </c>
      <c r="B1830" s="166">
        <v>131.1329666073847</v>
      </c>
      <c r="D1830" s="39"/>
      <c r="E1830" s="39"/>
    </row>
    <row r="1831" spans="1:5" ht="15.6">
      <c r="A1831">
        <v>1776</v>
      </c>
      <c r="B1831" s="166">
        <v>157.27557013288168</v>
      </c>
      <c r="D1831" s="39"/>
      <c r="E1831" s="39"/>
    </row>
    <row r="1832" spans="1:5" ht="15.6">
      <c r="A1832">
        <v>1777</v>
      </c>
      <c r="B1832" s="166">
        <v>92.660151680554364</v>
      </c>
      <c r="D1832" s="39"/>
      <c r="E1832" s="39"/>
    </row>
    <row r="1833" spans="1:5" ht="15.6">
      <c r="A1833">
        <v>1778</v>
      </c>
      <c r="B1833" s="166">
        <v>68.487100207236395</v>
      </c>
      <c r="D1833" s="39"/>
      <c r="E1833" s="39"/>
    </row>
    <row r="1834" spans="1:5" ht="15.6">
      <c r="A1834">
        <v>1779</v>
      </c>
      <c r="B1834" s="166">
        <v>57.942627356379496</v>
      </c>
      <c r="D1834" s="39"/>
      <c r="E1834" s="39"/>
    </row>
    <row r="1835" spans="1:5" ht="15.6">
      <c r="A1835">
        <v>1780</v>
      </c>
      <c r="B1835" s="166">
        <v>74.777831318175544</v>
      </c>
      <c r="D1835" s="39"/>
      <c r="E1835" s="39"/>
    </row>
    <row r="1836" spans="1:5" ht="15.6">
      <c r="A1836">
        <v>1781</v>
      </c>
      <c r="B1836" s="166">
        <v>62.9881864101798</v>
      </c>
      <c r="D1836" s="39"/>
      <c r="E1836" s="39"/>
    </row>
    <row r="1837" spans="1:5" ht="15.6">
      <c r="A1837">
        <v>1782</v>
      </c>
      <c r="B1837" s="166">
        <v>166.21586328647291</v>
      </c>
      <c r="D1837" s="39"/>
      <c r="E1837" s="39"/>
    </row>
    <row r="1838" spans="1:5" ht="15.6">
      <c r="A1838">
        <v>1783</v>
      </c>
      <c r="B1838" s="166">
        <v>81.069349872144599</v>
      </c>
      <c r="D1838" s="39"/>
      <c r="E1838" s="39"/>
    </row>
    <row r="1839" spans="1:5" ht="15.6">
      <c r="A1839">
        <v>1784</v>
      </c>
      <c r="B1839" s="166">
        <v>169.15335524763222</v>
      </c>
      <c r="D1839" s="39"/>
      <c r="E1839" s="39"/>
    </row>
    <row r="1840" spans="1:5" ht="15.6">
      <c r="A1840">
        <v>1785</v>
      </c>
      <c r="B1840" s="166">
        <v>62.479432743680789</v>
      </c>
      <c r="D1840" s="39"/>
      <c r="E1840" s="39"/>
    </row>
    <row r="1841" spans="1:5" ht="15.6">
      <c r="A1841">
        <v>1786</v>
      </c>
      <c r="B1841" s="166">
        <v>73.99201768631292</v>
      </c>
      <c r="D1841" s="39"/>
      <c r="E1841" s="39"/>
    </row>
    <row r="1842" spans="1:5" ht="15.6">
      <c r="A1842">
        <v>1787</v>
      </c>
      <c r="B1842" s="166">
        <v>74.314274802077961</v>
      </c>
      <c r="D1842" s="39"/>
      <c r="E1842" s="39"/>
    </row>
    <row r="1843" spans="1:5" ht="15.6">
      <c r="A1843">
        <v>1788</v>
      </c>
      <c r="B1843" s="166">
        <v>125.98231157861669</v>
      </c>
      <c r="D1843" s="39"/>
      <c r="E1843" s="39"/>
    </row>
    <row r="1844" spans="1:5" ht="15.6">
      <c r="A1844">
        <v>1789</v>
      </c>
      <c r="B1844" s="166">
        <v>111.22848555056419</v>
      </c>
      <c r="D1844" s="39"/>
      <c r="E1844" s="39"/>
    </row>
    <row r="1845" spans="1:5" ht="15.6">
      <c r="A1845">
        <v>1790</v>
      </c>
      <c r="B1845" s="166">
        <v>99.19165529028713</v>
      </c>
      <c r="D1845" s="39"/>
      <c r="E1845" s="39"/>
    </row>
    <row r="1846" spans="1:5" ht="15.6">
      <c r="A1846">
        <v>1791</v>
      </c>
      <c r="B1846" s="166">
        <v>152.74851803265423</v>
      </c>
      <c r="D1846" s="39"/>
      <c r="E1846" s="39"/>
    </row>
    <row r="1847" spans="1:5" ht="15.6">
      <c r="A1847">
        <v>1792</v>
      </c>
      <c r="B1847" s="166">
        <v>109.4669413906275</v>
      </c>
      <c r="D1847" s="39"/>
      <c r="E1847" s="39"/>
    </row>
    <row r="1848" spans="1:5" ht="15.6">
      <c r="A1848">
        <v>1793</v>
      </c>
      <c r="B1848" s="166">
        <v>76.881293809365317</v>
      </c>
      <c r="D1848" s="39"/>
      <c r="E1848" s="39"/>
    </row>
    <row r="1849" spans="1:5" ht="15.6">
      <c r="A1849">
        <v>1794</v>
      </c>
      <c r="B1849" s="166">
        <v>174.84528556763507</v>
      </c>
      <c r="D1849" s="39"/>
      <c r="E1849" s="39"/>
    </row>
    <row r="1850" spans="1:5" ht="15.6">
      <c r="A1850">
        <v>1795</v>
      </c>
      <c r="B1850" s="166">
        <v>154.89184553048418</v>
      </c>
      <c r="D1850" s="39"/>
      <c r="E1850" s="39"/>
    </row>
    <row r="1851" spans="1:5" ht="15.6">
      <c r="A1851">
        <v>1796</v>
      </c>
      <c r="B1851" s="166">
        <v>109.12828197824091</v>
      </c>
      <c r="D1851" s="39"/>
      <c r="E1851" s="39"/>
    </row>
    <row r="1852" spans="1:5" ht="15.6">
      <c r="A1852">
        <v>1797</v>
      </c>
      <c r="B1852" s="166">
        <v>95.611235081240238</v>
      </c>
      <c r="D1852" s="39"/>
      <c r="E1852" s="39"/>
    </row>
    <row r="1853" spans="1:5" ht="15.6">
      <c r="A1853">
        <v>1798</v>
      </c>
      <c r="B1853" s="166">
        <v>152.47869604209623</v>
      </c>
      <c r="D1853" s="39"/>
      <c r="E1853" s="39"/>
    </row>
    <row r="1854" spans="1:5" ht="15.6">
      <c r="A1854">
        <v>1799</v>
      </c>
      <c r="B1854" s="166">
        <v>162.28301407622087</v>
      </c>
      <c r="D1854" s="39"/>
      <c r="E1854" s="39"/>
    </row>
    <row r="1855" spans="1:5" ht="15.6">
      <c r="A1855">
        <v>1800</v>
      </c>
      <c r="B1855" s="166">
        <v>114.08942748112482</v>
      </c>
      <c r="D1855" s="39"/>
      <c r="E1855" s="39"/>
    </row>
    <row r="1856" spans="1:5" ht="15.6">
      <c r="A1856">
        <v>1801</v>
      </c>
      <c r="B1856" s="166">
        <v>123.91683986428643</v>
      </c>
      <c r="D1856" s="39"/>
      <c r="E1856" s="39"/>
    </row>
    <row r="1857" spans="1:5" ht="15.6">
      <c r="A1857">
        <v>1802</v>
      </c>
      <c r="B1857" s="166">
        <v>107.08083079939529</v>
      </c>
      <c r="D1857" s="39"/>
      <c r="E1857" s="39"/>
    </row>
    <row r="1858" spans="1:5" ht="15.6">
      <c r="A1858">
        <v>1803</v>
      </c>
      <c r="B1858" s="166">
        <v>161.60252003412603</v>
      </c>
      <c r="D1858" s="39"/>
      <c r="E1858" s="39"/>
    </row>
    <row r="1859" spans="1:5" ht="15.6">
      <c r="A1859">
        <v>1804</v>
      </c>
      <c r="B1859" s="166">
        <v>176.56571688060396</v>
      </c>
      <c r="D1859" s="39"/>
      <c r="E1859" s="39"/>
    </row>
    <row r="1860" spans="1:5" ht="15.6">
      <c r="A1860">
        <v>1805</v>
      </c>
      <c r="B1860" s="166">
        <v>73.356646273746449</v>
      </c>
      <c r="D1860" s="39"/>
      <c r="E1860" s="39"/>
    </row>
    <row r="1861" spans="1:5" ht="15.6">
      <c r="A1861">
        <v>1806</v>
      </c>
      <c r="B1861" s="166">
        <v>186.39894891003433</v>
      </c>
      <c r="D1861" s="39"/>
      <c r="E1861" s="39"/>
    </row>
    <row r="1862" spans="1:5" ht="15.6">
      <c r="A1862">
        <v>1807</v>
      </c>
      <c r="B1862" s="166">
        <v>63.868815831177542</v>
      </c>
      <c r="D1862" s="39"/>
      <c r="E1862" s="39"/>
    </row>
    <row r="1863" spans="1:5" ht="15.6">
      <c r="A1863">
        <v>1808</v>
      </c>
      <c r="B1863" s="166">
        <v>93.12268039834251</v>
      </c>
      <c r="D1863" s="39"/>
      <c r="E1863" s="39"/>
    </row>
    <row r="1864" spans="1:5" ht="15.6">
      <c r="A1864">
        <v>1809</v>
      </c>
      <c r="B1864" s="166">
        <v>87.566775368934245</v>
      </c>
      <c r="D1864" s="39"/>
      <c r="E1864" s="39"/>
    </row>
    <row r="1865" spans="1:5" ht="15.6">
      <c r="A1865">
        <v>1810</v>
      </c>
      <c r="B1865" s="166">
        <v>104.71365910726868</v>
      </c>
      <c r="D1865" s="39"/>
      <c r="E1865" s="39"/>
    </row>
    <row r="1866" spans="1:5" ht="15.6">
      <c r="A1866">
        <v>1811</v>
      </c>
      <c r="B1866" s="166">
        <v>155.14124327137887</v>
      </c>
      <c r="D1866" s="39"/>
      <c r="E1866" s="39"/>
    </row>
    <row r="1867" spans="1:5" ht="15.6">
      <c r="A1867">
        <v>1812</v>
      </c>
      <c r="B1867" s="166">
        <v>81.70545531237542</v>
      </c>
      <c r="D1867" s="39"/>
      <c r="E1867" s="39"/>
    </row>
    <row r="1868" spans="1:5" ht="15.6">
      <c r="A1868">
        <v>1813</v>
      </c>
      <c r="B1868" s="166">
        <v>85.220997525787766</v>
      </c>
      <c r="D1868" s="39"/>
      <c r="E1868" s="39"/>
    </row>
    <row r="1869" spans="1:5" ht="15.6">
      <c r="A1869">
        <v>1814</v>
      </c>
      <c r="B1869" s="166">
        <v>162.90416115533546</v>
      </c>
      <c r="D1869" s="39"/>
      <c r="E1869" s="39"/>
    </row>
    <row r="1870" spans="1:5" ht="15.6">
      <c r="A1870">
        <v>1815</v>
      </c>
      <c r="B1870" s="166">
        <v>137.88972227591927</v>
      </c>
      <c r="D1870" s="39"/>
      <c r="E1870" s="39"/>
    </row>
    <row r="1871" spans="1:5" ht="15.6">
      <c r="A1871">
        <v>1816</v>
      </c>
      <c r="B1871" s="166">
        <v>110.77428394882175</v>
      </c>
      <c r="D1871" s="39"/>
      <c r="E1871" s="39"/>
    </row>
    <row r="1872" spans="1:5" ht="15.6">
      <c r="A1872">
        <v>1817</v>
      </c>
      <c r="B1872" s="166">
        <v>111.34836700906972</v>
      </c>
      <c r="D1872" s="39"/>
      <c r="E1872" s="39"/>
    </row>
    <row r="1873" spans="1:5" ht="15.6">
      <c r="A1873">
        <v>1818</v>
      </c>
      <c r="B1873" s="166">
        <v>72.552870423715902</v>
      </c>
      <c r="D1873" s="39"/>
      <c r="E1873" s="39"/>
    </row>
    <row r="1874" spans="1:5" ht="15.6">
      <c r="A1874">
        <v>1819</v>
      </c>
      <c r="B1874" s="166">
        <v>108.44235049694198</v>
      </c>
      <c r="D1874" s="39"/>
      <c r="E1874" s="39"/>
    </row>
    <row r="1875" spans="1:5" ht="15.6">
      <c r="A1875">
        <v>1820</v>
      </c>
      <c r="B1875" s="166">
        <v>120.93298457655922</v>
      </c>
      <c r="D1875" s="39"/>
      <c r="E1875" s="39"/>
    </row>
    <row r="1876" spans="1:5" ht="15.6">
      <c r="A1876">
        <v>1821</v>
      </c>
      <c r="B1876" s="166">
        <v>119.35065704205397</v>
      </c>
      <c r="D1876" s="39"/>
      <c r="E1876" s="39"/>
    </row>
    <row r="1877" spans="1:5" ht="15.6">
      <c r="A1877">
        <v>1822</v>
      </c>
      <c r="B1877" s="166">
        <v>129.76061031128981</v>
      </c>
      <c r="D1877" s="39"/>
      <c r="E1877" s="39"/>
    </row>
    <row r="1878" spans="1:5" ht="15.6">
      <c r="A1878">
        <v>1823</v>
      </c>
      <c r="B1878" s="166">
        <v>141.81716906902443</v>
      </c>
      <c r="D1878" s="39"/>
      <c r="E1878" s="39"/>
    </row>
    <row r="1879" spans="1:5" ht="15.6">
      <c r="A1879">
        <v>1824</v>
      </c>
      <c r="B1879" s="166">
        <v>99.036140439498269</v>
      </c>
      <c r="D1879" s="39"/>
      <c r="E1879" s="39"/>
    </row>
    <row r="1880" spans="1:5" ht="15.6">
      <c r="A1880">
        <v>1825</v>
      </c>
      <c r="B1880" s="166">
        <v>77.061582083860188</v>
      </c>
      <c r="D1880" s="39"/>
      <c r="E1880" s="39"/>
    </row>
    <row r="1881" spans="1:5" ht="15.6">
      <c r="A1881">
        <v>1826</v>
      </c>
      <c r="B1881" s="166">
        <v>77.721035148395202</v>
      </c>
      <c r="D1881" s="39"/>
      <c r="E1881" s="39"/>
    </row>
    <row r="1882" spans="1:5" ht="15.6">
      <c r="A1882">
        <v>1827</v>
      </c>
      <c r="B1882" s="166">
        <v>97.960078399989001</v>
      </c>
      <c r="D1882" s="39"/>
      <c r="E1882" s="39"/>
    </row>
    <row r="1883" spans="1:5" ht="15.6">
      <c r="A1883">
        <v>1828</v>
      </c>
      <c r="B1883" s="166">
        <v>57.450038558834542</v>
      </c>
      <c r="D1883" s="39"/>
      <c r="E1883" s="39"/>
    </row>
    <row r="1884" spans="1:5" ht="15.6">
      <c r="A1884">
        <v>1829</v>
      </c>
      <c r="B1884" s="166">
        <v>165.03968729272455</v>
      </c>
      <c r="D1884" s="39"/>
      <c r="E1884" s="39"/>
    </row>
    <row r="1885" spans="1:5" ht="15.6">
      <c r="A1885">
        <v>1830</v>
      </c>
      <c r="B1885" s="166">
        <v>104.66459650166962</v>
      </c>
      <c r="D1885" s="39"/>
      <c r="E1885" s="39"/>
    </row>
    <row r="1886" spans="1:5" ht="15.6">
      <c r="A1886">
        <v>1831</v>
      </c>
      <c r="B1886" s="166">
        <v>77.75971799236342</v>
      </c>
      <c r="D1886" s="39"/>
      <c r="E1886" s="39"/>
    </row>
    <row r="1887" spans="1:5" ht="15.6">
      <c r="A1887">
        <v>1832</v>
      </c>
      <c r="B1887" s="166">
        <v>91.727533706951377</v>
      </c>
      <c r="D1887" s="39"/>
      <c r="E1887" s="39"/>
    </row>
    <row r="1888" spans="1:5" ht="15.6">
      <c r="A1888">
        <v>1833</v>
      </c>
      <c r="B1888" s="166">
        <v>98.597110277983944</v>
      </c>
      <c r="D1888" s="39"/>
      <c r="E1888" s="39"/>
    </row>
    <row r="1889" spans="1:5" ht="15.6">
      <c r="A1889">
        <v>1834</v>
      </c>
      <c r="B1889" s="166">
        <v>129.68863647251507</v>
      </c>
      <c r="D1889" s="39"/>
      <c r="E1889" s="39"/>
    </row>
    <row r="1890" spans="1:5" ht="15.6">
      <c r="A1890">
        <v>1835</v>
      </c>
      <c r="B1890" s="166">
        <v>123.06473817039839</v>
      </c>
      <c r="D1890" s="39"/>
      <c r="E1890" s="39"/>
    </row>
    <row r="1891" spans="1:5" ht="15.6">
      <c r="A1891">
        <v>1836</v>
      </c>
      <c r="B1891" s="166">
        <v>67.265772116635347</v>
      </c>
      <c r="D1891" s="39"/>
      <c r="E1891" s="39"/>
    </row>
    <row r="1892" spans="1:5" ht="15.6">
      <c r="A1892">
        <v>1837</v>
      </c>
      <c r="B1892" s="166">
        <v>129.59583178016641</v>
      </c>
      <c r="D1892" s="39"/>
      <c r="E1892" s="39"/>
    </row>
    <row r="1893" spans="1:5" ht="15.6">
      <c r="A1893">
        <v>1838</v>
      </c>
      <c r="B1893" s="166">
        <v>103.88029424559173</v>
      </c>
      <c r="D1893" s="39"/>
      <c r="E1893" s="39"/>
    </row>
    <row r="1894" spans="1:5" ht="15.6">
      <c r="A1894">
        <v>1839</v>
      </c>
      <c r="B1894" s="166">
        <v>100.96117553673639</v>
      </c>
      <c r="D1894" s="39"/>
      <c r="E1894" s="39"/>
    </row>
    <row r="1895" spans="1:5" ht="15.6">
      <c r="A1895">
        <v>1840</v>
      </c>
      <c r="B1895" s="166">
        <v>71.729130536225611</v>
      </c>
      <c r="D1895" s="39"/>
      <c r="E1895" s="39"/>
    </row>
    <row r="1896" spans="1:5" ht="15.6">
      <c r="A1896">
        <v>1841</v>
      </c>
      <c r="B1896" s="166">
        <v>83.001411633007777</v>
      </c>
      <c r="D1896" s="39"/>
      <c r="E1896" s="39"/>
    </row>
    <row r="1897" spans="1:5" ht="15.6">
      <c r="A1897">
        <v>1842</v>
      </c>
      <c r="B1897" s="166">
        <v>120.89596750266838</v>
      </c>
      <c r="D1897" s="39"/>
      <c r="E1897" s="39"/>
    </row>
    <row r="1898" spans="1:5" ht="15.6">
      <c r="A1898">
        <v>1843</v>
      </c>
      <c r="B1898" s="166">
        <v>143.43628749241651</v>
      </c>
      <c r="D1898" s="39"/>
      <c r="E1898" s="39"/>
    </row>
    <row r="1899" spans="1:5" ht="15.6">
      <c r="A1899">
        <v>1844</v>
      </c>
      <c r="B1899" s="166">
        <v>83.77564446073265</v>
      </c>
      <c r="D1899" s="39"/>
      <c r="E1899" s="39"/>
    </row>
    <row r="1900" spans="1:5" ht="15.6">
      <c r="A1900">
        <v>1845</v>
      </c>
      <c r="B1900" s="166">
        <v>98.141103951975467</v>
      </c>
      <c r="D1900" s="39"/>
      <c r="E1900" s="39"/>
    </row>
    <row r="1901" spans="1:5" ht="15.6">
      <c r="A1901">
        <v>1846</v>
      </c>
      <c r="B1901" s="166">
        <v>84.598736156480811</v>
      </c>
      <c r="D1901" s="39"/>
      <c r="E1901" s="39"/>
    </row>
    <row r="1902" spans="1:5" ht="15.6">
      <c r="A1902">
        <v>1847</v>
      </c>
      <c r="B1902" s="166">
        <v>135.5805531583101</v>
      </c>
      <c r="D1902" s="39"/>
      <c r="E1902" s="39"/>
    </row>
    <row r="1903" spans="1:5" ht="15.6">
      <c r="A1903">
        <v>1848</v>
      </c>
      <c r="B1903" s="166">
        <v>62.514720104183539</v>
      </c>
      <c r="D1903" s="39"/>
      <c r="E1903" s="39"/>
    </row>
    <row r="1904" spans="1:5" ht="15.6">
      <c r="A1904">
        <v>1849</v>
      </c>
      <c r="B1904" s="166">
        <v>105.95157521331136</v>
      </c>
      <c r="D1904" s="39"/>
      <c r="E1904" s="39"/>
    </row>
    <row r="1905" spans="1:5" ht="15.6">
      <c r="A1905">
        <v>1850</v>
      </c>
      <c r="B1905" s="166">
        <v>81.361105609532032</v>
      </c>
      <c r="D1905" s="39"/>
      <c r="E1905" s="39"/>
    </row>
    <row r="1906" spans="1:5" ht="15.6">
      <c r="A1906">
        <v>1851</v>
      </c>
      <c r="B1906" s="166">
        <v>48.423885404316572</v>
      </c>
      <c r="D1906" s="39"/>
      <c r="E1906" s="39"/>
    </row>
    <row r="1907" spans="1:5" ht="15.6">
      <c r="A1907">
        <v>1852</v>
      </c>
      <c r="B1907" s="166">
        <v>253.35615171028275</v>
      </c>
      <c r="D1907" s="39"/>
      <c r="E1907" s="39"/>
    </row>
    <row r="1908" spans="1:5" ht="15.6">
      <c r="A1908">
        <v>1853</v>
      </c>
      <c r="B1908" s="166">
        <v>132.45843424304246</v>
      </c>
      <c r="D1908" s="39"/>
      <c r="E1908" s="39"/>
    </row>
    <row r="1909" spans="1:5" ht="15.6">
      <c r="A1909">
        <v>1854</v>
      </c>
      <c r="B1909" s="166">
        <v>108.67486614675418</v>
      </c>
      <c r="D1909" s="39"/>
      <c r="E1909" s="39"/>
    </row>
    <row r="1910" spans="1:5" ht="15.6">
      <c r="A1910">
        <v>1855</v>
      </c>
      <c r="B1910" s="166">
        <v>86.942762990042468</v>
      </c>
      <c r="D1910" s="39"/>
      <c r="E1910" s="39"/>
    </row>
    <row r="1911" spans="1:5" ht="15.6">
      <c r="A1911">
        <v>1856</v>
      </c>
      <c r="B1911" s="166">
        <v>105.93665660583893</v>
      </c>
      <c r="D1911" s="39"/>
      <c r="E1911" s="39"/>
    </row>
    <row r="1912" spans="1:5" ht="15.6">
      <c r="A1912">
        <v>1857</v>
      </c>
      <c r="B1912" s="166">
        <v>123.57886478800083</v>
      </c>
      <c r="D1912" s="39"/>
      <c r="E1912" s="39"/>
    </row>
    <row r="1913" spans="1:5" ht="15.6">
      <c r="A1913">
        <v>1858</v>
      </c>
      <c r="B1913" s="166">
        <v>140.01907013594877</v>
      </c>
      <c r="D1913" s="39"/>
      <c r="E1913" s="39"/>
    </row>
    <row r="1914" spans="1:5" ht="15.6">
      <c r="A1914">
        <v>1859</v>
      </c>
      <c r="B1914" s="166">
        <v>180.96528955629776</v>
      </c>
      <c r="D1914" s="39"/>
      <c r="E1914" s="39"/>
    </row>
    <row r="1915" spans="1:5" ht="15.6">
      <c r="A1915">
        <v>1860</v>
      </c>
      <c r="B1915" s="166">
        <v>105.05639199289483</v>
      </c>
      <c r="D1915" s="39"/>
      <c r="E1915" s="39"/>
    </row>
    <row r="1916" spans="1:5" ht="15.6">
      <c r="A1916">
        <v>1861</v>
      </c>
      <c r="B1916" s="166">
        <v>99.454325299848051</v>
      </c>
      <c r="D1916" s="39"/>
      <c r="E1916" s="39"/>
    </row>
    <row r="1917" spans="1:5" ht="15.6">
      <c r="A1917">
        <v>1862</v>
      </c>
      <c r="B1917" s="166">
        <v>77.61703811704696</v>
      </c>
      <c r="D1917" s="39"/>
      <c r="E1917" s="39"/>
    </row>
    <row r="1918" spans="1:5" ht="15.6">
      <c r="A1918">
        <v>1863</v>
      </c>
      <c r="B1918" s="166">
        <v>94.008980527895972</v>
      </c>
      <c r="D1918" s="39"/>
      <c r="E1918" s="39"/>
    </row>
    <row r="1919" spans="1:5" ht="15.6">
      <c r="A1919">
        <v>1864</v>
      </c>
      <c r="B1919" s="166">
        <v>58.221344589635848</v>
      </c>
      <c r="D1919" s="39"/>
      <c r="E1919" s="39"/>
    </row>
    <row r="1920" spans="1:5" ht="15.6">
      <c r="A1920">
        <v>1865</v>
      </c>
      <c r="B1920" s="166">
        <v>153.44238099409316</v>
      </c>
      <c r="D1920" s="39"/>
      <c r="E1920" s="39"/>
    </row>
    <row r="1921" spans="1:5" ht="15.6">
      <c r="A1921">
        <v>1866</v>
      </c>
      <c r="B1921" s="166">
        <v>75.786099167266457</v>
      </c>
      <c r="D1921" s="39"/>
      <c r="E1921" s="39"/>
    </row>
    <row r="1922" spans="1:5" ht="15.6">
      <c r="A1922">
        <v>1867</v>
      </c>
      <c r="B1922" s="166">
        <v>114.32911142843251</v>
      </c>
      <c r="D1922" s="39"/>
      <c r="E1922" s="39"/>
    </row>
    <row r="1923" spans="1:5" ht="15.6">
      <c r="A1923">
        <v>1868</v>
      </c>
      <c r="B1923" s="166">
        <v>127.58355815445495</v>
      </c>
      <c r="D1923" s="39"/>
      <c r="E1923" s="39"/>
    </row>
    <row r="1924" spans="1:5" ht="15.6">
      <c r="A1924">
        <v>1869</v>
      </c>
      <c r="B1924" s="166">
        <v>76.394347421972753</v>
      </c>
      <c r="D1924" s="39"/>
      <c r="E1924" s="39"/>
    </row>
    <row r="1925" spans="1:5" ht="15.6">
      <c r="A1925">
        <v>1870</v>
      </c>
      <c r="B1925" s="166">
        <v>178.01417060351756</v>
      </c>
      <c r="D1925" s="39"/>
      <c r="E1925" s="39"/>
    </row>
    <row r="1926" spans="1:5" ht="15.6">
      <c r="A1926">
        <v>1871</v>
      </c>
      <c r="B1926" s="166">
        <v>54.570407870520256</v>
      </c>
      <c r="D1926" s="39"/>
      <c r="E1926" s="39"/>
    </row>
    <row r="1927" spans="1:5" ht="15.6">
      <c r="A1927">
        <v>1872</v>
      </c>
      <c r="B1927" s="166">
        <v>73.874193373336652</v>
      </c>
      <c r="D1927" s="39"/>
      <c r="E1927" s="39"/>
    </row>
    <row r="1928" spans="1:5" ht="15.6">
      <c r="A1928">
        <v>1873</v>
      </c>
      <c r="B1928" s="166">
        <v>154.16920898971654</v>
      </c>
      <c r="D1928" s="39"/>
      <c r="E1928" s="39"/>
    </row>
    <row r="1929" spans="1:5" ht="15.6">
      <c r="A1929">
        <v>1874</v>
      </c>
      <c r="B1929" s="166">
        <v>114.1426396017288</v>
      </c>
      <c r="D1929" s="39"/>
      <c r="E1929" s="39"/>
    </row>
    <row r="1930" spans="1:5" ht="15.6">
      <c r="A1930">
        <v>1875</v>
      </c>
      <c r="B1930" s="166">
        <v>94.709673423052067</v>
      </c>
      <c r="D1930" s="39"/>
      <c r="E1930" s="39"/>
    </row>
    <row r="1931" spans="1:5" ht="15.6">
      <c r="A1931">
        <v>1876</v>
      </c>
      <c r="B1931" s="166">
        <v>140.55280606514779</v>
      </c>
      <c r="D1931" s="39"/>
      <c r="E1931" s="39"/>
    </row>
    <row r="1932" spans="1:5" ht="15.6">
      <c r="A1932">
        <v>1877</v>
      </c>
      <c r="B1932" s="166">
        <v>135.09094511288922</v>
      </c>
      <c r="D1932" s="39"/>
      <c r="E1932" s="39"/>
    </row>
    <row r="1933" spans="1:5" ht="15.6">
      <c r="A1933">
        <v>1878</v>
      </c>
      <c r="B1933" s="166">
        <v>133.84932701081971</v>
      </c>
      <c r="D1933" s="39"/>
      <c r="E1933" s="39"/>
    </row>
    <row r="1934" spans="1:5" ht="15.6">
      <c r="A1934">
        <v>1879</v>
      </c>
      <c r="B1934" s="166">
        <v>98.340667173546066</v>
      </c>
      <c r="D1934" s="39"/>
      <c r="E1934" s="39"/>
    </row>
    <row r="1935" spans="1:5" ht="15.6">
      <c r="A1935">
        <v>1880</v>
      </c>
      <c r="B1935" s="166">
        <v>73.884305214211608</v>
      </c>
      <c r="D1935" s="39"/>
      <c r="E1935" s="39"/>
    </row>
    <row r="1936" spans="1:5" ht="15.6">
      <c r="A1936">
        <v>1881</v>
      </c>
      <c r="B1936" s="166">
        <v>78.007738163706478</v>
      </c>
      <c r="D1936" s="39"/>
      <c r="E1936" s="39"/>
    </row>
    <row r="1937" spans="1:5" ht="15.6">
      <c r="A1937">
        <v>1882</v>
      </c>
      <c r="B1937" s="166">
        <v>60.145368355743166</v>
      </c>
      <c r="D1937" s="39"/>
      <c r="E1937" s="39"/>
    </row>
    <row r="1938" spans="1:5" ht="15.6">
      <c r="A1938">
        <v>1883</v>
      </c>
      <c r="B1938" s="166">
        <v>76.306530886043149</v>
      </c>
      <c r="D1938" s="39"/>
      <c r="E1938" s="39"/>
    </row>
    <row r="1939" spans="1:5" ht="15.6">
      <c r="A1939">
        <v>1884</v>
      </c>
      <c r="B1939" s="166">
        <v>62.319592842299848</v>
      </c>
      <c r="D1939" s="39"/>
      <c r="E1939" s="39"/>
    </row>
    <row r="1940" spans="1:5" ht="15.6">
      <c r="A1940">
        <v>1885</v>
      </c>
      <c r="B1940" s="166">
        <v>75.46400933485495</v>
      </c>
      <c r="D1940" s="39"/>
      <c r="E1940" s="39"/>
    </row>
    <row r="1941" spans="1:5" ht="15.6">
      <c r="A1941">
        <v>1886</v>
      </c>
      <c r="B1941" s="166">
        <v>60.952105076212654</v>
      </c>
      <c r="D1941" s="39"/>
      <c r="E1941" s="39"/>
    </row>
    <row r="1942" spans="1:5" ht="15.6">
      <c r="A1942">
        <v>1887</v>
      </c>
      <c r="B1942" s="166">
        <v>161.4934097007459</v>
      </c>
      <c r="D1942" s="39"/>
      <c r="E1942" s="39"/>
    </row>
    <row r="1943" spans="1:5" ht="15.6">
      <c r="A1943">
        <v>1888</v>
      </c>
      <c r="B1943" s="166">
        <v>147.40833199292967</v>
      </c>
      <c r="D1943" s="39"/>
      <c r="E1943" s="39"/>
    </row>
    <row r="1944" spans="1:5" ht="15.6">
      <c r="A1944">
        <v>1889</v>
      </c>
      <c r="B1944" s="166">
        <v>78.608694809501856</v>
      </c>
      <c r="D1944" s="39"/>
      <c r="E1944" s="39"/>
    </row>
    <row r="1945" spans="1:5" ht="15.6">
      <c r="A1945">
        <v>1890</v>
      </c>
      <c r="B1945" s="166">
        <v>134.20215047320931</v>
      </c>
      <c r="D1945" s="39"/>
      <c r="E1945" s="39"/>
    </row>
    <row r="1946" spans="1:5" ht="15.6">
      <c r="A1946">
        <v>1891</v>
      </c>
      <c r="B1946" s="166">
        <v>182.2839699317251</v>
      </c>
      <c r="D1946" s="39"/>
      <c r="E1946" s="39"/>
    </row>
    <row r="1947" spans="1:5" ht="15.6">
      <c r="A1947">
        <v>1892</v>
      </c>
      <c r="B1947" s="166">
        <v>140.04577198857169</v>
      </c>
      <c r="D1947" s="39"/>
      <c r="E1947" s="39"/>
    </row>
    <row r="1948" spans="1:5" ht="15.6">
      <c r="A1948">
        <v>1893</v>
      </c>
      <c r="B1948" s="166">
        <v>116.26828980834836</v>
      </c>
      <c r="D1948" s="39"/>
      <c r="E1948" s="39"/>
    </row>
    <row r="1949" spans="1:5" ht="15.6">
      <c r="A1949">
        <v>1894</v>
      </c>
      <c r="B1949" s="166">
        <v>145.66921673226599</v>
      </c>
      <c r="D1949" s="39"/>
      <c r="E1949" s="39"/>
    </row>
    <row r="1950" spans="1:5" ht="15.6">
      <c r="A1950">
        <v>1895</v>
      </c>
      <c r="B1950" s="166">
        <v>104.68416385423042</v>
      </c>
      <c r="D1950" s="39"/>
      <c r="E1950" s="39"/>
    </row>
    <row r="1951" spans="1:5" ht="15.6">
      <c r="A1951">
        <v>1896</v>
      </c>
      <c r="B1951" s="166">
        <v>162.22258747048915</v>
      </c>
      <c r="D1951" s="39"/>
      <c r="E1951" s="39"/>
    </row>
    <row r="1952" spans="1:5" ht="15.6">
      <c r="A1952">
        <v>1897</v>
      </c>
      <c r="B1952" s="166">
        <v>137.34796963054882</v>
      </c>
      <c r="D1952" s="39"/>
      <c r="E1952" s="39"/>
    </row>
    <row r="1953" spans="1:5" ht="15.6">
      <c r="A1953">
        <v>1898</v>
      </c>
      <c r="B1953" s="166">
        <v>99.187441010008342</v>
      </c>
      <c r="D1953" s="39"/>
      <c r="E1953" s="39"/>
    </row>
    <row r="1954" spans="1:5" ht="15.6">
      <c r="A1954">
        <v>1899</v>
      </c>
      <c r="B1954" s="166">
        <v>66.074325067363176</v>
      </c>
      <c r="D1954" s="39"/>
      <c r="E1954" s="39"/>
    </row>
    <row r="1955" spans="1:5" ht="15.6">
      <c r="A1955">
        <v>1900</v>
      </c>
      <c r="B1955" s="166">
        <v>96.735633809352876</v>
      </c>
      <c r="D1955" s="39"/>
      <c r="E1955" s="39"/>
    </row>
    <row r="1956" spans="1:5" ht="15.6">
      <c r="A1956">
        <v>1901</v>
      </c>
      <c r="B1956" s="166">
        <v>123.06461807885348</v>
      </c>
      <c r="D1956" s="39"/>
      <c r="E1956" s="39"/>
    </row>
    <row r="1957" spans="1:5" ht="15.6">
      <c r="A1957">
        <v>1902</v>
      </c>
      <c r="B1957" s="166">
        <v>89.817263008882549</v>
      </c>
      <c r="D1957" s="39"/>
      <c r="E1957" s="39"/>
    </row>
    <row r="1958" spans="1:5" ht="15.6">
      <c r="A1958">
        <v>1903</v>
      </c>
      <c r="B1958" s="166">
        <v>171.86510001672374</v>
      </c>
      <c r="D1958" s="39"/>
      <c r="E1958" s="39"/>
    </row>
    <row r="1959" spans="1:5" ht="15.6">
      <c r="A1959">
        <v>1904</v>
      </c>
      <c r="B1959" s="166">
        <v>88.495906247895576</v>
      </c>
      <c r="D1959" s="39"/>
      <c r="E1959" s="39"/>
    </row>
    <row r="1960" spans="1:5" ht="15.6">
      <c r="A1960">
        <v>1905</v>
      </c>
      <c r="B1960" s="166">
        <v>117.35455695624748</v>
      </c>
      <c r="D1960" s="39"/>
      <c r="E1960" s="39"/>
    </row>
    <row r="1961" spans="1:5" ht="15.6">
      <c r="A1961">
        <v>1906</v>
      </c>
      <c r="B1961" s="166">
        <v>120.5480637229016</v>
      </c>
      <c r="D1961" s="39"/>
      <c r="E1961" s="39"/>
    </row>
    <row r="1962" spans="1:5" ht="15.6">
      <c r="A1962">
        <v>1907</v>
      </c>
      <c r="B1962" s="166">
        <v>75.095955764148215</v>
      </c>
      <c r="D1962" s="39"/>
      <c r="E1962" s="39"/>
    </row>
    <row r="1963" spans="1:5" ht="15.6">
      <c r="A1963">
        <v>1908</v>
      </c>
      <c r="B1963" s="166">
        <v>70.123604540807207</v>
      </c>
      <c r="D1963" s="39"/>
      <c r="E1963" s="39"/>
    </row>
    <row r="1964" spans="1:5" ht="15.6">
      <c r="A1964">
        <v>1909</v>
      </c>
      <c r="B1964" s="166">
        <v>137.65889737172404</v>
      </c>
      <c r="D1964" s="39"/>
      <c r="E1964" s="39"/>
    </row>
    <row r="1965" spans="1:5" ht="15.6">
      <c r="A1965">
        <v>1910</v>
      </c>
      <c r="B1965" s="166">
        <v>92.600397109254303</v>
      </c>
      <c r="D1965" s="39"/>
      <c r="E1965" s="39"/>
    </row>
    <row r="1966" spans="1:5" ht="15.6">
      <c r="A1966">
        <v>1911</v>
      </c>
      <c r="B1966" s="166">
        <v>165.59341819521097</v>
      </c>
      <c r="D1966" s="39"/>
      <c r="E1966" s="39"/>
    </row>
    <row r="1967" spans="1:5" ht="15.6">
      <c r="A1967">
        <v>1912</v>
      </c>
      <c r="B1967" s="166">
        <v>83.421750279802012</v>
      </c>
      <c r="D1967" s="39"/>
      <c r="E1967" s="39"/>
    </row>
    <row r="1968" spans="1:5" ht="15.6">
      <c r="A1968">
        <v>1913</v>
      </c>
      <c r="B1968" s="166">
        <v>117.29207843765779</v>
      </c>
      <c r="D1968" s="39"/>
      <c r="E1968" s="39"/>
    </row>
    <row r="1969" spans="1:5" ht="15.6">
      <c r="A1969">
        <v>1914</v>
      </c>
      <c r="B1969" s="166">
        <v>116.29015573331205</v>
      </c>
      <c r="D1969" s="39"/>
      <c r="E1969" s="39"/>
    </row>
    <row r="1970" spans="1:5" ht="15.6">
      <c r="A1970">
        <v>1915</v>
      </c>
      <c r="B1970" s="166">
        <v>84.801575741550266</v>
      </c>
      <c r="D1970" s="39"/>
      <c r="E1970" s="39"/>
    </row>
    <row r="1971" spans="1:5" ht="15.6">
      <c r="A1971">
        <v>1916</v>
      </c>
      <c r="B1971" s="166">
        <v>96.555736277516516</v>
      </c>
      <c r="D1971" s="39"/>
      <c r="E1971" s="39"/>
    </row>
    <row r="1972" spans="1:5" ht="15.6">
      <c r="A1972">
        <v>1917</v>
      </c>
      <c r="B1972" s="166">
        <v>69.017842058811667</v>
      </c>
      <c r="D1972" s="39"/>
      <c r="E1972" s="39"/>
    </row>
    <row r="1973" spans="1:5" ht="15.6">
      <c r="A1973">
        <v>1918</v>
      </c>
      <c r="B1973" s="166">
        <v>167.66523264837858</v>
      </c>
      <c r="D1973" s="39"/>
      <c r="E1973" s="39"/>
    </row>
    <row r="1974" spans="1:5" ht="15.6">
      <c r="A1974">
        <v>1919</v>
      </c>
      <c r="B1974" s="166">
        <v>59.709850992729557</v>
      </c>
      <c r="D1974" s="39"/>
      <c r="E1974" s="39"/>
    </row>
    <row r="1975" spans="1:5" ht="15.6">
      <c r="A1975">
        <v>1920</v>
      </c>
      <c r="B1975" s="166">
        <v>145.17263703392055</v>
      </c>
      <c r="D1975" s="39"/>
      <c r="E1975" s="39"/>
    </row>
    <row r="1976" spans="1:5" ht="15.6">
      <c r="A1976">
        <v>1921</v>
      </c>
      <c r="B1976" s="166">
        <v>117.92914686181328</v>
      </c>
      <c r="D1976" s="39"/>
      <c r="E1976" s="39"/>
    </row>
    <row r="1977" spans="1:5" ht="15.6">
      <c r="A1977">
        <v>1922</v>
      </c>
      <c r="B1977" s="166">
        <v>110.5965793777669</v>
      </c>
      <c r="D1977" s="39"/>
      <c r="E1977" s="39"/>
    </row>
    <row r="1978" spans="1:5" ht="15.6">
      <c r="A1978">
        <v>1923</v>
      </c>
      <c r="B1978" s="166">
        <v>111.93223252820478</v>
      </c>
      <c r="D1978" s="39"/>
      <c r="E1978" s="39"/>
    </row>
    <row r="1979" spans="1:5" ht="15.6">
      <c r="A1979">
        <v>1924</v>
      </c>
      <c r="B1979" s="166">
        <v>115.00333982141576</v>
      </c>
      <c r="D1979" s="39"/>
      <c r="E1979" s="39"/>
    </row>
    <row r="1980" spans="1:5" ht="15.6">
      <c r="A1980">
        <v>1925</v>
      </c>
      <c r="B1980" s="166">
        <v>86.932807524940117</v>
      </c>
      <c r="D1980" s="39"/>
      <c r="E1980" s="39"/>
    </row>
    <row r="1981" spans="1:5" ht="15.6">
      <c r="A1981">
        <v>1926</v>
      </c>
      <c r="B1981" s="166">
        <v>130.99928127421822</v>
      </c>
      <c r="D1981" s="39"/>
      <c r="E1981" s="39"/>
    </row>
    <row r="1982" spans="1:5" ht="15.6">
      <c r="A1982">
        <v>1927</v>
      </c>
      <c r="B1982" s="166">
        <v>73.95238378682977</v>
      </c>
      <c r="D1982" s="39"/>
      <c r="E1982" s="39"/>
    </row>
    <row r="1983" spans="1:5" ht="15.6">
      <c r="A1983">
        <v>1928</v>
      </c>
      <c r="B1983" s="166">
        <v>52.351073978064044</v>
      </c>
      <c r="D1983" s="39"/>
      <c r="E1983" s="39"/>
    </row>
    <row r="1984" spans="1:5" ht="15.6">
      <c r="A1984">
        <v>1929</v>
      </c>
      <c r="B1984" s="166">
        <v>73.117491158458677</v>
      </c>
      <c r="D1984" s="39"/>
      <c r="E1984" s="39"/>
    </row>
    <row r="1985" spans="1:5" ht="15.6">
      <c r="A1985">
        <v>1930</v>
      </c>
      <c r="B1985" s="166">
        <v>137.58650930199195</v>
      </c>
      <c r="D1985" s="39"/>
      <c r="E1985" s="39"/>
    </row>
    <row r="1986" spans="1:5" ht="15.6">
      <c r="A1986">
        <v>1931</v>
      </c>
      <c r="B1986" s="166">
        <v>126.17531566820199</v>
      </c>
      <c r="D1986" s="39"/>
      <c r="E1986" s="39"/>
    </row>
    <row r="1987" spans="1:5" ht="15.6">
      <c r="A1987">
        <v>1932</v>
      </c>
      <c r="B1987" s="166">
        <v>89.905078573397716</v>
      </c>
      <c r="D1987" s="39"/>
      <c r="E1987" s="39"/>
    </row>
    <row r="1988" spans="1:5" ht="15.6">
      <c r="A1988">
        <v>1933</v>
      </c>
      <c r="B1988" s="166">
        <v>105.32410893475925</v>
      </c>
      <c r="D1988" s="39"/>
      <c r="E1988" s="39"/>
    </row>
    <row r="1989" spans="1:5" ht="15.6">
      <c r="A1989">
        <v>1934</v>
      </c>
      <c r="B1989" s="166">
        <v>119.21498678850254</v>
      </c>
      <c r="D1989" s="39"/>
      <c r="E1989" s="39"/>
    </row>
    <row r="1990" spans="1:5" ht="15.6">
      <c r="A1990">
        <v>1935</v>
      </c>
      <c r="B1990" s="166">
        <v>125.03947326572013</v>
      </c>
      <c r="D1990" s="39"/>
      <c r="E1990" s="39"/>
    </row>
    <row r="1991" spans="1:5" ht="15.6">
      <c r="A1991">
        <v>1936</v>
      </c>
      <c r="B1991" s="166">
        <v>65.137783232137338</v>
      </c>
      <c r="D1991" s="39"/>
      <c r="E1991" s="39"/>
    </row>
    <row r="1992" spans="1:5" ht="15.6">
      <c r="A1992">
        <v>1937</v>
      </c>
      <c r="B1992" s="166">
        <v>88.761683262607306</v>
      </c>
      <c r="D1992" s="39"/>
      <c r="E1992" s="39"/>
    </row>
    <row r="1993" spans="1:5" ht="15.6">
      <c r="A1993">
        <v>1938</v>
      </c>
      <c r="B1993" s="166">
        <v>77.830701195685023</v>
      </c>
      <c r="D1993" s="39"/>
      <c r="E1993" s="39"/>
    </row>
    <row r="1994" spans="1:5" ht="15.6">
      <c r="A1994">
        <v>1939</v>
      </c>
      <c r="B1994" s="166">
        <v>126.74305155622581</v>
      </c>
      <c r="D1994" s="39"/>
      <c r="E1994" s="39"/>
    </row>
    <row r="1995" spans="1:5" ht="15.6">
      <c r="A1995">
        <v>1940</v>
      </c>
      <c r="B1995" s="166">
        <v>174.79524061784909</v>
      </c>
      <c r="D1995" s="39"/>
      <c r="E1995" s="39"/>
    </row>
    <row r="1996" spans="1:5" ht="15.6">
      <c r="A1996">
        <v>1941</v>
      </c>
      <c r="B1996" s="166">
        <v>181.22910590012768</v>
      </c>
      <c r="D1996" s="39"/>
      <c r="E1996" s="39"/>
    </row>
    <row r="1997" spans="1:5" ht="15.6">
      <c r="A1997">
        <v>1942</v>
      </c>
      <c r="B1997" s="166">
        <v>121.86582124618903</v>
      </c>
      <c r="D1997" s="39"/>
      <c r="E1997" s="39"/>
    </row>
    <row r="1998" spans="1:5" ht="15.6">
      <c r="A1998">
        <v>1943</v>
      </c>
      <c r="B1998" s="166">
        <v>63.520090745508291</v>
      </c>
      <c r="D1998" s="39"/>
      <c r="E1998" s="39"/>
    </row>
    <row r="1999" spans="1:5" ht="15.6">
      <c r="A1999">
        <v>1944</v>
      </c>
      <c r="B1999" s="166">
        <v>196.4115841351898</v>
      </c>
      <c r="D1999" s="39"/>
      <c r="E1999" s="39"/>
    </row>
    <row r="2000" spans="1:5" ht="15.6">
      <c r="A2000">
        <v>1945</v>
      </c>
      <c r="B2000" s="166">
        <v>103.12960308756085</v>
      </c>
      <c r="D2000" s="39"/>
      <c r="E2000" s="39"/>
    </row>
    <row r="2001" spans="1:5" ht="15.6">
      <c r="A2001">
        <v>1946</v>
      </c>
      <c r="B2001" s="166">
        <v>58.734470649763558</v>
      </c>
      <c r="D2001" s="39"/>
      <c r="E2001" s="39"/>
    </row>
    <row r="2002" spans="1:5" ht="15.6">
      <c r="A2002">
        <v>1947</v>
      </c>
      <c r="B2002" s="166">
        <v>70.312203893379049</v>
      </c>
      <c r="D2002" s="39"/>
      <c r="E2002" s="39"/>
    </row>
    <row r="2003" spans="1:5" ht="15.6">
      <c r="A2003">
        <v>1948</v>
      </c>
      <c r="B2003" s="166">
        <v>110.17304583019926</v>
      </c>
      <c r="D2003" s="39"/>
      <c r="E2003" s="39"/>
    </row>
    <row r="2004" spans="1:5" ht="15.6">
      <c r="A2004">
        <v>1949</v>
      </c>
      <c r="B2004" s="166">
        <v>115.52103915455852</v>
      </c>
      <c r="D2004" s="39"/>
      <c r="E2004" s="39"/>
    </row>
    <row r="2005" spans="1:5" ht="15.6">
      <c r="A2005">
        <v>1950</v>
      </c>
      <c r="B2005" s="166">
        <v>194.51104698399902</v>
      </c>
      <c r="D2005" s="39"/>
      <c r="E2005" s="39"/>
    </row>
    <row r="2006" spans="1:5" ht="15.6">
      <c r="A2006">
        <v>1951</v>
      </c>
      <c r="B2006" s="166">
        <v>148.9370941053397</v>
      </c>
      <c r="D2006" s="39"/>
      <c r="E2006" s="39"/>
    </row>
    <row r="2007" spans="1:5" ht="15.6">
      <c r="A2007">
        <v>1952</v>
      </c>
      <c r="B2007" s="166">
        <v>60.792233047178414</v>
      </c>
      <c r="D2007" s="39"/>
      <c r="E2007" s="39"/>
    </row>
    <row r="2008" spans="1:5" ht="15.6">
      <c r="A2008">
        <v>1953</v>
      </c>
      <c r="B2008" s="166">
        <v>86.594817287618511</v>
      </c>
      <c r="D2008" s="39"/>
      <c r="E2008" s="39"/>
    </row>
    <row r="2009" spans="1:5" ht="15.6">
      <c r="A2009">
        <v>1954</v>
      </c>
      <c r="B2009" s="166">
        <v>108.73974672166868</v>
      </c>
      <c r="D2009" s="39"/>
      <c r="E2009" s="39"/>
    </row>
    <row r="2010" spans="1:5" ht="15.6">
      <c r="A2010">
        <v>1955</v>
      </c>
      <c r="B2010" s="166">
        <v>124.17714957370769</v>
      </c>
      <c r="D2010" s="39"/>
      <c r="E2010" s="39"/>
    </row>
    <row r="2011" spans="1:5" ht="15.6">
      <c r="A2011">
        <v>1956</v>
      </c>
      <c r="B2011" s="166">
        <v>94.380751885162169</v>
      </c>
      <c r="D2011" s="39"/>
      <c r="E2011" s="39"/>
    </row>
    <row r="2012" spans="1:5" ht="15.6">
      <c r="A2012">
        <v>1957</v>
      </c>
      <c r="B2012" s="166">
        <v>107.23959633899767</v>
      </c>
      <c r="D2012" s="39"/>
      <c r="E2012" s="39"/>
    </row>
    <row r="2013" spans="1:5" ht="15.6">
      <c r="A2013">
        <v>1958</v>
      </c>
      <c r="B2013" s="166">
        <v>83.498808925130646</v>
      </c>
      <c r="D2013" s="39"/>
      <c r="E2013" s="39"/>
    </row>
    <row r="2014" spans="1:5" ht="15.6">
      <c r="A2014">
        <v>1959</v>
      </c>
      <c r="B2014" s="166">
        <v>109.7593250952516</v>
      </c>
      <c r="D2014" s="39"/>
      <c r="E2014" s="39"/>
    </row>
    <row r="2015" spans="1:5" ht="15.6">
      <c r="A2015">
        <v>1960</v>
      </c>
      <c r="B2015" s="166">
        <v>106.81259289535683</v>
      </c>
      <c r="D2015" s="39"/>
      <c r="E2015" s="39"/>
    </row>
    <row r="2016" spans="1:5" ht="15.6">
      <c r="A2016">
        <v>1961</v>
      </c>
      <c r="B2016" s="166">
        <v>109.01169769179931</v>
      </c>
      <c r="D2016" s="39"/>
      <c r="E2016" s="39"/>
    </row>
    <row r="2017" spans="1:5" ht="15.6">
      <c r="A2017">
        <v>1962</v>
      </c>
      <c r="B2017" s="166">
        <v>79.385561184231861</v>
      </c>
      <c r="D2017" s="39"/>
      <c r="E2017" s="39"/>
    </row>
    <row r="2018" spans="1:5" ht="15.6">
      <c r="A2018">
        <v>1963</v>
      </c>
      <c r="B2018" s="166">
        <v>102.18037421950478</v>
      </c>
      <c r="D2018" s="39"/>
      <c r="E2018" s="39"/>
    </row>
    <row r="2019" spans="1:5" ht="15.6">
      <c r="A2019">
        <v>1964</v>
      </c>
      <c r="B2019" s="166">
        <v>201.65653618841986</v>
      </c>
      <c r="D2019" s="39"/>
      <c r="E2019" s="39"/>
    </row>
    <row r="2020" spans="1:5" ht="15.6">
      <c r="A2020">
        <v>1965</v>
      </c>
      <c r="B2020" s="166">
        <v>106.2508771852515</v>
      </c>
      <c r="D2020" s="39"/>
      <c r="E2020" s="39"/>
    </row>
    <row r="2021" spans="1:5" ht="15.6">
      <c r="A2021">
        <v>1966</v>
      </c>
      <c r="B2021" s="166">
        <v>48.785278893516683</v>
      </c>
      <c r="D2021" s="39"/>
      <c r="E2021" s="39"/>
    </row>
    <row r="2022" spans="1:5" ht="15.6">
      <c r="A2022">
        <v>1967</v>
      </c>
      <c r="B2022" s="166">
        <v>77.387077613497254</v>
      </c>
      <c r="D2022" s="39"/>
      <c r="E2022" s="39"/>
    </row>
    <row r="2023" spans="1:5" ht="15.6">
      <c r="A2023">
        <v>1968</v>
      </c>
      <c r="B2023" s="166">
        <v>145.78746247417808</v>
      </c>
      <c r="D2023" s="39"/>
      <c r="E2023" s="39"/>
    </row>
    <row r="2024" spans="1:5" ht="15.6">
      <c r="A2024">
        <v>1969</v>
      </c>
      <c r="B2024" s="166">
        <v>182.3076384729145</v>
      </c>
      <c r="D2024" s="39"/>
      <c r="E2024" s="39"/>
    </row>
    <row r="2025" spans="1:5" ht="15.6">
      <c r="A2025">
        <v>1970</v>
      </c>
      <c r="B2025" s="166">
        <v>84.422052350846329</v>
      </c>
      <c r="D2025" s="39"/>
      <c r="E2025" s="39"/>
    </row>
    <row r="2026" spans="1:5" ht="15.6">
      <c r="A2026">
        <v>1971</v>
      </c>
      <c r="B2026" s="166">
        <v>210.90529711947227</v>
      </c>
      <c r="D2026" s="39"/>
      <c r="E2026" s="39"/>
    </row>
    <row r="2027" spans="1:5" ht="15.6">
      <c r="A2027">
        <v>1972</v>
      </c>
      <c r="B2027" s="166">
        <v>68.898407478528085</v>
      </c>
      <c r="D2027" s="39"/>
      <c r="E2027" s="39"/>
    </row>
    <row r="2028" spans="1:5" ht="15.6">
      <c r="A2028">
        <v>1973</v>
      </c>
      <c r="B2028" s="166">
        <v>94.873709207954363</v>
      </c>
      <c r="D2028" s="39"/>
      <c r="E2028" s="39"/>
    </row>
    <row r="2029" spans="1:5" ht="15.6">
      <c r="A2029">
        <v>1974</v>
      </c>
      <c r="B2029" s="166">
        <v>188.29837706625682</v>
      </c>
      <c r="D2029" s="39"/>
      <c r="E2029" s="39"/>
    </row>
    <row r="2030" spans="1:5" ht="15.6">
      <c r="A2030">
        <v>1975</v>
      </c>
      <c r="B2030" s="166">
        <v>101.5598143935898</v>
      </c>
      <c r="D2030" s="39"/>
      <c r="E2030" s="39"/>
    </row>
    <row r="2031" spans="1:5" ht="15.6">
      <c r="A2031">
        <v>1976</v>
      </c>
      <c r="B2031" s="166">
        <v>114.44713821792358</v>
      </c>
      <c r="D2031" s="39"/>
      <c r="E2031" s="39"/>
    </row>
    <row r="2032" spans="1:5" ht="15.6">
      <c r="A2032">
        <v>1977</v>
      </c>
      <c r="B2032" s="166">
        <v>125.54378259488631</v>
      </c>
      <c r="D2032" s="39"/>
      <c r="E2032" s="39"/>
    </row>
    <row r="2033" spans="1:5" ht="15.6">
      <c r="A2033">
        <v>1978</v>
      </c>
      <c r="B2033" s="166">
        <v>93.302802020889843</v>
      </c>
      <c r="D2033" s="39"/>
      <c r="E2033" s="39"/>
    </row>
    <row r="2034" spans="1:5" ht="15.6">
      <c r="A2034">
        <v>1979</v>
      </c>
      <c r="B2034" s="166">
        <v>68.294589788507892</v>
      </c>
      <c r="D2034" s="39"/>
      <c r="E2034" s="39"/>
    </row>
    <row r="2035" spans="1:5" ht="15.6">
      <c r="A2035">
        <v>1980</v>
      </c>
      <c r="B2035" s="166">
        <v>94.307801427824984</v>
      </c>
      <c r="D2035" s="39"/>
      <c r="E2035" s="39"/>
    </row>
    <row r="2036" spans="1:5" ht="15.6">
      <c r="A2036">
        <v>1981</v>
      </c>
      <c r="B2036" s="166">
        <v>57.837099378587162</v>
      </c>
      <c r="D2036" s="39"/>
      <c r="E2036" s="39"/>
    </row>
    <row r="2037" spans="1:5" ht="15.6">
      <c r="A2037">
        <v>1982</v>
      </c>
      <c r="B2037" s="166">
        <v>90.362978263552733</v>
      </c>
      <c r="D2037" s="39"/>
      <c r="E2037" s="39"/>
    </row>
    <row r="2038" spans="1:5" ht="15.6">
      <c r="A2038">
        <v>1983</v>
      </c>
      <c r="B2038" s="166">
        <v>89.961712596144309</v>
      </c>
      <c r="D2038" s="39"/>
      <c r="E2038" s="39"/>
    </row>
    <row r="2039" spans="1:5" ht="15.6">
      <c r="A2039">
        <v>1984</v>
      </c>
      <c r="B2039" s="166">
        <v>82.854207012127716</v>
      </c>
      <c r="D2039" s="39"/>
      <c r="E2039" s="39"/>
    </row>
    <row r="2040" spans="1:5" ht="15.6">
      <c r="A2040">
        <v>1985</v>
      </c>
      <c r="B2040" s="166">
        <v>153.36135322173297</v>
      </c>
      <c r="D2040" s="39"/>
      <c r="E2040" s="39"/>
    </row>
    <row r="2041" spans="1:5" ht="15.6">
      <c r="A2041">
        <v>1986</v>
      </c>
      <c r="B2041" s="166">
        <v>127.78175064824168</v>
      </c>
      <c r="D2041" s="39"/>
      <c r="E2041" s="39"/>
    </row>
    <row r="2042" spans="1:5" ht="15.6">
      <c r="A2042">
        <v>1987</v>
      </c>
      <c r="B2042" s="166">
        <v>110.51657944934738</v>
      </c>
      <c r="D2042" s="39"/>
      <c r="E2042" s="39"/>
    </row>
    <row r="2043" spans="1:5" ht="15.6">
      <c r="A2043">
        <v>1988</v>
      </c>
      <c r="B2043" s="166">
        <v>83.204112407570037</v>
      </c>
      <c r="D2043" s="39"/>
      <c r="E2043" s="39"/>
    </row>
    <row r="2044" spans="1:5" ht="15.6">
      <c r="A2044">
        <v>1989</v>
      </c>
      <c r="B2044" s="166">
        <v>140.25678751602214</v>
      </c>
      <c r="D2044" s="39"/>
      <c r="E2044" s="39"/>
    </row>
    <row r="2045" spans="1:5" ht="15.6">
      <c r="A2045">
        <v>1990</v>
      </c>
      <c r="B2045" s="166">
        <v>72.139400759072203</v>
      </c>
      <c r="D2045" s="39"/>
      <c r="E2045" s="39"/>
    </row>
    <row r="2046" spans="1:5" ht="15.6">
      <c r="A2046">
        <v>1991</v>
      </c>
      <c r="B2046" s="166">
        <v>117.32742140115346</v>
      </c>
      <c r="D2046" s="39"/>
      <c r="E2046" s="39"/>
    </row>
    <row r="2047" spans="1:5" ht="15.6">
      <c r="A2047">
        <v>1992</v>
      </c>
      <c r="B2047" s="166">
        <v>137.89545397211941</v>
      </c>
      <c r="D2047" s="39"/>
      <c r="E2047" s="39"/>
    </row>
    <row r="2048" spans="1:5" ht="15.6">
      <c r="A2048">
        <v>1993</v>
      </c>
      <c r="B2048" s="166">
        <v>101.27328489817785</v>
      </c>
      <c r="D2048" s="39"/>
      <c r="E2048" s="39"/>
    </row>
    <row r="2049" spans="1:5" ht="15.6">
      <c r="A2049">
        <v>1994</v>
      </c>
      <c r="B2049" s="166">
        <v>50.765153451170775</v>
      </c>
      <c r="D2049" s="39"/>
      <c r="E2049" s="39"/>
    </row>
    <row r="2050" spans="1:5" ht="15.6">
      <c r="A2050">
        <v>1995</v>
      </c>
      <c r="B2050" s="166">
        <v>112.24671991616238</v>
      </c>
      <c r="D2050" s="39"/>
      <c r="E2050" s="39"/>
    </row>
    <row r="2051" spans="1:5" ht="15.6">
      <c r="A2051">
        <v>1996</v>
      </c>
      <c r="B2051" s="166">
        <v>194.83460069149811</v>
      </c>
      <c r="D2051" s="39"/>
      <c r="E2051" s="39"/>
    </row>
    <row r="2052" spans="1:5" ht="15.6">
      <c r="A2052">
        <v>1997</v>
      </c>
      <c r="B2052" s="166">
        <v>63.192327643308886</v>
      </c>
      <c r="D2052" s="39"/>
      <c r="E2052" s="39"/>
    </row>
    <row r="2053" spans="1:5" ht="15.6">
      <c r="A2053">
        <v>1998</v>
      </c>
      <c r="B2053" s="166">
        <v>146.99087881880789</v>
      </c>
      <c r="D2053" s="39"/>
      <c r="E2053" s="39"/>
    </row>
    <row r="2054" spans="1:5" ht="15.6">
      <c r="A2054">
        <v>1999</v>
      </c>
      <c r="B2054" s="166">
        <v>54.846866483323531</v>
      </c>
      <c r="D2054" s="39"/>
      <c r="E2054" s="39"/>
    </row>
    <row r="2055" spans="1:5" ht="15.6">
      <c r="A2055">
        <v>2000</v>
      </c>
      <c r="B2055" s="166">
        <v>80.981179649986174</v>
      </c>
      <c r="D2055" s="39"/>
      <c r="E2055" s="39"/>
    </row>
    <row r="2056" spans="1:5" ht="15.6">
      <c r="A2056">
        <v>2001</v>
      </c>
      <c r="B2056" s="166">
        <v>80.863356391730036</v>
      </c>
      <c r="D2056" s="39"/>
      <c r="E2056" s="39"/>
    </row>
    <row r="2057" spans="1:5" ht="15.6">
      <c r="A2057">
        <v>2002</v>
      </c>
      <c r="B2057" s="166">
        <v>133.85043133043933</v>
      </c>
      <c r="D2057" s="39"/>
      <c r="E2057" s="39"/>
    </row>
    <row r="2058" spans="1:5" ht="15.6">
      <c r="A2058">
        <v>2003</v>
      </c>
      <c r="B2058" s="166">
        <v>101.92523426623391</v>
      </c>
      <c r="D2058" s="39"/>
      <c r="E2058" s="39"/>
    </row>
    <row r="2059" spans="1:5" ht="15.6">
      <c r="A2059">
        <v>2004</v>
      </c>
      <c r="B2059" s="166">
        <v>60.498813362740378</v>
      </c>
      <c r="D2059" s="39"/>
      <c r="E2059" s="39"/>
    </row>
    <row r="2060" spans="1:5" ht="15.6">
      <c r="A2060">
        <v>2005</v>
      </c>
      <c r="B2060" s="166">
        <v>164.79011587948978</v>
      </c>
      <c r="D2060" s="39"/>
      <c r="E2060" s="39"/>
    </row>
    <row r="2061" spans="1:5" ht="15.6">
      <c r="A2061">
        <v>2006</v>
      </c>
      <c r="B2061" s="166">
        <v>151.46827217284525</v>
      </c>
      <c r="D2061" s="39"/>
      <c r="E2061" s="39"/>
    </row>
    <row r="2062" spans="1:5" ht="15.6">
      <c r="A2062">
        <v>2007</v>
      </c>
      <c r="B2062" s="166">
        <v>49.989741183611976</v>
      </c>
      <c r="D2062" s="39"/>
      <c r="E2062" s="39"/>
    </row>
    <row r="2063" spans="1:5" ht="15.6">
      <c r="A2063">
        <v>2008</v>
      </c>
      <c r="B2063" s="166">
        <v>80.791823446033945</v>
      </c>
      <c r="D2063" s="39"/>
      <c r="E2063" s="39"/>
    </row>
    <row r="2064" spans="1:5" ht="15.6">
      <c r="A2064">
        <v>2009</v>
      </c>
      <c r="B2064" s="166">
        <v>185.68877625917312</v>
      </c>
      <c r="D2064" s="39"/>
      <c r="E2064" s="39"/>
    </row>
    <row r="2065" spans="1:5" ht="15.6">
      <c r="A2065">
        <v>2010</v>
      </c>
      <c r="B2065" s="166">
        <v>76.07609682229814</v>
      </c>
      <c r="D2065" s="39"/>
      <c r="E2065" s="39"/>
    </row>
    <row r="2066" spans="1:5" ht="15.6">
      <c r="A2066">
        <v>2011</v>
      </c>
      <c r="B2066" s="166">
        <v>109.42189109001691</v>
      </c>
      <c r="D2066" s="39"/>
      <c r="E2066" s="39"/>
    </row>
    <row r="2067" spans="1:5" ht="15.6">
      <c r="A2067">
        <v>2012</v>
      </c>
      <c r="B2067" s="166">
        <v>104.67828565109387</v>
      </c>
      <c r="D2067" s="39"/>
      <c r="E2067" s="39"/>
    </row>
    <row r="2068" spans="1:5" ht="15.6">
      <c r="A2068">
        <v>2013</v>
      </c>
      <c r="B2068" s="166">
        <v>121.66135100991522</v>
      </c>
      <c r="D2068" s="39"/>
      <c r="E2068" s="39"/>
    </row>
    <row r="2069" spans="1:5" ht="15.6">
      <c r="A2069">
        <v>2014</v>
      </c>
      <c r="B2069" s="166">
        <v>139.22057775117571</v>
      </c>
      <c r="D2069" s="39"/>
      <c r="E2069" s="39"/>
    </row>
    <row r="2070" spans="1:5" ht="15.6">
      <c r="A2070">
        <v>2015</v>
      </c>
      <c r="B2070" s="166">
        <v>99.802513600811267</v>
      </c>
      <c r="D2070" s="39"/>
      <c r="E2070" s="39"/>
    </row>
    <row r="2071" spans="1:5" ht="15.6">
      <c r="A2071">
        <v>2016</v>
      </c>
      <c r="B2071" s="166">
        <v>122.80976558821965</v>
      </c>
      <c r="D2071" s="39"/>
      <c r="E2071" s="39"/>
    </row>
    <row r="2072" spans="1:5" ht="15.6">
      <c r="A2072">
        <v>2017</v>
      </c>
      <c r="B2072" s="166">
        <v>79.558800511922925</v>
      </c>
      <c r="D2072" s="39"/>
      <c r="E2072" s="39"/>
    </row>
    <row r="2073" spans="1:5" ht="15.6">
      <c r="A2073">
        <v>2018</v>
      </c>
      <c r="B2073" s="166">
        <v>97.102793285135277</v>
      </c>
      <c r="D2073" s="39"/>
      <c r="E2073" s="39"/>
    </row>
    <row r="2074" spans="1:5" ht="15.6">
      <c r="A2074">
        <v>2019</v>
      </c>
      <c r="B2074" s="166">
        <v>78.887944815446474</v>
      </c>
      <c r="D2074" s="39"/>
      <c r="E2074" s="39"/>
    </row>
    <row r="2075" spans="1:5" ht="15.6">
      <c r="A2075">
        <v>2020</v>
      </c>
      <c r="B2075" s="166">
        <v>117.42071990677431</v>
      </c>
      <c r="D2075" s="39"/>
      <c r="E2075" s="39"/>
    </row>
    <row r="2076" spans="1:5" ht="15.6">
      <c r="A2076">
        <v>2021</v>
      </c>
      <c r="B2076" s="166">
        <v>181.50118068318073</v>
      </c>
      <c r="D2076" s="39"/>
      <c r="E2076" s="39"/>
    </row>
    <row r="2077" spans="1:5" ht="15.6">
      <c r="A2077">
        <v>2022</v>
      </c>
      <c r="B2077" s="166">
        <v>123.85612309281574</v>
      </c>
      <c r="D2077" s="39"/>
      <c r="E2077" s="39"/>
    </row>
    <row r="2078" spans="1:5" ht="15.6">
      <c r="A2078">
        <v>2023</v>
      </c>
      <c r="B2078" s="166">
        <v>163.18050465603696</v>
      </c>
      <c r="D2078" s="39"/>
      <c r="E2078" s="39"/>
    </row>
    <row r="2079" spans="1:5" ht="15.6">
      <c r="A2079">
        <v>2024</v>
      </c>
      <c r="B2079" s="166">
        <v>129.04476068316035</v>
      </c>
      <c r="D2079" s="39"/>
      <c r="E2079" s="39"/>
    </row>
    <row r="2080" spans="1:5" ht="15.6">
      <c r="A2080">
        <v>2025</v>
      </c>
      <c r="B2080" s="166">
        <v>149.93175473642879</v>
      </c>
      <c r="D2080" s="39"/>
      <c r="E2080" s="39"/>
    </row>
    <row r="2081" spans="1:5" ht="15.6">
      <c r="A2081">
        <v>2026</v>
      </c>
      <c r="B2081" s="166">
        <v>88.514410161632995</v>
      </c>
      <c r="D2081" s="39"/>
      <c r="E2081" s="39"/>
    </row>
    <row r="2082" spans="1:5" ht="15.6">
      <c r="A2082">
        <v>2027</v>
      </c>
      <c r="B2082" s="166">
        <v>90.330219832425584</v>
      </c>
      <c r="D2082" s="39"/>
      <c r="E2082" s="39"/>
    </row>
    <row r="2083" spans="1:5" ht="15.6">
      <c r="A2083">
        <v>2028</v>
      </c>
      <c r="B2083" s="166">
        <v>135.73232217377844</v>
      </c>
      <c r="D2083" s="39"/>
      <c r="E2083" s="39"/>
    </row>
    <row r="2084" spans="1:5" ht="15.6">
      <c r="A2084">
        <v>2029</v>
      </c>
      <c r="B2084" s="166">
        <v>126.61716100891614</v>
      </c>
      <c r="D2084" s="39"/>
      <c r="E2084" s="39"/>
    </row>
    <row r="2085" spans="1:5" ht="15.6">
      <c r="A2085">
        <v>2030</v>
      </c>
      <c r="B2085" s="166">
        <v>95.815125847100575</v>
      </c>
      <c r="D2085" s="39"/>
      <c r="E2085" s="39"/>
    </row>
    <row r="2086" spans="1:5" ht="15.6">
      <c r="A2086">
        <v>2031</v>
      </c>
      <c r="B2086" s="166">
        <v>68.397272997117142</v>
      </c>
      <c r="D2086" s="39"/>
      <c r="E2086" s="39"/>
    </row>
    <row r="2087" spans="1:5" ht="15.6">
      <c r="A2087">
        <v>2032</v>
      </c>
      <c r="B2087" s="166">
        <v>123.51674940485877</v>
      </c>
      <c r="D2087" s="39"/>
      <c r="E2087" s="39"/>
    </row>
    <row r="2088" spans="1:5" ht="15.6">
      <c r="A2088">
        <v>2033</v>
      </c>
      <c r="B2088" s="166">
        <v>148.76924469951223</v>
      </c>
      <c r="D2088" s="39"/>
      <c r="E2088" s="39"/>
    </row>
    <row r="2089" spans="1:5" ht="15.6">
      <c r="A2089">
        <v>2034</v>
      </c>
      <c r="B2089" s="166">
        <v>89.502326680485197</v>
      </c>
      <c r="D2089" s="39"/>
      <c r="E2089" s="39"/>
    </row>
    <row r="2090" spans="1:5" ht="15.6">
      <c r="A2090">
        <v>2035</v>
      </c>
      <c r="B2090" s="166">
        <v>95.994936708618127</v>
      </c>
      <c r="D2090" s="39"/>
      <c r="E2090" s="39"/>
    </row>
    <row r="2091" spans="1:5" ht="15.6">
      <c r="A2091">
        <v>2036</v>
      </c>
      <c r="B2091" s="166">
        <v>90.80722191905727</v>
      </c>
      <c r="D2091" s="39"/>
      <c r="E2091" s="39"/>
    </row>
    <row r="2092" spans="1:5" ht="15.6">
      <c r="A2092">
        <v>2037</v>
      </c>
      <c r="B2092" s="166">
        <v>83.191924889241633</v>
      </c>
      <c r="D2092" s="39"/>
      <c r="E2092" s="39"/>
    </row>
    <row r="2093" spans="1:5" ht="15.6">
      <c r="A2093">
        <v>2038</v>
      </c>
      <c r="B2093" s="166">
        <v>77.989032860902668</v>
      </c>
      <c r="D2093" s="39"/>
      <c r="E2093" s="39"/>
    </row>
    <row r="2094" spans="1:5" ht="15.6">
      <c r="A2094">
        <v>2039</v>
      </c>
      <c r="B2094" s="166">
        <v>147.03626925350608</v>
      </c>
      <c r="D2094" s="39"/>
      <c r="E2094" s="39"/>
    </row>
    <row r="2095" spans="1:5" ht="15.6">
      <c r="A2095">
        <v>2040</v>
      </c>
      <c r="B2095" s="166">
        <v>170.08964133345432</v>
      </c>
      <c r="D2095" s="39"/>
      <c r="E2095" s="39"/>
    </row>
    <row r="2096" spans="1:5" ht="15.6">
      <c r="A2096">
        <v>2041</v>
      </c>
      <c r="B2096" s="166">
        <v>101.34452978500526</v>
      </c>
      <c r="D2096" s="39"/>
      <c r="E2096" s="39"/>
    </row>
    <row r="2097" spans="1:5" ht="15.6">
      <c r="A2097">
        <v>2042</v>
      </c>
      <c r="B2097" s="166">
        <v>146.64439100130238</v>
      </c>
      <c r="D2097" s="39"/>
      <c r="E2097" s="39"/>
    </row>
    <row r="2098" spans="1:5" ht="15.6">
      <c r="A2098">
        <v>2043</v>
      </c>
      <c r="B2098" s="166">
        <v>114.93621138930475</v>
      </c>
      <c r="D2098" s="39"/>
      <c r="E2098" s="39"/>
    </row>
    <row r="2099" spans="1:5" ht="15.6">
      <c r="A2099">
        <v>2044</v>
      </c>
      <c r="B2099" s="166">
        <v>63.526374323320248</v>
      </c>
      <c r="D2099" s="39"/>
      <c r="E2099" s="39"/>
    </row>
    <row r="2100" spans="1:5" ht="15.6">
      <c r="A2100">
        <v>2045</v>
      </c>
      <c r="B2100" s="166">
        <v>92.753441431069362</v>
      </c>
      <c r="D2100" s="39"/>
      <c r="E2100" s="39"/>
    </row>
    <row r="2101" spans="1:5" ht="15.6">
      <c r="A2101">
        <v>2046</v>
      </c>
      <c r="B2101" s="166">
        <v>92.163016920583487</v>
      </c>
      <c r="D2101" s="39"/>
      <c r="E2101" s="39"/>
    </row>
    <row r="2102" spans="1:5" ht="15.6">
      <c r="A2102">
        <v>2047</v>
      </c>
      <c r="B2102" s="166">
        <v>168.20897146832036</v>
      </c>
      <c r="D2102" s="39"/>
      <c r="E2102" s="39"/>
    </row>
    <row r="2103" spans="1:5" ht="15.6">
      <c r="A2103">
        <v>2048</v>
      </c>
      <c r="B2103" s="166">
        <v>66.166158322703552</v>
      </c>
      <c r="D2103" s="39"/>
      <c r="E2103" s="39"/>
    </row>
    <row r="2104" spans="1:5" ht="15.6">
      <c r="A2104">
        <v>2049</v>
      </c>
      <c r="B2104" s="166">
        <v>100.80355629981769</v>
      </c>
      <c r="D2104" s="39"/>
      <c r="E2104" s="39"/>
    </row>
    <row r="2105" spans="1:5" ht="15.6">
      <c r="A2105">
        <v>2050</v>
      </c>
      <c r="B2105" s="166">
        <v>170.3066270674141</v>
      </c>
      <c r="D2105" s="39"/>
      <c r="E2105" s="39"/>
    </row>
    <row r="2106" spans="1:5" ht="15.6">
      <c r="A2106">
        <v>2051</v>
      </c>
      <c r="B2106" s="166">
        <v>79.051977212902855</v>
      </c>
      <c r="D2106" s="39"/>
      <c r="E2106" s="39"/>
    </row>
    <row r="2107" spans="1:5" ht="15.6">
      <c r="A2107">
        <v>2052</v>
      </c>
      <c r="B2107" s="166">
        <v>149.89694524604201</v>
      </c>
      <c r="D2107" s="39"/>
      <c r="E2107" s="39"/>
    </row>
    <row r="2108" spans="1:5" ht="15.6">
      <c r="A2108">
        <v>2053</v>
      </c>
      <c r="B2108" s="166">
        <v>140.08701978319266</v>
      </c>
      <c r="D2108" s="39"/>
      <c r="E2108" s="39"/>
    </row>
    <row r="2109" spans="1:5" ht="15.6">
      <c r="A2109">
        <v>2054</v>
      </c>
      <c r="B2109" s="166">
        <v>86.673742739536337</v>
      </c>
      <c r="D2109" s="39"/>
      <c r="E2109" s="39"/>
    </row>
    <row r="2110" spans="1:5" ht="15.6">
      <c r="A2110">
        <v>2055</v>
      </c>
      <c r="B2110" s="166">
        <v>117.70449171406403</v>
      </c>
      <c r="D2110" s="39"/>
      <c r="E2110" s="39"/>
    </row>
    <row r="2111" spans="1:5" ht="15.6">
      <c r="A2111">
        <v>2056</v>
      </c>
      <c r="B2111" s="166">
        <v>98.515511526720744</v>
      </c>
      <c r="D2111" s="39"/>
      <c r="E2111" s="39"/>
    </row>
    <row r="2112" spans="1:5" ht="15.6">
      <c r="A2112">
        <v>2057</v>
      </c>
      <c r="B2112" s="166">
        <v>148.53757122265583</v>
      </c>
      <c r="D2112" s="39"/>
      <c r="E2112" s="39"/>
    </row>
    <row r="2113" spans="1:5" ht="15.6">
      <c r="A2113">
        <v>2058</v>
      </c>
      <c r="B2113" s="166">
        <v>128.1400431630415</v>
      </c>
      <c r="D2113" s="39"/>
      <c r="E2113" s="39"/>
    </row>
    <row r="2114" spans="1:5" ht="15.6">
      <c r="A2114">
        <v>2059</v>
      </c>
      <c r="B2114" s="166">
        <v>155.70975477600834</v>
      </c>
      <c r="D2114" s="39"/>
      <c r="E2114" s="39"/>
    </row>
    <row r="2115" spans="1:5" ht="15.6">
      <c r="A2115">
        <v>2060</v>
      </c>
      <c r="B2115" s="166">
        <v>168.27332521756406</v>
      </c>
      <c r="D2115" s="39"/>
      <c r="E2115" s="39"/>
    </row>
    <row r="2116" spans="1:5" ht="15.6">
      <c r="A2116">
        <v>2061</v>
      </c>
      <c r="B2116" s="166">
        <v>95.51029614965654</v>
      </c>
      <c r="D2116" s="39"/>
      <c r="E2116" s="39"/>
    </row>
    <row r="2117" spans="1:5" ht="15.6">
      <c r="A2117">
        <v>2062</v>
      </c>
      <c r="B2117" s="166">
        <v>64.128932373384927</v>
      </c>
      <c r="D2117" s="39"/>
      <c r="E2117" s="39"/>
    </row>
    <row r="2118" spans="1:5" ht="15.6">
      <c r="A2118">
        <v>2063</v>
      </c>
      <c r="B2118" s="166">
        <v>144.04735637004779</v>
      </c>
      <c r="D2118" s="39"/>
      <c r="E2118" s="39"/>
    </row>
    <row r="2119" spans="1:5" ht="15.6">
      <c r="A2119">
        <v>2064</v>
      </c>
      <c r="B2119" s="166">
        <v>187.33047688249562</v>
      </c>
      <c r="D2119" s="39"/>
      <c r="E2119" s="39"/>
    </row>
    <row r="2120" spans="1:5" ht="15.6">
      <c r="A2120">
        <v>2065</v>
      </c>
      <c r="B2120" s="166">
        <v>175.55874624941373</v>
      </c>
      <c r="D2120" s="39"/>
      <c r="E2120" s="39"/>
    </row>
    <row r="2121" spans="1:5" ht="15.6">
      <c r="A2121">
        <v>2066</v>
      </c>
      <c r="B2121" s="166">
        <v>103.26058570857515</v>
      </c>
      <c r="D2121" s="39"/>
      <c r="E2121" s="39"/>
    </row>
    <row r="2122" spans="1:5" ht="15.6">
      <c r="A2122">
        <v>2067</v>
      </c>
      <c r="B2122" s="166">
        <v>163.02293021948645</v>
      </c>
      <c r="D2122" s="39"/>
      <c r="E2122" s="39"/>
    </row>
    <row r="2123" spans="1:5" ht="15.6">
      <c r="A2123">
        <v>2068</v>
      </c>
      <c r="B2123" s="166">
        <v>154.88885595111176</v>
      </c>
      <c r="D2123" s="39"/>
      <c r="E2123" s="39"/>
    </row>
    <row r="2124" spans="1:5" ht="15.6">
      <c r="A2124">
        <v>2069</v>
      </c>
      <c r="B2124" s="166">
        <v>150.76522201857003</v>
      </c>
      <c r="D2124" s="39"/>
      <c r="E2124" s="39"/>
    </row>
    <row r="2125" spans="1:5" ht="15.6">
      <c r="A2125">
        <v>2070</v>
      </c>
      <c r="B2125" s="166">
        <v>116.51210353956465</v>
      </c>
      <c r="D2125" s="39"/>
      <c r="E2125" s="39"/>
    </row>
    <row r="2126" spans="1:5" ht="15.6">
      <c r="A2126">
        <v>2071</v>
      </c>
      <c r="B2126" s="166">
        <v>97.812345141924467</v>
      </c>
      <c r="D2126" s="39"/>
      <c r="E2126" s="39"/>
    </row>
    <row r="2127" spans="1:5" ht="15.6">
      <c r="A2127">
        <v>2072</v>
      </c>
      <c r="B2127" s="166">
        <v>94.128620814974923</v>
      </c>
      <c r="D2127" s="39"/>
      <c r="E2127" s="39"/>
    </row>
    <row r="2128" spans="1:5" ht="15.6">
      <c r="A2128">
        <v>2073</v>
      </c>
      <c r="B2128" s="166">
        <v>78.583026726956732</v>
      </c>
      <c r="D2128" s="39"/>
      <c r="E2128" s="39"/>
    </row>
    <row r="2129" spans="1:5" ht="15.6">
      <c r="A2129">
        <v>2074</v>
      </c>
      <c r="B2129" s="166">
        <v>77.205796726142125</v>
      </c>
      <c r="D2129" s="39"/>
      <c r="E2129" s="39"/>
    </row>
    <row r="2130" spans="1:5" ht="15.6">
      <c r="A2130">
        <v>2075</v>
      </c>
      <c r="B2130" s="166">
        <v>168.92269782153062</v>
      </c>
      <c r="D2130" s="39"/>
      <c r="E2130" s="39"/>
    </row>
    <row r="2131" spans="1:5" ht="15.6">
      <c r="A2131">
        <v>2076</v>
      </c>
      <c r="B2131" s="166">
        <v>94.013181534635109</v>
      </c>
      <c r="D2131" s="39"/>
      <c r="E2131" s="39"/>
    </row>
    <row r="2132" spans="1:5" ht="15.6">
      <c r="A2132">
        <v>2077</v>
      </c>
      <c r="B2132" s="166">
        <v>119.97648102299598</v>
      </c>
      <c r="D2132" s="39"/>
      <c r="E2132" s="39"/>
    </row>
    <row r="2133" spans="1:5" ht="15.6">
      <c r="A2133">
        <v>2078</v>
      </c>
      <c r="B2133" s="166">
        <v>149.52589182093971</v>
      </c>
      <c r="D2133" s="39"/>
      <c r="E2133" s="39"/>
    </row>
    <row r="2134" spans="1:5" ht="15.6">
      <c r="A2134">
        <v>2079</v>
      </c>
      <c r="B2134" s="166">
        <v>89.649267215894469</v>
      </c>
      <c r="D2134" s="39"/>
      <c r="E2134" s="39"/>
    </row>
    <row r="2135" spans="1:5" ht="15.6">
      <c r="A2135">
        <v>2080</v>
      </c>
      <c r="B2135" s="166">
        <v>163.52846996099174</v>
      </c>
      <c r="D2135" s="39"/>
      <c r="E2135" s="39"/>
    </row>
    <row r="2136" spans="1:5" ht="15.6">
      <c r="A2136">
        <v>2081</v>
      </c>
      <c r="B2136" s="166">
        <v>84.076756722230897</v>
      </c>
      <c r="D2136" s="39"/>
      <c r="E2136" s="39"/>
    </row>
    <row r="2137" spans="1:5" ht="15.6">
      <c r="A2137">
        <v>2082</v>
      </c>
      <c r="B2137" s="166">
        <v>81.486716578868695</v>
      </c>
      <c r="D2137" s="39"/>
      <c r="E2137" s="39"/>
    </row>
    <row r="2138" spans="1:5" ht="15.6">
      <c r="A2138">
        <v>2083</v>
      </c>
      <c r="B2138" s="166">
        <v>69.954803481289105</v>
      </c>
      <c r="D2138" s="39"/>
      <c r="E2138" s="39"/>
    </row>
    <row r="2139" spans="1:5" ht="15.6">
      <c r="A2139">
        <v>2084</v>
      </c>
      <c r="B2139" s="166">
        <v>155.4109898416695</v>
      </c>
      <c r="D2139" s="39"/>
      <c r="E2139" s="39"/>
    </row>
    <row r="2140" spans="1:5" ht="15.6">
      <c r="A2140">
        <v>2085</v>
      </c>
      <c r="B2140" s="166">
        <v>124.35234357791477</v>
      </c>
      <c r="D2140" s="39"/>
      <c r="E2140" s="39"/>
    </row>
    <row r="2141" spans="1:5" ht="15.6">
      <c r="A2141">
        <v>2086</v>
      </c>
      <c r="B2141" s="166">
        <v>155.1424095129712</v>
      </c>
      <c r="D2141" s="39"/>
      <c r="E2141" s="39"/>
    </row>
    <row r="2142" spans="1:5" ht="15.6">
      <c r="A2142">
        <v>2087</v>
      </c>
      <c r="B2142" s="166">
        <v>86.658607521660358</v>
      </c>
      <c r="D2142" s="39"/>
      <c r="E2142" s="39"/>
    </row>
    <row r="2143" spans="1:5" ht="15.6">
      <c r="A2143">
        <v>2088</v>
      </c>
      <c r="B2143" s="166">
        <v>122.97112829740004</v>
      </c>
      <c r="D2143" s="39"/>
      <c r="E2143" s="39"/>
    </row>
    <row r="2144" spans="1:5" ht="15.6">
      <c r="A2144">
        <v>2089</v>
      </c>
      <c r="B2144" s="166">
        <v>86.025879472871736</v>
      </c>
      <c r="D2144" s="39"/>
      <c r="E2144" s="39"/>
    </row>
    <row r="2145" spans="1:5" ht="15.6">
      <c r="A2145">
        <v>2090</v>
      </c>
      <c r="B2145" s="166">
        <v>142.67534879629309</v>
      </c>
      <c r="D2145" s="39"/>
      <c r="E2145" s="39"/>
    </row>
    <row r="2146" spans="1:5" ht="15.6">
      <c r="A2146">
        <v>2091</v>
      </c>
      <c r="B2146" s="166">
        <v>130.82218100703128</v>
      </c>
      <c r="D2146" s="39"/>
      <c r="E2146" s="39"/>
    </row>
    <row r="2147" spans="1:5" ht="15.6">
      <c r="A2147">
        <v>2092</v>
      </c>
      <c r="B2147" s="166">
        <v>66.855828789901409</v>
      </c>
      <c r="D2147" s="39"/>
      <c r="E2147" s="39"/>
    </row>
    <row r="2148" spans="1:5" ht="15.6">
      <c r="A2148">
        <v>2093</v>
      </c>
      <c r="B2148" s="166">
        <v>111.14089487644296</v>
      </c>
      <c r="D2148" s="39"/>
      <c r="E2148" s="39"/>
    </row>
    <row r="2149" spans="1:5" ht="15.6">
      <c r="A2149">
        <v>2094</v>
      </c>
      <c r="B2149" s="166">
        <v>78.386163513091901</v>
      </c>
      <c r="D2149" s="39"/>
      <c r="E2149" s="39"/>
    </row>
    <row r="2150" spans="1:5" ht="15.6">
      <c r="A2150">
        <v>2095</v>
      </c>
      <c r="B2150" s="166">
        <v>93.659660667558185</v>
      </c>
      <c r="D2150" s="39"/>
      <c r="E2150" s="39"/>
    </row>
    <row r="2151" spans="1:5" ht="15.6">
      <c r="A2151">
        <v>2096</v>
      </c>
      <c r="B2151" s="166">
        <v>142.66096273948398</v>
      </c>
      <c r="D2151" s="39"/>
      <c r="E2151" s="39"/>
    </row>
    <row r="2152" spans="1:5" ht="15.6">
      <c r="A2152">
        <v>2097</v>
      </c>
      <c r="B2152" s="166">
        <v>117.58527246057749</v>
      </c>
      <c r="D2152" s="39"/>
      <c r="E2152" s="39"/>
    </row>
    <row r="2153" spans="1:5" ht="15.6">
      <c r="A2153">
        <v>2098</v>
      </c>
      <c r="B2153" s="166">
        <v>91.920380917296498</v>
      </c>
      <c r="D2153" s="39"/>
      <c r="E2153" s="39"/>
    </row>
    <row r="2154" spans="1:5" ht="15.6">
      <c r="A2154">
        <v>2099</v>
      </c>
      <c r="B2154" s="166">
        <v>316.91327664901365</v>
      </c>
      <c r="D2154" s="39"/>
      <c r="E2154" s="39"/>
    </row>
    <row r="2155" spans="1:5" ht="15.6">
      <c r="A2155">
        <v>2100</v>
      </c>
      <c r="B2155" s="166">
        <v>100.88780018904787</v>
      </c>
      <c r="D2155" s="39"/>
      <c r="E2155" s="39"/>
    </row>
    <row r="2156" spans="1:5" ht="15.6">
      <c r="A2156">
        <v>2101</v>
      </c>
      <c r="B2156" s="166">
        <v>112.09907905380922</v>
      </c>
      <c r="D2156" s="39"/>
      <c r="E2156" s="39"/>
    </row>
    <row r="2157" spans="1:5" ht="15.6">
      <c r="A2157">
        <v>2102</v>
      </c>
      <c r="B2157" s="166">
        <v>119.99334858510873</v>
      </c>
      <c r="D2157" s="39"/>
      <c r="E2157" s="39"/>
    </row>
    <row r="2158" spans="1:5" ht="15.6">
      <c r="A2158">
        <v>2103</v>
      </c>
      <c r="B2158" s="166">
        <v>165.43822759363118</v>
      </c>
      <c r="D2158" s="39"/>
      <c r="E2158" s="39"/>
    </row>
    <row r="2159" spans="1:5" ht="15.6">
      <c r="A2159">
        <v>2104</v>
      </c>
      <c r="B2159" s="166">
        <v>152.35684390566908</v>
      </c>
      <c r="D2159" s="39"/>
      <c r="E2159" s="39"/>
    </row>
    <row r="2160" spans="1:5" ht="15.6">
      <c r="A2160">
        <v>2105</v>
      </c>
      <c r="B2160" s="166">
        <v>92.407292312361648</v>
      </c>
      <c r="D2160" s="39"/>
      <c r="E2160" s="39"/>
    </row>
    <row r="2161" spans="1:5" ht="15.6">
      <c r="A2161">
        <v>2106</v>
      </c>
      <c r="B2161" s="166">
        <v>82.351088840289862</v>
      </c>
      <c r="D2161" s="39"/>
      <c r="E2161" s="39"/>
    </row>
    <row r="2162" spans="1:5" ht="15.6">
      <c r="A2162">
        <v>2107</v>
      </c>
      <c r="B2162" s="166">
        <v>139.85192497800793</v>
      </c>
      <c r="D2162" s="39"/>
      <c r="E2162" s="39"/>
    </row>
    <row r="2163" spans="1:5" ht="15.6">
      <c r="A2163">
        <v>2108</v>
      </c>
      <c r="B2163" s="166">
        <v>85.292673882420516</v>
      </c>
      <c r="D2163" s="39"/>
      <c r="E2163" s="39"/>
    </row>
    <row r="2164" spans="1:5" ht="15.6">
      <c r="A2164">
        <v>2109</v>
      </c>
      <c r="B2164" s="166">
        <v>164.11341518463163</v>
      </c>
      <c r="D2164" s="39"/>
      <c r="E2164" s="39"/>
    </row>
    <row r="2165" spans="1:5" ht="15.6">
      <c r="A2165">
        <v>2110</v>
      </c>
      <c r="B2165" s="166">
        <v>83.515642179274494</v>
      </c>
      <c r="D2165" s="39"/>
      <c r="E2165" s="39"/>
    </row>
    <row r="2166" spans="1:5" ht="15.6">
      <c r="A2166">
        <v>2111</v>
      </c>
      <c r="B2166" s="166">
        <v>80.51155771557535</v>
      </c>
      <c r="D2166" s="39"/>
      <c r="E2166" s="39"/>
    </row>
    <row r="2167" spans="1:5" ht="15.6">
      <c r="A2167">
        <v>2112</v>
      </c>
      <c r="B2167" s="166">
        <v>109.31834598402115</v>
      </c>
      <c r="D2167" s="39"/>
      <c r="E2167" s="39"/>
    </row>
    <row r="2168" spans="1:5" ht="15.6">
      <c r="A2168">
        <v>2113</v>
      </c>
      <c r="B2168" s="166">
        <v>120.42746353852728</v>
      </c>
      <c r="D2168" s="39"/>
      <c r="E2168" s="39"/>
    </row>
    <row r="2169" spans="1:5" ht="15.6">
      <c r="A2169">
        <v>2114</v>
      </c>
      <c r="B2169" s="166">
        <v>144.29686114545711</v>
      </c>
      <c r="D2169" s="39"/>
      <c r="E2169" s="39"/>
    </row>
    <row r="2170" spans="1:5" ht="15.6">
      <c r="A2170">
        <v>2115</v>
      </c>
      <c r="B2170" s="166">
        <v>167.72838749328139</v>
      </c>
      <c r="D2170" s="39"/>
      <c r="E2170" s="39"/>
    </row>
    <row r="2171" spans="1:5" ht="15.6">
      <c r="A2171">
        <v>2116</v>
      </c>
      <c r="B2171" s="166">
        <v>121.92623867931202</v>
      </c>
      <c r="D2171" s="39"/>
      <c r="E2171" s="39"/>
    </row>
    <row r="2172" spans="1:5" ht="15.6">
      <c r="A2172">
        <v>2117</v>
      </c>
      <c r="B2172" s="166">
        <v>157.48223653239495</v>
      </c>
      <c r="D2172" s="39"/>
      <c r="E2172" s="39"/>
    </row>
    <row r="2173" spans="1:5" ht="15.6">
      <c r="A2173">
        <v>2118</v>
      </c>
      <c r="B2173" s="166">
        <v>105.50971904398438</v>
      </c>
      <c r="D2173" s="39"/>
      <c r="E2173" s="39"/>
    </row>
    <row r="2174" spans="1:5" ht="15.6">
      <c r="A2174">
        <v>2119</v>
      </c>
      <c r="B2174" s="166">
        <v>137.52108352276565</v>
      </c>
      <c r="D2174" s="39"/>
      <c r="E2174" s="39"/>
    </row>
    <row r="2175" spans="1:5" ht="15.6">
      <c r="A2175">
        <v>2120</v>
      </c>
      <c r="B2175" s="166">
        <v>97.548062397978015</v>
      </c>
      <c r="D2175" s="39"/>
      <c r="E2175" s="39"/>
    </row>
    <row r="2176" spans="1:5" ht="15.6">
      <c r="A2176">
        <v>2121</v>
      </c>
      <c r="B2176" s="166">
        <v>209.24798758141225</v>
      </c>
      <c r="D2176" s="39"/>
      <c r="E2176" s="39"/>
    </row>
    <row r="2177" spans="1:5" ht="15.6">
      <c r="A2177">
        <v>2122</v>
      </c>
      <c r="B2177" s="166">
        <v>75.660236177306217</v>
      </c>
      <c r="D2177" s="39"/>
      <c r="E2177" s="39"/>
    </row>
    <row r="2178" spans="1:5" ht="15.6">
      <c r="A2178">
        <v>2123</v>
      </c>
      <c r="B2178" s="166">
        <v>61.092286266937045</v>
      </c>
      <c r="D2178" s="39"/>
      <c r="E2178" s="39"/>
    </row>
    <row r="2179" spans="1:5" ht="15.6">
      <c r="A2179">
        <v>2124</v>
      </c>
      <c r="B2179" s="166">
        <v>46.710606974308632</v>
      </c>
      <c r="D2179" s="39"/>
      <c r="E2179" s="39"/>
    </row>
    <row r="2180" spans="1:5" ht="15.6">
      <c r="A2180">
        <v>2125</v>
      </c>
      <c r="B2180" s="166">
        <v>157.33353281265926</v>
      </c>
      <c r="D2180" s="39"/>
      <c r="E2180" s="39"/>
    </row>
    <row r="2181" spans="1:5" ht="15.6">
      <c r="A2181">
        <v>2126</v>
      </c>
      <c r="B2181" s="166">
        <v>72.367317021946931</v>
      </c>
      <c r="D2181" s="39"/>
      <c r="E2181" s="39"/>
    </row>
    <row r="2182" spans="1:5" ht="15.6">
      <c r="A2182">
        <v>2127</v>
      </c>
      <c r="B2182" s="166">
        <v>83.580577481331133</v>
      </c>
      <c r="D2182" s="39"/>
      <c r="E2182" s="39"/>
    </row>
    <row r="2183" spans="1:5" ht="15.6">
      <c r="A2183">
        <v>2128</v>
      </c>
      <c r="B2183" s="166">
        <v>166.3333982017883</v>
      </c>
      <c r="D2183" s="39"/>
      <c r="E2183" s="39"/>
    </row>
    <row r="2184" spans="1:5" ht="15.6">
      <c r="A2184">
        <v>2129</v>
      </c>
      <c r="B2184" s="166">
        <v>102.30302592564449</v>
      </c>
      <c r="D2184" s="39"/>
      <c r="E2184" s="39"/>
    </row>
    <row r="2185" spans="1:5" ht="15.6">
      <c r="A2185">
        <v>2130</v>
      </c>
      <c r="B2185" s="166">
        <v>131.51986958920847</v>
      </c>
      <c r="D2185" s="39"/>
      <c r="E2185" s="39"/>
    </row>
    <row r="2186" spans="1:5" ht="15.6">
      <c r="A2186">
        <v>2131</v>
      </c>
      <c r="B2186" s="166">
        <v>77.398089211225567</v>
      </c>
      <c r="D2186" s="39"/>
      <c r="E2186" s="39"/>
    </row>
    <row r="2187" spans="1:5" ht="15.6">
      <c r="A2187">
        <v>2132</v>
      </c>
      <c r="B2187" s="166">
        <v>159.00322146821924</v>
      </c>
      <c r="D2187" s="39"/>
      <c r="E2187" s="39"/>
    </row>
    <row r="2188" spans="1:5" ht="15.6">
      <c r="A2188">
        <v>2133</v>
      </c>
      <c r="B2188" s="166">
        <v>91.000381880261514</v>
      </c>
      <c r="D2188" s="39"/>
      <c r="E2188" s="39"/>
    </row>
    <row r="2189" spans="1:5" ht="15.6">
      <c r="A2189">
        <v>2134</v>
      </c>
      <c r="B2189" s="166">
        <v>129.36793794396752</v>
      </c>
      <c r="D2189" s="39"/>
      <c r="E2189" s="39"/>
    </row>
    <row r="2190" spans="1:5" ht="15.6">
      <c r="A2190">
        <v>2135</v>
      </c>
      <c r="B2190" s="166">
        <v>92.491378859763429</v>
      </c>
      <c r="D2190" s="39"/>
      <c r="E2190" s="39"/>
    </row>
    <row r="2191" spans="1:5" ht="15.6">
      <c r="A2191">
        <v>2136</v>
      </c>
      <c r="B2191" s="166">
        <v>124.02325002753156</v>
      </c>
      <c r="D2191" s="39"/>
      <c r="E2191" s="39"/>
    </row>
    <row r="2192" spans="1:5" ht="15.6">
      <c r="A2192">
        <v>2137</v>
      </c>
      <c r="B2192" s="166">
        <v>72.182543287585176</v>
      </c>
      <c r="D2192" s="39"/>
      <c r="E2192" s="39"/>
    </row>
    <row r="2193" spans="1:5" ht="15.6">
      <c r="A2193">
        <v>2138</v>
      </c>
      <c r="B2193" s="166">
        <v>55.628157817790516</v>
      </c>
      <c r="D2193" s="39"/>
      <c r="E2193" s="39"/>
    </row>
    <row r="2194" spans="1:5" ht="15.6">
      <c r="A2194">
        <v>2139</v>
      </c>
      <c r="B2194" s="166">
        <v>103.86154826600352</v>
      </c>
      <c r="D2194" s="39"/>
      <c r="E2194" s="39"/>
    </row>
    <row r="2195" spans="1:5" ht="15.6">
      <c r="A2195">
        <v>2140</v>
      </c>
      <c r="B2195" s="166">
        <v>137.23408828170756</v>
      </c>
      <c r="D2195" s="39"/>
      <c r="E2195" s="39"/>
    </row>
    <row r="2196" spans="1:5" ht="15.6">
      <c r="A2196">
        <v>2141</v>
      </c>
      <c r="B2196" s="166">
        <v>84.714985930772173</v>
      </c>
      <c r="D2196" s="39"/>
      <c r="E2196" s="39"/>
    </row>
    <row r="2197" spans="1:5" ht="15.6">
      <c r="A2197">
        <v>2142</v>
      </c>
      <c r="B2197" s="166">
        <v>154.57302293623883</v>
      </c>
      <c r="D2197" s="39"/>
      <c r="E2197" s="39"/>
    </row>
    <row r="2198" spans="1:5" ht="15.6">
      <c r="A2198">
        <v>2143</v>
      </c>
      <c r="B2198" s="166">
        <v>99.683686533003922</v>
      </c>
      <c r="D2198" s="39"/>
      <c r="E2198" s="39"/>
    </row>
    <row r="2199" spans="1:5" ht="15.6">
      <c r="A2199">
        <v>2144</v>
      </c>
      <c r="B2199" s="166">
        <v>94.854774784590944</v>
      </c>
      <c r="D2199" s="39"/>
      <c r="E2199" s="39"/>
    </row>
    <row r="2200" spans="1:5" ht="15.6">
      <c r="A2200">
        <v>2145</v>
      </c>
      <c r="B2200" s="166">
        <v>169.30818133020159</v>
      </c>
      <c r="D2200" s="39"/>
      <c r="E2200" s="39"/>
    </row>
    <row r="2201" spans="1:5" ht="15.6">
      <c r="A2201">
        <v>2146</v>
      </c>
      <c r="B2201" s="166">
        <v>73.196625117422656</v>
      </c>
      <c r="D2201" s="39"/>
      <c r="E2201" s="39"/>
    </row>
    <row r="2202" spans="1:5" ht="15.6">
      <c r="A2202">
        <v>2147</v>
      </c>
      <c r="B2202" s="166">
        <v>121.12091474261817</v>
      </c>
      <c r="D2202" s="39"/>
      <c r="E2202" s="39"/>
    </row>
    <row r="2203" spans="1:5" ht="15.6">
      <c r="A2203">
        <v>2148</v>
      </c>
      <c r="B2203" s="166">
        <v>108.47701577031714</v>
      </c>
      <c r="D2203" s="39"/>
      <c r="E2203" s="39"/>
    </row>
    <row r="2204" spans="1:5" ht="15.6">
      <c r="A2204">
        <v>2149</v>
      </c>
      <c r="B2204" s="166">
        <v>108.77001528992922</v>
      </c>
      <c r="D2204" s="39"/>
      <c r="E2204" s="39"/>
    </row>
    <row r="2205" spans="1:5" ht="15.6">
      <c r="A2205">
        <v>2150</v>
      </c>
      <c r="B2205" s="166">
        <v>92.85203243468726</v>
      </c>
      <c r="D2205" s="39"/>
      <c r="E2205" s="39"/>
    </row>
    <row r="2206" spans="1:5" ht="15.6">
      <c r="A2206">
        <v>2151</v>
      </c>
      <c r="B2206" s="166">
        <v>177.59767254155895</v>
      </c>
      <c r="D2206" s="39"/>
      <c r="E2206" s="39"/>
    </row>
    <row r="2207" spans="1:5" ht="15.6">
      <c r="A2207">
        <v>2152</v>
      </c>
      <c r="B2207" s="166">
        <v>118.87933222615078</v>
      </c>
      <c r="D2207" s="39"/>
      <c r="E2207" s="39"/>
    </row>
    <row r="2208" spans="1:5" ht="15.6">
      <c r="A2208">
        <v>2153</v>
      </c>
      <c r="B2208" s="166">
        <v>133.14961830827511</v>
      </c>
      <c r="D2208" s="39"/>
      <c r="E2208" s="39"/>
    </row>
    <row r="2209" spans="1:5" ht="15.6">
      <c r="A2209">
        <v>2154</v>
      </c>
      <c r="B2209" s="166">
        <v>105.17130723799583</v>
      </c>
      <c r="D2209" s="39"/>
      <c r="E2209" s="39"/>
    </row>
    <row r="2210" spans="1:5" ht="15.6">
      <c r="A2210">
        <v>2155</v>
      </c>
      <c r="B2210" s="166">
        <v>93.064314759349315</v>
      </c>
      <c r="D2210" s="39"/>
      <c r="E2210" s="39"/>
    </row>
    <row r="2211" spans="1:5" ht="15.6">
      <c r="A2211">
        <v>2156</v>
      </c>
      <c r="B2211" s="166">
        <v>123.37348471715738</v>
      </c>
      <c r="D2211" s="39"/>
      <c r="E2211" s="39"/>
    </row>
    <row r="2212" spans="1:5" ht="15.6">
      <c r="A2212">
        <v>2157</v>
      </c>
      <c r="B2212" s="166">
        <v>109.72949348084414</v>
      </c>
      <c r="D2212" s="39"/>
      <c r="E2212" s="39"/>
    </row>
    <row r="2213" spans="1:5" ht="15.6">
      <c r="A2213">
        <v>2158</v>
      </c>
      <c r="B2213" s="166">
        <v>91.281096588097199</v>
      </c>
      <c r="D2213" s="39"/>
      <c r="E2213" s="39"/>
    </row>
    <row r="2214" spans="1:5" ht="15.6">
      <c r="A2214">
        <v>2159</v>
      </c>
      <c r="B2214" s="166">
        <v>244.9920907366691</v>
      </c>
      <c r="D2214" s="39"/>
      <c r="E2214" s="39"/>
    </row>
    <row r="2215" spans="1:5" ht="15.6">
      <c r="A2215">
        <v>2160</v>
      </c>
      <c r="B2215" s="166">
        <v>130.88193068349202</v>
      </c>
      <c r="D2215" s="39"/>
      <c r="E2215" s="39"/>
    </row>
    <row r="2216" spans="1:5" ht="15.6">
      <c r="A2216">
        <v>2161</v>
      </c>
      <c r="B2216" s="166">
        <v>67.298793764202046</v>
      </c>
      <c r="D2216" s="39"/>
      <c r="E2216" s="39"/>
    </row>
    <row r="2217" spans="1:5" ht="15.6">
      <c r="A2217">
        <v>2162</v>
      </c>
      <c r="B2217" s="166">
        <v>83.936524330386021</v>
      </c>
      <c r="D2217" s="39"/>
      <c r="E2217" s="39"/>
    </row>
    <row r="2218" spans="1:5" ht="15.6">
      <c r="A2218">
        <v>2163</v>
      </c>
      <c r="B2218" s="166">
        <v>158.61847119289962</v>
      </c>
      <c r="D2218" s="39"/>
      <c r="E2218" s="39"/>
    </row>
    <row r="2219" spans="1:5" ht="15.6">
      <c r="A2219">
        <v>2164</v>
      </c>
      <c r="B2219" s="166">
        <v>200.14061306167025</v>
      </c>
      <c r="D2219" s="39"/>
      <c r="E2219" s="39"/>
    </row>
    <row r="2220" spans="1:5" ht="15.6">
      <c r="A2220">
        <v>2165</v>
      </c>
      <c r="B2220" s="166">
        <v>145.57869856558472</v>
      </c>
      <c r="D2220" s="39"/>
      <c r="E2220" s="39"/>
    </row>
    <row r="2221" spans="1:5" ht="15.6">
      <c r="A2221">
        <v>2166</v>
      </c>
      <c r="B2221" s="166">
        <v>107.00713186726776</v>
      </c>
      <c r="D2221" s="39"/>
      <c r="E2221" s="39"/>
    </row>
    <row r="2222" spans="1:5" ht="15.6">
      <c r="A2222">
        <v>2167</v>
      </c>
      <c r="B2222" s="166">
        <v>87.335331002748617</v>
      </c>
      <c r="D2222" s="39"/>
      <c r="E2222" s="39"/>
    </row>
    <row r="2223" spans="1:5" ht="15.6">
      <c r="A2223">
        <v>2168</v>
      </c>
      <c r="B2223" s="166">
        <v>133.81857463350414</v>
      </c>
      <c r="D2223" s="39"/>
      <c r="E2223" s="39"/>
    </row>
    <row r="2224" spans="1:5" ht="15.6">
      <c r="A2224">
        <v>2169</v>
      </c>
      <c r="B2224" s="166">
        <v>68.18270571088128</v>
      </c>
      <c r="D2224" s="39"/>
      <c r="E2224" s="39"/>
    </row>
    <row r="2225" spans="1:5" ht="15.6">
      <c r="A2225">
        <v>2170</v>
      </c>
      <c r="B2225" s="166">
        <v>73.717314011038681</v>
      </c>
      <c r="D2225" s="39"/>
      <c r="E2225" s="39"/>
    </row>
    <row r="2226" spans="1:5" ht="15.6">
      <c r="A2226">
        <v>2171</v>
      </c>
      <c r="B2226" s="166">
        <v>102.30438735833098</v>
      </c>
      <c r="D2226" s="39"/>
      <c r="E2226" s="39"/>
    </row>
    <row r="2227" spans="1:5" ht="15.6">
      <c r="A2227">
        <v>2172</v>
      </c>
      <c r="B2227" s="166">
        <v>129.2653882206958</v>
      </c>
      <c r="D2227" s="39"/>
      <c r="E2227" s="39"/>
    </row>
    <row r="2228" spans="1:5" ht="15.6">
      <c r="A2228">
        <v>2173</v>
      </c>
      <c r="B2228" s="166">
        <v>201.98920241141593</v>
      </c>
      <c r="D2228" s="39"/>
      <c r="E2228" s="39"/>
    </row>
    <row r="2229" spans="1:5" ht="15.6">
      <c r="A2229">
        <v>2174</v>
      </c>
      <c r="B2229" s="166">
        <v>145.75147539456543</v>
      </c>
      <c r="D2229" s="39"/>
      <c r="E2229" s="39"/>
    </row>
    <row r="2230" spans="1:5" ht="15.6">
      <c r="A2230">
        <v>2175</v>
      </c>
      <c r="B2230" s="166">
        <v>125.16343735762607</v>
      </c>
      <c r="D2230" s="39"/>
      <c r="E2230" s="39"/>
    </row>
    <row r="2231" spans="1:5" ht="15.6">
      <c r="A2231">
        <v>2176</v>
      </c>
      <c r="B2231" s="166">
        <v>88.726825113620052</v>
      </c>
      <c r="D2231" s="39"/>
      <c r="E2231" s="39"/>
    </row>
    <row r="2232" spans="1:5" ht="15.6">
      <c r="A2232">
        <v>2177</v>
      </c>
      <c r="B2232" s="166">
        <v>78.382083984366943</v>
      </c>
      <c r="D2232" s="39"/>
      <c r="E2232" s="39"/>
    </row>
    <row r="2233" spans="1:5" ht="15.6">
      <c r="A2233">
        <v>2178</v>
      </c>
      <c r="B2233" s="166">
        <v>136.67324291473594</v>
      </c>
      <c r="D2233" s="39"/>
      <c r="E2233" s="39"/>
    </row>
    <row r="2234" spans="1:5" ht="15.6">
      <c r="A2234">
        <v>2179</v>
      </c>
      <c r="B2234" s="166">
        <v>198.14154805806322</v>
      </c>
      <c r="D2234" s="39"/>
      <c r="E2234" s="39"/>
    </row>
    <row r="2235" spans="1:5" ht="15.6">
      <c r="A2235">
        <v>2180</v>
      </c>
      <c r="B2235" s="166">
        <v>66.892459089896519</v>
      </c>
      <c r="D2235" s="39"/>
      <c r="E2235" s="39"/>
    </row>
    <row r="2236" spans="1:5" ht="15.6">
      <c r="A2236">
        <v>2181</v>
      </c>
      <c r="B2236" s="166">
        <v>96.589086017424862</v>
      </c>
      <c r="D2236" s="39"/>
      <c r="E2236" s="39"/>
    </row>
    <row r="2237" spans="1:5" ht="15.6">
      <c r="A2237">
        <v>2182</v>
      </c>
      <c r="B2237" s="166">
        <v>59.79399273153944</v>
      </c>
      <c r="D2237" s="39"/>
      <c r="E2237" s="39"/>
    </row>
    <row r="2238" spans="1:5" ht="15.6">
      <c r="A2238">
        <v>2183</v>
      </c>
      <c r="B2238" s="166">
        <v>97.691866908466437</v>
      </c>
      <c r="D2238" s="39"/>
      <c r="E2238" s="39"/>
    </row>
    <row r="2239" spans="1:5" ht="15.6">
      <c r="A2239">
        <v>2184</v>
      </c>
      <c r="B2239" s="166">
        <v>150.16505532245188</v>
      </c>
      <c r="D2239" s="39"/>
      <c r="E2239" s="39"/>
    </row>
    <row r="2240" spans="1:5" ht="15.6">
      <c r="A2240">
        <v>2185</v>
      </c>
      <c r="B2240" s="166">
        <v>116.14829294473191</v>
      </c>
      <c r="D2240" s="39"/>
      <c r="E2240" s="39"/>
    </row>
    <row r="2241" spans="1:5" ht="15.6">
      <c r="A2241">
        <v>2186</v>
      </c>
      <c r="B2241" s="166">
        <v>155.71126217974592</v>
      </c>
      <c r="D2241" s="39"/>
      <c r="E2241" s="39"/>
    </row>
    <row r="2242" spans="1:5" ht="15.6">
      <c r="A2242">
        <v>2187</v>
      </c>
      <c r="B2242" s="166">
        <v>73.911736994959284</v>
      </c>
      <c r="D2242" s="39"/>
      <c r="E2242" s="39"/>
    </row>
    <row r="2243" spans="1:5" ht="15.6">
      <c r="A2243">
        <v>2188</v>
      </c>
      <c r="B2243" s="166">
        <v>76.049649943594304</v>
      </c>
      <c r="D2243" s="39"/>
      <c r="E2243" s="39"/>
    </row>
    <row r="2244" spans="1:5" ht="15.6">
      <c r="A2244">
        <v>2189</v>
      </c>
      <c r="B2244" s="166">
        <v>53.813942142124013</v>
      </c>
      <c r="D2244" s="39"/>
      <c r="E2244" s="39"/>
    </row>
    <row r="2245" spans="1:5" ht="15.6">
      <c r="A2245">
        <v>2190</v>
      </c>
      <c r="B2245" s="166">
        <v>85.997398033680199</v>
      </c>
      <c r="D2245" s="39"/>
      <c r="E2245" s="39"/>
    </row>
    <row r="2246" spans="1:5" ht="15.6">
      <c r="A2246">
        <v>2191</v>
      </c>
      <c r="B2246" s="166">
        <v>117.60602947857653</v>
      </c>
      <c r="D2246" s="39"/>
      <c r="E2246" s="39"/>
    </row>
    <row r="2247" spans="1:5" ht="15.6">
      <c r="A2247">
        <v>2192</v>
      </c>
      <c r="B2247" s="166">
        <v>49.794048140227567</v>
      </c>
      <c r="D2247" s="39"/>
      <c r="E2247" s="39"/>
    </row>
    <row r="2248" spans="1:5" ht="15.6">
      <c r="A2248">
        <v>2193</v>
      </c>
      <c r="B2248" s="166">
        <v>147.66195245436359</v>
      </c>
      <c r="D2248" s="39"/>
      <c r="E2248" s="39"/>
    </row>
    <row r="2249" spans="1:5" ht="15.6">
      <c r="A2249">
        <v>2194</v>
      </c>
      <c r="B2249" s="166">
        <v>166.73882868532965</v>
      </c>
      <c r="D2249" s="39"/>
      <c r="E2249" s="39"/>
    </row>
    <row r="2250" spans="1:5" ht="15.6">
      <c r="A2250">
        <v>2195</v>
      </c>
      <c r="B2250" s="166">
        <v>97.146653114577219</v>
      </c>
      <c r="D2250" s="39"/>
      <c r="E2250" s="39"/>
    </row>
    <row r="2251" spans="1:5" ht="15.6">
      <c r="A2251">
        <v>2196</v>
      </c>
      <c r="B2251" s="166">
        <v>73.670987536487317</v>
      </c>
      <c r="D2251" s="39"/>
      <c r="E2251" s="39"/>
    </row>
    <row r="2252" spans="1:5" ht="15.6">
      <c r="A2252">
        <v>2197</v>
      </c>
      <c r="B2252" s="166">
        <v>112.06173274168171</v>
      </c>
      <c r="D2252" s="39"/>
      <c r="E2252" s="39"/>
    </row>
    <row r="2253" spans="1:5" ht="15.6">
      <c r="A2253">
        <v>2198</v>
      </c>
      <c r="B2253" s="166">
        <v>101.85236894301508</v>
      </c>
      <c r="D2253" s="39"/>
      <c r="E2253" s="39"/>
    </row>
    <row r="2254" spans="1:5" ht="15.6">
      <c r="A2254">
        <v>2199</v>
      </c>
      <c r="B2254" s="166">
        <v>212.31874355620289</v>
      </c>
      <c r="D2254" s="39"/>
      <c r="E2254" s="39"/>
    </row>
    <row r="2255" spans="1:5" ht="15.6">
      <c r="A2255">
        <v>2200</v>
      </c>
      <c r="B2255" s="166">
        <v>94.367476872447682</v>
      </c>
      <c r="D2255" s="39"/>
      <c r="E2255" s="39"/>
    </row>
    <row r="2256" spans="1:5" ht="15.6">
      <c r="A2256">
        <v>2201</v>
      </c>
      <c r="B2256" s="166">
        <v>74.438599416430407</v>
      </c>
      <c r="D2256" s="39"/>
      <c r="E2256" s="39"/>
    </row>
    <row r="2257" spans="1:5" ht="15.6">
      <c r="A2257">
        <v>2202</v>
      </c>
      <c r="B2257" s="166">
        <v>71.27881214230564</v>
      </c>
      <c r="D2257" s="39"/>
      <c r="E2257" s="39"/>
    </row>
    <row r="2258" spans="1:5" ht="15.6">
      <c r="A2258">
        <v>2203</v>
      </c>
      <c r="B2258" s="166">
        <v>92.40590767418982</v>
      </c>
      <c r="D2258" s="39"/>
      <c r="E2258" s="39"/>
    </row>
    <row r="2259" spans="1:5" ht="15.6">
      <c r="A2259">
        <v>2204</v>
      </c>
      <c r="B2259" s="166">
        <v>69.662175187746712</v>
      </c>
      <c r="D2259" s="39"/>
      <c r="E2259" s="39"/>
    </row>
    <row r="2260" spans="1:5" ht="15.6">
      <c r="A2260">
        <v>2205</v>
      </c>
      <c r="B2260" s="166">
        <v>195.92515026753915</v>
      </c>
      <c r="D2260" s="39"/>
      <c r="E2260" s="39"/>
    </row>
    <row r="2261" spans="1:5" ht="15.6">
      <c r="A2261">
        <v>2206</v>
      </c>
      <c r="B2261" s="166">
        <v>168.19414046760704</v>
      </c>
      <c r="D2261" s="39"/>
      <c r="E2261" s="39"/>
    </row>
    <row r="2262" spans="1:5" ht="15.6">
      <c r="A2262">
        <v>2207</v>
      </c>
      <c r="B2262" s="166">
        <v>135.99289457055156</v>
      </c>
      <c r="D2262" s="39"/>
      <c r="E2262" s="39"/>
    </row>
    <row r="2263" spans="1:5" ht="15.6">
      <c r="A2263">
        <v>2208</v>
      </c>
      <c r="B2263" s="166">
        <v>69.814107325868207</v>
      </c>
      <c r="D2263" s="39"/>
      <c r="E2263" s="39"/>
    </row>
    <row r="2264" spans="1:5" ht="15.6">
      <c r="A2264">
        <v>2209</v>
      </c>
      <c r="B2264" s="166">
        <v>155.69973160861878</v>
      </c>
      <c r="D2264" s="39"/>
      <c r="E2264" s="39"/>
    </row>
    <row r="2265" spans="1:5" ht="15.6">
      <c r="A2265">
        <v>2210</v>
      </c>
      <c r="B2265" s="166">
        <v>138.59390324856213</v>
      </c>
      <c r="D2265" s="39"/>
      <c r="E2265" s="39"/>
    </row>
    <row r="2266" spans="1:5" ht="15.6">
      <c r="A2266">
        <v>2211</v>
      </c>
      <c r="B2266" s="166">
        <v>54.804231599331658</v>
      </c>
      <c r="D2266" s="39"/>
      <c r="E2266" s="39"/>
    </row>
    <row r="2267" spans="1:5" ht="15.6">
      <c r="A2267">
        <v>2212</v>
      </c>
      <c r="B2267" s="166">
        <v>147.1333176229486</v>
      </c>
      <c r="D2267" s="39"/>
      <c r="E2267" s="39"/>
    </row>
    <row r="2268" spans="1:5" ht="15.6">
      <c r="A2268">
        <v>2213</v>
      </c>
      <c r="B2268" s="166">
        <v>63.013924824544262</v>
      </c>
      <c r="D2268" s="39"/>
      <c r="E2268" s="39"/>
    </row>
    <row r="2269" spans="1:5" ht="15.6">
      <c r="A2269">
        <v>2214</v>
      </c>
      <c r="B2269" s="166">
        <v>184.23402370486238</v>
      </c>
      <c r="D2269" s="39"/>
      <c r="E2269" s="39"/>
    </row>
    <row r="2270" spans="1:5" ht="15.6">
      <c r="A2270">
        <v>2215</v>
      </c>
      <c r="B2270" s="166">
        <v>144.2742451746569</v>
      </c>
      <c r="D2270" s="39"/>
      <c r="E2270" s="39"/>
    </row>
    <row r="2271" spans="1:5" ht="15.6">
      <c r="A2271">
        <v>2216</v>
      </c>
      <c r="B2271" s="166">
        <v>128.45639596286068</v>
      </c>
      <c r="D2271" s="39"/>
      <c r="E2271" s="39"/>
    </row>
    <row r="2272" spans="1:5" ht="15.6">
      <c r="A2272">
        <v>2217</v>
      </c>
      <c r="B2272" s="166">
        <v>77.817980225241996</v>
      </c>
      <c r="D2272" s="39"/>
      <c r="E2272" s="39"/>
    </row>
    <row r="2273" spans="1:5" ht="15.6">
      <c r="A2273">
        <v>2218</v>
      </c>
      <c r="B2273" s="166">
        <v>89.318739018502171</v>
      </c>
      <c r="D2273" s="39"/>
      <c r="E2273" s="39"/>
    </row>
    <row r="2274" spans="1:5" ht="15.6">
      <c r="A2274">
        <v>2219</v>
      </c>
      <c r="B2274" s="166">
        <v>110.53719931288266</v>
      </c>
      <c r="D2274" s="39"/>
      <c r="E2274" s="39"/>
    </row>
    <row r="2275" spans="1:5" ht="15.6">
      <c r="A2275">
        <v>2220</v>
      </c>
      <c r="B2275" s="166">
        <v>72.707873167129861</v>
      </c>
      <c r="D2275" s="39"/>
      <c r="E2275" s="39"/>
    </row>
    <row r="2276" spans="1:5" ht="15.6">
      <c r="A2276">
        <v>2221</v>
      </c>
      <c r="B2276" s="166">
        <v>109.01278473519798</v>
      </c>
      <c r="D2276" s="39"/>
      <c r="E2276" s="39"/>
    </row>
    <row r="2277" spans="1:5" ht="15.6">
      <c r="A2277">
        <v>2222</v>
      </c>
      <c r="B2277" s="166">
        <v>62.008860308254782</v>
      </c>
      <c r="D2277" s="39"/>
      <c r="E2277" s="39"/>
    </row>
    <row r="2278" spans="1:5" ht="15.6">
      <c r="A2278">
        <v>2223</v>
      </c>
      <c r="B2278" s="166">
        <v>84.894776989740222</v>
      </c>
      <c r="D2278" s="39"/>
      <c r="E2278" s="39"/>
    </row>
    <row r="2279" spans="1:5" ht="15.6">
      <c r="A2279">
        <v>2224</v>
      </c>
      <c r="B2279" s="166">
        <v>66.858466665613847</v>
      </c>
      <c r="D2279" s="39"/>
      <c r="E2279" s="39"/>
    </row>
    <row r="2280" spans="1:5" ht="15.6">
      <c r="A2280">
        <v>2225</v>
      </c>
      <c r="B2280" s="166">
        <v>89.898003395329837</v>
      </c>
      <c r="D2280" s="39"/>
      <c r="E2280" s="39"/>
    </row>
    <row r="2281" spans="1:5" ht="15.6">
      <c r="A2281">
        <v>2226</v>
      </c>
      <c r="B2281" s="166">
        <v>68.042705523129854</v>
      </c>
      <c r="D2281" s="39"/>
      <c r="E2281" s="39"/>
    </row>
    <row r="2282" spans="1:5" ht="15.6">
      <c r="A2282">
        <v>2227</v>
      </c>
      <c r="B2282" s="166">
        <v>113.39116595054254</v>
      </c>
      <c r="D2282" s="39"/>
      <c r="E2282" s="39"/>
    </row>
    <row r="2283" spans="1:5" ht="15.6">
      <c r="A2283">
        <v>2228</v>
      </c>
      <c r="B2283" s="166">
        <v>190.04013410674571</v>
      </c>
      <c r="D2283" s="39"/>
      <c r="E2283" s="39"/>
    </row>
    <row r="2284" spans="1:5" ht="15.6">
      <c r="A2284">
        <v>2229</v>
      </c>
      <c r="B2284" s="166">
        <v>162.28682697399378</v>
      </c>
      <c r="D2284" s="39"/>
      <c r="E2284" s="39"/>
    </row>
    <row r="2285" spans="1:5" ht="15.6">
      <c r="A2285">
        <v>2230</v>
      </c>
      <c r="B2285" s="166">
        <v>179.99338761686954</v>
      </c>
      <c r="D2285" s="39"/>
      <c r="E2285" s="39"/>
    </row>
    <row r="2286" spans="1:5" ht="15.6">
      <c r="A2286">
        <v>2231</v>
      </c>
      <c r="B2286" s="166">
        <v>112.398661523542</v>
      </c>
      <c r="D2286" s="39"/>
      <c r="E2286" s="39"/>
    </row>
    <row r="2287" spans="1:5" ht="15.6">
      <c r="A2287">
        <v>2232</v>
      </c>
      <c r="B2287" s="166">
        <v>84.043574816985185</v>
      </c>
      <c r="D2287" s="39"/>
      <c r="E2287" s="39"/>
    </row>
    <row r="2288" spans="1:5" ht="15.6">
      <c r="A2288">
        <v>2233</v>
      </c>
      <c r="B2288" s="166">
        <v>194.64766733828367</v>
      </c>
      <c r="D2288" s="39"/>
      <c r="E2288" s="39"/>
    </row>
    <row r="2289" spans="1:5" ht="15.6">
      <c r="A2289">
        <v>2234</v>
      </c>
      <c r="B2289" s="166">
        <v>245.51070984688656</v>
      </c>
      <c r="D2289" s="39"/>
      <c r="E2289" s="39"/>
    </row>
    <row r="2290" spans="1:5" ht="15.6">
      <c r="A2290">
        <v>2235</v>
      </c>
      <c r="B2290" s="166">
        <v>74.899396177780275</v>
      </c>
      <c r="D2290" s="39"/>
      <c r="E2290" s="39"/>
    </row>
    <row r="2291" spans="1:5" ht="15.6">
      <c r="A2291">
        <v>2236</v>
      </c>
      <c r="B2291" s="166">
        <v>265.91092079371919</v>
      </c>
      <c r="D2291" s="39"/>
      <c r="E2291" s="39"/>
    </row>
    <row r="2292" spans="1:5" ht="15.6">
      <c r="A2292">
        <v>2237</v>
      </c>
      <c r="B2292" s="166">
        <v>90.214184927223585</v>
      </c>
      <c r="D2292" s="39"/>
      <c r="E2292" s="39"/>
    </row>
    <row r="2293" spans="1:5" ht="15.6">
      <c r="A2293">
        <v>2238</v>
      </c>
      <c r="B2293" s="166">
        <v>52.226791312990422</v>
      </c>
      <c r="D2293" s="39"/>
      <c r="E2293" s="39"/>
    </row>
    <row r="2294" spans="1:5" ht="15.6">
      <c r="A2294">
        <v>2239</v>
      </c>
      <c r="B2294" s="166">
        <v>70.227656100130801</v>
      </c>
      <c r="D2294" s="39"/>
      <c r="E2294" s="39"/>
    </row>
    <row r="2295" spans="1:5" ht="15.6">
      <c r="A2295">
        <v>2240</v>
      </c>
      <c r="B2295" s="166">
        <v>87.460891633809467</v>
      </c>
      <c r="D2295" s="39"/>
      <c r="E2295" s="39"/>
    </row>
    <row r="2296" spans="1:5" ht="15.6">
      <c r="A2296">
        <v>2241</v>
      </c>
      <c r="B2296" s="166">
        <v>84.034872663650546</v>
      </c>
      <c r="D2296" s="39"/>
      <c r="E2296" s="39"/>
    </row>
    <row r="2297" spans="1:5" ht="15.6">
      <c r="A2297">
        <v>2242</v>
      </c>
      <c r="B2297" s="166">
        <v>91.147431903305218</v>
      </c>
      <c r="D2297" s="39"/>
      <c r="E2297" s="39"/>
    </row>
    <row r="2298" spans="1:5" ht="15.6">
      <c r="A2298">
        <v>2243</v>
      </c>
      <c r="B2298" s="166">
        <v>147.96429373245556</v>
      </c>
      <c r="D2298" s="39"/>
      <c r="E2298" s="39"/>
    </row>
    <row r="2299" spans="1:5" ht="15.6">
      <c r="A2299">
        <v>2244</v>
      </c>
      <c r="B2299" s="166">
        <v>110.42091134729057</v>
      </c>
      <c r="D2299" s="39"/>
      <c r="E2299" s="39"/>
    </row>
    <row r="2300" spans="1:5" ht="15.6">
      <c r="A2300">
        <v>2245</v>
      </c>
      <c r="B2300" s="166">
        <v>152.78006677328091</v>
      </c>
      <c r="D2300" s="39"/>
      <c r="E2300" s="39"/>
    </row>
    <row r="2301" spans="1:5" ht="15.6">
      <c r="A2301">
        <v>2246</v>
      </c>
      <c r="B2301" s="166">
        <v>100.26600415986873</v>
      </c>
      <c r="D2301" s="39"/>
      <c r="E2301" s="39"/>
    </row>
    <row r="2302" spans="1:5" ht="15.6">
      <c r="A2302">
        <v>2247</v>
      </c>
      <c r="B2302" s="166">
        <v>116.43482507248119</v>
      </c>
      <c r="D2302" s="39"/>
      <c r="E2302" s="39"/>
    </row>
    <row r="2303" spans="1:5" ht="15.6">
      <c r="A2303">
        <v>2248</v>
      </c>
      <c r="B2303" s="166">
        <v>87.652430593605544</v>
      </c>
      <c r="D2303" s="39"/>
      <c r="E2303" s="39"/>
    </row>
    <row r="2304" spans="1:5" ht="15.6">
      <c r="A2304">
        <v>2249</v>
      </c>
      <c r="B2304" s="166">
        <v>117.35141750748762</v>
      </c>
      <c r="D2304" s="39"/>
      <c r="E2304" s="39"/>
    </row>
    <row r="2305" spans="1:5" ht="15.6">
      <c r="A2305">
        <v>2250</v>
      </c>
      <c r="B2305" s="166">
        <v>84.977474584194624</v>
      </c>
      <c r="D2305" s="39"/>
      <c r="E2305" s="39"/>
    </row>
    <row r="2306" spans="1:5" ht="15.6">
      <c r="A2306">
        <v>2251</v>
      </c>
      <c r="B2306" s="166">
        <v>62.356799293312434</v>
      </c>
      <c r="D2306" s="39"/>
      <c r="E2306" s="39"/>
    </row>
    <row r="2307" spans="1:5" ht="15.6">
      <c r="A2307">
        <v>2252</v>
      </c>
      <c r="B2307" s="166">
        <v>105.05841328801965</v>
      </c>
      <c r="D2307" s="39"/>
      <c r="E2307" s="39"/>
    </row>
    <row r="2308" spans="1:5" ht="15.6">
      <c r="A2308">
        <v>2253</v>
      </c>
      <c r="B2308" s="166">
        <v>115.15516171422927</v>
      </c>
      <c r="D2308" s="39"/>
      <c r="E2308" s="39"/>
    </row>
    <row r="2309" spans="1:5" ht="15.6">
      <c r="A2309">
        <v>2254</v>
      </c>
      <c r="B2309" s="166">
        <v>178.57063826220326</v>
      </c>
      <c r="D2309" s="39"/>
      <c r="E2309" s="39"/>
    </row>
    <row r="2310" spans="1:5" ht="15.6">
      <c r="A2310">
        <v>2255</v>
      </c>
      <c r="B2310" s="166">
        <v>91.4897497380082</v>
      </c>
      <c r="D2310" s="39"/>
      <c r="E2310" s="39"/>
    </row>
    <row r="2311" spans="1:5" ht="15.6">
      <c r="A2311">
        <v>2256</v>
      </c>
      <c r="B2311" s="166">
        <v>110.66362259271685</v>
      </c>
      <c r="D2311" s="39"/>
      <c r="E2311" s="39"/>
    </row>
    <row r="2312" spans="1:5" ht="15.6">
      <c r="A2312">
        <v>2257</v>
      </c>
      <c r="B2312" s="166">
        <v>167.04680023764286</v>
      </c>
      <c r="D2312" s="39"/>
      <c r="E2312" s="39"/>
    </row>
    <row r="2313" spans="1:5" ht="15.6">
      <c r="A2313">
        <v>2258</v>
      </c>
      <c r="B2313" s="166">
        <v>230.1624478433061</v>
      </c>
      <c r="D2313" s="39"/>
      <c r="E2313" s="39"/>
    </row>
    <row r="2314" spans="1:5" ht="15.6">
      <c r="A2314">
        <v>2259</v>
      </c>
      <c r="B2314" s="166">
        <v>130.93660087700536</v>
      </c>
      <c r="D2314" s="39"/>
      <c r="E2314" s="39"/>
    </row>
    <row r="2315" spans="1:5" ht="15.6">
      <c r="A2315">
        <v>2260</v>
      </c>
      <c r="B2315" s="166">
        <v>68.382879058031108</v>
      </c>
      <c r="D2315" s="39"/>
      <c r="E2315" s="39"/>
    </row>
    <row r="2316" spans="1:5" ht="15.6">
      <c r="A2316">
        <v>2261</v>
      </c>
      <c r="B2316" s="166">
        <v>103.83150723759196</v>
      </c>
      <c r="D2316" s="39"/>
      <c r="E2316" s="39"/>
    </row>
    <row r="2317" spans="1:5" ht="15.6">
      <c r="A2317">
        <v>2262</v>
      </c>
      <c r="B2317" s="166">
        <v>145.60516858334088</v>
      </c>
      <c r="D2317" s="39"/>
      <c r="E2317" s="39"/>
    </row>
    <row r="2318" spans="1:5" ht="15.6">
      <c r="A2318">
        <v>2263</v>
      </c>
      <c r="B2318" s="166">
        <v>173.34301725491829</v>
      </c>
      <c r="D2318" s="39"/>
      <c r="E2318" s="39"/>
    </row>
    <row r="2319" spans="1:5" ht="15.6">
      <c r="A2319">
        <v>2264</v>
      </c>
      <c r="B2319" s="166">
        <v>102.51448727602119</v>
      </c>
      <c r="D2319" s="39"/>
      <c r="E2319" s="39"/>
    </row>
    <row r="2320" spans="1:5" ht="15.6">
      <c r="A2320">
        <v>2265</v>
      </c>
      <c r="B2320" s="166">
        <v>57.935925942379349</v>
      </c>
      <c r="D2320" s="39"/>
      <c r="E2320" s="39"/>
    </row>
    <row r="2321" spans="1:5" ht="15.6">
      <c r="A2321">
        <v>2266</v>
      </c>
      <c r="B2321" s="166">
        <v>93.656531022923019</v>
      </c>
      <c r="D2321" s="39"/>
      <c r="E2321" s="39"/>
    </row>
    <row r="2322" spans="1:5" ht="15.6">
      <c r="A2322">
        <v>2267</v>
      </c>
      <c r="B2322" s="166">
        <v>120.66771459367537</v>
      </c>
      <c r="D2322" s="39"/>
      <c r="E2322" s="39"/>
    </row>
    <row r="2323" spans="1:5" ht="15.6">
      <c r="A2323">
        <v>2268</v>
      </c>
      <c r="B2323" s="166">
        <v>107.70961346198317</v>
      </c>
      <c r="D2323" s="39"/>
      <c r="E2323" s="39"/>
    </row>
    <row r="2324" spans="1:5" ht="15.6">
      <c r="A2324">
        <v>2269</v>
      </c>
      <c r="B2324" s="166">
        <v>211.13531748361461</v>
      </c>
      <c r="D2324" s="39"/>
      <c r="E2324" s="39"/>
    </row>
    <row r="2325" spans="1:5" ht="15.6">
      <c r="A2325">
        <v>2270</v>
      </c>
      <c r="B2325" s="166">
        <v>74.077762510858975</v>
      </c>
      <c r="D2325" s="39"/>
      <c r="E2325" s="39"/>
    </row>
    <row r="2326" spans="1:5" ht="15.6">
      <c r="A2326">
        <v>2271</v>
      </c>
      <c r="B2326" s="166">
        <v>86.392509367009907</v>
      </c>
      <c r="D2326" s="39"/>
      <c r="E2326" s="39"/>
    </row>
    <row r="2327" spans="1:5" ht="15.6">
      <c r="A2327">
        <v>2272</v>
      </c>
      <c r="B2327" s="166">
        <v>135.2103740399441</v>
      </c>
      <c r="D2327" s="39"/>
      <c r="E2327" s="39"/>
    </row>
    <row r="2328" spans="1:5" ht="15.6">
      <c r="A2328">
        <v>2273</v>
      </c>
      <c r="B2328" s="166">
        <v>89.665587165491687</v>
      </c>
      <c r="D2328" s="39"/>
      <c r="E2328" s="39"/>
    </row>
    <row r="2329" spans="1:5" ht="15.6">
      <c r="A2329">
        <v>2274</v>
      </c>
      <c r="B2329" s="166">
        <v>131.39898237298817</v>
      </c>
      <c r="D2329" s="39"/>
      <c r="E2329" s="39"/>
    </row>
    <row r="2330" spans="1:5" ht="15.6">
      <c r="A2330">
        <v>2275</v>
      </c>
      <c r="B2330" s="166">
        <v>121.064194776063</v>
      </c>
      <c r="D2330" s="39"/>
      <c r="E2330" s="39"/>
    </row>
    <row r="2331" spans="1:5" ht="15.6">
      <c r="A2331">
        <v>2276</v>
      </c>
      <c r="B2331" s="166">
        <v>94.27160305850127</v>
      </c>
      <c r="D2331" s="39"/>
      <c r="E2331" s="39"/>
    </row>
    <row r="2332" spans="1:5" ht="15.6">
      <c r="A2332">
        <v>2277</v>
      </c>
      <c r="B2332" s="166">
        <v>171.37093639893541</v>
      </c>
      <c r="D2332" s="39"/>
      <c r="E2332" s="39"/>
    </row>
    <row r="2333" spans="1:5" ht="15.6">
      <c r="A2333">
        <v>2278</v>
      </c>
      <c r="B2333" s="166">
        <v>82.572481288898786</v>
      </c>
      <c r="D2333" s="39"/>
      <c r="E2333" s="39"/>
    </row>
    <row r="2334" spans="1:5" ht="15.6">
      <c r="A2334">
        <v>2279</v>
      </c>
      <c r="B2334" s="166">
        <v>113.31600620671074</v>
      </c>
      <c r="D2334" s="39"/>
      <c r="E2334" s="39"/>
    </row>
    <row r="2335" spans="1:5" ht="15.6">
      <c r="A2335">
        <v>2280</v>
      </c>
      <c r="B2335" s="166">
        <v>150.6282279386769</v>
      </c>
      <c r="D2335" s="39"/>
      <c r="E2335" s="39"/>
    </row>
    <row r="2336" spans="1:5" ht="15.6">
      <c r="A2336">
        <v>2281</v>
      </c>
      <c r="B2336" s="166">
        <v>79.150013895379729</v>
      </c>
      <c r="D2336" s="39"/>
      <c r="E2336" s="39"/>
    </row>
    <row r="2337" spans="1:5" ht="15.6">
      <c r="A2337">
        <v>2282</v>
      </c>
      <c r="B2337" s="166">
        <v>118.24453531551791</v>
      </c>
      <c r="D2337" s="39"/>
      <c r="E2337" s="39"/>
    </row>
    <row r="2338" spans="1:5" ht="15.6">
      <c r="A2338">
        <v>2283</v>
      </c>
      <c r="B2338" s="166">
        <v>103.1967118425197</v>
      </c>
      <c r="D2338" s="39"/>
      <c r="E2338" s="39"/>
    </row>
    <row r="2339" spans="1:5" ht="15.6">
      <c r="A2339">
        <v>2284</v>
      </c>
      <c r="B2339" s="166">
        <v>60.191457320880062</v>
      </c>
      <c r="D2339" s="39"/>
      <c r="E2339" s="39"/>
    </row>
    <row r="2340" spans="1:5" ht="15.6">
      <c r="A2340">
        <v>2285</v>
      </c>
      <c r="B2340" s="166">
        <v>118.14056147268222</v>
      </c>
      <c r="D2340" s="39"/>
      <c r="E2340" s="39"/>
    </row>
    <row r="2341" spans="1:5" ht="15.6">
      <c r="A2341">
        <v>2286</v>
      </c>
      <c r="B2341" s="166">
        <v>89.933149008647604</v>
      </c>
      <c r="D2341" s="39"/>
      <c r="E2341" s="39"/>
    </row>
    <row r="2342" spans="1:5" ht="15.6">
      <c r="A2342">
        <v>2287</v>
      </c>
      <c r="B2342" s="166">
        <v>86.681599978978667</v>
      </c>
      <c r="D2342" s="39"/>
      <c r="E2342" s="39"/>
    </row>
    <row r="2343" spans="1:5" ht="15.6">
      <c r="A2343">
        <v>2288</v>
      </c>
      <c r="B2343" s="166">
        <v>142.22782665810007</v>
      </c>
      <c r="D2343" s="39"/>
      <c r="E2343" s="39"/>
    </row>
    <row r="2344" spans="1:5" ht="15.6">
      <c r="A2344">
        <v>2289</v>
      </c>
      <c r="B2344" s="166">
        <v>146.23991118820021</v>
      </c>
      <c r="D2344" s="39"/>
      <c r="E2344" s="39"/>
    </row>
    <row r="2345" spans="1:5" ht="15.6">
      <c r="A2345">
        <v>2290</v>
      </c>
      <c r="B2345" s="166">
        <v>100.17907417806755</v>
      </c>
      <c r="D2345" s="39"/>
      <c r="E2345" s="39"/>
    </row>
    <row r="2346" spans="1:5" ht="15.6">
      <c r="A2346">
        <v>2291</v>
      </c>
      <c r="B2346" s="166">
        <v>146.68739237224204</v>
      </c>
      <c r="D2346" s="39"/>
      <c r="E2346" s="39"/>
    </row>
    <row r="2347" spans="1:5" ht="15.6">
      <c r="A2347">
        <v>2292</v>
      </c>
      <c r="B2347" s="166">
        <v>87.854801178647406</v>
      </c>
      <c r="D2347" s="39"/>
      <c r="E2347" s="39"/>
    </row>
    <row r="2348" spans="1:5" ht="15.6">
      <c r="A2348">
        <v>2293</v>
      </c>
      <c r="B2348" s="166">
        <v>162.48656167579</v>
      </c>
      <c r="D2348" s="39"/>
      <c r="E2348" s="39"/>
    </row>
    <row r="2349" spans="1:5" ht="15.6">
      <c r="A2349">
        <v>2294</v>
      </c>
      <c r="B2349" s="166">
        <v>99.587214012938929</v>
      </c>
      <c r="D2349" s="39"/>
      <c r="E2349" s="39"/>
    </row>
    <row r="2350" spans="1:5" ht="15.6">
      <c r="A2350">
        <v>2295</v>
      </c>
      <c r="B2350" s="166">
        <v>87.3332357271223</v>
      </c>
      <c r="D2350" s="39"/>
      <c r="E2350" s="39"/>
    </row>
    <row r="2351" spans="1:5" ht="15.6">
      <c r="A2351">
        <v>2296</v>
      </c>
      <c r="B2351" s="166">
        <v>124.35749762121517</v>
      </c>
      <c r="D2351" s="39"/>
      <c r="E2351" s="39"/>
    </row>
    <row r="2352" spans="1:5" ht="15.6">
      <c r="A2352">
        <v>2297</v>
      </c>
      <c r="B2352" s="166">
        <v>100.72985084124869</v>
      </c>
      <c r="D2352" s="39"/>
      <c r="E2352" s="39"/>
    </row>
    <row r="2353" spans="1:5" ht="15.6">
      <c r="A2353">
        <v>2298</v>
      </c>
      <c r="B2353" s="166">
        <v>152.22035793604033</v>
      </c>
      <c r="D2353" s="39"/>
      <c r="E2353" s="39"/>
    </row>
    <row r="2354" spans="1:5" ht="15.6">
      <c r="A2354">
        <v>2299</v>
      </c>
      <c r="B2354" s="166">
        <v>107.91841527188262</v>
      </c>
      <c r="D2354" s="39"/>
      <c r="E2354" s="39"/>
    </row>
    <row r="2355" spans="1:5" ht="15.6">
      <c r="A2355">
        <v>2300</v>
      </c>
      <c r="B2355" s="166">
        <v>140.44983591627039</v>
      </c>
      <c r="D2355" s="39"/>
      <c r="E2355" s="39"/>
    </row>
    <row r="2356" spans="1:5" ht="15.6">
      <c r="A2356">
        <v>2301</v>
      </c>
      <c r="B2356" s="166">
        <v>85.632866299470962</v>
      </c>
      <c r="D2356" s="39"/>
      <c r="E2356" s="39"/>
    </row>
    <row r="2357" spans="1:5" ht="15.6">
      <c r="A2357">
        <v>2302</v>
      </c>
      <c r="B2357" s="166">
        <v>148.78069408397278</v>
      </c>
      <c r="D2357" s="39"/>
      <c r="E2357" s="39"/>
    </row>
    <row r="2358" spans="1:5" ht="15.6">
      <c r="A2358">
        <v>2303</v>
      </c>
      <c r="B2358" s="166">
        <v>214.25132393392627</v>
      </c>
      <c r="D2358" s="39"/>
      <c r="E2358" s="39"/>
    </row>
    <row r="2359" spans="1:5" ht="15.6">
      <c r="A2359">
        <v>2304</v>
      </c>
      <c r="B2359" s="166">
        <v>81.581156849573603</v>
      </c>
      <c r="D2359" s="39"/>
      <c r="E2359" s="39"/>
    </row>
    <row r="2360" spans="1:5" ht="15.6">
      <c r="A2360">
        <v>2305</v>
      </c>
      <c r="B2360" s="166">
        <v>101.17639042553934</v>
      </c>
      <c r="D2360" s="39"/>
      <c r="E2360" s="39"/>
    </row>
    <row r="2361" spans="1:5" ht="15.6">
      <c r="A2361">
        <v>2306</v>
      </c>
      <c r="B2361" s="166">
        <v>147.70398194390913</v>
      </c>
      <c r="D2361" s="39"/>
      <c r="E2361" s="39"/>
    </row>
    <row r="2362" spans="1:5" ht="15.6">
      <c r="A2362">
        <v>2307</v>
      </c>
      <c r="B2362" s="166">
        <v>92.984970781296994</v>
      </c>
      <c r="D2362" s="39"/>
      <c r="E2362" s="39"/>
    </row>
    <row r="2363" spans="1:5" ht="15.6">
      <c r="A2363">
        <v>2308</v>
      </c>
      <c r="B2363" s="166">
        <v>134.16394475742786</v>
      </c>
      <c r="D2363" s="39"/>
      <c r="E2363" s="39"/>
    </row>
    <row r="2364" spans="1:5" ht="15.6">
      <c r="A2364">
        <v>2309</v>
      </c>
      <c r="B2364" s="166">
        <v>184.54324864410086</v>
      </c>
      <c r="D2364" s="39"/>
      <c r="E2364" s="39"/>
    </row>
    <row r="2365" spans="1:5" ht="15.6">
      <c r="A2365">
        <v>2310</v>
      </c>
      <c r="B2365" s="166">
        <v>74.292392925892031</v>
      </c>
      <c r="D2365" s="39"/>
      <c r="E2365" s="39"/>
    </row>
    <row r="2366" spans="1:5" ht="15.6">
      <c r="A2366">
        <v>2311</v>
      </c>
      <c r="B2366" s="166">
        <v>87.033727405158075</v>
      </c>
      <c r="D2366" s="39"/>
      <c r="E2366" s="39"/>
    </row>
    <row r="2367" spans="1:5" ht="15.6">
      <c r="A2367">
        <v>2312</v>
      </c>
      <c r="B2367" s="166">
        <v>122.98418292389755</v>
      </c>
      <c r="D2367" s="39"/>
      <c r="E2367" s="39"/>
    </row>
    <row r="2368" spans="1:5" ht="15.6">
      <c r="A2368">
        <v>2313</v>
      </c>
      <c r="B2368" s="166">
        <v>57.388316691910177</v>
      </c>
      <c r="D2368" s="39"/>
      <c r="E2368" s="39"/>
    </row>
    <row r="2369" spans="1:5" ht="15.6">
      <c r="A2369">
        <v>2314</v>
      </c>
      <c r="B2369" s="166">
        <v>119.67236457786524</v>
      </c>
      <c r="D2369" s="39"/>
      <c r="E2369" s="39"/>
    </row>
    <row r="2370" spans="1:5" ht="15.6">
      <c r="A2370">
        <v>2315</v>
      </c>
      <c r="B2370" s="166">
        <v>306.49568731969919</v>
      </c>
      <c r="D2370" s="39"/>
      <c r="E2370" s="39"/>
    </row>
    <row r="2371" spans="1:5" ht="15.6">
      <c r="A2371">
        <v>2316</v>
      </c>
      <c r="B2371" s="166">
        <v>79.294809816630789</v>
      </c>
      <c r="D2371" s="39"/>
      <c r="E2371" s="39"/>
    </row>
    <row r="2372" spans="1:5" ht="15.6">
      <c r="A2372">
        <v>2317</v>
      </c>
      <c r="B2372" s="166">
        <v>71.19763491579225</v>
      </c>
      <c r="D2372" s="39"/>
      <c r="E2372" s="39"/>
    </row>
    <row r="2373" spans="1:5" ht="15.6">
      <c r="A2373">
        <v>2318</v>
      </c>
      <c r="B2373" s="166">
        <v>163.47855013586164</v>
      </c>
      <c r="D2373" s="39"/>
      <c r="E2373" s="39"/>
    </row>
    <row r="2374" spans="1:5" ht="15.6">
      <c r="A2374">
        <v>2319</v>
      </c>
      <c r="B2374" s="166">
        <v>117.15408023881842</v>
      </c>
      <c r="D2374" s="39"/>
      <c r="E2374" s="39"/>
    </row>
    <row r="2375" spans="1:5" ht="15.6">
      <c r="A2375">
        <v>2320</v>
      </c>
      <c r="B2375" s="166">
        <v>172.58267111375608</v>
      </c>
      <c r="D2375" s="39"/>
      <c r="E2375" s="39"/>
    </row>
    <row r="2376" spans="1:5" ht="15.6">
      <c r="A2376">
        <v>2321</v>
      </c>
      <c r="B2376" s="166">
        <v>87.47275891305857</v>
      </c>
      <c r="D2376" s="39"/>
      <c r="E2376" s="39"/>
    </row>
    <row r="2377" spans="1:5" ht="15.6">
      <c r="A2377">
        <v>2322</v>
      </c>
      <c r="B2377" s="166">
        <v>109.79752263153867</v>
      </c>
      <c r="D2377" s="39"/>
      <c r="E2377" s="39"/>
    </row>
    <row r="2378" spans="1:5" ht="15.6">
      <c r="A2378">
        <v>2323</v>
      </c>
      <c r="B2378" s="166">
        <v>95.628913369743557</v>
      </c>
      <c r="D2378" s="39"/>
      <c r="E2378" s="39"/>
    </row>
    <row r="2379" spans="1:5" ht="15.6">
      <c r="A2379">
        <v>2324</v>
      </c>
      <c r="B2379" s="166">
        <v>89.607215563099672</v>
      </c>
      <c r="D2379" s="39"/>
      <c r="E2379" s="39"/>
    </row>
    <row r="2380" spans="1:5" ht="15.6">
      <c r="A2380">
        <v>2325</v>
      </c>
      <c r="B2380" s="166">
        <v>95.115025120146981</v>
      </c>
      <c r="D2380" s="39"/>
      <c r="E2380" s="39"/>
    </row>
    <row r="2381" spans="1:5" ht="15.6">
      <c r="A2381">
        <v>2326</v>
      </c>
      <c r="B2381" s="166">
        <v>149.0857851699318</v>
      </c>
      <c r="D2381" s="39"/>
      <c r="E2381" s="39"/>
    </row>
    <row r="2382" spans="1:5" ht="15.6">
      <c r="A2382">
        <v>2327</v>
      </c>
      <c r="B2382" s="166">
        <v>152.85002658600447</v>
      </c>
      <c r="D2382" s="39"/>
      <c r="E2382" s="39"/>
    </row>
    <row r="2383" spans="1:5" ht="15.6">
      <c r="A2383">
        <v>2328</v>
      </c>
      <c r="B2383" s="166">
        <v>213.39252368153149</v>
      </c>
      <c r="D2383" s="39"/>
      <c r="E2383" s="39"/>
    </row>
    <row r="2384" spans="1:5" ht="15.6">
      <c r="A2384">
        <v>2329</v>
      </c>
      <c r="B2384" s="166">
        <v>119.12658668143405</v>
      </c>
      <c r="D2384" s="39"/>
      <c r="E2384" s="39"/>
    </row>
    <row r="2385" spans="1:5" ht="15.6">
      <c r="A2385">
        <v>2330</v>
      </c>
      <c r="B2385" s="166">
        <v>88.948908328911187</v>
      </c>
      <c r="D2385" s="39"/>
      <c r="E2385" s="39"/>
    </row>
    <row r="2386" spans="1:5" ht="15.6">
      <c r="A2386">
        <v>2331</v>
      </c>
      <c r="B2386" s="166">
        <v>79.724284759398117</v>
      </c>
      <c r="D2386" s="39"/>
      <c r="E2386" s="39"/>
    </row>
    <row r="2387" spans="1:5" ht="15.6">
      <c r="A2387">
        <v>2332</v>
      </c>
      <c r="B2387" s="166">
        <v>95.316294434467508</v>
      </c>
      <c r="D2387" s="39"/>
      <c r="E2387" s="39"/>
    </row>
    <row r="2388" spans="1:5" ht="15.6">
      <c r="A2388">
        <v>2333</v>
      </c>
      <c r="B2388" s="166">
        <v>104.03010729912585</v>
      </c>
      <c r="D2388" s="39"/>
      <c r="E2388" s="39"/>
    </row>
    <row r="2389" spans="1:5" ht="15.6">
      <c r="A2389">
        <v>2334</v>
      </c>
      <c r="B2389" s="166">
        <v>82.962141757867371</v>
      </c>
      <c r="D2389" s="39"/>
      <c r="E2389" s="39"/>
    </row>
    <row r="2390" spans="1:5" ht="15.6">
      <c r="A2390">
        <v>2335</v>
      </c>
      <c r="B2390" s="166">
        <v>98.805193354994685</v>
      </c>
      <c r="D2390" s="39"/>
      <c r="E2390" s="39"/>
    </row>
    <row r="2391" spans="1:5" ht="15.6">
      <c r="A2391">
        <v>2336</v>
      </c>
      <c r="B2391" s="166">
        <v>82.05982128916213</v>
      </c>
      <c r="D2391" s="39"/>
      <c r="E2391" s="39"/>
    </row>
    <row r="2392" spans="1:5" ht="15.6">
      <c r="A2392">
        <v>2337</v>
      </c>
      <c r="B2392" s="166">
        <v>70.198631510358155</v>
      </c>
      <c r="D2392" s="39"/>
      <c r="E2392" s="39"/>
    </row>
    <row r="2393" spans="1:5" ht="15.6">
      <c r="A2393">
        <v>2338</v>
      </c>
      <c r="B2393" s="166">
        <v>87.808167114787366</v>
      </c>
      <c r="D2393" s="39"/>
      <c r="E2393" s="39"/>
    </row>
    <row r="2394" spans="1:5" ht="15.6">
      <c r="A2394">
        <v>2339</v>
      </c>
      <c r="B2394" s="166">
        <v>66.849591550296509</v>
      </c>
      <c r="D2394" s="39"/>
      <c r="E2394" s="39"/>
    </row>
    <row r="2395" spans="1:5" ht="15.6">
      <c r="A2395">
        <v>2340</v>
      </c>
      <c r="B2395" s="166">
        <v>92.214643406475318</v>
      </c>
      <c r="D2395" s="39"/>
      <c r="E2395" s="39"/>
    </row>
    <row r="2396" spans="1:5" ht="15.6">
      <c r="A2396">
        <v>2341</v>
      </c>
      <c r="B2396" s="166">
        <v>169.34192074665302</v>
      </c>
      <c r="D2396" s="39"/>
      <c r="E2396" s="39"/>
    </row>
    <row r="2397" spans="1:5" ht="15.6">
      <c r="A2397">
        <v>2342</v>
      </c>
      <c r="B2397" s="166">
        <v>46.406389363029305</v>
      </c>
      <c r="D2397" s="39"/>
      <c r="E2397" s="39"/>
    </row>
    <row r="2398" spans="1:5" ht="15.6">
      <c r="A2398">
        <v>2343</v>
      </c>
      <c r="B2398" s="166">
        <v>82.424277926345255</v>
      </c>
      <c r="D2398" s="39"/>
      <c r="E2398" s="39"/>
    </row>
    <row r="2399" spans="1:5" ht="15.6">
      <c r="A2399">
        <v>2344</v>
      </c>
      <c r="B2399" s="166">
        <v>73.060298753445821</v>
      </c>
      <c r="D2399" s="39"/>
      <c r="E2399" s="39"/>
    </row>
    <row r="2400" spans="1:5" ht="15.6">
      <c r="A2400">
        <v>2345</v>
      </c>
      <c r="B2400" s="166">
        <v>79.408250141049379</v>
      </c>
      <c r="D2400" s="39"/>
      <c r="E2400" s="39"/>
    </row>
    <row r="2401" spans="1:5" ht="15.6">
      <c r="A2401">
        <v>2346</v>
      </c>
      <c r="B2401" s="166">
        <v>123.82567344630779</v>
      </c>
      <c r="D2401" s="39"/>
      <c r="E2401" s="39"/>
    </row>
    <row r="2402" spans="1:5" ht="15.6">
      <c r="A2402">
        <v>2347</v>
      </c>
      <c r="B2402" s="166">
        <v>108.78908125658769</v>
      </c>
      <c r="D2402" s="39"/>
      <c r="E2402" s="39"/>
    </row>
    <row r="2403" spans="1:5" ht="15.6">
      <c r="A2403">
        <v>2348</v>
      </c>
      <c r="B2403" s="166">
        <v>135.5379655748122</v>
      </c>
      <c r="D2403" s="39"/>
      <c r="E2403" s="39"/>
    </row>
    <row r="2404" spans="1:5" ht="15.6">
      <c r="A2404">
        <v>2349</v>
      </c>
      <c r="B2404" s="166">
        <v>131.11819027958717</v>
      </c>
      <c r="D2404" s="39"/>
      <c r="E2404" s="39"/>
    </row>
    <row r="2405" spans="1:5" ht="15.6">
      <c r="A2405">
        <v>2350</v>
      </c>
      <c r="B2405" s="166">
        <v>71.831353645736485</v>
      </c>
      <c r="D2405" s="39"/>
      <c r="E2405" s="39"/>
    </row>
    <row r="2406" spans="1:5" ht="15.6">
      <c r="A2406">
        <v>2351</v>
      </c>
      <c r="B2406" s="166">
        <v>121.93428975094592</v>
      </c>
      <c r="D2406" s="39"/>
      <c r="E2406" s="39"/>
    </row>
    <row r="2407" spans="1:5" ht="15.6">
      <c r="A2407">
        <v>2352</v>
      </c>
      <c r="B2407" s="166">
        <v>126.82273812064831</v>
      </c>
      <c r="D2407" s="39"/>
      <c r="E2407" s="39"/>
    </row>
    <row r="2408" spans="1:5" ht="15.6">
      <c r="A2408">
        <v>2353</v>
      </c>
      <c r="B2408" s="166">
        <v>236.110165312959</v>
      </c>
      <c r="D2408" s="39"/>
      <c r="E2408" s="39"/>
    </row>
    <row r="2409" spans="1:5" ht="15.6">
      <c r="A2409">
        <v>2354</v>
      </c>
      <c r="B2409" s="166">
        <v>103.55822263135116</v>
      </c>
      <c r="D2409" s="39"/>
      <c r="E2409" s="39"/>
    </row>
    <row r="2410" spans="1:5" ht="15.6">
      <c r="A2410">
        <v>2355</v>
      </c>
      <c r="B2410" s="166">
        <v>127.590809251717</v>
      </c>
      <c r="D2410" s="39"/>
      <c r="E2410" s="39"/>
    </row>
    <row r="2411" spans="1:5" ht="15.6">
      <c r="A2411">
        <v>2356</v>
      </c>
      <c r="B2411" s="166">
        <v>147.97078044681214</v>
      </c>
      <c r="D2411" s="39"/>
      <c r="E2411" s="39"/>
    </row>
    <row r="2412" spans="1:5" ht="15.6">
      <c r="A2412">
        <v>2357</v>
      </c>
      <c r="B2412" s="166">
        <v>87.914061693928474</v>
      </c>
      <c r="D2412" s="39"/>
      <c r="E2412" s="39"/>
    </row>
    <row r="2413" spans="1:5" ht="15.6">
      <c r="A2413">
        <v>2358</v>
      </c>
      <c r="B2413" s="166">
        <v>200.78217677348852</v>
      </c>
      <c r="D2413" s="39"/>
      <c r="E2413" s="39"/>
    </row>
    <row r="2414" spans="1:5" ht="15.6">
      <c r="A2414">
        <v>2359</v>
      </c>
      <c r="B2414" s="166">
        <v>65.925171721198566</v>
      </c>
      <c r="D2414" s="39"/>
      <c r="E2414" s="39"/>
    </row>
    <row r="2415" spans="1:5" ht="15.6">
      <c r="A2415">
        <v>2360</v>
      </c>
      <c r="B2415" s="166">
        <v>51.984661598610074</v>
      </c>
      <c r="D2415" s="39"/>
      <c r="E2415" s="39"/>
    </row>
    <row r="2416" spans="1:5" ht="15.6">
      <c r="A2416">
        <v>2361</v>
      </c>
      <c r="B2416" s="166">
        <v>140.83829659580047</v>
      </c>
      <c r="D2416" s="39"/>
      <c r="E2416" s="39"/>
    </row>
    <row r="2417" spans="1:5" ht="15.6">
      <c r="A2417">
        <v>2362</v>
      </c>
      <c r="B2417" s="166">
        <v>138.88904987089614</v>
      </c>
      <c r="D2417" s="39"/>
      <c r="E2417" s="39"/>
    </row>
    <row r="2418" spans="1:5" ht="15.6">
      <c r="A2418">
        <v>2363</v>
      </c>
      <c r="B2418" s="166">
        <v>92.61863383347719</v>
      </c>
      <c r="D2418" s="39"/>
      <c r="E2418" s="39"/>
    </row>
    <row r="2419" spans="1:5" ht="15.6">
      <c r="A2419">
        <v>2364</v>
      </c>
      <c r="B2419" s="166">
        <v>118.9212807884948</v>
      </c>
      <c r="D2419" s="39"/>
      <c r="E2419" s="39"/>
    </row>
    <row r="2420" spans="1:5" ht="15.6">
      <c r="A2420">
        <v>2365</v>
      </c>
      <c r="B2420" s="166">
        <v>130.85257426439642</v>
      </c>
      <c r="D2420" s="39"/>
      <c r="E2420" s="39"/>
    </row>
    <row r="2421" spans="1:5" ht="15.6">
      <c r="A2421">
        <v>2366</v>
      </c>
      <c r="B2421" s="166">
        <v>156.77980793845327</v>
      </c>
      <c r="D2421" s="39"/>
      <c r="E2421" s="39"/>
    </row>
    <row r="2422" spans="1:5" ht="15.6">
      <c r="A2422">
        <v>2367</v>
      </c>
      <c r="B2422" s="166">
        <v>107.41369175800807</v>
      </c>
      <c r="D2422" s="39"/>
      <c r="E2422" s="39"/>
    </row>
    <row r="2423" spans="1:5" ht="15.6">
      <c r="A2423">
        <v>2368</v>
      </c>
      <c r="B2423" s="166">
        <v>133.34852671053983</v>
      </c>
      <c r="D2423" s="39"/>
      <c r="E2423" s="39"/>
    </row>
    <row r="2424" spans="1:5" ht="15.6">
      <c r="A2424">
        <v>2369</v>
      </c>
      <c r="B2424" s="166">
        <v>132.20900546316193</v>
      </c>
      <c r="D2424" s="39"/>
      <c r="E2424" s="39"/>
    </row>
    <row r="2425" spans="1:5" ht="15.6">
      <c r="A2425">
        <v>2370</v>
      </c>
      <c r="B2425" s="166">
        <v>119.28257874505996</v>
      </c>
      <c r="D2425" s="39"/>
      <c r="E2425" s="39"/>
    </row>
    <row r="2426" spans="1:5" ht="15.6">
      <c r="A2426">
        <v>2371</v>
      </c>
      <c r="B2426" s="166">
        <v>115.7982053428747</v>
      </c>
      <c r="D2426" s="39"/>
      <c r="E2426" s="39"/>
    </row>
    <row r="2427" spans="1:5" ht="15.6">
      <c r="A2427">
        <v>2372</v>
      </c>
      <c r="B2427" s="166">
        <v>111.55063135450418</v>
      </c>
      <c r="D2427" s="39"/>
      <c r="E2427" s="39"/>
    </row>
    <row r="2428" spans="1:5" ht="15.6">
      <c r="A2428">
        <v>2373</v>
      </c>
      <c r="B2428" s="166">
        <v>98.147335278387999</v>
      </c>
      <c r="D2428" s="39"/>
      <c r="E2428" s="39"/>
    </row>
    <row r="2429" spans="1:5" ht="15.6">
      <c r="A2429">
        <v>2374</v>
      </c>
      <c r="B2429" s="166">
        <v>55.382640600350072</v>
      </c>
      <c r="D2429" s="39"/>
      <c r="E2429" s="39"/>
    </row>
    <row r="2430" spans="1:5" ht="15.6">
      <c r="A2430">
        <v>2375</v>
      </c>
      <c r="B2430" s="166">
        <v>50.955719466265641</v>
      </c>
      <c r="D2430" s="39"/>
      <c r="E2430" s="39"/>
    </row>
    <row r="2431" spans="1:5" ht="15.6">
      <c r="A2431">
        <v>2376</v>
      </c>
      <c r="B2431" s="166">
        <v>73.958706691391001</v>
      </c>
      <c r="D2431" s="39"/>
      <c r="E2431" s="39"/>
    </row>
    <row r="2432" spans="1:5" ht="15.6">
      <c r="A2432">
        <v>2377</v>
      </c>
      <c r="B2432" s="166">
        <v>93.579902706933012</v>
      </c>
      <c r="D2432" s="39"/>
      <c r="E2432" s="39"/>
    </row>
    <row r="2433" spans="1:5" ht="15.6">
      <c r="A2433">
        <v>2378</v>
      </c>
      <c r="B2433" s="166">
        <v>98.03494053558039</v>
      </c>
      <c r="D2433" s="39"/>
      <c r="E2433" s="39"/>
    </row>
    <row r="2434" spans="1:5" ht="15.6">
      <c r="A2434">
        <v>2379</v>
      </c>
      <c r="B2434" s="166">
        <v>123.63399102124551</v>
      </c>
      <c r="D2434" s="39"/>
      <c r="E2434" s="39"/>
    </row>
    <row r="2435" spans="1:5" ht="15.6">
      <c r="A2435">
        <v>2380</v>
      </c>
      <c r="B2435" s="166">
        <v>76.494061564061298</v>
      </c>
      <c r="D2435" s="39"/>
      <c r="E2435" s="39"/>
    </row>
    <row r="2436" spans="1:5" ht="15.6">
      <c r="A2436">
        <v>2381</v>
      </c>
      <c r="B2436" s="166">
        <v>85.372445840886471</v>
      </c>
      <c r="D2436" s="39"/>
      <c r="E2436" s="39"/>
    </row>
    <row r="2437" spans="1:5" ht="15.6">
      <c r="A2437">
        <v>2382</v>
      </c>
      <c r="B2437" s="166">
        <v>86.044856688416203</v>
      </c>
      <c r="D2437" s="39"/>
      <c r="E2437" s="39"/>
    </row>
    <row r="2438" spans="1:5" ht="15.6">
      <c r="A2438">
        <v>2383</v>
      </c>
      <c r="B2438" s="166">
        <v>65.006665010965762</v>
      </c>
      <c r="D2438" s="39"/>
      <c r="E2438" s="39"/>
    </row>
    <row r="2439" spans="1:5" ht="15.6">
      <c r="A2439">
        <v>2384</v>
      </c>
      <c r="B2439" s="166">
        <v>97.343494279061105</v>
      </c>
      <c r="D2439" s="39"/>
      <c r="E2439" s="39"/>
    </row>
    <row r="2440" spans="1:5" ht="15.6">
      <c r="A2440">
        <v>2385</v>
      </c>
      <c r="B2440" s="166">
        <v>94.267138336733041</v>
      </c>
      <c r="D2440" s="39"/>
      <c r="E2440" s="39"/>
    </row>
    <row r="2441" spans="1:5" ht="15.6">
      <c r="A2441">
        <v>2386</v>
      </c>
      <c r="B2441" s="166">
        <v>94.001781904167814</v>
      </c>
      <c r="D2441" s="39"/>
      <c r="E2441" s="39"/>
    </row>
    <row r="2442" spans="1:5" ht="15.6">
      <c r="A2442">
        <v>2387</v>
      </c>
      <c r="B2442" s="166">
        <v>86.587604866630727</v>
      </c>
      <c r="D2442" s="39"/>
      <c r="E2442" s="39"/>
    </row>
    <row r="2443" spans="1:5" ht="15.6">
      <c r="A2443">
        <v>2388</v>
      </c>
      <c r="B2443" s="166">
        <v>88.196953425524967</v>
      </c>
      <c r="D2443" s="39"/>
      <c r="E2443" s="39"/>
    </row>
    <row r="2444" spans="1:5" ht="15.6">
      <c r="A2444">
        <v>2389</v>
      </c>
      <c r="B2444" s="166">
        <v>79.730847628429274</v>
      </c>
      <c r="D2444" s="39"/>
      <c r="E2444" s="39"/>
    </row>
    <row r="2445" spans="1:5" ht="15.6">
      <c r="A2445">
        <v>2390</v>
      </c>
      <c r="B2445" s="166">
        <v>91.012305149106027</v>
      </c>
      <c r="D2445" s="39"/>
      <c r="E2445" s="39"/>
    </row>
    <row r="2446" spans="1:5" ht="15.6">
      <c r="A2446">
        <v>2391</v>
      </c>
      <c r="B2446" s="166">
        <v>71.898149599417607</v>
      </c>
      <c r="D2446" s="39"/>
      <c r="E2446" s="39"/>
    </row>
    <row r="2447" spans="1:5" ht="15.6">
      <c r="A2447">
        <v>2392</v>
      </c>
      <c r="B2447" s="166">
        <v>70.920150489909773</v>
      </c>
      <c r="D2447" s="39"/>
      <c r="E2447" s="39"/>
    </row>
    <row r="2448" spans="1:5" ht="15.6">
      <c r="A2448">
        <v>2393</v>
      </c>
      <c r="B2448" s="166">
        <v>81.46148884972952</v>
      </c>
      <c r="D2448" s="39"/>
      <c r="E2448" s="39"/>
    </row>
    <row r="2449" spans="1:5" ht="15.6">
      <c r="A2449">
        <v>2394</v>
      </c>
      <c r="B2449" s="166">
        <v>118.40326278177899</v>
      </c>
      <c r="D2449" s="39"/>
      <c r="E2449" s="39"/>
    </row>
    <row r="2450" spans="1:5" ht="15.6">
      <c r="A2450">
        <v>2395</v>
      </c>
      <c r="B2450" s="166">
        <v>129.9771574767575</v>
      </c>
      <c r="D2450" s="39"/>
      <c r="E2450" s="39"/>
    </row>
    <row r="2451" spans="1:5" ht="15.6">
      <c r="A2451">
        <v>2396</v>
      </c>
      <c r="B2451" s="166">
        <v>141.22440342431125</v>
      </c>
      <c r="D2451" s="39"/>
      <c r="E2451" s="39"/>
    </row>
    <row r="2452" spans="1:5" ht="15.6">
      <c r="A2452">
        <v>2397</v>
      </c>
      <c r="B2452" s="166">
        <v>148.79903948409756</v>
      </c>
      <c r="D2452" s="39"/>
      <c r="E2452" s="39"/>
    </row>
    <row r="2453" spans="1:5" ht="15.6">
      <c r="A2453">
        <v>2398</v>
      </c>
      <c r="B2453" s="166">
        <v>72.899340312322693</v>
      </c>
      <c r="D2453" s="39"/>
      <c r="E2453" s="39"/>
    </row>
    <row r="2454" spans="1:5" ht="15.6">
      <c r="A2454">
        <v>2399</v>
      </c>
      <c r="B2454" s="166">
        <v>66.497581767289276</v>
      </c>
      <c r="D2454" s="39"/>
      <c r="E2454" s="39"/>
    </row>
    <row r="2455" spans="1:5" ht="15.6">
      <c r="A2455">
        <v>2400</v>
      </c>
      <c r="B2455" s="166">
        <v>123.27538707342711</v>
      </c>
      <c r="D2455" s="39"/>
      <c r="E2455" s="39"/>
    </row>
    <row r="2456" spans="1:5" ht="15.6">
      <c r="A2456">
        <v>2401</v>
      </c>
      <c r="B2456" s="166">
        <v>130.70703770224179</v>
      </c>
      <c r="D2456" s="39"/>
      <c r="E2456" s="39"/>
    </row>
    <row r="2457" spans="1:5" ht="15.6">
      <c r="A2457">
        <v>2402</v>
      </c>
      <c r="B2457" s="166">
        <v>91.251768484966846</v>
      </c>
      <c r="D2457" s="39"/>
      <c r="E2457" s="39"/>
    </row>
    <row r="2458" spans="1:5" ht="15.6">
      <c r="A2458">
        <v>2403</v>
      </c>
      <c r="B2458" s="166">
        <v>57.037807528847658</v>
      </c>
      <c r="D2458" s="39"/>
      <c r="E2458" s="39"/>
    </row>
    <row r="2459" spans="1:5" ht="15.6">
      <c r="A2459">
        <v>2404</v>
      </c>
      <c r="B2459" s="166">
        <v>71.997711792371135</v>
      </c>
      <c r="D2459" s="39"/>
      <c r="E2459" s="39"/>
    </row>
    <row r="2460" spans="1:5" ht="15.6">
      <c r="A2460">
        <v>2405</v>
      </c>
      <c r="B2460" s="166">
        <v>122.88895060403451</v>
      </c>
      <c r="D2460" s="39"/>
      <c r="E2460" s="39"/>
    </row>
    <row r="2461" spans="1:5" ht="15.6">
      <c r="A2461">
        <v>2406</v>
      </c>
      <c r="B2461" s="166">
        <v>133.09226812391231</v>
      </c>
      <c r="D2461" s="39"/>
      <c r="E2461" s="39"/>
    </row>
    <row r="2462" spans="1:5" ht="15.6">
      <c r="A2462">
        <v>2407</v>
      </c>
      <c r="B2462" s="166">
        <v>97.179414255101591</v>
      </c>
      <c r="D2462" s="39"/>
      <c r="E2462" s="39"/>
    </row>
    <row r="2463" spans="1:5" ht="15.6">
      <c r="A2463">
        <v>2408</v>
      </c>
      <c r="B2463" s="166">
        <v>80.134527563170337</v>
      </c>
      <c r="D2463" s="39"/>
      <c r="E2463" s="39"/>
    </row>
    <row r="2464" spans="1:5" ht="15.6">
      <c r="A2464">
        <v>2409</v>
      </c>
      <c r="B2464" s="166">
        <v>136.97127768365445</v>
      </c>
      <c r="D2464" s="39"/>
      <c r="E2464" s="39"/>
    </row>
    <row r="2465" spans="1:5" ht="15.6">
      <c r="A2465">
        <v>2410</v>
      </c>
      <c r="B2465" s="166">
        <v>81.53564580546248</v>
      </c>
      <c r="D2465" s="39"/>
      <c r="E2465" s="39"/>
    </row>
    <row r="2466" spans="1:5" ht="15.6">
      <c r="A2466">
        <v>2411</v>
      </c>
      <c r="B2466" s="166">
        <v>107.8504878415894</v>
      </c>
      <c r="D2466" s="39"/>
      <c r="E2466" s="39"/>
    </row>
    <row r="2467" spans="1:5" ht="15.6">
      <c r="A2467">
        <v>2412</v>
      </c>
      <c r="B2467" s="166">
        <v>86.568398512372127</v>
      </c>
      <c r="D2467" s="39"/>
      <c r="E2467" s="39"/>
    </row>
    <row r="2468" spans="1:5" ht="15.6">
      <c r="A2468">
        <v>2413</v>
      </c>
      <c r="B2468" s="166">
        <v>125.71597673713077</v>
      </c>
      <c r="D2468" s="39"/>
      <c r="E2468" s="39"/>
    </row>
    <row r="2469" spans="1:5" ht="15.6">
      <c r="A2469">
        <v>2414</v>
      </c>
      <c r="B2469" s="166">
        <v>194.78982050513793</v>
      </c>
      <c r="D2469" s="39"/>
      <c r="E2469" s="39"/>
    </row>
    <row r="2470" spans="1:5" ht="15.6">
      <c r="A2470">
        <v>2415</v>
      </c>
      <c r="B2470" s="166">
        <v>198.70136129415175</v>
      </c>
      <c r="D2470" s="39"/>
      <c r="E2470" s="39"/>
    </row>
    <row r="2471" spans="1:5" ht="15.6">
      <c r="A2471">
        <v>2416</v>
      </c>
      <c r="B2471" s="166">
        <v>95.434107214508188</v>
      </c>
      <c r="D2471" s="39"/>
      <c r="E2471" s="39"/>
    </row>
    <row r="2472" spans="1:5" ht="15.6">
      <c r="A2472">
        <v>2417</v>
      </c>
      <c r="B2472" s="166">
        <v>72.448847671727037</v>
      </c>
      <c r="D2472" s="39"/>
      <c r="E2472" s="39"/>
    </row>
    <row r="2473" spans="1:5" ht="15.6">
      <c r="A2473">
        <v>2418</v>
      </c>
      <c r="B2473" s="166">
        <v>135.36539528932025</v>
      </c>
      <c r="D2473" s="39"/>
      <c r="E2473" s="39"/>
    </row>
    <row r="2474" spans="1:5" ht="15.6">
      <c r="A2474">
        <v>2419</v>
      </c>
      <c r="B2474" s="166">
        <v>95.880447816227203</v>
      </c>
      <c r="D2474" s="39"/>
      <c r="E2474" s="39"/>
    </row>
    <row r="2475" spans="1:5" ht="15.6">
      <c r="A2475">
        <v>2420</v>
      </c>
      <c r="B2475" s="166">
        <v>139.09907129395822</v>
      </c>
      <c r="D2475" s="39"/>
      <c r="E2475" s="39"/>
    </row>
    <row r="2476" spans="1:5" ht="15.6">
      <c r="A2476">
        <v>2421</v>
      </c>
      <c r="B2476" s="166">
        <v>73.737943731384902</v>
      </c>
      <c r="D2476" s="39"/>
      <c r="E2476" s="39"/>
    </row>
    <row r="2477" spans="1:5" ht="15.6">
      <c r="A2477">
        <v>2422</v>
      </c>
      <c r="B2477" s="166">
        <v>96.122703325827558</v>
      </c>
      <c r="D2477" s="39"/>
      <c r="E2477" s="39"/>
    </row>
    <row r="2478" spans="1:5" ht="15.6">
      <c r="A2478">
        <v>2423</v>
      </c>
      <c r="B2478" s="166">
        <v>53.450426237088536</v>
      </c>
      <c r="D2478" s="39"/>
      <c r="E2478" s="39"/>
    </row>
    <row r="2479" spans="1:5" ht="15.6">
      <c r="A2479">
        <v>2424</v>
      </c>
      <c r="B2479" s="166">
        <v>77.035643856682299</v>
      </c>
      <c r="D2479" s="39"/>
      <c r="E2479" s="39"/>
    </row>
    <row r="2480" spans="1:5" ht="15.6">
      <c r="A2480">
        <v>2425</v>
      </c>
      <c r="B2480" s="166">
        <v>66.332700590991351</v>
      </c>
      <c r="D2480" s="39"/>
      <c r="E2480" s="39"/>
    </row>
    <row r="2481" spans="1:5" ht="15.6">
      <c r="A2481">
        <v>2426</v>
      </c>
      <c r="B2481" s="166">
        <v>210.09007988958248</v>
      </c>
      <c r="D2481" s="39"/>
      <c r="E2481" s="39"/>
    </row>
    <row r="2482" spans="1:5" ht="15.6">
      <c r="A2482">
        <v>2427</v>
      </c>
      <c r="B2482" s="166">
        <v>325.33209487290719</v>
      </c>
      <c r="D2482" s="39"/>
      <c r="E2482" s="39"/>
    </row>
    <row r="2483" spans="1:5" ht="15.6">
      <c r="A2483">
        <v>2428</v>
      </c>
      <c r="B2483" s="166">
        <v>61.755006314637797</v>
      </c>
      <c r="D2483" s="39"/>
      <c r="E2483" s="39"/>
    </row>
    <row r="2484" spans="1:5" ht="15.6">
      <c r="A2484">
        <v>2429</v>
      </c>
      <c r="B2484" s="166">
        <v>100.99802778756774</v>
      </c>
      <c r="D2484" s="39"/>
      <c r="E2484" s="39"/>
    </row>
    <row r="2485" spans="1:5" ht="15.6">
      <c r="A2485">
        <v>2430</v>
      </c>
      <c r="B2485" s="166">
        <v>126.55462833038011</v>
      </c>
      <c r="D2485" s="39"/>
      <c r="E2485" s="39"/>
    </row>
    <row r="2486" spans="1:5" ht="15.6">
      <c r="A2486">
        <v>2431</v>
      </c>
      <c r="B2486" s="166">
        <v>97.396711935020093</v>
      </c>
      <c r="D2486" s="39"/>
      <c r="E2486" s="39"/>
    </row>
    <row r="2487" spans="1:5" ht="15.6">
      <c r="A2487">
        <v>2432</v>
      </c>
      <c r="B2487" s="166">
        <v>105.05463564456932</v>
      </c>
      <c r="D2487" s="39"/>
      <c r="E2487" s="39"/>
    </row>
    <row r="2488" spans="1:5" ht="15.6">
      <c r="A2488">
        <v>2433</v>
      </c>
      <c r="B2488" s="166">
        <v>128.43274465551016</v>
      </c>
      <c r="D2488" s="39"/>
      <c r="E2488" s="39"/>
    </row>
    <row r="2489" spans="1:5" ht="15.6">
      <c r="A2489">
        <v>2434</v>
      </c>
      <c r="B2489" s="166">
        <v>141.19197708044678</v>
      </c>
      <c r="D2489" s="39"/>
      <c r="E2489" s="39"/>
    </row>
    <row r="2490" spans="1:5" ht="15.6">
      <c r="A2490">
        <v>2435</v>
      </c>
      <c r="B2490" s="166">
        <v>92.503959566661692</v>
      </c>
      <c r="D2490" s="39"/>
      <c r="E2490" s="39"/>
    </row>
    <row r="2491" spans="1:5" ht="15.6">
      <c r="A2491">
        <v>2436</v>
      </c>
      <c r="B2491" s="166">
        <v>132.03656132517341</v>
      </c>
      <c r="D2491" s="39"/>
      <c r="E2491" s="39"/>
    </row>
    <row r="2492" spans="1:5" ht="15.6">
      <c r="A2492">
        <v>2437</v>
      </c>
      <c r="B2492" s="166">
        <v>80.101253949188646</v>
      </c>
      <c r="D2492" s="39"/>
      <c r="E2492" s="39"/>
    </row>
    <row r="2493" spans="1:5" ht="15.6">
      <c r="A2493">
        <v>2438</v>
      </c>
      <c r="B2493" s="166">
        <v>197.80047494237502</v>
      </c>
      <c r="D2493" s="39"/>
      <c r="E2493" s="39"/>
    </row>
    <row r="2494" spans="1:5" ht="15.6">
      <c r="A2494">
        <v>2439</v>
      </c>
      <c r="B2494" s="166">
        <v>93.25544703441993</v>
      </c>
      <c r="D2494" s="39"/>
      <c r="E2494" s="39"/>
    </row>
    <row r="2495" spans="1:5" ht="15.6">
      <c r="A2495">
        <v>2440</v>
      </c>
      <c r="B2495" s="166">
        <v>76.881444208069311</v>
      </c>
      <c r="D2495" s="39"/>
      <c r="E2495" s="39"/>
    </row>
    <row r="2496" spans="1:5" ht="15.6">
      <c r="A2496">
        <v>2441</v>
      </c>
      <c r="B2496" s="166">
        <v>126.60892642959364</v>
      </c>
      <c r="D2496" s="39"/>
      <c r="E2496" s="39"/>
    </row>
    <row r="2497" spans="1:5" ht="15.6">
      <c r="A2497">
        <v>2442</v>
      </c>
      <c r="B2497" s="166">
        <v>156.94935444352154</v>
      </c>
      <c r="D2497" s="39"/>
      <c r="E2497" s="39"/>
    </row>
    <row r="2498" spans="1:5" ht="15.6">
      <c r="A2498">
        <v>2443</v>
      </c>
      <c r="B2498" s="166">
        <v>77.616065746358714</v>
      </c>
      <c r="D2498" s="39"/>
      <c r="E2498" s="39"/>
    </row>
    <row r="2499" spans="1:5" ht="15.6">
      <c r="A2499">
        <v>2444</v>
      </c>
      <c r="B2499" s="166">
        <v>81.519382397477258</v>
      </c>
      <c r="D2499" s="39"/>
      <c r="E2499" s="39"/>
    </row>
    <row r="2500" spans="1:5" ht="15.6">
      <c r="A2500">
        <v>2445</v>
      </c>
      <c r="B2500" s="166">
        <v>106.09554325986274</v>
      </c>
      <c r="D2500" s="39"/>
      <c r="E2500" s="39"/>
    </row>
    <row r="2501" spans="1:5" ht="15.6">
      <c r="A2501">
        <v>2446</v>
      </c>
      <c r="B2501" s="166">
        <v>94.743101377760837</v>
      </c>
      <c r="D2501" s="39"/>
      <c r="E2501" s="39"/>
    </row>
    <row r="2502" spans="1:5" ht="15.6">
      <c r="A2502">
        <v>2447</v>
      </c>
      <c r="B2502" s="166">
        <v>131.06162565566808</v>
      </c>
      <c r="D2502" s="39"/>
      <c r="E2502" s="39"/>
    </row>
    <row r="2503" spans="1:5" ht="15.6">
      <c r="A2503">
        <v>2448</v>
      </c>
      <c r="B2503" s="166">
        <v>148.66068938777468</v>
      </c>
      <c r="D2503" s="39"/>
      <c r="E2503" s="39"/>
    </row>
    <row r="2504" spans="1:5" ht="15.6">
      <c r="A2504">
        <v>2449</v>
      </c>
      <c r="B2504" s="166">
        <v>129.12778886321809</v>
      </c>
      <c r="D2504" s="39"/>
      <c r="E2504" s="39"/>
    </row>
    <row r="2505" spans="1:5" ht="15.6">
      <c r="A2505">
        <v>2450</v>
      </c>
      <c r="B2505" s="166">
        <v>101.82596589210073</v>
      </c>
      <c r="D2505" s="39"/>
      <c r="E2505" s="39"/>
    </row>
    <row r="2506" spans="1:5" ht="15.6">
      <c r="A2506">
        <v>2451</v>
      </c>
      <c r="B2506" s="166">
        <v>152.23280841899719</v>
      </c>
      <c r="D2506" s="39"/>
      <c r="E2506" s="39"/>
    </row>
    <row r="2507" spans="1:5" ht="15.6">
      <c r="A2507">
        <v>2452</v>
      </c>
      <c r="B2507" s="166">
        <v>153.32959858992308</v>
      </c>
      <c r="D2507" s="39"/>
      <c r="E2507" s="39"/>
    </row>
    <row r="2508" spans="1:5" ht="15.6">
      <c r="A2508">
        <v>2453</v>
      </c>
      <c r="B2508" s="166">
        <v>87.633502765088991</v>
      </c>
      <c r="D2508" s="39"/>
      <c r="E2508" s="39"/>
    </row>
    <row r="2509" spans="1:5" ht="15.6">
      <c r="A2509">
        <v>2454</v>
      </c>
      <c r="B2509" s="166">
        <v>234.60781234863984</v>
      </c>
      <c r="D2509" s="39"/>
      <c r="E2509" s="39"/>
    </row>
    <row r="2510" spans="1:5" ht="15.6">
      <c r="A2510">
        <v>2455</v>
      </c>
      <c r="B2510" s="166">
        <v>103.85090852572669</v>
      </c>
      <c r="D2510" s="39"/>
      <c r="E2510" s="39"/>
    </row>
    <row r="2511" spans="1:5" ht="15.6">
      <c r="A2511">
        <v>2456</v>
      </c>
      <c r="B2511" s="166">
        <v>154.14483027469612</v>
      </c>
      <c r="D2511" s="39"/>
      <c r="E2511" s="39"/>
    </row>
    <row r="2512" spans="1:5" ht="15.6">
      <c r="A2512">
        <v>2457</v>
      </c>
      <c r="B2512" s="166">
        <v>110.99124327242384</v>
      </c>
      <c r="D2512" s="39"/>
      <c r="E2512" s="39"/>
    </row>
    <row r="2513" spans="1:5" ht="15.6">
      <c r="A2513">
        <v>2458</v>
      </c>
      <c r="B2513" s="166">
        <v>116.73921622934448</v>
      </c>
      <c r="D2513" s="39"/>
      <c r="E2513" s="39"/>
    </row>
    <row r="2514" spans="1:5" ht="15.6">
      <c r="A2514">
        <v>2459</v>
      </c>
      <c r="B2514" s="166">
        <v>149.20823704960344</v>
      </c>
      <c r="D2514" s="39"/>
      <c r="E2514" s="39"/>
    </row>
    <row r="2515" spans="1:5" ht="15.6">
      <c r="A2515">
        <v>2460</v>
      </c>
      <c r="B2515" s="166">
        <v>101.60683015147802</v>
      </c>
      <c r="D2515" s="39"/>
      <c r="E2515" s="39"/>
    </row>
    <row r="2516" spans="1:5" ht="15.6">
      <c r="A2516">
        <v>2461</v>
      </c>
      <c r="B2516" s="166">
        <v>149.83138677833236</v>
      </c>
      <c r="D2516" s="39"/>
      <c r="E2516" s="39"/>
    </row>
    <row r="2517" spans="1:5" ht="15.6">
      <c r="A2517">
        <v>2462</v>
      </c>
      <c r="B2517" s="166">
        <v>124.98752233744857</v>
      </c>
      <c r="D2517" s="39"/>
      <c r="E2517" s="39"/>
    </row>
    <row r="2518" spans="1:5" ht="15.6">
      <c r="A2518">
        <v>2463</v>
      </c>
      <c r="B2518" s="166">
        <v>177.38493365518946</v>
      </c>
      <c r="D2518" s="39"/>
      <c r="E2518" s="39"/>
    </row>
    <row r="2519" spans="1:5" ht="15.6">
      <c r="A2519">
        <v>2464</v>
      </c>
      <c r="B2519" s="166">
        <v>282.48629987292708</v>
      </c>
      <c r="D2519" s="39"/>
      <c r="E2519" s="39"/>
    </row>
    <row r="2520" spans="1:5" ht="15.6">
      <c r="A2520">
        <v>2465</v>
      </c>
      <c r="B2520" s="166">
        <v>93.469725740633635</v>
      </c>
      <c r="D2520" s="39"/>
      <c r="E2520" s="39"/>
    </row>
    <row r="2521" spans="1:5" ht="15.6">
      <c r="A2521">
        <v>2466</v>
      </c>
      <c r="B2521" s="166">
        <v>94.352658208496095</v>
      </c>
      <c r="D2521" s="39"/>
      <c r="E2521" s="39"/>
    </row>
    <row r="2522" spans="1:5" ht="15.6">
      <c r="A2522">
        <v>2467</v>
      </c>
      <c r="B2522" s="166">
        <v>117.70782115928994</v>
      </c>
      <c r="D2522" s="39"/>
      <c r="E2522" s="39"/>
    </row>
    <row r="2523" spans="1:5" ht="15.6">
      <c r="A2523">
        <v>2468</v>
      </c>
      <c r="B2523" s="166">
        <v>192.69510640115087</v>
      </c>
      <c r="D2523" s="39"/>
      <c r="E2523" s="39"/>
    </row>
    <row r="2524" spans="1:5" ht="15.6">
      <c r="A2524">
        <v>2469</v>
      </c>
      <c r="B2524" s="166">
        <v>118.45875372488267</v>
      </c>
      <c r="D2524" s="39"/>
      <c r="E2524" s="39"/>
    </row>
    <row r="2525" spans="1:5" ht="15.6">
      <c r="A2525">
        <v>2470</v>
      </c>
      <c r="B2525" s="166">
        <v>112.52180333418306</v>
      </c>
      <c r="D2525" s="39"/>
      <c r="E2525" s="39"/>
    </row>
    <row r="2526" spans="1:5" ht="15.6">
      <c r="A2526">
        <v>2471</v>
      </c>
      <c r="B2526" s="166">
        <v>92.835691048527096</v>
      </c>
      <c r="D2526" s="39"/>
      <c r="E2526" s="39"/>
    </row>
    <row r="2527" spans="1:5" ht="15.6">
      <c r="A2527">
        <v>2472</v>
      </c>
      <c r="B2527" s="166">
        <v>157.50490226366571</v>
      </c>
      <c r="D2527" s="39"/>
      <c r="E2527" s="39"/>
    </row>
    <row r="2528" spans="1:5" ht="15.6">
      <c r="A2528">
        <v>2473</v>
      </c>
      <c r="B2528" s="166">
        <v>73.471329289863135</v>
      </c>
      <c r="D2528" s="39"/>
      <c r="E2528" s="39"/>
    </row>
    <row r="2529" spans="1:5" ht="15.6">
      <c r="A2529">
        <v>2474</v>
      </c>
      <c r="B2529" s="166">
        <v>88.300363299361763</v>
      </c>
      <c r="D2529" s="39"/>
      <c r="E2529" s="39"/>
    </row>
    <row r="2530" spans="1:5" ht="15.6">
      <c r="A2530">
        <v>2475</v>
      </c>
      <c r="B2530" s="166">
        <v>210.61232878828784</v>
      </c>
      <c r="D2530" s="39"/>
      <c r="E2530" s="39"/>
    </row>
    <row r="2531" spans="1:5" ht="15.6">
      <c r="A2531">
        <v>2476</v>
      </c>
      <c r="B2531" s="166">
        <v>69.932187572491088</v>
      </c>
      <c r="D2531" s="39"/>
      <c r="E2531" s="39"/>
    </row>
    <row r="2532" spans="1:5" ht="15.6">
      <c r="A2532">
        <v>2477</v>
      </c>
      <c r="B2532" s="166">
        <v>138.28086047674779</v>
      </c>
      <c r="D2532" s="39"/>
      <c r="E2532" s="39"/>
    </row>
    <row r="2533" spans="1:5" ht="15.6">
      <c r="A2533">
        <v>2478</v>
      </c>
      <c r="B2533" s="166">
        <v>84.880999006774374</v>
      </c>
      <c r="D2533" s="39"/>
      <c r="E2533" s="39"/>
    </row>
    <row r="2534" spans="1:5" ht="15.6">
      <c r="A2534">
        <v>2479</v>
      </c>
      <c r="B2534" s="166">
        <v>79.736385116117475</v>
      </c>
      <c r="D2534" s="39"/>
      <c r="E2534" s="39"/>
    </row>
    <row r="2535" spans="1:5" ht="15.6">
      <c r="A2535">
        <v>2480</v>
      </c>
      <c r="B2535" s="166">
        <v>144.76502779614847</v>
      </c>
      <c r="D2535" s="39"/>
      <c r="E2535" s="39"/>
    </row>
    <row r="2536" spans="1:5" ht="15.6">
      <c r="A2536">
        <v>2481</v>
      </c>
      <c r="B2536" s="166">
        <v>64.408179584477566</v>
      </c>
      <c r="D2536" s="39"/>
      <c r="E2536" s="39"/>
    </row>
    <row r="2537" spans="1:5" ht="15.6">
      <c r="A2537">
        <v>2482</v>
      </c>
      <c r="B2537" s="166">
        <v>76.995343628739107</v>
      </c>
      <c r="D2537" s="39"/>
      <c r="E2537" s="39"/>
    </row>
    <row r="2538" spans="1:5" ht="15.6">
      <c r="A2538">
        <v>2483</v>
      </c>
      <c r="B2538" s="166">
        <v>56.92825307003784</v>
      </c>
      <c r="D2538" s="39"/>
      <c r="E2538" s="39"/>
    </row>
    <row r="2539" spans="1:5" ht="15.6">
      <c r="A2539">
        <v>2484</v>
      </c>
      <c r="B2539" s="166">
        <v>125.68144147793808</v>
      </c>
      <c r="D2539" s="39"/>
      <c r="E2539" s="39"/>
    </row>
    <row r="2540" spans="1:5" ht="15.6">
      <c r="A2540">
        <v>2485</v>
      </c>
      <c r="B2540" s="166">
        <v>107.37458536016341</v>
      </c>
      <c r="D2540" s="39"/>
      <c r="E2540" s="39"/>
    </row>
    <row r="2541" spans="1:5" ht="15.6">
      <c r="A2541">
        <v>2486</v>
      </c>
      <c r="B2541" s="166">
        <v>155.56419535824301</v>
      </c>
      <c r="D2541" s="39"/>
      <c r="E2541" s="39"/>
    </row>
    <row r="2542" spans="1:5" ht="15.6">
      <c r="A2542">
        <v>2487</v>
      </c>
      <c r="B2542" s="166">
        <v>120.93408868237806</v>
      </c>
      <c r="D2542" s="39"/>
      <c r="E2542" s="39"/>
    </row>
    <row r="2543" spans="1:5" ht="15.6">
      <c r="A2543">
        <v>2488</v>
      </c>
      <c r="B2543" s="166">
        <v>105.68670392244056</v>
      </c>
      <c r="D2543" s="39"/>
      <c r="E2543" s="39"/>
    </row>
    <row r="2544" spans="1:5" ht="15.6">
      <c r="A2544">
        <v>2489</v>
      </c>
      <c r="B2544" s="166">
        <v>58.897381503459805</v>
      </c>
      <c r="D2544" s="39"/>
      <c r="E2544" s="39"/>
    </row>
    <row r="2545" spans="1:5" ht="15.6">
      <c r="A2545">
        <v>2490</v>
      </c>
      <c r="B2545" s="166">
        <v>186.05500965640439</v>
      </c>
      <c r="D2545" s="39"/>
      <c r="E2545" s="39"/>
    </row>
    <row r="2546" spans="1:5" ht="15.6">
      <c r="A2546">
        <v>2491</v>
      </c>
      <c r="B2546" s="166">
        <v>122.25457897911663</v>
      </c>
      <c r="D2546" s="39"/>
      <c r="E2546" s="39"/>
    </row>
    <row r="2547" spans="1:5" ht="15.6">
      <c r="A2547">
        <v>2492</v>
      </c>
      <c r="B2547" s="166">
        <v>103.73875076190247</v>
      </c>
      <c r="D2547" s="39"/>
      <c r="E2547" s="39"/>
    </row>
    <row r="2548" spans="1:5" ht="15.6">
      <c r="A2548">
        <v>2493</v>
      </c>
      <c r="B2548" s="166">
        <v>122.12826809721416</v>
      </c>
      <c r="D2548" s="39"/>
      <c r="E2548" s="39"/>
    </row>
    <row r="2549" spans="1:5" ht="15.6">
      <c r="A2549">
        <v>2494</v>
      </c>
      <c r="B2549" s="166">
        <v>105.78095728866749</v>
      </c>
      <c r="D2549" s="39"/>
      <c r="E2549" s="39"/>
    </row>
    <row r="2550" spans="1:5" ht="15.6">
      <c r="A2550">
        <v>2495</v>
      </c>
      <c r="B2550" s="166">
        <v>104.79379733902346</v>
      </c>
      <c r="D2550" s="39"/>
      <c r="E2550" s="39"/>
    </row>
    <row r="2551" spans="1:5" ht="15.6">
      <c r="A2551">
        <v>2496</v>
      </c>
      <c r="B2551" s="166">
        <v>79.235475509940827</v>
      </c>
      <c r="D2551" s="39"/>
      <c r="E2551" s="39"/>
    </row>
    <row r="2552" spans="1:5" ht="15.6">
      <c r="A2552">
        <v>2497</v>
      </c>
      <c r="B2552" s="166">
        <v>99.566287810538995</v>
      </c>
      <c r="D2552" s="39"/>
      <c r="E2552" s="39"/>
    </row>
    <row r="2553" spans="1:5" ht="15.6">
      <c r="A2553">
        <v>2498</v>
      </c>
      <c r="B2553" s="166">
        <v>111.83988261392577</v>
      </c>
      <c r="D2553" s="39"/>
      <c r="E2553" s="39"/>
    </row>
    <row r="2554" spans="1:5" ht="15.6">
      <c r="A2554">
        <v>2499</v>
      </c>
      <c r="B2554" s="166">
        <v>78.00787205413242</v>
      </c>
      <c r="D2554" s="39"/>
      <c r="E2554" s="39"/>
    </row>
    <row r="2555" spans="1:5" ht="15.6">
      <c r="A2555">
        <v>2500</v>
      </c>
      <c r="B2555" s="166">
        <v>200.64740280733139</v>
      </c>
      <c r="D2555" s="39"/>
      <c r="E2555" s="39"/>
    </row>
    <row r="2556" spans="1:5" ht="15.6">
      <c r="A2556">
        <v>2501</v>
      </c>
      <c r="B2556" s="166">
        <v>74.269298002285879</v>
      </c>
      <c r="D2556" s="39"/>
      <c r="E2556" s="39"/>
    </row>
    <row r="2557" spans="1:5" ht="15.6">
      <c r="A2557">
        <v>2502</v>
      </c>
      <c r="B2557" s="166">
        <v>97.28915301435508</v>
      </c>
      <c r="D2557" s="39"/>
      <c r="E2557" s="39"/>
    </row>
    <row r="2558" spans="1:5" ht="15.6">
      <c r="A2558">
        <v>2503</v>
      </c>
      <c r="B2558" s="166">
        <v>89.504020634443464</v>
      </c>
      <c r="D2558" s="39"/>
      <c r="E2558" s="39"/>
    </row>
    <row r="2559" spans="1:5" ht="15.6">
      <c r="A2559">
        <v>2504</v>
      </c>
      <c r="B2559" s="166">
        <v>95.628819174626997</v>
      </c>
      <c r="D2559" s="39"/>
      <c r="E2559" s="39"/>
    </row>
    <row r="2560" spans="1:5" ht="15.6">
      <c r="A2560">
        <v>2505</v>
      </c>
      <c r="B2560" s="166">
        <v>190.95635698230058</v>
      </c>
      <c r="D2560" s="39"/>
      <c r="E2560" s="39"/>
    </row>
    <row r="2561" spans="1:5" ht="15.6">
      <c r="A2561">
        <v>2506</v>
      </c>
      <c r="B2561" s="166">
        <v>101.78705636386611</v>
      </c>
      <c r="D2561" s="39"/>
      <c r="E2561" s="39"/>
    </row>
    <row r="2562" spans="1:5" ht="15.6">
      <c r="A2562">
        <v>2507</v>
      </c>
      <c r="B2562" s="166">
        <v>86.102312734922592</v>
      </c>
      <c r="D2562" s="39"/>
      <c r="E2562" s="39"/>
    </row>
    <row r="2563" spans="1:5" ht="15.6">
      <c r="A2563">
        <v>2508</v>
      </c>
      <c r="B2563" s="166">
        <v>129.75249022111544</v>
      </c>
      <c r="D2563" s="39"/>
      <c r="E2563" s="39"/>
    </row>
    <row r="2564" spans="1:5" ht="15.6">
      <c r="A2564">
        <v>2509</v>
      </c>
      <c r="B2564" s="166">
        <v>128.00207195500539</v>
      </c>
      <c r="D2564" s="39"/>
      <c r="E2564" s="39"/>
    </row>
    <row r="2565" spans="1:5" ht="15.6">
      <c r="A2565">
        <v>2510</v>
      </c>
      <c r="B2565" s="166">
        <v>77.947850695547203</v>
      </c>
      <c r="D2565" s="39"/>
      <c r="E2565" s="39"/>
    </row>
    <row r="2566" spans="1:5" ht="15.6">
      <c r="A2566">
        <v>2511</v>
      </c>
      <c r="B2566" s="166">
        <v>73.217188734573043</v>
      </c>
      <c r="D2566" s="39"/>
      <c r="E2566" s="39"/>
    </row>
    <row r="2567" spans="1:5" ht="15.6">
      <c r="A2567">
        <v>2512</v>
      </c>
      <c r="B2567" s="166">
        <v>103.27949488604418</v>
      </c>
      <c r="D2567" s="39"/>
      <c r="E2567" s="39"/>
    </row>
    <row r="2568" spans="1:5" ht="15.6">
      <c r="A2568">
        <v>2513</v>
      </c>
      <c r="B2568" s="166">
        <v>76.347199847993366</v>
      </c>
      <c r="D2568" s="39"/>
      <c r="E2568" s="39"/>
    </row>
    <row r="2569" spans="1:5" ht="15.6">
      <c r="A2569">
        <v>2514</v>
      </c>
      <c r="B2569" s="166">
        <v>80.452266536720288</v>
      </c>
      <c r="D2569" s="39"/>
      <c r="E2569" s="39"/>
    </row>
    <row r="2570" spans="1:5" ht="15.6">
      <c r="A2570">
        <v>2515</v>
      </c>
      <c r="B2570" s="166">
        <v>79.594460105564366</v>
      </c>
      <c r="D2570" s="39"/>
      <c r="E2570" s="39"/>
    </row>
    <row r="2571" spans="1:5" ht="15.6">
      <c r="A2571">
        <v>2516</v>
      </c>
      <c r="B2571" s="166">
        <v>93.650662233813293</v>
      </c>
      <c r="D2571" s="39"/>
      <c r="E2571" s="39"/>
    </row>
    <row r="2572" spans="1:5" ht="15.6">
      <c r="A2572">
        <v>2517</v>
      </c>
      <c r="B2572" s="166">
        <v>158.23217672687318</v>
      </c>
      <c r="D2572" s="39"/>
      <c r="E2572" s="39"/>
    </row>
    <row r="2573" spans="1:5" ht="15.6">
      <c r="A2573">
        <v>2518</v>
      </c>
      <c r="B2573" s="166">
        <v>228.3738739566212</v>
      </c>
      <c r="D2573" s="39"/>
      <c r="E2573" s="39"/>
    </row>
    <row r="2574" spans="1:5" ht="15.6">
      <c r="A2574">
        <v>2519</v>
      </c>
      <c r="B2574" s="166">
        <v>128.28681286905746</v>
      </c>
      <c r="D2574" s="39"/>
      <c r="E2574" s="39"/>
    </row>
    <row r="2575" spans="1:5" ht="15.6">
      <c r="A2575">
        <v>2520</v>
      </c>
      <c r="B2575" s="166">
        <v>58.984223787582685</v>
      </c>
      <c r="D2575" s="39"/>
      <c r="E2575" s="39"/>
    </row>
    <row r="2576" spans="1:5" ht="15.6">
      <c r="A2576">
        <v>2521</v>
      </c>
      <c r="B2576" s="166">
        <v>184.09325426666149</v>
      </c>
      <c r="D2576" s="39"/>
      <c r="E2576" s="39"/>
    </row>
    <row r="2577" spans="1:5" ht="15.6">
      <c r="A2577">
        <v>2522</v>
      </c>
      <c r="B2577" s="166">
        <v>135.01488408431683</v>
      </c>
      <c r="D2577" s="39"/>
      <c r="E2577" s="39"/>
    </row>
    <row r="2578" spans="1:5" ht="15.6">
      <c r="A2578">
        <v>2523</v>
      </c>
      <c r="B2578" s="166">
        <v>62.498028416908703</v>
      </c>
      <c r="D2578" s="39"/>
      <c r="E2578" s="39"/>
    </row>
    <row r="2579" spans="1:5" ht="15.6">
      <c r="A2579">
        <v>2524</v>
      </c>
      <c r="B2579" s="166">
        <v>127.44864684844921</v>
      </c>
      <c r="D2579" s="39"/>
      <c r="E2579" s="39"/>
    </row>
    <row r="2580" spans="1:5" ht="15.6">
      <c r="A2580">
        <v>2525</v>
      </c>
      <c r="B2580" s="166">
        <v>127.01580201416867</v>
      </c>
      <c r="D2580" s="39"/>
      <c r="E2580" s="39"/>
    </row>
    <row r="2581" spans="1:5" ht="15.6">
      <c r="A2581">
        <v>2526</v>
      </c>
      <c r="B2581" s="166">
        <v>58.416572075352953</v>
      </c>
      <c r="D2581" s="39"/>
      <c r="E2581" s="39"/>
    </row>
    <row r="2582" spans="1:5" ht="15.6">
      <c r="A2582">
        <v>2527</v>
      </c>
      <c r="B2582" s="166">
        <v>175.95439081529207</v>
      </c>
      <c r="D2582" s="39"/>
      <c r="E2582" s="39"/>
    </row>
    <row r="2583" spans="1:5" ht="15.6">
      <c r="A2583">
        <v>2528</v>
      </c>
      <c r="B2583" s="166">
        <v>80.352433858942163</v>
      </c>
      <c r="D2583" s="39"/>
      <c r="E2583" s="39"/>
    </row>
    <row r="2584" spans="1:5" ht="15.6">
      <c r="A2584">
        <v>2529</v>
      </c>
      <c r="B2584" s="166">
        <v>117.62773348077282</v>
      </c>
      <c r="D2584" s="39"/>
      <c r="E2584" s="39"/>
    </row>
    <row r="2585" spans="1:5" ht="15.6">
      <c r="A2585">
        <v>2530</v>
      </c>
      <c r="B2585" s="166">
        <v>85.301933446338836</v>
      </c>
      <c r="D2585" s="39"/>
      <c r="E2585" s="39"/>
    </row>
    <row r="2586" spans="1:5" ht="15.6">
      <c r="A2586">
        <v>2531</v>
      </c>
      <c r="B2586" s="166">
        <v>67.654469979973214</v>
      </c>
      <c r="D2586" s="39"/>
      <c r="E2586" s="39"/>
    </row>
    <row r="2587" spans="1:5" ht="15.6">
      <c r="A2587">
        <v>2532</v>
      </c>
      <c r="B2587" s="166">
        <v>76.733301654462551</v>
      </c>
      <c r="D2587" s="39"/>
      <c r="E2587" s="39"/>
    </row>
    <row r="2588" spans="1:5" ht="15.6">
      <c r="A2588">
        <v>2533</v>
      </c>
      <c r="B2588" s="166">
        <v>90.404601352980407</v>
      </c>
      <c r="D2588" s="39"/>
      <c r="E2588" s="39"/>
    </row>
    <row r="2589" spans="1:5" ht="15.6">
      <c r="A2589">
        <v>2534</v>
      </c>
      <c r="B2589" s="166">
        <v>77.584162437612903</v>
      </c>
      <c r="D2589" s="39"/>
      <c r="E2589" s="39"/>
    </row>
    <row r="2590" spans="1:5" ht="15.6">
      <c r="A2590">
        <v>2535</v>
      </c>
      <c r="B2590" s="166">
        <v>68.232489421244026</v>
      </c>
      <c r="D2590" s="39"/>
      <c r="E2590" s="39"/>
    </row>
    <row r="2591" spans="1:5" ht="15.6">
      <c r="A2591">
        <v>2536</v>
      </c>
      <c r="B2591" s="166">
        <v>74.980231367977524</v>
      </c>
      <c r="D2591" s="39"/>
      <c r="E2591" s="39"/>
    </row>
    <row r="2592" spans="1:5" ht="15.6">
      <c r="A2592">
        <v>2537</v>
      </c>
      <c r="B2592" s="166">
        <v>119.39704131781433</v>
      </c>
      <c r="D2592" s="39"/>
      <c r="E2592" s="39"/>
    </row>
    <row r="2593" spans="1:5" ht="15.6">
      <c r="A2593">
        <v>2538</v>
      </c>
      <c r="B2593" s="166">
        <v>96.938225179213262</v>
      </c>
      <c r="D2593" s="39"/>
      <c r="E2593" s="39"/>
    </row>
    <row r="2594" spans="1:5" ht="15.6">
      <c r="A2594">
        <v>2539</v>
      </c>
      <c r="B2594" s="166">
        <v>126.55868934465471</v>
      </c>
      <c r="D2594" s="39"/>
      <c r="E2594" s="39"/>
    </row>
    <row r="2595" spans="1:5" ht="15.6">
      <c r="A2595">
        <v>2540</v>
      </c>
      <c r="B2595" s="166">
        <v>83.791631300354055</v>
      </c>
      <c r="D2595" s="39"/>
      <c r="E2595" s="39"/>
    </row>
    <row r="2596" spans="1:5" ht="15.6">
      <c r="A2596">
        <v>2541</v>
      </c>
      <c r="B2596" s="166">
        <v>94.243099059865244</v>
      </c>
      <c r="D2596" s="39"/>
      <c r="E2596" s="39"/>
    </row>
    <row r="2597" spans="1:5" ht="15.6">
      <c r="A2597">
        <v>2542</v>
      </c>
      <c r="B2597" s="166">
        <v>173.77316372102021</v>
      </c>
      <c r="D2597" s="39"/>
      <c r="E2597" s="39"/>
    </row>
    <row r="2598" spans="1:5" ht="15.6">
      <c r="A2598">
        <v>2543</v>
      </c>
      <c r="B2598" s="166">
        <v>85.03400365249594</v>
      </c>
      <c r="D2598" s="39"/>
      <c r="E2598" s="39"/>
    </row>
    <row r="2599" spans="1:5" ht="15.6">
      <c r="A2599">
        <v>2544</v>
      </c>
      <c r="B2599" s="166">
        <v>155.42101393741123</v>
      </c>
      <c r="D2599" s="39"/>
      <c r="E2599" s="39"/>
    </row>
    <row r="2600" spans="1:5" ht="15.6">
      <c r="A2600">
        <v>2545</v>
      </c>
      <c r="B2600" s="166">
        <v>187.69493485940222</v>
      </c>
      <c r="D2600" s="39"/>
      <c r="E2600" s="39"/>
    </row>
    <row r="2601" spans="1:5" ht="15.6">
      <c r="A2601">
        <v>2546</v>
      </c>
      <c r="B2601" s="166">
        <v>108.7185863045917</v>
      </c>
      <c r="D2601" s="39"/>
      <c r="E2601" s="39"/>
    </row>
    <row r="2602" spans="1:5" ht="15.6">
      <c r="A2602">
        <v>2547</v>
      </c>
      <c r="B2602" s="166">
        <v>90.9712299012198</v>
      </c>
      <c r="D2602" s="39"/>
      <c r="E2602" s="39"/>
    </row>
    <row r="2603" spans="1:5" ht="15.6">
      <c r="A2603">
        <v>2548</v>
      </c>
      <c r="B2603" s="166">
        <v>132.74877936789429</v>
      </c>
      <c r="D2603" s="39"/>
      <c r="E2603" s="39"/>
    </row>
    <row r="2604" spans="1:5" ht="15.6">
      <c r="A2604">
        <v>2549</v>
      </c>
      <c r="B2604" s="166">
        <v>67.836285655009831</v>
      </c>
      <c r="D2604" s="39"/>
      <c r="E2604" s="39"/>
    </row>
    <row r="2605" spans="1:5" ht="15.6">
      <c r="A2605">
        <v>2550</v>
      </c>
      <c r="B2605" s="166">
        <v>86.03764121935734</v>
      </c>
      <c r="D2605" s="39"/>
      <c r="E2605" s="39"/>
    </row>
    <row r="2606" spans="1:5" ht="15.6">
      <c r="A2606">
        <v>2551</v>
      </c>
      <c r="B2606" s="166">
        <v>115.10985481604145</v>
      </c>
      <c r="D2606" s="39"/>
      <c r="E2606" s="39"/>
    </row>
    <row r="2607" spans="1:5" ht="15.6">
      <c r="A2607">
        <v>2552</v>
      </c>
      <c r="B2607" s="166">
        <v>81.853981845033317</v>
      </c>
      <c r="D2607" s="39"/>
      <c r="E2607" s="39"/>
    </row>
    <row r="2608" spans="1:5" ht="15.6">
      <c r="A2608">
        <v>2553</v>
      </c>
      <c r="B2608" s="166">
        <v>100.41584692286914</v>
      </c>
      <c r="D2608" s="39"/>
      <c r="E2608" s="39"/>
    </row>
    <row r="2609" spans="1:5" ht="15.6">
      <c r="A2609">
        <v>2554</v>
      </c>
      <c r="B2609" s="166">
        <v>65.829013345409791</v>
      </c>
      <c r="D2609" s="39"/>
      <c r="E2609" s="39"/>
    </row>
    <row r="2610" spans="1:5" ht="15.6">
      <c r="A2610">
        <v>2555</v>
      </c>
      <c r="B2610" s="166">
        <v>104.05399978367356</v>
      </c>
      <c r="D2610" s="39"/>
      <c r="E2610" s="39"/>
    </row>
    <row r="2611" spans="1:5" ht="15.6">
      <c r="A2611">
        <v>2556</v>
      </c>
      <c r="B2611" s="166">
        <v>167.57501768788086</v>
      </c>
      <c r="D2611" s="39"/>
      <c r="E2611" s="39"/>
    </row>
    <row r="2612" spans="1:5" ht="15.6">
      <c r="A2612">
        <v>2557</v>
      </c>
      <c r="B2612" s="166">
        <v>53.793931235562674</v>
      </c>
      <c r="D2612" s="39"/>
      <c r="E2612" s="39"/>
    </row>
    <row r="2613" spans="1:5" ht="15.6">
      <c r="A2613">
        <v>2558</v>
      </c>
      <c r="B2613" s="166">
        <v>81.35541607334568</v>
      </c>
      <c r="D2613" s="39"/>
      <c r="E2613" s="39"/>
    </row>
    <row r="2614" spans="1:5" ht="15.6">
      <c r="A2614">
        <v>2559</v>
      </c>
      <c r="B2614" s="166">
        <v>97.372579672277595</v>
      </c>
      <c r="D2614" s="39"/>
      <c r="E2614" s="39"/>
    </row>
    <row r="2615" spans="1:5" ht="15.6">
      <c r="A2615">
        <v>2560</v>
      </c>
      <c r="B2615" s="166">
        <v>107.93237317888362</v>
      </c>
      <c r="D2615" s="39"/>
      <c r="E2615" s="39"/>
    </row>
    <row r="2616" spans="1:5" ht="15.6">
      <c r="A2616">
        <v>2561</v>
      </c>
      <c r="B2616" s="166">
        <v>67.908468092489372</v>
      </c>
      <c r="D2616" s="39"/>
      <c r="E2616" s="39"/>
    </row>
    <row r="2617" spans="1:5" ht="15.6">
      <c r="A2617">
        <v>2562</v>
      </c>
      <c r="B2617" s="166">
        <v>79.160420250490276</v>
      </c>
      <c r="D2617" s="39"/>
      <c r="E2617" s="39"/>
    </row>
    <row r="2618" spans="1:5" ht="15.6">
      <c r="A2618">
        <v>2563</v>
      </c>
      <c r="B2618" s="166">
        <v>83.359172305460348</v>
      </c>
      <c r="D2618" s="39"/>
      <c r="E2618" s="39"/>
    </row>
    <row r="2619" spans="1:5" ht="15.6">
      <c r="A2619">
        <v>2564</v>
      </c>
      <c r="B2619" s="166">
        <v>98.25502750304527</v>
      </c>
      <c r="D2619" s="39"/>
      <c r="E2619" s="39"/>
    </row>
    <row r="2620" spans="1:5" ht="15.6">
      <c r="A2620">
        <v>2565</v>
      </c>
      <c r="B2620" s="166">
        <v>103.11780655320702</v>
      </c>
      <c r="D2620" s="39"/>
      <c r="E2620" s="39"/>
    </row>
    <row r="2621" spans="1:5" ht="15.6">
      <c r="A2621">
        <v>2566</v>
      </c>
      <c r="B2621" s="166">
        <v>121.03171093899243</v>
      </c>
      <c r="D2621" s="39"/>
      <c r="E2621" s="39"/>
    </row>
    <row r="2622" spans="1:5" ht="15.6">
      <c r="A2622">
        <v>2567</v>
      </c>
      <c r="B2622" s="166">
        <v>63.465585970012455</v>
      </c>
      <c r="D2622" s="39"/>
      <c r="E2622" s="39"/>
    </row>
    <row r="2623" spans="1:5" ht="15.6">
      <c r="A2623">
        <v>2568</v>
      </c>
      <c r="B2623" s="166">
        <v>185.58824688091741</v>
      </c>
      <c r="D2623" s="39"/>
      <c r="E2623" s="39"/>
    </row>
    <row r="2624" spans="1:5" ht="15.6">
      <c r="A2624">
        <v>2569</v>
      </c>
      <c r="B2624" s="166">
        <v>68.196210108092544</v>
      </c>
      <c r="D2624" s="39"/>
      <c r="E2624" s="39"/>
    </row>
    <row r="2625" spans="1:5" ht="15.6">
      <c r="A2625">
        <v>2570</v>
      </c>
      <c r="B2625" s="166">
        <v>130.32493982009206</v>
      </c>
      <c r="D2625" s="39"/>
      <c r="E2625" s="39"/>
    </row>
    <row r="2626" spans="1:5" ht="15.6">
      <c r="A2626">
        <v>2571</v>
      </c>
      <c r="B2626" s="166">
        <v>68.611019755031563</v>
      </c>
      <c r="D2626" s="39"/>
      <c r="E2626" s="39"/>
    </row>
    <row r="2627" spans="1:5" ht="15.6">
      <c r="A2627">
        <v>2572</v>
      </c>
      <c r="B2627" s="166">
        <v>131.88396637371682</v>
      </c>
      <c r="D2627" s="39"/>
      <c r="E2627" s="39"/>
    </row>
    <row r="2628" spans="1:5" ht="15.6">
      <c r="A2628">
        <v>2573</v>
      </c>
      <c r="B2628" s="166">
        <v>206.4024664604467</v>
      </c>
      <c r="D2628" s="39"/>
      <c r="E2628" s="39"/>
    </row>
    <row r="2629" spans="1:5" ht="15.6">
      <c r="A2629">
        <v>2574</v>
      </c>
      <c r="B2629" s="166">
        <v>98.499976985898442</v>
      </c>
      <c r="D2629" s="39"/>
      <c r="E2629" s="39"/>
    </row>
    <row r="2630" spans="1:5" ht="15.6">
      <c r="A2630">
        <v>2575</v>
      </c>
      <c r="B2630" s="166">
        <v>78.988000099351652</v>
      </c>
      <c r="D2630" s="39"/>
      <c r="E2630" s="39"/>
    </row>
    <row r="2631" spans="1:5" ht="15.6">
      <c r="A2631">
        <v>2576</v>
      </c>
      <c r="B2631" s="166">
        <v>128.49916989426768</v>
      </c>
      <c r="D2631" s="39"/>
      <c r="E2631" s="39"/>
    </row>
    <row r="2632" spans="1:5" ht="15.6">
      <c r="A2632">
        <v>2577</v>
      </c>
      <c r="B2632" s="166">
        <v>153.55095838290359</v>
      </c>
      <c r="D2632" s="39"/>
      <c r="E2632" s="39"/>
    </row>
    <row r="2633" spans="1:5" ht="15.6">
      <c r="A2633">
        <v>2578</v>
      </c>
      <c r="B2633" s="166">
        <v>60.24295796454377</v>
      </c>
      <c r="D2633" s="39"/>
      <c r="E2633" s="39"/>
    </row>
    <row r="2634" spans="1:5" ht="15.6">
      <c r="A2634">
        <v>2579</v>
      </c>
      <c r="B2634" s="166">
        <v>131.27482721314024</v>
      </c>
      <c r="D2634" s="39"/>
      <c r="E2634" s="39"/>
    </row>
    <row r="2635" spans="1:5" ht="15.6">
      <c r="A2635">
        <v>2580</v>
      </c>
      <c r="B2635" s="166">
        <v>143.02175100939715</v>
      </c>
      <c r="D2635" s="39"/>
      <c r="E2635" s="39"/>
    </row>
    <row r="2636" spans="1:5" ht="15.6">
      <c r="A2636">
        <v>2581</v>
      </c>
      <c r="B2636" s="166">
        <v>77.433824841812495</v>
      </c>
      <c r="D2636" s="39"/>
      <c r="E2636" s="39"/>
    </row>
    <row r="2637" spans="1:5" ht="15.6">
      <c r="A2637">
        <v>2582</v>
      </c>
      <c r="B2637" s="166">
        <v>74.850654124767829</v>
      </c>
      <c r="D2637" s="39"/>
      <c r="E2637" s="39"/>
    </row>
    <row r="2638" spans="1:5" ht="15.6">
      <c r="A2638">
        <v>2583</v>
      </c>
      <c r="B2638" s="166">
        <v>136.29348030562917</v>
      </c>
      <c r="D2638" s="39"/>
      <c r="E2638" s="39"/>
    </row>
    <row r="2639" spans="1:5" ht="15.6">
      <c r="A2639">
        <v>2584</v>
      </c>
      <c r="B2639" s="166">
        <v>65.572490224329542</v>
      </c>
      <c r="D2639" s="39"/>
      <c r="E2639" s="39"/>
    </row>
    <row r="2640" spans="1:5" ht="15.6">
      <c r="A2640">
        <v>2585</v>
      </c>
      <c r="B2640" s="166">
        <v>127.7587876726511</v>
      </c>
      <c r="D2640" s="39"/>
      <c r="E2640" s="39"/>
    </row>
    <row r="2641" spans="1:5" ht="15.6">
      <c r="A2641">
        <v>2586</v>
      </c>
      <c r="B2641" s="166">
        <v>83.807223575502618</v>
      </c>
      <c r="D2641" s="39"/>
      <c r="E2641" s="39"/>
    </row>
    <row r="2642" spans="1:5" ht="15.6">
      <c r="A2642">
        <v>2587</v>
      </c>
      <c r="B2642" s="166">
        <v>86.711741266087571</v>
      </c>
      <c r="D2642" s="39"/>
      <c r="E2642" s="39"/>
    </row>
    <row r="2643" spans="1:5" ht="15.6">
      <c r="A2643">
        <v>2588</v>
      </c>
      <c r="B2643" s="166">
        <v>112.98767595221906</v>
      </c>
      <c r="D2643" s="39"/>
      <c r="E2643" s="39"/>
    </row>
    <row r="2644" spans="1:5" ht="15.6">
      <c r="A2644">
        <v>2589</v>
      </c>
      <c r="B2644" s="166">
        <v>137.00959674226414</v>
      </c>
      <c r="D2644" s="39"/>
      <c r="E2644" s="39"/>
    </row>
    <row r="2645" spans="1:5" ht="15.6">
      <c r="A2645">
        <v>2590</v>
      </c>
      <c r="B2645" s="166">
        <v>100.06693575424057</v>
      </c>
      <c r="D2645" s="39"/>
      <c r="E2645" s="39"/>
    </row>
    <row r="2646" spans="1:5" ht="15.6">
      <c r="A2646">
        <v>2591</v>
      </c>
      <c r="B2646" s="166">
        <v>134.2733315777146</v>
      </c>
      <c r="D2646" s="39"/>
      <c r="E2646" s="39"/>
    </row>
    <row r="2647" spans="1:5" ht="15.6">
      <c r="A2647">
        <v>2592</v>
      </c>
      <c r="B2647" s="166">
        <v>78.924279087931197</v>
      </c>
      <c r="D2647" s="39"/>
      <c r="E2647" s="39"/>
    </row>
    <row r="2648" spans="1:5" ht="15.6">
      <c r="A2648">
        <v>2593</v>
      </c>
      <c r="B2648" s="166">
        <v>121.13051235557695</v>
      </c>
      <c r="D2648" s="39"/>
      <c r="E2648" s="39"/>
    </row>
    <row r="2649" spans="1:5" ht="15.6">
      <c r="A2649">
        <v>2594</v>
      </c>
      <c r="B2649" s="166">
        <v>60.742452995456709</v>
      </c>
      <c r="D2649" s="39"/>
      <c r="E2649" s="39"/>
    </row>
    <row r="2650" spans="1:5" ht="15.6">
      <c r="A2650">
        <v>2595</v>
      </c>
      <c r="B2650" s="166">
        <v>89.730689020625363</v>
      </c>
      <c r="D2650" s="39"/>
      <c r="E2650" s="39"/>
    </row>
    <row r="2651" spans="1:5" ht="15.6">
      <c r="A2651">
        <v>2596</v>
      </c>
      <c r="B2651" s="166">
        <v>113.47028848866736</v>
      </c>
      <c r="D2651" s="39"/>
      <c r="E2651" s="39"/>
    </row>
    <row r="2652" spans="1:5" ht="15.6">
      <c r="A2652">
        <v>2597</v>
      </c>
      <c r="B2652" s="166">
        <v>78.119186041791906</v>
      </c>
      <c r="D2652" s="39"/>
      <c r="E2652" s="39"/>
    </row>
    <row r="2653" spans="1:5" ht="15.6">
      <c r="A2653">
        <v>2598</v>
      </c>
      <c r="B2653" s="166">
        <v>127.29920211643024</v>
      </c>
      <c r="D2653" s="39"/>
      <c r="E2653" s="39"/>
    </row>
    <row r="2654" spans="1:5" ht="15.6">
      <c r="A2654">
        <v>2599</v>
      </c>
      <c r="B2654" s="166">
        <v>93.946572058913105</v>
      </c>
      <c r="D2654" s="39"/>
      <c r="E2654" s="39"/>
    </row>
    <row r="2655" spans="1:5" ht="15.6">
      <c r="A2655">
        <v>2600</v>
      </c>
      <c r="B2655" s="166">
        <v>119.10260660921305</v>
      </c>
      <c r="D2655" s="39"/>
      <c r="E2655" s="39"/>
    </row>
    <row r="2656" spans="1:5" ht="15.6">
      <c r="A2656">
        <v>2601</v>
      </c>
      <c r="B2656" s="166">
        <v>109.41253336310493</v>
      </c>
      <c r="D2656" s="39"/>
      <c r="E2656" s="39"/>
    </row>
    <row r="2657" spans="1:5" ht="15.6">
      <c r="A2657">
        <v>2602</v>
      </c>
      <c r="B2657" s="166">
        <v>200.91329623400861</v>
      </c>
      <c r="D2657" s="39"/>
      <c r="E2657" s="39"/>
    </row>
    <row r="2658" spans="1:5" ht="15.6">
      <c r="A2658">
        <v>2603</v>
      </c>
      <c r="B2658" s="166">
        <v>96.094408889599862</v>
      </c>
      <c r="D2658" s="39"/>
      <c r="E2658" s="39"/>
    </row>
    <row r="2659" spans="1:5" ht="15.6">
      <c r="A2659">
        <v>2604</v>
      </c>
      <c r="B2659" s="166">
        <v>213.09668594607092</v>
      </c>
      <c r="D2659" s="39"/>
      <c r="E2659" s="39"/>
    </row>
    <row r="2660" spans="1:5" ht="15.6">
      <c r="A2660">
        <v>2605</v>
      </c>
      <c r="B2660" s="166">
        <v>57.245667641817434</v>
      </c>
      <c r="D2660" s="39"/>
      <c r="E2660" s="39"/>
    </row>
    <row r="2661" spans="1:5" ht="15.6">
      <c r="A2661">
        <v>2606</v>
      </c>
      <c r="B2661" s="166">
        <v>164.67429542259868</v>
      </c>
      <c r="D2661" s="39"/>
      <c r="E2661" s="39"/>
    </row>
    <row r="2662" spans="1:5" ht="15.6">
      <c r="A2662">
        <v>2607</v>
      </c>
      <c r="B2662" s="166">
        <v>146.99925131392354</v>
      </c>
      <c r="D2662" s="39"/>
      <c r="E2662" s="39"/>
    </row>
    <row r="2663" spans="1:5" ht="15.6">
      <c r="A2663">
        <v>2608</v>
      </c>
      <c r="B2663" s="166">
        <v>106.14128014221343</v>
      </c>
      <c r="D2663" s="39"/>
      <c r="E2663" s="39"/>
    </row>
    <row r="2664" spans="1:5" ht="15.6">
      <c r="A2664">
        <v>2609</v>
      </c>
      <c r="B2664" s="166">
        <v>213.46446275737685</v>
      </c>
      <c r="D2664" s="39"/>
      <c r="E2664" s="39"/>
    </row>
    <row r="2665" spans="1:5" ht="15.6">
      <c r="A2665">
        <v>2610</v>
      </c>
      <c r="B2665" s="166">
        <v>62.881208868966304</v>
      </c>
      <c r="D2665" s="39"/>
      <c r="E2665" s="39"/>
    </row>
    <row r="2666" spans="1:5" ht="15.6">
      <c r="A2666">
        <v>2611</v>
      </c>
      <c r="B2666" s="166">
        <v>141.64767444828058</v>
      </c>
      <c r="D2666" s="39"/>
      <c r="E2666" s="39"/>
    </row>
    <row r="2667" spans="1:5" ht="15.6">
      <c r="A2667">
        <v>2612</v>
      </c>
      <c r="B2667" s="166">
        <v>144.5543715098618</v>
      </c>
      <c r="D2667" s="39"/>
      <c r="E2667" s="39"/>
    </row>
    <row r="2668" spans="1:5" ht="15.6">
      <c r="A2668">
        <v>2613</v>
      </c>
      <c r="B2668" s="166">
        <v>158.58660267104653</v>
      </c>
      <c r="D2668" s="39"/>
      <c r="E2668" s="39"/>
    </row>
    <row r="2669" spans="1:5" ht="15.6">
      <c r="A2669">
        <v>2614</v>
      </c>
      <c r="B2669" s="166">
        <v>101.90191892405612</v>
      </c>
      <c r="D2669" s="39"/>
      <c r="E2669" s="39"/>
    </row>
    <row r="2670" spans="1:5" ht="15.6">
      <c r="A2670">
        <v>2615</v>
      </c>
      <c r="B2670" s="166">
        <v>110.28817288444714</v>
      </c>
      <c r="D2670" s="39"/>
      <c r="E2670" s="39"/>
    </row>
    <row r="2671" spans="1:5" ht="15.6">
      <c r="A2671">
        <v>2616</v>
      </c>
      <c r="B2671" s="166">
        <v>117.10734080387708</v>
      </c>
      <c r="D2671" s="39"/>
      <c r="E2671" s="39"/>
    </row>
    <row r="2672" spans="1:5" ht="15.6">
      <c r="A2672">
        <v>2617</v>
      </c>
      <c r="B2672" s="166">
        <v>65.61751576570424</v>
      </c>
      <c r="D2672" s="39"/>
      <c r="E2672" s="39"/>
    </row>
    <row r="2673" spans="1:5" ht="15.6">
      <c r="A2673">
        <v>2618</v>
      </c>
      <c r="B2673" s="166">
        <v>74.757425221962094</v>
      </c>
      <c r="D2673" s="39"/>
      <c r="E2673" s="39"/>
    </row>
    <row r="2674" spans="1:5" ht="15.6">
      <c r="A2674">
        <v>2619</v>
      </c>
      <c r="B2674" s="166">
        <v>100.67513858847975</v>
      </c>
      <c r="D2674" s="39"/>
      <c r="E2674" s="39"/>
    </row>
    <row r="2675" spans="1:5" ht="15.6">
      <c r="A2675">
        <v>2620</v>
      </c>
      <c r="B2675" s="166">
        <v>371.93786832005111</v>
      </c>
      <c r="D2675" s="39"/>
      <c r="E2675" s="39"/>
    </row>
    <row r="2676" spans="1:5" ht="15.6">
      <c r="A2676">
        <v>2621</v>
      </c>
      <c r="B2676" s="166">
        <v>84.368865463504605</v>
      </c>
      <c r="D2676" s="39"/>
      <c r="E2676" s="39"/>
    </row>
    <row r="2677" spans="1:5" ht="15.6">
      <c r="A2677">
        <v>2622</v>
      </c>
      <c r="B2677" s="166">
        <v>85.368308329851232</v>
      </c>
      <c r="D2677" s="39"/>
      <c r="E2677" s="39"/>
    </row>
    <row r="2678" spans="1:5" ht="15.6">
      <c r="A2678">
        <v>2623</v>
      </c>
      <c r="B2678" s="166">
        <v>63.344472228198185</v>
      </c>
      <c r="D2678" s="39"/>
      <c r="E2678" s="39"/>
    </row>
    <row r="2679" spans="1:5" ht="15.6">
      <c r="A2679">
        <v>2624</v>
      </c>
      <c r="B2679" s="166">
        <v>64.821457752306799</v>
      </c>
      <c r="D2679" s="39"/>
      <c r="E2679" s="39"/>
    </row>
    <row r="2680" spans="1:5" ht="15.6">
      <c r="A2680">
        <v>2625</v>
      </c>
      <c r="B2680" s="166">
        <v>113.88313022859546</v>
      </c>
      <c r="D2680" s="39"/>
      <c r="E2680" s="39"/>
    </row>
    <row r="2681" spans="1:5" ht="15.6">
      <c r="A2681">
        <v>2626</v>
      </c>
      <c r="B2681" s="166">
        <v>108.61443993486134</v>
      </c>
      <c r="D2681" s="39"/>
      <c r="E2681" s="39"/>
    </row>
    <row r="2682" spans="1:5" ht="15.6">
      <c r="A2682">
        <v>2627</v>
      </c>
      <c r="B2682" s="166">
        <v>65.68767967525163</v>
      </c>
      <c r="D2682" s="39"/>
      <c r="E2682" s="39"/>
    </row>
    <row r="2683" spans="1:5" ht="15.6">
      <c r="A2683">
        <v>2628</v>
      </c>
      <c r="B2683" s="166">
        <v>71.300050925976763</v>
      </c>
      <c r="D2683" s="39"/>
      <c r="E2683" s="39"/>
    </row>
    <row r="2684" spans="1:5" ht="15.6">
      <c r="A2684">
        <v>2629</v>
      </c>
      <c r="B2684" s="166">
        <v>148.927792512661</v>
      </c>
      <c r="D2684" s="39"/>
      <c r="E2684" s="39"/>
    </row>
    <row r="2685" spans="1:5" ht="15.6">
      <c r="A2685">
        <v>2630</v>
      </c>
      <c r="B2685" s="166">
        <v>121.06521796593341</v>
      </c>
      <c r="D2685" s="39"/>
      <c r="E2685" s="39"/>
    </row>
    <row r="2686" spans="1:5" ht="15.6">
      <c r="A2686">
        <v>2631</v>
      </c>
      <c r="B2686" s="166">
        <v>62.045874543562633</v>
      </c>
      <c r="D2686" s="39"/>
      <c r="E2686" s="39"/>
    </row>
    <row r="2687" spans="1:5" ht="15.6">
      <c r="A2687">
        <v>2632</v>
      </c>
      <c r="B2687" s="166">
        <v>289.14138894081015</v>
      </c>
      <c r="D2687" s="39"/>
      <c r="E2687" s="39"/>
    </row>
    <row r="2688" spans="1:5" ht="15.6">
      <c r="A2688">
        <v>2633</v>
      </c>
      <c r="B2688" s="166">
        <v>85.16075970497117</v>
      </c>
      <c r="D2688" s="39"/>
      <c r="E2688" s="39"/>
    </row>
    <row r="2689" spans="1:5" ht="15.6">
      <c r="A2689">
        <v>2634</v>
      </c>
      <c r="B2689" s="166">
        <v>82.352843988918409</v>
      </c>
      <c r="D2689" s="39"/>
      <c r="E2689" s="39"/>
    </row>
    <row r="2690" spans="1:5" ht="15.6">
      <c r="A2690">
        <v>2635</v>
      </c>
      <c r="B2690" s="166">
        <v>78.729459191523986</v>
      </c>
      <c r="D2690" s="39"/>
      <c r="E2690" s="39"/>
    </row>
    <row r="2691" spans="1:5" ht="15.6">
      <c r="A2691">
        <v>2636</v>
      </c>
      <c r="B2691" s="166">
        <v>79.997682432108363</v>
      </c>
      <c r="D2691" s="39"/>
      <c r="E2691" s="39"/>
    </row>
    <row r="2692" spans="1:5" ht="15.6">
      <c r="A2692">
        <v>2637</v>
      </c>
      <c r="B2692" s="166">
        <v>97.696959610380674</v>
      </c>
      <c r="D2692" s="39"/>
      <c r="E2692" s="39"/>
    </row>
    <row r="2693" spans="1:5" ht="15.6">
      <c r="A2693">
        <v>2638</v>
      </c>
      <c r="B2693" s="166">
        <v>62.072056842263358</v>
      </c>
      <c r="D2693" s="39"/>
      <c r="E2693" s="39"/>
    </row>
    <row r="2694" spans="1:5" ht="15.6">
      <c r="A2694">
        <v>2639</v>
      </c>
      <c r="B2694" s="166">
        <v>90.933480634569875</v>
      </c>
      <c r="D2694" s="39"/>
      <c r="E2694" s="39"/>
    </row>
    <row r="2695" spans="1:5" ht="15.6">
      <c r="A2695">
        <v>2640</v>
      </c>
      <c r="B2695" s="166">
        <v>83.004868923169752</v>
      </c>
      <c r="D2695" s="39"/>
      <c r="E2695" s="39"/>
    </row>
    <row r="2696" spans="1:5" ht="15.6">
      <c r="A2696">
        <v>2641</v>
      </c>
      <c r="B2696" s="166">
        <v>54.366471178234676</v>
      </c>
      <c r="D2696" s="39"/>
      <c r="E2696" s="39"/>
    </row>
    <row r="2697" spans="1:5" ht="15.6">
      <c r="A2697">
        <v>2642</v>
      </c>
      <c r="B2697" s="166">
        <v>88.010488744417245</v>
      </c>
      <c r="D2697" s="39"/>
      <c r="E2697" s="39"/>
    </row>
    <row r="2698" spans="1:5" ht="15.6">
      <c r="A2698">
        <v>2643</v>
      </c>
      <c r="B2698" s="166">
        <v>105.23415991769002</v>
      </c>
      <c r="D2698" s="39"/>
      <c r="E2698" s="39"/>
    </row>
    <row r="2699" spans="1:5" ht="15.6">
      <c r="A2699">
        <v>2644</v>
      </c>
      <c r="B2699" s="166">
        <v>47.228619161237148</v>
      </c>
      <c r="D2699" s="39"/>
      <c r="E2699" s="39"/>
    </row>
    <row r="2700" spans="1:5" ht="15.6">
      <c r="A2700">
        <v>2645</v>
      </c>
      <c r="B2700" s="166">
        <v>91.004158552557968</v>
      </c>
      <c r="D2700" s="39"/>
      <c r="E2700" s="39"/>
    </row>
    <row r="2701" spans="1:5" ht="15.6">
      <c r="A2701">
        <v>2646</v>
      </c>
      <c r="B2701" s="166">
        <v>164.80852605647667</v>
      </c>
      <c r="D2701" s="39"/>
      <c r="E2701" s="39"/>
    </row>
    <row r="2702" spans="1:5" ht="15.6">
      <c r="A2702">
        <v>2647</v>
      </c>
      <c r="B2702" s="166">
        <v>112.04768201438146</v>
      </c>
      <c r="D2702" s="39"/>
      <c r="E2702" s="39"/>
    </row>
    <row r="2703" spans="1:5" ht="15.6">
      <c r="A2703">
        <v>2648</v>
      </c>
      <c r="B2703" s="166">
        <v>118.33623513046298</v>
      </c>
      <c r="D2703" s="39"/>
      <c r="E2703" s="39"/>
    </row>
    <row r="2704" spans="1:5" ht="15.6">
      <c r="A2704">
        <v>2649</v>
      </c>
      <c r="B2704" s="166">
        <v>92.494067659446799</v>
      </c>
      <c r="D2704" s="39"/>
      <c r="E2704" s="39"/>
    </row>
    <row r="2705" spans="1:5" ht="15.6">
      <c r="A2705">
        <v>2650</v>
      </c>
      <c r="B2705" s="166">
        <v>121.8165184913526</v>
      </c>
      <c r="D2705" s="39"/>
      <c r="E2705" s="39"/>
    </row>
    <row r="2706" spans="1:5" ht="15.6">
      <c r="A2706">
        <v>2651</v>
      </c>
      <c r="B2706" s="166">
        <v>178.23034722118084</v>
      </c>
      <c r="D2706" s="39"/>
      <c r="E2706" s="39"/>
    </row>
    <row r="2707" spans="1:5" ht="15.6">
      <c r="A2707">
        <v>2652</v>
      </c>
      <c r="B2707" s="166">
        <v>163.32488655686313</v>
      </c>
      <c r="D2707" s="39"/>
      <c r="E2707" s="39"/>
    </row>
    <row r="2708" spans="1:5" ht="15.6">
      <c r="A2708">
        <v>2653</v>
      </c>
      <c r="B2708" s="166">
        <v>91.646494207418954</v>
      </c>
      <c r="D2708" s="39"/>
      <c r="E2708" s="39"/>
    </row>
    <row r="2709" spans="1:5" ht="15.6">
      <c r="A2709">
        <v>2654</v>
      </c>
      <c r="B2709" s="166">
        <v>68.318084535093746</v>
      </c>
      <c r="D2709" s="39"/>
      <c r="E2709" s="39"/>
    </row>
    <row r="2710" spans="1:5" ht="15.6">
      <c r="A2710">
        <v>2655</v>
      </c>
      <c r="B2710" s="166">
        <v>91.332228786926066</v>
      </c>
      <c r="D2710" s="39"/>
      <c r="E2710" s="39"/>
    </row>
    <row r="2711" spans="1:5" ht="15.6">
      <c r="A2711">
        <v>2656</v>
      </c>
      <c r="B2711" s="166">
        <v>73.559460727030356</v>
      </c>
      <c r="D2711" s="39"/>
      <c r="E2711" s="39"/>
    </row>
    <row r="2712" spans="1:5" ht="15.6">
      <c r="A2712">
        <v>2657</v>
      </c>
      <c r="B2712" s="166">
        <v>60.491327038594932</v>
      </c>
      <c r="D2712" s="39"/>
      <c r="E2712" s="39"/>
    </row>
    <row r="2713" spans="1:5" ht="15.6">
      <c r="A2713">
        <v>2658</v>
      </c>
      <c r="B2713" s="166">
        <v>168.41902150972231</v>
      </c>
      <c r="D2713" s="39"/>
      <c r="E2713" s="39"/>
    </row>
    <row r="2714" spans="1:5" ht="15.6">
      <c r="A2714">
        <v>2659</v>
      </c>
      <c r="B2714" s="166">
        <v>237.27680407245492</v>
      </c>
      <c r="D2714" s="39"/>
      <c r="E2714" s="39"/>
    </row>
    <row r="2715" spans="1:5" ht="15.6">
      <c r="A2715">
        <v>2660</v>
      </c>
      <c r="B2715" s="166">
        <v>101.49092330204984</v>
      </c>
      <c r="D2715" s="39"/>
      <c r="E2715" s="39"/>
    </row>
    <row r="2716" spans="1:5" ht="15.6">
      <c r="A2716">
        <v>2661</v>
      </c>
      <c r="B2716" s="166">
        <v>197.08211856445652</v>
      </c>
      <c r="D2716" s="39"/>
      <c r="E2716" s="39"/>
    </row>
    <row r="2717" spans="1:5" ht="15.6">
      <c r="A2717">
        <v>2662</v>
      </c>
      <c r="B2717" s="166">
        <v>201.35259097728553</v>
      </c>
      <c r="D2717" s="39"/>
      <c r="E2717" s="39"/>
    </row>
    <row r="2718" spans="1:5" ht="15.6">
      <c r="A2718">
        <v>2663</v>
      </c>
      <c r="B2718" s="166">
        <v>70.99157505432413</v>
      </c>
      <c r="D2718" s="39"/>
      <c r="E2718" s="39"/>
    </row>
    <row r="2719" spans="1:5" ht="15.6">
      <c r="A2719">
        <v>2664</v>
      </c>
      <c r="B2719" s="166">
        <v>169.34153243449771</v>
      </c>
      <c r="D2719" s="39"/>
      <c r="E2719" s="39"/>
    </row>
    <row r="2720" spans="1:5" ht="15.6">
      <c r="A2720">
        <v>2665</v>
      </c>
      <c r="B2720" s="166">
        <v>126.47449236473247</v>
      </c>
      <c r="D2720" s="39"/>
      <c r="E2720" s="39"/>
    </row>
    <row r="2721" spans="1:5" ht="15.6">
      <c r="A2721">
        <v>2666</v>
      </c>
      <c r="B2721" s="166">
        <v>116.68900200208709</v>
      </c>
      <c r="D2721" s="39"/>
      <c r="E2721" s="39"/>
    </row>
    <row r="2722" spans="1:5" ht="15.6">
      <c r="A2722">
        <v>2667</v>
      </c>
      <c r="B2722" s="166">
        <v>75.856637560082333</v>
      </c>
      <c r="D2722" s="39"/>
      <c r="E2722" s="39"/>
    </row>
    <row r="2723" spans="1:5" ht="15.6">
      <c r="A2723">
        <v>2668</v>
      </c>
      <c r="B2723" s="166">
        <v>88.735385883933773</v>
      </c>
      <c r="D2723" s="39"/>
      <c r="E2723" s="39"/>
    </row>
    <row r="2724" spans="1:5" ht="15.6">
      <c r="A2724">
        <v>2669</v>
      </c>
      <c r="B2724" s="166">
        <v>117.74164355661409</v>
      </c>
      <c r="D2724" s="39"/>
      <c r="E2724" s="39"/>
    </row>
    <row r="2725" spans="1:5" ht="15.6">
      <c r="A2725">
        <v>2670</v>
      </c>
      <c r="B2725" s="166">
        <v>236.88567051019189</v>
      </c>
      <c r="D2725" s="39"/>
      <c r="E2725" s="39"/>
    </row>
    <row r="2726" spans="1:5" ht="15.6">
      <c r="A2726">
        <v>2671</v>
      </c>
      <c r="B2726" s="166">
        <v>109.85307448647575</v>
      </c>
      <c r="D2726" s="39"/>
      <c r="E2726" s="39"/>
    </row>
    <row r="2727" spans="1:5" ht="15.6">
      <c r="A2727">
        <v>2672</v>
      </c>
      <c r="B2727" s="166">
        <v>81.424187225208044</v>
      </c>
      <c r="D2727" s="39"/>
      <c r="E2727" s="39"/>
    </row>
    <row r="2728" spans="1:5" ht="15.6">
      <c r="A2728">
        <v>2673</v>
      </c>
      <c r="B2728" s="166">
        <v>85.059252819102852</v>
      </c>
      <c r="D2728" s="39"/>
      <c r="E2728" s="39"/>
    </row>
    <row r="2729" spans="1:5" ht="15.6">
      <c r="A2729">
        <v>2674</v>
      </c>
      <c r="B2729" s="166">
        <v>106.00496511232629</v>
      </c>
      <c r="D2729" s="39"/>
      <c r="E2729" s="39"/>
    </row>
    <row r="2730" spans="1:5" ht="15.6">
      <c r="A2730">
        <v>2675</v>
      </c>
      <c r="B2730" s="166">
        <v>77.318234579287648</v>
      </c>
      <c r="D2730" s="39"/>
      <c r="E2730" s="39"/>
    </row>
    <row r="2731" spans="1:5" ht="15.6">
      <c r="A2731">
        <v>2676</v>
      </c>
      <c r="B2731" s="166">
        <v>72.748298757286989</v>
      </c>
      <c r="D2731" s="39"/>
      <c r="E2731" s="39"/>
    </row>
    <row r="2732" spans="1:5" ht="15.6">
      <c r="A2732">
        <v>2677</v>
      </c>
      <c r="B2732" s="166">
        <v>126.44023580118218</v>
      </c>
      <c r="D2732" s="39"/>
      <c r="E2732" s="39"/>
    </row>
    <row r="2733" spans="1:5" ht="15.6">
      <c r="A2733">
        <v>2678</v>
      </c>
      <c r="B2733" s="166">
        <v>62.409090442496797</v>
      </c>
      <c r="D2733" s="39"/>
      <c r="E2733" s="39"/>
    </row>
    <row r="2734" spans="1:5" ht="15.6">
      <c r="A2734">
        <v>2679</v>
      </c>
      <c r="B2734" s="166">
        <v>108.19889223486595</v>
      </c>
      <c r="D2734" s="39"/>
      <c r="E2734" s="39"/>
    </row>
    <row r="2735" spans="1:5" ht="15.6">
      <c r="A2735">
        <v>2680</v>
      </c>
      <c r="B2735" s="166">
        <v>96.708620324092962</v>
      </c>
      <c r="D2735" s="39"/>
      <c r="E2735" s="39"/>
    </row>
    <row r="2736" spans="1:5" ht="15.6">
      <c r="A2736">
        <v>2681</v>
      </c>
      <c r="B2736" s="166">
        <v>104.87018299050192</v>
      </c>
      <c r="D2736" s="39"/>
      <c r="E2736" s="39"/>
    </row>
    <row r="2737" spans="1:5" ht="15.6">
      <c r="A2737">
        <v>2682</v>
      </c>
      <c r="B2737" s="166">
        <v>133.47727598299264</v>
      </c>
      <c r="D2737" s="39"/>
      <c r="E2737" s="39"/>
    </row>
    <row r="2738" spans="1:5" ht="15.6">
      <c r="A2738">
        <v>2683</v>
      </c>
      <c r="B2738" s="166">
        <v>220.7599858789643</v>
      </c>
      <c r="D2738" s="39"/>
      <c r="E2738" s="39"/>
    </row>
    <row r="2739" spans="1:5" ht="15.6">
      <c r="A2739">
        <v>2684</v>
      </c>
      <c r="B2739" s="166">
        <v>111.59690500693954</v>
      </c>
      <c r="D2739" s="39"/>
      <c r="E2739" s="39"/>
    </row>
    <row r="2740" spans="1:5" ht="15.6">
      <c r="A2740">
        <v>2685</v>
      </c>
      <c r="B2740" s="166">
        <v>108.9316432976461</v>
      </c>
      <c r="D2740" s="39"/>
      <c r="E2740" s="39"/>
    </row>
    <row r="2741" spans="1:5" ht="15.6">
      <c r="A2741">
        <v>2686</v>
      </c>
      <c r="B2741" s="166">
        <v>188.3912796727902</v>
      </c>
      <c r="D2741" s="39"/>
      <c r="E2741" s="39"/>
    </row>
    <row r="2742" spans="1:5" ht="15.6">
      <c r="A2742">
        <v>2687</v>
      </c>
      <c r="B2742" s="166">
        <v>120.47877133503366</v>
      </c>
      <c r="D2742" s="39"/>
      <c r="E2742" s="39"/>
    </row>
    <row r="2743" spans="1:5" ht="15.6">
      <c r="A2743">
        <v>2688</v>
      </c>
      <c r="B2743" s="166">
        <v>177.79385196278076</v>
      </c>
      <c r="D2743" s="39"/>
      <c r="E2743" s="39"/>
    </row>
    <row r="2744" spans="1:5" ht="15.6">
      <c r="A2744">
        <v>2689</v>
      </c>
      <c r="B2744" s="166">
        <v>50.912005766152106</v>
      </c>
      <c r="D2744" s="39"/>
      <c r="E2744" s="39"/>
    </row>
    <row r="2745" spans="1:5" ht="15.6">
      <c r="A2745">
        <v>2690</v>
      </c>
      <c r="B2745" s="166">
        <v>100.40808494707646</v>
      </c>
      <c r="D2745" s="39"/>
      <c r="E2745" s="39"/>
    </row>
    <row r="2746" spans="1:5" ht="15.6">
      <c r="A2746">
        <v>2691</v>
      </c>
      <c r="B2746" s="166">
        <v>155.54337392835649</v>
      </c>
      <c r="D2746" s="39"/>
      <c r="E2746" s="39"/>
    </row>
    <row r="2747" spans="1:5" ht="15.6">
      <c r="A2747">
        <v>2692</v>
      </c>
      <c r="B2747" s="166">
        <v>157.24189887200916</v>
      </c>
      <c r="D2747" s="39"/>
      <c r="E2747" s="39"/>
    </row>
    <row r="2748" spans="1:5" ht="15.6">
      <c r="A2748">
        <v>2693</v>
      </c>
      <c r="B2748" s="166">
        <v>98.840158936348402</v>
      </c>
      <c r="D2748" s="39"/>
      <c r="E2748" s="39"/>
    </row>
    <row r="2749" spans="1:5" ht="15.6">
      <c r="A2749">
        <v>2694</v>
      </c>
      <c r="B2749" s="166">
        <v>174.05458620921175</v>
      </c>
      <c r="D2749" s="39"/>
      <c r="E2749" s="39"/>
    </row>
    <row r="2750" spans="1:5" ht="15.6">
      <c r="A2750">
        <v>2695</v>
      </c>
      <c r="B2750" s="166">
        <v>95.00364698318657</v>
      </c>
      <c r="D2750" s="39"/>
      <c r="E2750" s="39"/>
    </row>
    <row r="2751" spans="1:5" ht="15.6">
      <c r="A2751">
        <v>2696</v>
      </c>
      <c r="B2751" s="166">
        <v>77.167819049461528</v>
      </c>
      <c r="D2751" s="39"/>
      <c r="E2751" s="39"/>
    </row>
    <row r="2752" spans="1:5" ht="15.6">
      <c r="A2752">
        <v>2697</v>
      </c>
      <c r="B2752" s="166">
        <v>115.76728257608509</v>
      </c>
      <c r="D2752" s="39"/>
      <c r="E2752" s="39"/>
    </row>
    <row r="2753" spans="1:5" ht="15.6">
      <c r="A2753">
        <v>2698</v>
      </c>
      <c r="B2753" s="166">
        <v>124.45977622184547</v>
      </c>
      <c r="D2753" s="39"/>
      <c r="E2753" s="39"/>
    </row>
    <row r="2754" spans="1:5" ht="15.6">
      <c r="A2754">
        <v>2699</v>
      </c>
      <c r="B2754" s="166">
        <v>152.82499801498247</v>
      </c>
      <c r="D2754" s="39"/>
      <c r="E2754" s="39"/>
    </row>
    <row r="2755" spans="1:5" ht="15.6">
      <c r="A2755">
        <v>2700</v>
      </c>
      <c r="B2755" s="166">
        <v>72.680137024053465</v>
      </c>
      <c r="D2755" s="39"/>
      <c r="E2755" s="39"/>
    </row>
    <row r="2756" spans="1:5" ht="15.6">
      <c r="A2756">
        <v>2701</v>
      </c>
      <c r="B2756" s="166">
        <v>252.8792126015741</v>
      </c>
      <c r="D2756" s="39"/>
      <c r="E2756" s="39"/>
    </row>
    <row r="2757" spans="1:5" ht="15.6">
      <c r="A2757">
        <v>2702</v>
      </c>
      <c r="B2757" s="166">
        <v>126.82517303053361</v>
      </c>
      <c r="D2757" s="39"/>
      <c r="E2757" s="39"/>
    </row>
    <row r="2758" spans="1:5" ht="15.6">
      <c r="A2758">
        <v>2703</v>
      </c>
      <c r="B2758" s="166">
        <v>115.02450353415148</v>
      </c>
      <c r="D2758" s="39"/>
      <c r="E2758" s="39"/>
    </row>
    <row r="2759" spans="1:5" ht="15.6">
      <c r="A2759">
        <v>2704</v>
      </c>
      <c r="B2759" s="166">
        <v>100.94589327329614</v>
      </c>
      <c r="D2759" s="39"/>
      <c r="E2759" s="39"/>
    </row>
    <row r="2760" spans="1:5" ht="15.6">
      <c r="A2760">
        <v>2705</v>
      </c>
      <c r="B2760" s="166">
        <v>94.522711169105577</v>
      </c>
      <c r="D2760" s="39"/>
      <c r="E2760" s="39"/>
    </row>
    <row r="2761" spans="1:5" ht="15.6">
      <c r="A2761">
        <v>2706</v>
      </c>
      <c r="B2761" s="166">
        <v>89.77788824407132</v>
      </c>
      <c r="D2761" s="39"/>
      <c r="E2761" s="39"/>
    </row>
    <row r="2762" spans="1:5" ht="15.6">
      <c r="A2762">
        <v>2707</v>
      </c>
      <c r="B2762" s="166">
        <v>122.23502588643336</v>
      </c>
      <c r="D2762" s="39"/>
      <c r="E2762" s="39"/>
    </row>
    <row r="2763" spans="1:5" ht="15.6">
      <c r="A2763">
        <v>2708</v>
      </c>
      <c r="B2763" s="166">
        <v>114.92777337745774</v>
      </c>
      <c r="D2763" s="39"/>
      <c r="E2763" s="39"/>
    </row>
    <row r="2764" spans="1:5" ht="15.6">
      <c r="A2764">
        <v>2709</v>
      </c>
      <c r="B2764" s="166">
        <v>88.864749165648377</v>
      </c>
      <c r="D2764" s="39"/>
      <c r="E2764" s="39"/>
    </row>
    <row r="2765" spans="1:5" ht="15.6">
      <c r="A2765">
        <v>2710</v>
      </c>
      <c r="B2765" s="166">
        <v>103.35036658838779</v>
      </c>
      <c r="D2765" s="39"/>
      <c r="E2765" s="39"/>
    </row>
    <row r="2766" spans="1:5" ht="15.6">
      <c r="A2766">
        <v>2711</v>
      </c>
      <c r="B2766" s="166">
        <v>103.74936192755591</v>
      </c>
      <c r="D2766" s="39"/>
      <c r="E2766" s="39"/>
    </row>
    <row r="2767" spans="1:5" ht="15.6">
      <c r="A2767">
        <v>2712</v>
      </c>
      <c r="B2767" s="166">
        <v>93.08573781534885</v>
      </c>
      <c r="D2767" s="39"/>
      <c r="E2767" s="39"/>
    </row>
    <row r="2768" spans="1:5" ht="15.6">
      <c r="A2768">
        <v>2713</v>
      </c>
      <c r="B2768" s="166">
        <v>70.978182383403833</v>
      </c>
      <c r="D2768" s="39"/>
      <c r="E2768" s="39"/>
    </row>
    <row r="2769" spans="1:5" ht="15.6">
      <c r="A2769">
        <v>2714</v>
      </c>
      <c r="B2769" s="166">
        <v>105.35169760145853</v>
      </c>
      <c r="D2769" s="39"/>
      <c r="E2769" s="39"/>
    </row>
    <row r="2770" spans="1:5" ht="15.6">
      <c r="A2770">
        <v>2715</v>
      </c>
      <c r="B2770" s="166">
        <v>79.132420784585662</v>
      </c>
      <c r="D2770" s="39"/>
      <c r="E2770" s="39"/>
    </row>
    <row r="2771" spans="1:5" ht="15.6">
      <c r="A2771">
        <v>2716</v>
      </c>
      <c r="B2771" s="166">
        <v>108.78449498914503</v>
      </c>
      <c r="D2771" s="39"/>
      <c r="E2771" s="39"/>
    </row>
    <row r="2772" spans="1:5" ht="15.6">
      <c r="A2772">
        <v>2717</v>
      </c>
      <c r="B2772" s="166">
        <v>70.148195491073068</v>
      </c>
      <c r="D2772" s="39"/>
      <c r="E2772" s="39"/>
    </row>
    <row r="2773" spans="1:5" ht="15.6">
      <c r="A2773">
        <v>2718</v>
      </c>
      <c r="B2773" s="166">
        <v>59.374916569214321</v>
      </c>
      <c r="D2773" s="39"/>
      <c r="E2773" s="39"/>
    </row>
    <row r="2774" spans="1:5" ht="15.6">
      <c r="A2774">
        <v>2719</v>
      </c>
      <c r="B2774" s="166">
        <v>114.25229210663916</v>
      </c>
      <c r="D2774" s="39"/>
      <c r="E2774" s="39"/>
    </row>
    <row r="2775" spans="1:5" ht="15.6">
      <c r="A2775">
        <v>2720</v>
      </c>
      <c r="B2775" s="166">
        <v>143.01644208609477</v>
      </c>
      <c r="D2775" s="39"/>
      <c r="E2775" s="39"/>
    </row>
    <row r="2776" spans="1:5" ht="15.6">
      <c r="A2776">
        <v>2721</v>
      </c>
      <c r="B2776" s="166">
        <v>88.591373693993262</v>
      </c>
      <c r="D2776" s="39"/>
      <c r="E2776" s="39"/>
    </row>
    <row r="2777" spans="1:5" ht="15.6">
      <c r="A2777">
        <v>2722</v>
      </c>
      <c r="B2777" s="166">
        <v>134.03002580630539</v>
      </c>
      <c r="D2777" s="39"/>
      <c r="E2777" s="39"/>
    </row>
    <row r="2778" spans="1:5" ht="15.6">
      <c r="A2778">
        <v>2723</v>
      </c>
      <c r="B2778" s="166">
        <v>68.749934924831933</v>
      </c>
      <c r="D2778" s="39"/>
      <c r="E2778" s="39"/>
    </row>
    <row r="2779" spans="1:5" ht="15.6">
      <c r="A2779">
        <v>2724</v>
      </c>
      <c r="B2779" s="166">
        <v>53.230946647306389</v>
      </c>
      <c r="D2779" s="39"/>
      <c r="E2779" s="39"/>
    </row>
    <row r="2780" spans="1:5" ht="15.6">
      <c r="A2780">
        <v>2725</v>
      </c>
      <c r="B2780" s="166">
        <v>193.95442198148788</v>
      </c>
      <c r="D2780" s="39"/>
      <c r="E2780" s="39"/>
    </row>
    <row r="2781" spans="1:5" ht="15.6">
      <c r="A2781">
        <v>2726</v>
      </c>
      <c r="B2781" s="166">
        <v>71.711064787656497</v>
      </c>
      <c r="D2781" s="39"/>
      <c r="E2781" s="39"/>
    </row>
    <row r="2782" spans="1:5" ht="15.6">
      <c r="A2782">
        <v>2727</v>
      </c>
      <c r="B2782" s="166">
        <v>178.75134397461181</v>
      </c>
      <c r="D2782" s="39"/>
      <c r="E2782" s="39"/>
    </row>
    <row r="2783" spans="1:5" ht="15.6">
      <c r="A2783">
        <v>2728</v>
      </c>
      <c r="B2783" s="166">
        <v>97.34221082425826</v>
      </c>
      <c r="D2783" s="39"/>
      <c r="E2783" s="39"/>
    </row>
    <row r="2784" spans="1:5" ht="15.6">
      <c r="A2784">
        <v>2729</v>
      </c>
      <c r="B2784" s="166">
        <v>81.133140224722297</v>
      </c>
      <c r="D2784" s="39"/>
      <c r="E2784" s="39"/>
    </row>
    <row r="2785" spans="1:5" ht="15.6">
      <c r="A2785">
        <v>2730</v>
      </c>
      <c r="B2785" s="166">
        <v>90.937432822000972</v>
      </c>
      <c r="D2785" s="39"/>
      <c r="E2785" s="39"/>
    </row>
    <row r="2786" spans="1:5" ht="15.6">
      <c r="A2786">
        <v>2731</v>
      </c>
      <c r="B2786" s="166">
        <v>145.00736783185837</v>
      </c>
      <c r="D2786" s="39"/>
      <c r="E2786" s="39"/>
    </row>
    <row r="2787" spans="1:5" ht="15.6">
      <c r="A2787">
        <v>2732</v>
      </c>
      <c r="B2787" s="166">
        <v>142.87521599877627</v>
      </c>
      <c r="D2787" s="39"/>
      <c r="E2787" s="39"/>
    </row>
    <row r="2788" spans="1:5" ht="15.6">
      <c r="A2788">
        <v>2733</v>
      </c>
      <c r="B2788" s="166">
        <v>78.160467016597195</v>
      </c>
      <c r="D2788" s="39"/>
      <c r="E2788" s="39"/>
    </row>
    <row r="2789" spans="1:5" ht="15.6">
      <c r="A2789">
        <v>2734</v>
      </c>
      <c r="B2789" s="166">
        <v>168.68541914246049</v>
      </c>
      <c r="D2789" s="39"/>
      <c r="E2789" s="39"/>
    </row>
    <row r="2790" spans="1:5" ht="15.6">
      <c r="A2790">
        <v>2735</v>
      </c>
      <c r="B2790" s="166">
        <v>88.861228940059434</v>
      </c>
      <c r="D2790" s="39"/>
      <c r="E2790" s="39"/>
    </row>
    <row r="2791" spans="1:5" ht="15.6">
      <c r="A2791">
        <v>2736</v>
      </c>
      <c r="B2791" s="166">
        <v>104.51792082704647</v>
      </c>
      <c r="D2791" s="39"/>
      <c r="E2791" s="39"/>
    </row>
    <row r="2792" spans="1:5" ht="15.6">
      <c r="A2792">
        <v>2737</v>
      </c>
      <c r="B2792" s="166">
        <v>235.81015770314355</v>
      </c>
      <c r="D2792" s="39"/>
      <c r="E2792" s="39"/>
    </row>
    <row r="2793" spans="1:5" ht="15.6">
      <c r="A2793">
        <v>2738</v>
      </c>
      <c r="B2793" s="166">
        <v>103.01595749061342</v>
      </c>
      <c r="D2793" s="39"/>
      <c r="E2793" s="39"/>
    </row>
    <row r="2794" spans="1:5" ht="15.6">
      <c r="A2794">
        <v>2739</v>
      </c>
      <c r="B2794" s="166">
        <v>114.38641577139833</v>
      </c>
      <c r="D2794" s="39"/>
      <c r="E2794" s="39"/>
    </row>
    <row r="2795" spans="1:5" ht="15.6">
      <c r="A2795">
        <v>2740</v>
      </c>
      <c r="B2795" s="166">
        <v>175.09561526548171</v>
      </c>
      <c r="D2795" s="39"/>
      <c r="E2795" s="39"/>
    </row>
    <row r="2796" spans="1:5" ht="15.6">
      <c r="A2796">
        <v>2741</v>
      </c>
      <c r="B2796" s="166">
        <v>120.4605341729731</v>
      </c>
      <c r="D2796" s="39"/>
      <c r="E2796" s="39"/>
    </row>
    <row r="2797" spans="1:5" ht="15.6">
      <c r="A2797">
        <v>2742</v>
      </c>
      <c r="B2797" s="166">
        <v>226.17641857290124</v>
      </c>
      <c r="D2797" s="39"/>
      <c r="E2797" s="39"/>
    </row>
    <row r="2798" spans="1:5" ht="15.6">
      <c r="A2798">
        <v>2743</v>
      </c>
      <c r="B2798" s="166">
        <v>166.12989815349579</v>
      </c>
      <c r="D2798" s="39"/>
      <c r="E2798" s="39"/>
    </row>
    <row r="2799" spans="1:5" ht="15.6">
      <c r="A2799">
        <v>2744</v>
      </c>
      <c r="B2799" s="166">
        <v>78.17570353681981</v>
      </c>
      <c r="D2799" s="39"/>
      <c r="E2799" s="39"/>
    </row>
    <row r="2800" spans="1:5" ht="15.6">
      <c r="A2800">
        <v>2745</v>
      </c>
      <c r="B2800" s="166">
        <v>98.133269061785455</v>
      </c>
      <c r="D2800" s="39"/>
      <c r="E2800" s="39"/>
    </row>
    <row r="2801" spans="1:5" ht="15.6">
      <c r="A2801">
        <v>2746</v>
      </c>
      <c r="B2801" s="166">
        <v>150.29921329236547</v>
      </c>
      <c r="D2801" s="39"/>
      <c r="E2801" s="39"/>
    </row>
    <row r="2802" spans="1:5" ht="15.6">
      <c r="A2802">
        <v>2747</v>
      </c>
      <c r="B2802" s="166">
        <v>116.97181685989121</v>
      </c>
      <c r="D2802" s="39"/>
      <c r="E2802" s="39"/>
    </row>
    <row r="2803" spans="1:5" ht="15.6">
      <c r="A2803">
        <v>2748</v>
      </c>
      <c r="B2803" s="166">
        <v>150.01375349358142</v>
      </c>
      <c r="D2803" s="39"/>
      <c r="E2803" s="39"/>
    </row>
    <row r="2804" spans="1:5" ht="15.6">
      <c r="A2804">
        <v>2749</v>
      </c>
      <c r="B2804" s="166">
        <v>187.88224895639749</v>
      </c>
      <c r="D2804" s="39"/>
      <c r="E2804" s="39"/>
    </row>
    <row r="2805" spans="1:5" ht="15.6">
      <c r="A2805">
        <v>2750</v>
      </c>
      <c r="B2805" s="166">
        <v>117.80998803625825</v>
      </c>
      <c r="D2805" s="39"/>
      <c r="E2805" s="39"/>
    </row>
    <row r="2806" spans="1:5" ht="15.6">
      <c r="A2806">
        <v>2751</v>
      </c>
      <c r="B2806" s="166">
        <v>100.03010065299334</v>
      </c>
      <c r="D2806" s="39"/>
      <c r="E2806" s="39"/>
    </row>
    <row r="2807" spans="1:5" ht="15.6">
      <c r="A2807">
        <v>2752</v>
      </c>
      <c r="B2807" s="166">
        <v>62.442890562576189</v>
      </c>
      <c r="D2807" s="39"/>
      <c r="E2807" s="39"/>
    </row>
    <row r="2808" spans="1:5" ht="15.6">
      <c r="A2808">
        <v>2753</v>
      </c>
      <c r="B2808" s="166">
        <v>100.70096056767622</v>
      </c>
      <c r="D2808" s="39"/>
      <c r="E2808" s="39"/>
    </row>
    <row r="2809" spans="1:5" ht="15.6">
      <c r="A2809">
        <v>2754</v>
      </c>
      <c r="B2809" s="166">
        <v>80.111517527876657</v>
      </c>
      <c r="D2809" s="39"/>
      <c r="E2809" s="39"/>
    </row>
    <row r="2810" spans="1:5" ht="15.6">
      <c r="A2810">
        <v>2755</v>
      </c>
      <c r="B2810" s="166">
        <v>136.22038166578363</v>
      </c>
      <c r="D2810" s="39"/>
      <c r="E2810" s="39"/>
    </row>
    <row r="2811" spans="1:5" ht="15.6">
      <c r="A2811">
        <v>2756</v>
      </c>
      <c r="B2811" s="166">
        <v>107.55841846454155</v>
      </c>
      <c r="D2811" s="39"/>
      <c r="E2811" s="39"/>
    </row>
    <row r="2812" spans="1:5" ht="15.6">
      <c r="A2812">
        <v>2757</v>
      </c>
      <c r="B2812" s="166">
        <v>75.435171325632325</v>
      </c>
      <c r="D2812" s="39"/>
      <c r="E2812" s="39"/>
    </row>
    <row r="2813" spans="1:5" ht="15.6">
      <c r="A2813">
        <v>2758</v>
      </c>
      <c r="B2813" s="166">
        <v>99.640361579455387</v>
      </c>
      <c r="D2813" s="39"/>
      <c r="E2813" s="39"/>
    </row>
    <row r="2814" spans="1:5" ht="15.6">
      <c r="A2814">
        <v>2759</v>
      </c>
      <c r="B2814" s="166">
        <v>130.93166811394073</v>
      </c>
      <c r="D2814" s="39"/>
      <c r="E2814" s="39"/>
    </row>
    <row r="2815" spans="1:5" ht="15.6">
      <c r="A2815">
        <v>2760</v>
      </c>
      <c r="B2815" s="166">
        <v>141.31467147325594</v>
      </c>
      <c r="D2815" s="39"/>
      <c r="E2815" s="39"/>
    </row>
    <row r="2816" spans="1:5" ht="15.6">
      <c r="A2816">
        <v>2761</v>
      </c>
      <c r="B2816" s="166">
        <v>60.155015891227144</v>
      </c>
      <c r="D2816" s="39"/>
      <c r="E2816" s="39"/>
    </row>
    <row r="2817" spans="1:5" ht="15.6">
      <c r="A2817">
        <v>2762</v>
      </c>
      <c r="B2817" s="166">
        <v>109.99150782211592</v>
      </c>
      <c r="D2817" s="39"/>
      <c r="E2817" s="39"/>
    </row>
    <row r="2818" spans="1:5" ht="15.6">
      <c r="A2818">
        <v>2763</v>
      </c>
      <c r="B2818" s="166">
        <v>144.60962240144733</v>
      </c>
      <c r="D2818" s="39"/>
      <c r="E2818" s="39"/>
    </row>
    <row r="2819" spans="1:5" ht="15.6">
      <c r="A2819">
        <v>2764</v>
      </c>
      <c r="B2819" s="166">
        <v>67.432655726925489</v>
      </c>
      <c r="D2819" s="39"/>
      <c r="E2819" s="39"/>
    </row>
    <row r="2820" spans="1:5" ht="15.6">
      <c r="A2820">
        <v>2765</v>
      </c>
      <c r="B2820" s="166">
        <v>61.534044219264402</v>
      </c>
      <c r="D2820" s="39"/>
      <c r="E2820" s="39"/>
    </row>
    <row r="2821" spans="1:5" ht="15.6">
      <c r="A2821">
        <v>2766</v>
      </c>
      <c r="B2821" s="166">
        <v>99.052597122228761</v>
      </c>
      <c r="D2821" s="39"/>
      <c r="E2821" s="39"/>
    </row>
    <row r="2822" spans="1:5" ht="15.6">
      <c r="A2822">
        <v>2767</v>
      </c>
      <c r="B2822" s="166">
        <v>81.978843147276848</v>
      </c>
      <c r="D2822" s="39"/>
      <c r="E2822" s="39"/>
    </row>
    <row r="2823" spans="1:5" ht="15.6">
      <c r="A2823">
        <v>2768</v>
      </c>
      <c r="B2823" s="166">
        <v>83.046399843931454</v>
      </c>
      <c r="D2823" s="39"/>
      <c r="E2823" s="39"/>
    </row>
    <row r="2824" spans="1:5" ht="15.6">
      <c r="A2824">
        <v>2769</v>
      </c>
      <c r="B2824" s="166">
        <v>69.538121964456522</v>
      </c>
      <c r="D2824" s="39"/>
      <c r="E2824" s="39"/>
    </row>
    <row r="2825" spans="1:5" ht="15.6">
      <c r="A2825">
        <v>2770</v>
      </c>
      <c r="B2825" s="166">
        <v>83.966014758619366</v>
      </c>
      <c r="D2825" s="39"/>
      <c r="E2825" s="39"/>
    </row>
    <row r="2826" spans="1:5" ht="15.6">
      <c r="A2826">
        <v>2771</v>
      </c>
      <c r="B2826" s="166">
        <v>103.18837977989108</v>
      </c>
      <c r="D2826" s="39"/>
      <c r="E2826" s="39"/>
    </row>
    <row r="2827" spans="1:5" ht="15.6">
      <c r="A2827">
        <v>2772</v>
      </c>
      <c r="B2827" s="166">
        <v>84.080969561813106</v>
      </c>
      <c r="D2827" s="39"/>
      <c r="E2827" s="39"/>
    </row>
    <row r="2828" spans="1:5" ht="15.6">
      <c r="A2828">
        <v>2773</v>
      </c>
      <c r="B2828" s="166">
        <v>58.360419609473936</v>
      </c>
      <c r="D2828" s="39"/>
      <c r="E2828" s="39"/>
    </row>
    <row r="2829" spans="1:5" ht="15.6">
      <c r="A2829">
        <v>2774</v>
      </c>
      <c r="B2829" s="166">
        <v>119.67744954719781</v>
      </c>
      <c r="D2829" s="39"/>
      <c r="E2829" s="39"/>
    </row>
    <row r="2830" spans="1:5" ht="15.6">
      <c r="A2830">
        <v>2775</v>
      </c>
      <c r="B2830" s="166">
        <v>53.943880805150719</v>
      </c>
      <c r="D2830" s="39"/>
      <c r="E2830" s="39"/>
    </row>
    <row r="2831" spans="1:5" ht="15.6">
      <c r="A2831">
        <v>2776</v>
      </c>
      <c r="B2831" s="166">
        <v>150.72406887963831</v>
      </c>
      <c r="D2831" s="39"/>
      <c r="E2831" s="39"/>
    </row>
    <row r="2832" spans="1:5" ht="15.6">
      <c r="A2832">
        <v>2777</v>
      </c>
      <c r="B2832" s="166">
        <v>64.679652853412549</v>
      </c>
      <c r="D2832" s="39"/>
      <c r="E2832" s="39"/>
    </row>
    <row r="2833" spans="1:5" ht="15.6">
      <c r="A2833">
        <v>2778</v>
      </c>
      <c r="B2833" s="166">
        <v>86.484883186713915</v>
      </c>
      <c r="D2833" s="39"/>
      <c r="E2833" s="39"/>
    </row>
    <row r="2834" spans="1:5" ht="15.6">
      <c r="A2834">
        <v>2779</v>
      </c>
      <c r="B2834" s="166">
        <v>71.075438706579689</v>
      </c>
      <c r="D2834" s="39"/>
      <c r="E2834" s="39"/>
    </row>
    <row r="2835" spans="1:5" ht="15.6">
      <c r="A2835">
        <v>2780</v>
      </c>
      <c r="B2835" s="166">
        <v>76.373971367301593</v>
      </c>
      <c r="D2835" s="39"/>
      <c r="E2835" s="39"/>
    </row>
    <row r="2836" spans="1:5" ht="15.6">
      <c r="A2836">
        <v>2781</v>
      </c>
      <c r="B2836" s="166">
        <v>120.01754670839952</v>
      </c>
      <c r="D2836" s="39"/>
      <c r="E2836" s="39"/>
    </row>
    <row r="2837" spans="1:5" ht="15.6">
      <c r="A2837">
        <v>2782</v>
      </c>
      <c r="B2837" s="166">
        <v>66.926995091035295</v>
      </c>
      <c r="D2837" s="39"/>
      <c r="E2837" s="39"/>
    </row>
    <row r="2838" spans="1:5" ht="15.6">
      <c r="A2838">
        <v>2783</v>
      </c>
      <c r="B2838" s="166">
        <v>125.87524100335683</v>
      </c>
      <c r="D2838" s="39"/>
      <c r="E2838" s="39"/>
    </row>
    <row r="2839" spans="1:5" ht="15.6">
      <c r="A2839">
        <v>2784</v>
      </c>
      <c r="B2839" s="166">
        <v>101.01432238076816</v>
      </c>
      <c r="D2839" s="39"/>
      <c r="E2839" s="39"/>
    </row>
    <row r="2840" spans="1:5" ht="15.6">
      <c r="A2840">
        <v>2785</v>
      </c>
      <c r="B2840" s="166">
        <v>226.20314647407594</v>
      </c>
      <c r="D2840" s="39"/>
      <c r="E2840" s="39"/>
    </row>
    <row r="2841" spans="1:5" ht="15.6">
      <c r="A2841">
        <v>2786</v>
      </c>
      <c r="B2841" s="166">
        <v>215.74198274296717</v>
      </c>
      <c r="D2841" s="39"/>
      <c r="E2841" s="39"/>
    </row>
    <row r="2842" spans="1:5" ht="15.6">
      <c r="A2842">
        <v>2787</v>
      </c>
      <c r="B2842" s="166">
        <v>49.492518069740939</v>
      </c>
      <c r="D2842" s="39"/>
      <c r="E2842" s="39"/>
    </row>
    <row r="2843" spans="1:5" ht="15.6">
      <c r="A2843">
        <v>2788</v>
      </c>
      <c r="B2843" s="166">
        <v>154.69048535340562</v>
      </c>
      <c r="D2843" s="39"/>
      <c r="E2843" s="39"/>
    </row>
    <row r="2844" spans="1:5" ht="15.6">
      <c r="A2844">
        <v>2789</v>
      </c>
      <c r="B2844" s="166">
        <v>78.878701109164638</v>
      </c>
      <c r="D2844" s="39"/>
      <c r="E2844" s="39"/>
    </row>
    <row r="2845" spans="1:5" ht="15.6">
      <c r="A2845">
        <v>2790</v>
      </c>
      <c r="B2845" s="166">
        <v>123.62288262151627</v>
      </c>
      <c r="D2845" s="39"/>
      <c r="E2845" s="39"/>
    </row>
    <row r="2846" spans="1:5" ht="15.6">
      <c r="A2846">
        <v>2791</v>
      </c>
      <c r="B2846" s="166">
        <v>65.62472507922665</v>
      </c>
      <c r="D2846" s="39"/>
      <c r="E2846" s="39"/>
    </row>
    <row r="2847" spans="1:5" ht="15.6">
      <c r="A2847">
        <v>2792</v>
      </c>
      <c r="B2847" s="166">
        <v>117.77463488748384</v>
      </c>
      <c r="D2847" s="39"/>
      <c r="E2847" s="39"/>
    </row>
    <row r="2848" spans="1:5" ht="15.6">
      <c r="A2848">
        <v>2793</v>
      </c>
      <c r="B2848" s="166">
        <v>66.876688165675674</v>
      </c>
      <c r="D2848" s="39"/>
      <c r="E2848" s="39"/>
    </row>
    <row r="2849" spans="1:5" ht="15.6">
      <c r="A2849">
        <v>2794</v>
      </c>
      <c r="B2849" s="166">
        <v>143.8307661066317</v>
      </c>
      <c r="D2849" s="39"/>
      <c r="E2849" s="39"/>
    </row>
    <row r="2850" spans="1:5" ht="15.6">
      <c r="A2850">
        <v>2795</v>
      </c>
      <c r="B2850" s="166">
        <v>107.02280384634061</v>
      </c>
      <c r="D2850" s="39"/>
      <c r="E2850" s="39"/>
    </row>
    <row r="2851" spans="1:5" ht="15.6">
      <c r="A2851">
        <v>2796</v>
      </c>
      <c r="B2851" s="166">
        <v>126.86924023202596</v>
      </c>
      <c r="D2851" s="39"/>
      <c r="E2851" s="39"/>
    </row>
    <row r="2852" spans="1:5" ht="15.6">
      <c r="A2852">
        <v>2797</v>
      </c>
      <c r="B2852" s="166">
        <v>180.61622938521788</v>
      </c>
      <c r="D2852" s="39"/>
      <c r="E2852" s="39"/>
    </row>
    <row r="2853" spans="1:5" ht="15.6">
      <c r="A2853">
        <v>2798</v>
      </c>
      <c r="B2853" s="166">
        <v>55.041817278684505</v>
      </c>
      <c r="D2853" s="39"/>
      <c r="E2853" s="39"/>
    </row>
    <row r="2854" spans="1:5" ht="15.6">
      <c r="A2854">
        <v>2799</v>
      </c>
      <c r="B2854" s="166">
        <v>129.29421572255222</v>
      </c>
      <c r="D2854" s="39"/>
      <c r="E2854" s="39"/>
    </row>
    <row r="2855" spans="1:5" ht="15.6">
      <c r="A2855">
        <v>2800</v>
      </c>
      <c r="B2855" s="166">
        <v>132.85797000835254</v>
      </c>
      <c r="D2855" s="39"/>
      <c r="E2855" s="39"/>
    </row>
    <row r="2856" spans="1:5" ht="15.6">
      <c r="A2856">
        <v>2801</v>
      </c>
      <c r="B2856" s="166">
        <v>135.87654161558044</v>
      </c>
      <c r="D2856" s="39"/>
      <c r="E2856" s="39"/>
    </row>
    <row r="2857" spans="1:5" ht="15.6">
      <c r="A2857">
        <v>2802</v>
      </c>
      <c r="B2857" s="166">
        <v>73.245076894744116</v>
      </c>
      <c r="D2857" s="39"/>
      <c r="E2857" s="39"/>
    </row>
    <row r="2858" spans="1:5" ht="15.6">
      <c r="A2858">
        <v>2803</v>
      </c>
      <c r="B2858" s="166">
        <v>89.81835524837237</v>
      </c>
      <c r="D2858" s="39"/>
      <c r="E2858" s="39"/>
    </row>
    <row r="2859" spans="1:5" ht="15.6">
      <c r="A2859">
        <v>2804</v>
      </c>
      <c r="B2859" s="166">
        <v>151.57889119831631</v>
      </c>
      <c r="D2859" s="39"/>
      <c r="E2859" s="39"/>
    </row>
    <row r="2860" spans="1:5" ht="15.6">
      <c r="A2860">
        <v>2805</v>
      </c>
      <c r="B2860" s="166">
        <v>147.35558024301457</v>
      </c>
      <c r="D2860" s="39"/>
      <c r="E2860" s="39"/>
    </row>
    <row r="2861" spans="1:5" ht="15.6">
      <c r="A2861">
        <v>2806</v>
      </c>
      <c r="B2861" s="166">
        <v>81.955635321233729</v>
      </c>
      <c r="D2861" s="39"/>
      <c r="E2861" s="39"/>
    </row>
    <row r="2862" spans="1:5" ht="15.6">
      <c r="A2862">
        <v>2807</v>
      </c>
      <c r="B2862" s="166">
        <v>101.74971767659282</v>
      </c>
      <c r="D2862" s="39"/>
      <c r="E2862" s="39"/>
    </row>
    <row r="2863" spans="1:5" ht="15.6">
      <c r="A2863">
        <v>2808</v>
      </c>
      <c r="B2863" s="166">
        <v>91.868206029141518</v>
      </c>
      <c r="D2863" s="39"/>
      <c r="E2863" s="39"/>
    </row>
    <row r="2864" spans="1:5" ht="15.6">
      <c r="A2864">
        <v>2809</v>
      </c>
      <c r="B2864" s="166">
        <v>112.78518768659625</v>
      </c>
      <c r="D2864" s="39"/>
      <c r="E2864" s="39"/>
    </row>
    <row r="2865" spans="1:5" ht="15.6">
      <c r="A2865">
        <v>2810</v>
      </c>
      <c r="B2865" s="166">
        <v>131.71411596393654</v>
      </c>
      <c r="D2865" s="39"/>
      <c r="E2865" s="39"/>
    </row>
    <row r="2866" spans="1:5" ht="15.6">
      <c r="A2866">
        <v>2811</v>
      </c>
      <c r="B2866" s="166">
        <v>84.003673965625779</v>
      </c>
      <c r="D2866" s="39"/>
      <c r="E2866" s="39"/>
    </row>
    <row r="2867" spans="1:5" ht="15.6">
      <c r="A2867">
        <v>2812</v>
      </c>
      <c r="B2867" s="166">
        <v>105.92584786928118</v>
      </c>
      <c r="D2867" s="39"/>
      <c r="E2867" s="39"/>
    </row>
    <row r="2868" spans="1:5" ht="15.6">
      <c r="A2868">
        <v>2813</v>
      </c>
      <c r="B2868" s="166">
        <v>100.54900786349279</v>
      </c>
      <c r="D2868" s="39"/>
      <c r="E2868" s="39"/>
    </row>
    <row r="2869" spans="1:5" ht="15.6">
      <c r="A2869">
        <v>2814</v>
      </c>
      <c r="B2869" s="166">
        <v>64.279304221995361</v>
      </c>
      <c r="D2869" s="39"/>
      <c r="E2869" s="39"/>
    </row>
    <row r="2870" spans="1:5" ht="15.6">
      <c r="A2870">
        <v>2815</v>
      </c>
      <c r="B2870" s="166">
        <v>153.63640336078814</v>
      </c>
      <c r="D2870" s="39"/>
      <c r="E2870" s="39"/>
    </row>
    <row r="2871" spans="1:5" ht="15.6">
      <c r="A2871">
        <v>2816</v>
      </c>
      <c r="B2871" s="166">
        <v>118.68752953884335</v>
      </c>
      <c r="D2871" s="39"/>
      <c r="E2871" s="39"/>
    </row>
    <row r="2872" spans="1:5" ht="15.6">
      <c r="A2872">
        <v>2817</v>
      </c>
      <c r="B2872" s="166">
        <v>134.13779366850309</v>
      </c>
      <c r="D2872" s="39"/>
      <c r="E2872" s="39"/>
    </row>
    <row r="2873" spans="1:5" ht="15.6">
      <c r="A2873">
        <v>2818</v>
      </c>
      <c r="B2873" s="166">
        <v>94.839582813282945</v>
      </c>
      <c r="D2873" s="39"/>
      <c r="E2873" s="39"/>
    </row>
    <row r="2874" spans="1:5" ht="15.6">
      <c r="A2874">
        <v>2819</v>
      </c>
      <c r="B2874" s="166">
        <v>111.39242331888583</v>
      </c>
      <c r="D2874" s="39"/>
      <c r="E2874" s="39"/>
    </row>
    <row r="2875" spans="1:5" ht="15.6">
      <c r="A2875">
        <v>2820</v>
      </c>
      <c r="B2875" s="166">
        <v>134.07415512164158</v>
      </c>
      <c r="D2875" s="39"/>
      <c r="E2875" s="39"/>
    </row>
    <row r="2876" spans="1:5" ht="15.6">
      <c r="A2876">
        <v>2821</v>
      </c>
      <c r="B2876" s="166">
        <v>103.34446971099176</v>
      </c>
      <c r="D2876" s="39"/>
      <c r="E2876" s="39"/>
    </row>
    <row r="2877" spans="1:5" ht="15.6">
      <c r="A2877">
        <v>2822</v>
      </c>
      <c r="B2877" s="166">
        <v>76.666897852667773</v>
      </c>
      <c r="D2877" s="39"/>
      <c r="E2877" s="39"/>
    </row>
    <row r="2878" spans="1:5" ht="15.6">
      <c r="A2878">
        <v>2823</v>
      </c>
      <c r="B2878" s="166">
        <v>75.106301621833666</v>
      </c>
      <c r="D2878" s="39"/>
      <c r="E2878" s="39"/>
    </row>
    <row r="2879" spans="1:5" ht="15.6">
      <c r="A2879">
        <v>2824</v>
      </c>
      <c r="B2879" s="166">
        <v>126.50756079968859</v>
      </c>
      <c r="D2879" s="39"/>
      <c r="E2879" s="39"/>
    </row>
    <row r="2880" spans="1:5" ht="15.6">
      <c r="A2880">
        <v>2825</v>
      </c>
      <c r="B2880" s="166">
        <v>93.608765900121426</v>
      </c>
      <c r="D2880" s="39"/>
      <c r="E2880" s="39"/>
    </row>
    <row r="2881" spans="1:5" ht="15.6">
      <c r="A2881">
        <v>2826</v>
      </c>
      <c r="B2881" s="166">
        <v>85.55265177068749</v>
      </c>
      <c r="D2881" s="39"/>
      <c r="E2881" s="39"/>
    </row>
    <row r="2882" spans="1:5" ht="15.6">
      <c r="A2882">
        <v>2827</v>
      </c>
      <c r="B2882" s="166">
        <v>69.698946617753478</v>
      </c>
      <c r="D2882" s="39"/>
      <c r="E2882" s="39"/>
    </row>
    <row r="2883" spans="1:5" ht="15.6">
      <c r="A2883">
        <v>2828</v>
      </c>
      <c r="B2883" s="166">
        <v>125.65912638227337</v>
      </c>
      <c r="D2883" s="39"/>
      <c r="E2883" s="39"/>
    </row>
    <row r="2884" spans="1:5" ht="15.6">
      <c r="A2884">
        <v>2829</v>
      </c>
      <c r="B2884" s="166">
        <v>83.759927094138064</v>
      </c>
      <c r="D2884" s="39"/>
      <c r="E2884" s="39"/>
    </row>
    <row r="2885" spans="1:5" ht="15.6">
      <c r="A2885">
        <v>2830</v>
      </c>
      <c r="B2885" s="166">
        <v>78.680601432236386</v>
      </c>
      <c r="D2885" s="39"/>
      <c r="E2885" s="39"/>
    </row>
    <row r="2886" spans="1:5" ht="15.6">
      <c r="A2886">
        <v>2831</v>
      </c>
      <c r="B2886" s="166">
        <v>300.63357233419657</v>
      </c>
      <c r="D2886" s="39"/>
      <c r="E2886" s="39"/>
    </row>
    <row r="2887" spans="1:5" ht="15.6">
      <c r="A2887">
        <v>2832</v>
      </c>
      <c r="B2887" s="166">
        <v>73.554632260470427</v>
      </c>
      <c r="D2887" s="39"/>
      <c r="E2887" s="39"/>
    </row>
    <row r="2888" spans="1:5" ht="15.6">
      <c r="A2888">
        <v>2833</v>
      </c>
      <c r="B2888" s="166">
        <v>128.9282276253694</v>
      </c>
      <c r="D2888" s="39"/>
      <c r="E2888" s="39"/>
    </row>
    <row r="2889" spans="1:5" ht="15.6">
      <c r="A2889">
        <v>2834</v>
      </c>
      <c r="B2889" s="166">
        <v>117.75819126478873</v>
      </c>
      <c r="D2889" s="39"/>
      <c r="E2889" s="39"/>
    </row>
    <row r="2890" spans="1:5" ht="15.6">
      <c r="A2890">
        <v>2835</v>
      </c>
      <c r="B2890" s="166">
        <v>138.24965272108534</v>
      </c>
      <c r="D2890" s="39"/>
      <c r="E2890" s="39"/>
    </row>
    <row r="2891" spans="1:5" ht="15.6">
      <c r="A2891">
        <v>2836</v>
      </c>
      <c r="B2891" s="166">
        <v>149.22496578679218</v>
      </c>
      <c r="D2891" s="39"/>
      <c r="E2891" s="39"/>
    </row>
    <row r="2892" spans="1:5" ht="15.6">
      <c r="A2892">
        <v>2837</v>
      </c>
      <c r="B2892" s="166">
        <v>129.63723993696027</v>
      </c>
      <c r="D2892" s="39"/>
      <c r="E2892" s="39"/>
    </row>
    <row r="2893" spans="1:5" ht="15.6">
      <c r="A2893">
        <v>2838</v>
      </c>
      <c r="B2893" s="166">
        <v>94.054182330277143</v>
      </c>
      <c r="D2893" s="39"/>
      <c r="E2893" s="39"/>
    </row>
    <row r="2894" spans="1:5" ht="15.6">
      <c r="A2894">
        <v>2839</v>
      </c>
      <c r="B2894" s="166">
        <v>130.29673386402823</v>
      </c>
      <c r="D2894" s="39"/>
      <c r="E2894" s="39"/>
    </row>
    <row r="2895" spans="1:5" ht="15.6">
      <c r="A2895">
        <v>2840</v>
      </c>
      <c r="B2895" s="166">
        <v>61.75437696645821</v>
      </c>
      <c r="D2895" s="39"/>
      <c r="E2895" s="39"/>
    </row>
    <row r="2896" spans="1:5" ht="15.6">
      <c r="A2896">
        <v>2841</v>
      </c>
      <c r="B2896" s="166">
        <v>152.0255223173138</v>
      </c>
      <c r="D2896" s="39"/>
      <c r="E2896" s="39"/>
    </row>
    <row r="2897" spans="1:5" ht="15.6">
      <c r="A2897">
        <v>2842</v>
      </c>
      <c r="B2897" s="166">
        <v>133.6156339108432</v>
      </c>
      <c r="D2897" s="39"/>
      <c r="E2897" s="39"/>
    </row>
    <row r="2898" spans="1:5" ht="15.6">
      <c r="A2898">
        <v>2843</v>
      </c>
      <c r="B2898" s="166">
        <v>78.078435703760135</v>
      </c>
      <c r="D2898" s="39"/>
      <c r="E2898" s="39"/>
    </row>
    <row r="2899" spans="1:5" ht="15.6">
      <c r="A2899">
        <v>2844</v>
      </c>
      <c r="B2899" s="166">
        <v>69.099984738962618</v>
      </c>
      <c r="D2899" s="39"/>
      <c r="E2899" s="39"/>
    </row>
    <row r="2900" spans="1:5" ht="15.6">
      <c r="A2900">
        <v>2845</v>
      </c>
      <c r="B2900" s="166">
        <v>113.23697412059677</v>
      </c>
      <c r="D2900" s="39"/>
      <c r="E2900" s="39"/>
    </row>
    <row r="2901" spans="1:5" ht="15.6">
      <c r="A2901">
        <v>2846</v>
      </c>
      <c r="B2901" s="166">
        <v>175.30144025147661</v>
      </c>
      <c r="D2901" s="39"/>
      <c r="E2901" s="39"/>
    </row>
    <row r="2902" spans="1:5" ht="15.6">
      <c r="A2902">
        <v>2847</v>
      </c>
      <c r="B2902" s="166">
        <v>155.95410574212067</v>
      </c>
      <c r="D2902" s="39"/>
      <c r="E2902" s="39"/>
    </row>
    <row r="2903" spans="1:5" ht="15.6">
      <c r="A2903">
        <v>2848</v>
      </c>
      <c r="B2903" s="166">
        <v>122.75771894912729</v>
      </c>
      <c r="D2903" s="39"/>
      <c r="E2903" s="39"/>
    </row>
    <row r="2904" spans="1:5" ht="15.6">
      <c r="A2904">
        <v>2849</v>
      </c>
      <c r="B2904" s="166">
        <v>124.81896911175289</v>
      </c>
      <c r="D2904" s="39"/>
      <c r="E2904" s="39"/>
    </row>
    <row r="2905" spans="1:5" ht="15.6">
      <c r="A2905">
        <v>2850</v>
      </c>
      <c r="B2905" s="166">
        <v>123.24786991842865</v>
      </c>
      <c r="D2905" s="39"/>
      <c r="E2905" s="39"/>
    </row>
    <row r="2906" spans="1:5" ht="15.6">
      <c r="A2906">
        <v>2851</v>
      </c>
      <c r="B2906" s="166">
        <v>120.01386356746417</v>
      </c>
      <c r="D2906" s="39"/>
      <c r="E2906" s="39"/>
    </row>
    <row r="2907" spans="1:5" ht="15.6">
      <c r="A2907">
        <v>2852</v>
      </c>
      <c r="B2907" s="166">
        <v>56.012873015706077</v>
      </c>
      <c r="D2907" s="39"/>
      <c r="E2907" s="39"/>
    </row>
    <row r="2908" spans="1:5" ht="15.6">
      <c r="A2908">
        <v>2853</v>
      </c>
      <c r="B2908" s="166">
        <v>53.884165304752912</v>
      </c>
      <c r="D2908" s="39"/>
      <c r="E2908" s="39"/>
    </row>
    <row r="2909" spans="1:5" ht="15.6">
      <c r="A2909">
        <v>2854</v>
      </c>
      <c r="B2909" s="166">
        <v>99.162263574209135</v>
      </c>
      <c r="D2909" s="39"/>
      <c r="E2909" s="39"/>
    </row>
    <row r="2910" spans="1:5" ht="15.6">
      <c r="A2910">
        <v>2855</v>
      </c>
      <c r="B2910" s="166">
        <v>94.189866154365717</v>
      </c>
      <c r="D2910" s="39"/>
      <c r="E2910" s="39"/>
    </row>
    <row r="2911" spans="1:5" ht="15.6">
      <c r="A2911">
        <v>2856</v>
      </c>
      <c r="B2911" s="166">
        <v>62.664797723482913</v>
      </c>
      <c r="D2911" s="39"/>
      <c r="E2911" s="39"/>
    </row>
    <row r="2912" spans="1:5" ht="15.6">
      <c r="A2912">
        <v>2857</v>
      </c>
      <c r="B2912" s="166">
        <v>120.44529770294446</v>
      </c>
      <c r="D2912" s="39"/>
      <c r="E2912" s="39"/>
    </row>
    <row r="2913" spans="1:5" ht="15.6">
      <c r="A2913">
        <v>2858</v>
      </c>
      <c r="B2913" s="166">
        <v>76.680793099797341</v>
      </c>
      <c r="D2913" s="39"/>
      <c r="E2913" s="39"/>
    </row>
    <row r="2914" spans="1:5" ht="15.6">
      <c r="A2914">
        <v>2859</v>
      </c>
      <c r="B2914" s="166">
        <v>219.53377903727713</v>
      </c>
      <c r="D2914" s="39"/>
      <c r="E2914" s="39"/>
    </row>
    <row r="2915" spans="1:5" ht="15.6">
      <c r="A2915">
        <v>2860</v>
      </c>
      <c r="B2915" s="166">
        <v>90.300851443589011</v>
      </c>
      <c r="D2915" s="39"/>
      <c r="E2915" s="39"/>
    </row>
    <row r="2916" spans="1:5" ht="15.6">
      <c r="A2916">
        <v>2861</v>
      </c>
      <c r="B2916" s="166">
        <v>62.84590463507476</v>
      </c>
      <c r="D2916" s="39"/>
      <c r="E2916" s="39"/>
    </row>
    <row r="2917" spans="1:5" ht="15.6">
      <c r="A2917">
        <v>2862</v>
      </c>
      <c r="B2917" s="166">
        <v>72.375254096628595</v>
      </c>
      <c r="D2917" s="39"/>
      <c r="E2917" s="39"/>
    </row>
    <row r="2918" spans="1:5" ht="15.6">
      <c r="A2918">
        <v>2863</v>
      </c>
      <c r="B2918" s="166">
        <v>111.22766587835079</v>
      </c>
      <c r="D2918" s="39"/>
      <c r="E2918" s="39"/>
    </row>
    <row r="2919" spans="1:5" ht="15.6">
      <c r="A2919">
        <v>2864</v>
      </c>
      <c r="B2919" s="166">
        <v>189.07077007664338</v>
      </c>
      <c r="D2919" s="39"/>
      <c r="E2919" s="39"/>
    </row>
    <row r="2920" spans="1:5" ht="15.6">
      <c r="A2920">
        <v>2865</v>
      </c>
      <c r="B2920" s="166">
        <v>66.169861800497074</v>
      </c>
      <c r="D2920" s="39"/>
      <c r="E2920" s="39"/>
    </row>
    <row r="2921" spans="1:5" ht="15.6">
      <c r="A2921">
        <v>2866</v>
      </c>
      <c r="B2921" s="166">
        <v>110.08488333570985</v>
      </c>
      <c r="D2921" s="39"/>
      <c r="E2921" s="39"/>
    </row>
    <row r="2922" spans="1:5" ht="15.6">
      <c r="A2922">
        <v>2867</v>
      </c>
      <c r="B2922" s="166">
        <v>55.962244589466621</v>
      </c>
      <c r="D2922" s="39"/>
      <c r="E2922" s="39"/>
    </row>
    <row r="2923" spans="1:5" ht="15.6">
      <c r="A2923">
        <v>2868</v>
      </c>
      <c r="B2923" s="166">
        <v>75.268108096019134</v>
      </c>
      <c r="D2923" s="39"/>
      <c r="E2923" s="39"/>
    </row>
    <row r="2924" spans="1:5" ht="15.6">
      <c r="A2924">
        <v>2869</v>
      </c>
      <c r="B2924" s="166">
        <v>108.56891176329945</v>
      </c>
      <c r="D2924" s="39"/>
      <c r="E2924" s="39"/>
    </row>
    <row r="2925" spans="1:5" ht="15.6">
      <c r="A2925">
        <v>2870</v>
      </c>
      <c r="B2925" s="166">
        <v>258.59142864700948</v>
      </c>
      <c r="D2925" s="39"/>
      <c r="E2925" s="39"/>
    </row>
    <row r="2926" spans="1:5" ht="15.6">
      <c r="A2926">
        <v>2871</v>
      </c>
      <c r="B2926" s="166">
        <v>55.507257565755545</v>
      </c>
      <c r="D2926" s="39"/>
      <c r="E2926" s="39"/>
    </row>
    <row r="2927" spans="1:5" ht="15.6">
      <c r="A2927">
        <v>2872</v>
      </c>
      <c r="B2927" s="166">
        <v>127.38256027643942</v>
      </c>
      <c r="D2927" s="39"/>
      <c r="E2927" s="39"/>
    </row>
    <row r="2928" spans="1:5" ht="15.6">
      <c r="A2928">
        <v>2873</v>
      </c>
      <c r="B2928" s="166">
        <v>103.8475053685081</v>
      </c>
      <c r="D2928" s="39"/>
      <c r="E2928" s="39"/>
    </row>
    <row r="2929" spans="1:5" ht="15.6">
      <c r="A2929">
        <v>2874</v>
      </c>
      <c r="B2929" s="166">
        <v>80.226715180681751</v>
      </c>
      <c r="D2929" s="39"/>
      <c r="E2929" s="39"/>
    </row>
    <row r="2930" spans="1:5" ht="15.6">
      <c r="A2930">
        <v>2875</v>
      </c>
      <c r="B2930" s="166">
        <v>71.035166984689354</v>
      </c>
      <c r="D2930" s="39"/>
      <c r="E2930" s="39"/>
    </row>
    <row r="2931" spans="1:5" ht="15.6">
      <c r="A2931">
        <v>2876</v>
      </c>
      <c r="B2931" s="166">
        <v>98.315044942360359</v>
      </c>
      <c r="D2931" s="39"/>
      <c r="E2931" s="39"/>
    </row>
    <row r="2932" spans="1:5" ht="15.6">
      <c r="A2932">
        <v>2877</v>
      </c>
      <c r="B2932" s="166">
        <v>130.45037050262124</v>
      </c>
      <c r="D2932" s="39"/>
      <c r="E2932" s="39"/>
    </row>
    <row r="2933" spans="1:5" ht="15.6">
      <c r="A2933">
        <v>2878</v>
      </c>
      <c r="B2933" s="166">
        <v>80.545292015229577</v>
      </c>
      <c r="D2933" s="39"/>
      <c r="E2933" s="39"/>
    </row>
    <row r="2934" spans="1:5" ht="15.6">
      <c r="A2934">
        <v>2879</v>
      </c>
      <c r="B2934" s="166">
        <v>140.17954697665579</v>
      </c>
      <c r="D2934" s="39"/>
      <c r="E2934" s="39"/>
    </row>
    <row r="2935" spans="1:5" ht="15.6">
      <c r="A2935">
        <v>2880</v>
      </c>
      <c r="B2935" s="166">
        <v>128.12917410457013</v>
      </c>
      <c r="D2935" s="39"/>
      <c r="E2935" s="39"/>
    </row>
    <row r="2936" spans="1:5" ht="15.6">
      <c r="A2936">
        <v>2881</v>
      </c>
      <c r="B2936" s="166">
        <v>102.10755889028545</v>
      </c>
      <c r="D2936" s="39"/>
      <c r="E2936" s="39"/>
    </row>
    <row r="2937" spans="1:5" ht="15.6">
      <c r="A2937">
        <v>2882</v>
      </c>
      <c r="B2937" s="166">
        <v>94.123307846606693</v>
      </c>
      <c r="D2937" s="39"/>
      <c r="E2937" s="39"/>
    </row>
    <row r="2938" spans="1:5" ht="15.6">
      <c r="A2938">
        <v>2883</v>
      </c>
      <c r="B2938" s="166">
        <v>98.147638868819996</v>
      </c>
      <c r="D2938" s="39"/>
      <c r="E2938" s="39"/>
    </row>
    <row r="2939" spans="1:5" ht="15.6">
      <c r="A2939">
        <v>2884</v>
      </c>
      <c r="B2939" s="166">
        <v>107.83101459500151</v>
      </c>
      <c r="D2939" s="39"/>
      <c r="E2939" s="39"/>
    </row>
    <row r="2940" spans="1:5" ht="15.6">
      <c r="A2940">
        <v>2885</v>
      </c>
      <c r="B2940" s="166">
        <v>190.82432375757449</v>
      </c>
      <c r="D2940" s="39"/>
      <c r="E2940" s="39"/>
    </row>
    <row r="2941" spans="1:5" ht="15.6">
      <c r="A2941">
        <v>2886</v>
      </c>
      <c r="B2941" s="166">
        <v>102.87088326849134</v>
      </c>
      <c r="D2941" s="39"/>
      <c r="E2941" s="39"/>
    </row>
    <row r="2942" spans="1:5" ht="15.6">
      <c r="A2942">
        <v>2887</v>
      </c>
      <c r="B2942" s="166">
        <v>68.59688886115481</v>
      </c>
      <c r="D2942" s="39"/>
      <c r="E2942" s="39"/>
    </row>
    <row r="2943" spans="1:5" ht="15.6">
      <c r="A2943">
        <v>2888</v>
      </c>
      <c r="B2943" s="166">
        <v>81.662994843037438</v>
      </c>
      <c r="D2943" s="39"/>
      <c r="E2943" s="39"/>
    </row>
    <row r="2944" spans="1:5" ht="15.6">
      <c r="A2944">
        <v>2889</v>
      </c>
      <c r="B2944" s="166">
        <v>114.85035226880164</v>
      </c>
      <c r="D2944" s="39"/>
      <c r="E2944" s="39"/>
    </row>
    <row r="2945" spans="1:5" ht="15.6">
      <c r="A2945">
        <v>2890</v>
      </c>
      <c r="B2945" s="166">
        <v>166.09884838385997</v>
      </c>
      <c r="D2945" s="39"/>
      <c r="E2945" s="39"/>
    </row>
    <row r="2946" spans="1:5" ht="15.6">
      <c r="A2946">
        <v>2891</v>
      </c>
      <c r="B2946" s="166">
        <v>95.512611825170907</v>
      </c>
      <c r="D2946" s="39"/>
      <c r="E2946" s="39"/>
    </row>
    <row r="2947" spans="1:5" ht="15.6">
      <c r="A2947">
        <v>2892</v>
      </c>
      <c r="B2947" s="166">
        <v>114.63122119418122</v>
      </c>
      <c r="D2947" s="39"/>
      <c r="E2947" s="39"/>
    </row>
    <row r="2948" spans="1:5" ht="15.6">
      <c r="A2948">
        <v>2893</v>
      </c>
      <c r="B2948" s="166">
        <v>90.465670970607917</v>
      </c>
      <c r="D2948" s="39"/>
      <c r="E2948" s="39"/>
    </row>
    <row r="2949" spans="1:5" ht="15.6">
      <c r="A2949">
        <v>2894</v>
      </c>
      <c r="B2949" s="166">
        <v>84.827047447101762</v>
      </c>
      <c r="D2949" s="39"/>
      <c r="E2949" s="39"/>
    </row>
    <row r="2950" spans="1:5" ht="15.6">
      <c r="A2950">
        <v>2895</v>
      </c>
      <c r="B2950" s="166">
        <v>85.261234849400708</v>
      </c>
      <c r="D2950" s="39"/>
      <c r="E2950" s="39"/>
    </row>
    <row r="2951" spans="1:5" ht="15.6">
      <c r="A2951">
        <v>2896</v>
      </c>
      <c r="B2951" s="166">
        <v>129.48031017808341</v>
      </c>
      <c r="D2951" s="39"/>
      <c r="E2951" s="39"/>
    </row>
    <row r="2952" spans="1:5" ht="15.6">
      <c r="A2952">
        <v>2897</v>
      </c>
      <c r="B2952" s="166">
        <v>113.38430607102885</v>
      </c>
      <c r="D2952" s="39"/>
      <c r="E2952" s="39"/>
    </row>
    <row r="2953" spans="1:5" ht="15.6">
      <c r="A2953">
        <v>2898</v>
      </c>
      <c r="B2953" s="166">
        <v>171.43615018231253</v>
      </c>
      <c r="D2953" s="39"/>
      <c r="E2953" s="39"/>
    </row>
    <row r="2954" spans="1:5" ht="15.6">
      <c r="A2954">
        <v>2899</v>
      </c>
      <c r="B2954" s="166">
        <v>152.37753002686739</v>
      </c>
      <c r="D2954" s="39"/>
      <c r="E2954" s="39"/>
    </row>
    <row r="2955" spans="1:5" ht="15.6">
      <c r="A2955">
        <v>2900</v>
      </c>
      <c r="B2955" s="166">
        <v>118.47927252095307</v>
      </c>
      <c r="D2955" s="39"/>
      <c r="E2955" s="39"/>
    </row>
    <row r="2956" spans="1:5" ht="15.6">
      <c r="A2956">
        <v>2901</v>
      </c>
      <c r="B2956" s="166">
        <v>93.603923321117534</v>
      </c>
      <c r="D2956" s="39"/>
      <c r="E2956" s="39"/>
    </row>
    <row r="2957" spans="1:5" ht="15.6">
      <c r="A2957">
        <v>2902</v>
      </c>
      <c r="B2957" s="166">
        <v>76.804934645592695</v>
      </c>
      <c r="D2957" s="39"/>
      <c r="E2957" s="39"/>
    </row>
    <row r="2958" spans="1:5" ht="15.6">
      <c r="A2958">
        <v>2903</v>
      </c>
      <c r="B2958" s="166">
        <v>93.895333837909007</v>
      </c>
      <c r="D2958" s="39"/>
      <c r="E2958" s="39"/>
    </row>
    <row r="2959" spans="1:5" ht="15.6">
      <c r="A2959">
        <v>2904</v>
      </c>
      <c r="B2959" s="166">
        <v>70.856441139814905</v>
      </c>
      <c r="D2959" s="39"/>
      <c r="E2959" s="39"/>
    </row>
    <row r="2960" spans="1:5" ht="15.6">
      <c r="A2960">
        <v>2905</v>
      </c>
      <c r="B2960" s="166">
        <v>84.867928463890209</v>
      </c>
      <c r="D2960" s="39"/>
      <c r="E2960" s="39"/>
    </row>
    <row r="2961" spans="1:5" ht="15.6">
      <c r="A2961">
        <v>2906</v>
      </c>
      <c r="B2961" s="166">
        <v>116.88687537523811</v>
      </c>
      <c r="D2961" s="39"/>
      <c r="E2961" s="39"/>
    </row>
    <row r="2962" spans="1:5" ht="15.6">
      <c r="A2962">
        <v>2907</v>
      </c>
      <c r="B2962" s="166">
        <v>56.422585916937408</v>
      </c>
      <c r="D2962" s="39"/>
      <c r="E2962" s="39"/>
    </row>
    <row r="2963" spans="1:5" ht="15.6">
      <c r="A2963">
        <v>2908</v>
      </c>
      <c r="B2963" s="166">
        <v>117.57718920074829</v>
      </c>
      <c r="D2963" s="39"/>
      <c r="E2963" s="39"/>
    </row>
    <row r="2964" spans="1:5" ht="15.6">
      <c r="A2964">
        <v>2909</v>
      </c>
      <c r="B2964" s="166">
        <v>118.76152709118021</v>
      </c>
      <c r="D2964" s="39"/>
      <c r="E2964" s="39"/>
    </row>
    <row r="2965" spans="1:5" ht="15.6">
      <c r="A2965">
        <v>2910</v>
      </c>
      <c r="B2965" s="166">
        <v>81.491061928147957</v>
      </c>
      <c r="D2965" s="39"/>
      <c r="E2965" s="39"/>
    </row>
    <row r="2966" spans="1:5" ht="15.6">
      <c r="A2966">
        <v>2911</v>
      </c>
      <c r="B2966" s="166">
        <v>183.46162645711016</v>
      </c>
      <c r="D2966" s="39"/>
      <c r="E2966" s="39"/>
    </row>
    <row r="2967" spans="1:5" ht="15.6">
      <c r="A2967">
        <v>2912</v>
      </c>
      <c r="B2967" s="166">
        <v>92.969851793410882</v>
      </c>
      <c r="D2967" s="39"/>
      <c r="E2967" s="39"/>
    </row>
    <row r="2968" spans="1:5" ht="15.6">
      <c r="A2968">
        <v>2913</v>
      </c>
      <c r="B2968" s="166">
        <v>81.44900322414658</v>
      </c>
      <c r="D2968" s="39"/>
      <c r="E2968" s="39"/>
    </row>
    <row r="2969" spans="1:5" ht="15.6">
      <c r="A2969">
        <v>2914</v>
      </c>
      <c r="B2969" s="166">
        <v>115.46502342496721</v>
      </c>
      <c r="D2969" s="39"/>
      <c r="E2969" s="39"/>
    </row>
    <row r="2970" spans="1:5" ht="15.6">
      <c r="A2970">
        <v>2915</v>
      </c>
      <c r="B2970" s="166">
        <v>82.301491858876588</v>
      </c>
      <c r="D2970" s="39"/>
      <c r="E2970" s="39"/>
    </row>
    <row r="2971" spans="1:5" ht="15.6">
      <c r="A2971">
        <v>2916</v>
      </c>
      <c r="B2971" s="166">
        <v>88.53702743340564</v>
      </c>
      <c r="D2971" s="39"/>
      <c r="E2971" s="39"/>
    </row>
    <row r="2972" spans="1:5" ht="15.6">
      <c r="A2972">
        <v>2917</v>
      </c>
      <c r="B2972" s="166">
        <v>64.576323269655703</v>
      </c>
      <c r="D2972" s="39"/>
      <c r="E2972" s="39"/>
    </row>
    <row r="2973" spans="1:5" ht="15.6">
      <c r="A2973">
        <v>2918</v>
      </c>
      <c r="B2973" s="166">
        <v>176.99700747784905</v>
      </c>
      <c r="D2973" s="39"/>
      <c r="E2973" s="39"/>
    </row>
    <row r="2974" spans="1:5" ht="15.6">
      <c r="A2974">
        <v>2919</v>
      </c>
      <c r="B2974" s="166">
        <v>85.533787330393011</v>
      </c>
      <c r="D2974" s="39"/>
      <c r="E2974" s="39"/>
    </row>
    <row r="2975" spans="1:5" ht="15.6">
      <c r="A2975">
        <v>2920</v>
      </c>
      <c r="B2975" s="166">
        <v>139.720841502273</v>
      </c>
      <c r="D2975" s="39"/>
      <c r="E2975" s="39"/>
    </row>
    <row r="2976" spans="1:5" ht="15.6">
      <c r="A2976">
        <v>2921</v>
      </c>
      <c r="B2976" s="166">
        <v>97.774831946496818</v>
      </c>
      <c r="D2976" s="39"/>
      <c r="E2976" s="39"/>
    </row>
    <row r="2977" spans="1:5" ht="15.6">
      <c r="A2977">
        <v>2922</v>
      </c>
      <c r="B2977" s="166">
        <v>80.018634827586126</v>
      </c>
      <c r="D2977" s="39"/>
      <c r="E2977" s="39"/>
    </row>
    <row r="2978" spans="1:5" ht="15.6">
      <c r="A2978">
        <v>2923</v>
      </c>
      <c r="B2978" s="166">
        <v>136.94755075167021</v>
      </c>
      <c r="D2978" s="39"/>
      <c r="E2978" s="39"/>
    </row>
    <row r="2979" spans="1:5" ht="15.6">
      <c r="A2979">
        <v>2924</v>
      </c>
      <c r="B2979" s="166">
        <v>85.863932327571078</v>
      </c>
      <c r="D2979" s="39"/>
      <c r="E2979" s="39"/>
    </row>
    <row r="2980" spans="1:5" ht="15.6">
      <c r="A2980">
        <v>2925</v>
      </c>
      <c r="B2980" s="166">
        <v>99.462271524880975</v>
      </c>
      <c r="D2980" s="39"/>
      <c r="E2980" s="39"/>
    </row>
    <row r="2981" spans="1:5" ht="15.6">
      <c r="A2981">
        <v>2926</v>
      </c>
      <c r="B2981" s="166">
        <v>99.151670535585339</v>
      </c>
      <c r="D2981" s="39"/>
      <c r="E2981" s="39"/>
    </row>
    <row r="2982" spans="1:5" ht="15.6">
      <c r="A2982">
        <v>2927</v>
      </c>
      <c r="B2982" s="166">
        <v>130.85810101159529</v>
      </c>
      <c r="D2982" s="39"/>
      <c r="E2982" s="39"/>
    </row>
    <row r="2983" spans="1:5" ht="15.6">
      <c r="A2983">
        <v>2928</v>
      </c>
      <c r="B2983" s="166">
        <v>125.54010368705418</v>
      </c>
      <c r="D2983" s="39"/>
      <c r="E2983" s="39"/>
    </row>
    <row r="2984" spans="1:5" ht="15.6">
      <c r="A2984">
        <v>2929</v>
      </c>
      <c r="B2984" s="166">
        <v>157.62304013249135</v>
      </c>
      <c r="D2984" s="39"/>
      <c r="E2984" s="39"/>
    </row>
    <row r="2985" spans="1:5" ht="15.6">
      <c r="A2985">
        <v>2930</v>
      </c>
      <c r="B2985" s="166">
        <v>107.35435150008564</v>
      </c>
      <c r="D2985" s="39"/>
      <c r="E2985" s="39"/>
    </row>
    <row r="2986" spans="1:5" ht="15.6">
      <c r="A2986">
        <v>2931</v>
      </c>
      <c r="B2986" s="166">
        <v>91.790954639776444</v>
      </c>
      <c r="D2986" s="39"/>
      <c r="E2986" s="39"/>
    </row>
    <row r="2987" spans="1:5" ht="15.6">
      <c r="A2987">
        <v>2932</v>
      </c>
      <c r="B2987" s="166">
        <v>86.331369321360739</v>
      </c>
      <c r="D2987" s="39"/>
      <c r="E2987" s="39"/>
    </row>
    <row r="2988" spans="1:5" ht="15.6">
      <c r="A2988">
        <v>2933</v>
      </c>
      <c r="B2988" s="166">
        <v>160.45392544197651</v>
      </c>
      <c r="D2988" s="39"/>
      <c r="E2988" s="39"/>
    </row>
    <row r="2989" spans="1:5" ht="15.6">
      <c r="A2989">
        <v>2934</v>
      </c>
      <c r="B2989" s="166">
        <v>98.58490927825558</v>
      </c>
      <c r="D2989" s="39"/>
      <c r="E2989" s="39"/>
    </row>
    <row r="2990" spans="1:5" ht="15.6">
      <c r="A2990">
        <v>2935</v>
      </c>
      <c r="B2990" s="166">
        <v>83.699777538429373</v>
      </c>
      <c r="D2990" s="39"/>
      <c r="E2990" s="39"/>
    </row>
    <row r="2991" spans="1:5" ht="15.6">
      <c r="A2991">
        <v>2936</v>
      </c>
      <c r="B2991" s="166">
        <v>113.10791841396687</v>
      </c>
      <c r="D2991" s="39"/>
      <c r="E2991" s="39"/>
    </row>
    <row r="2992" spans="1:5" ht="15.6">
      <c r="A2992">
        <v>2937</v>
      </c>
      <c r="B2992" s="166">
        <v>63.369868647316359</v>
      </c>
      <c r="D2992" s="39"/>
      <c r="E2992" s="39"/>
    </row>
    <row r="2993" spans="1:5" ht="15.6">
      <c r="A2993">
        <v>2938</v>
      </c>
      <c r="B2993" s="166">
        <v>176.39920103348152</v>
      </c>
      <c r="D2993" s="39"/>
      <c r="E2993" s="39"/>
    </row>
    <row r="2994" spans="1:5" ht="15.6">
      <c r="A2994">
        <v>2939</v>
      </c>
      <c r="B2994" s="166">
        <v>122.56256378810298</v>
      </c>
      <c r="D2994" s="39"/>
      <c r="E2994" s="39"/>
    </row>
    <row r="2995" spans="1:5" ht="15.6">
      <c r="A2995">
        <v>2940</v>
      </c>
      <c r="B2995" s="166">
        <v>79.573576618462297</v>
      </c>
      <c r="D2995" s="39"/>
      <c r="E2995" s="39"/>
    </row>
    <row r="2996" spans="1:5" ht="15.6">
      <c r="A2996">
        <v>2941</v>
      </c>
      <c r="B2996" s="166">
        <v>65.72260200515295</v>
      </c>
      <c r="D2996" s="39"/>
      <c r="E2996" s="39"/>
    </row>
    <row r="2997" spans="1:5" ht="15.6">
      <c r="A2997">
        <v>2942</v>
      </c>
      <c r="B2997" s="166">
        <v>124.08052781836591</v>
      </c>
      <c r="D2997" s="39"/>
      <c r="E2997" s="39"/>
    </row>
    <row r="2998" spans="1:5" ht="15.6">
      <c r="A2998">
        <v>2943</v>
      </c>
      <c r="B2998" s="166">
        <v>92.314135229021588</v>
      </c>
      <c r="D2998" s="39"/>
      <c r="E2998" s="39"/>
    </row>
    <row r="2999" spans="1:5" ht="15.6">
      <c r="A2999">
        <v>2944</v>
      </c>
      <c r="B2999" s="166">
        <v>133.00841376095565</v>
      </c>
      <c r="D2999" s="39"/>
      <c r="E2999" s="39"/>
    </row>
    <row r="3000" spans="1:5" ht="15.6">
      <c r="A3000">
        <v>2945</v>
      </c>
      <c r="B3000" s="166">
        <v>73.946729525311454</v>
      </c>
      <c r="D3000" s="39"/>
      <c r="E3000" s="39"/>
    </row>
    <row r="3001" spans="1:5" ht="15.6">
      <c r="A3001">
        <v>2946</v>
      </c>
      <c r="B3001" s="166">
        <v>107.2388307605563</v>
      </c>
      <c r="D3001" s="39"/>
      <c r="E3001" s="39"/>
    </row>
    <row r="3002" spans="1:5" ht="15.6">
      <c r="A3002">
        <v>2947</v>
      </c>
      <c r="B3002" s="166">
        <v>150.63687616697672</v>
      </c>
      <c r="D3002" s="39"/>
      <c r="E3002" s="39"/>
    </row>
    <row r="3003" spans="1:5" ht="15.6">
      <c r="A3003">
        <v>2948</v>
      </c>
      <c r="B3003" s="166">
        <v>266.00042183168335</v>
      </c>
      <c r="D3003" s="39"/>
      <c r="E3003" s="39"/>
    </row>
    <row r="3004" spans="1:5" ht="15.6">
      <c r="A3004">
        <v>2949</v>
      </c>
      <c r="B3004" s="166">
        <v>137.76211944452729</v>
      </c>
      <c r="D3004" s="39"/>
      <c r="E3004" s="39"/>
    </row>
    <row r="3005" spans="1:5" ht="15.6">
      <c r="A3005">
        <v>2950</v>
      </c>
      <c r="B3005" s="166">
        <v>110.65902311984335</v>
      </c>
      <c r="D3005" s="39"/>
      <c r="E3005" s="39"/>
    </row>
    <row r="3006" spans="1:5" ht="15.6">
      <c r="A3006">
        <v>2951</v>
      </c>
      <c r="B3006" s="166">
        <v>102.73733239014409</v>
      </c>
      <c r="D3006" s="39"/>
      <c r="E3006" s="39"/>
    </row>
    <row r="3007" spans="1:5" ht="15.6">
      <c r="A3007">
        <v>2952</v>
      </c>
      <c r="B3007" s="166">
        <v>121.47819778777564</v>
      </c>
      <c r="D3007" s="39"/>
      <c r="E3007" s="39"/>
    </row>
    <row r="3008" spans="1:5" ht="15.6">
      <c r="A3008">
        <v>2953</v>
      </c>
      <c r="B3008" s="166">
        <v>119.25307165993122</v>
      </c>
      <c r="D3008" s="39"/>
      <c r="E3008" s="39"/>
    </row>
    <row r="3009" spans="1:5" ht="15.6">
      <c r="A3009">
        <v>2954</v>
      </c>
      <c r="B3009" s="166">
        <v>81.731873138580639</v>
      </c>
      <c r="D3009" s="39"/>
      <c r="E3009" s="39"/>
    </row>
    <row r="3010" spans="1:5" ht="15.6">
      <c r="A3010">
        <v>2955</v>
      </c>
      <c r="B3010" s="166">
        <v>129.70654302554152</v>
      </c>
      <c r="D3010" s="39"/>
      <c r="E3010" s="39"/>
    </row>
    <row r="3011" spans="1:5" ht="15.6">
      <c r="A3011">
        <v>2956</v>
      </c>
      <c r="B3011" s="166">
        <v>92.308596982602296</v>
      </c>
      <c r="D3011" s="39"/>
      <c r="E3011" s="39"/>
    </row>
    <row r="3012" spans="1:5" ht="15.6">
      <c r="A3012">
        <v>2957</v>
      </c>
      <c r="B3012" s="166">
        <v>56.070842725235657</v>
      </c>
      <c r="D3012" s="39"/>
      <c r="E3012" s="39"/>
    </row>
    <row r="3013" spans="1:5" ht="15.6">
      <c r="A3013">
        <v>2958</v>
      </c>
      <c r="B3013" s="166">
        <v>116.26015867116872</v>
      </c>
      <c r="D3013" s="39"/>
      <c r="E3013" s="39"/>
    </row>
    <row r="3014" spans="1:5" ht="15.6">
      <c r="A3014">
        <v>2959</v>
      </c>
      <c r="B3014" s="166">
        <v>206.10373096456294</v>
      </c>
      <c r="D3014" s="39"/>
      <c r="E3014" s="39"/>
    </row>
    <row r="3015" spans="1:5" ht="15.6">
      <c r="A3015">
        <v>2960</v>
      </c>
      <c r="B3015" s="166">
        <v>95.691624640177807</v>
      </c>
      <c r="D3015" s="39"/>
      <c r="E3015" s="39"/>
    </row>
    <row r="3016" spans="1:5" ht="15.6">
      <c r="A3016">
        <v>2961</v>
      </c>
      <c r="B3016" s="166">
        <v>75.228511796065945</v>
      </c>
      <c r="D3016" s="39"/>
      <c r="E3016" s="39"/>
    </row>
    <row r="3017" spans="1:5" ht="15.6">
      <c r="A3017">
        <v>2962</v>
      </c>
      <c r="B3017" s="166">
        <v>114.92038176853681</v>
      </c>
      <c r="D3017" s="39"/>
      <c r="E3017" s="39"/>
    </row>
    <row r="3018" spans="1:5" ht="15.6">
      <c r="A3018">
        <v>2963</v>
      </c>
      <c r="B3018" s="166">
        <v>81.614455783749662</v>
      </c>
      <c r="D3018" s="39"/>
      <c r="E3018" s="39"/>
    </row>
    <row r="3019" spans="1:5" ht="15.6">
      <c r="A3019">
        <v>2964</v>
      </c>
      <c r="B3019" s="166">
        <v>110.37875154851973</v>
      </c>
      <c r="D3019" s="39"/>
      <c r="E3019" s="39"/>
    </row>
    <row r="3020" spans="1:5" ht="15.6">
      <c r="A3020">
        <v>2965</v>
      </c>
      <c r="B3020" s="166">
        <v>110.68344685886453</v>
      </c>
      <c r="D3020" s="39"/>
      <c r="E3020" s="39"/>
    </row>
    <row r="3021" spans="1:5" ht="15.6">
      <c r="A3021">
        <v>2966</v>
      </c>
      <c r="B3021" s="166">
        <v>79.275732243903704</v>
      </c>
      <c r="D3021" s="39"/>
      <c r="E3021" s="39"/>
    </row>
    <row r="3022" spans="1:5" ht="15.6">
      <c r="A3022">
        <v>2967</v>
      </c>
      <c r="B3022" s="166">
        <v>109.74245910641582</v>
      </c>
      <c r="D3022" s="39"/>
      <c r="E3022" s="39"/>
    </row>
    <row r="3023" spans="1:5" ht="15.6">
      <c r="A3023">
        <v>2968</v>
      </c>
      <c r="B3023" s="166">
        <v>55.113264277912513</v>
      </c>
      <c r="D3023" s="39"/>
      <c r="E3023" s="39"/>
    </row>
    <row r="3024" spans="1:5" ht="15.6">
      <c r="A3024">
        <v>2969</v>
      </c>
      <c r="B3024" s="166">
        <v>100.80457071843624</v>
      </c>
      <c r="D3024" s="39"/>
      <c r="E3024" s="39"/>
    </row>
    <row r="3025" spans="1:5" ht="15.6">
      <c r="A3025">
        <v>2970</v>
      </c>
      <c r="B3025" s="166">
        <v>87.671329652688158</v>
      </c>
      <c r="D3025" s="39"/>
      <c r="E3025" s="39"/>
    </row>
    <row r="3026" spans="1:5" ht="15.6">
      <c r="A3026">
        <v>2971</v>
      </c>
      <c r="B3026" s="166">
        <v>110.65029514942425</v>
      </c>
      <c r="D3026" s="39"/>
      <c r="E3026" s="39"/>
    </row>
    <row r="3027" spans="1:5" ht="15.6">
      <c r="A3027">
        <v>2972</v>
      </c>
      <c r="B3027" s="166">
        <v>61.612432924920711</v>
      </c>
      <c r="D3027" s="39"/>
      <c r="E3027" s="39"/>
    </row>
    <row r="3028" spans="1:5" ht="15.6">
      <c r="A3028">
        <v>2973</v>
      </c>
      <c r="B3028" s="166">
        <v>109.84435609753142</v>
      </c>
      <c r="D3028" s="39"/>
      <c r="E3028" s="39"/>
    </row>
    <row r="3029" spans="1:5" ht="15.6">
      <c r="A3029">
        <v>2974</v>
      </c>
      <c r="B3029" s="166">
        <v>117.06483335492725</v>
      </c>
      <c r="D3029" s="39"/>
      <c r="E3029" s="39"/>
    </row>
    <row r="3030" spans="1:5" ht="15.6">
      <c r="A3030">
        <v>2975</v>
      </c>
      <c r="B3030" s="166">
        <v>159.85840692376502</v>
      </c>
      <c r="D3030" s="39"/>
      <c r="E3030" s="39"/>
    </row>
    <row r="3031" spans="1:5" ht="15.6">
      <c r="A3031">
        <v>2976</v>
      </c>
      <c r="B3031" s="166">
        <v>150.72188960938482</v>
      </c>
      <c r="D3031" s="39"/>
      <c r="E3031" s="39"/>
    </row>
    <row r="3032" spans="1:5" ht="15.6">
      <c r="A3032">
        <v>2977</v>
      </c>
      <c r="B3032" s="166">
        <v>158.61245245868631</v>
      </c>
      <c r="D3032" s="39"/>
      <c r="E3032" s="39"/>
    </row>
    <row r="3033" spans="1:5" ht="15.6">
      <c r="A3033">
        <v>2978</v>
      </c>
      <c r="B3033" s="166">
        <v>165.72330349337719</v>
      </c>
      <c r="D3033" s="39"/>
      <c r="E3033" s="39"/>
    </row>
    <row r="3034" spans="1:5" ht="15.6">
      <c r="A3034">
        <v>2979</v>
      </c>
      <c r="B3034" s="166">
        <v>183.75159572014641</v>
      </c>
      <c r="D3034" s="39"/>
      <c r="E3034" s="39"/>
    </row>
    <row r="3035" spans="1:5" ht="15.6">
      <c r="A3035">
        <v>2980</v>
      </c>
      <c r="B3035" s="166">
        <v>121.43784446815853</v>
      </c>
      <c r="D3035" s="39"/>
      <c r="E3035" s="39"/>
    </row>
    <row r="3036" spans="1:5" ht="15.6">
      <c r="A3036">
        <v>2981</v>
      </c>
      <c r="B3036" s="166">
        <v>284.03327283518581</v>
      </c>
      <c r="D3036" s="39"/>
      <c r="E3036" s="39"/>
    </row>
    <row r="3037" spans="1:5" ht="15.6">
      <c r="A3037">
        <v>2982</v>
      </c>
      <c r="B3037" s="166">
        <v>88.066190254207896</v>
      </c>
      <c r="D3037" s="39"/>
      <c r="E3037" s="39"/>
    </row>
    <row r="3038" spans="1:5" ht="15.6">
      <c r="A3038">
        <v>2983</v>
      </c>
      <c r="B3038" s="166">
        <v>147.26580996889209</v>
      </c>
      <c r="D3038" s="39"/>
      <c r="E3038" s="39"/>
    </row>
    <row r="3039" spans="1:5" ht="15.6">
      <c r="A3039">
        <v>2984</v>
      </c>
      <c r="B3039" s="166">
        <v>85.549647361896206</v>
      </c>
      <c r="D3039" s="39"/>
      <c r="E3039" s="39"/>
    </row>
    <row r="3040" spans="1:5" ht="15.6">
      <c r="A3040">
        <v>2985</v>
      </c>
      <c r="B3040" s="166">
        <v>269.31270985312892</v>
      </c>
      <c r="D3040" s="39"/>
      <c r="E3040" s="39"/>
    </row>
    <row r="3041" spans="1:5" ht="15.6">
      <c r="A3041">
        <v>2986</v>
      </c>
      <c r="B3041" s="166">
        <v>95.824723743875268</v>
      </c>
      <c r="D3041" s="39"/>
      <c r="E3041" s="39"/>
    </row>
    <row r="3042" spans="1:5" ht="15.6">
      <c r="A3042">
        <v>2987</v>
      </c>
      <c r="B3042" s="166">
        <v>107.53608042557953</v>
      </c>
      <c r="D3042" s="39"/>
      <c r="E3042" s="39"/>
    </row>
    <row r="3043" spans="1:5" ht="15.6">
      <c r="A3043">
        <v>2988</v>
      </c>
      <c r="B3043" s="166">
        <v>103.86765023568064</v>
      </c>
      <c r="D3043" s="39"/>
      <c r="E3043" s="39"/>
    </row>
    <row r="3044" spans="1:5" ht="15.6">
      <c r="A3044">
        <v>2989</v>
      </c>
      <c r="B3044" s="166">
        <v>216.24900023938403</v>
      </c>
      <c r="D3044" s="39"/>
      <c r="E3044" s="39"/>
    </row>
    <row r="3045" spans="1:5" ht="15.6">
      <c r="A3045">
        <v>2990</v>
      </c>
      <c r="B3045" s="166">
        <v>133.076487236655</v>
      </c>
      <c r="D3045" s="39"/>
      <c r="E3045" s="39"/>
    </row>
    <row r="3046" spans="1:5" ht="15.6">
      <c r="A3046">
        <v>2991</v>
      </c>
      <c r="B3046" s="166">
        <v>63.783551618718654</v>
      </c>
      <c r="D3046" s="39"/>
      <c r="E3046" s="39"/>
    </row>
    <row r="3047" spans="1:5" ht="15.6">
      <c r="A3047">
        <v>2992</v>
      </c>
      <c r="B3047" s="166">
        <v>140.19137121593468</v>
      </c>
      <c r="D3047" s="39"/>
      <c r="E3047" s="39"/>
    </row>
    <row r="3048" spans="1:5" ht="15.6">
      <c r="A3048">
        <v>2993</v>
      </c>
      <c r="B3048" s="166">
        <v>131.01972197091138</v>
      </c>
      <c r="D3048" s="39"/>
      <c r="E3048" s="39"/>
    </row>
    <row r="3049" spans="1:5" ht="15.6">
      <c r="A3049">
        <v>2994</v>
      </c>
      <c r="B3049" s="166">
        <v>54.503388341642008</v>
      </c>
      <c r="D3049" s="39"/>
      <c r="E3049" s="39"/>
    </row>
    <row r="3050" spans="1:5" ht="15.6">
      <c r="A3050">
        <v>2995</v>
      </c>
      <c r="B3050" s="166">
        <v>119.15694966755284</v>
      </c>
      <c r="D3050" s="39"/>
      <c r="E3050" s="39"/>
    </row>
    <row r="3051" spans="1:5" ht="15.6">
      <c r="A3051">
        <v>2996</v>
      </c>
      <c r="B3051" s="166">
        <v>108.11226742777049</v>
      </c>
      <c r="D3051" s="39"/>
      <c r="E3051" s="39"/>
    </row>
    <row r="3052" spans="1:5" ht="15.6">
      <c r="A3052">
        <v>2997</v>
      </c>
      <c r="B3052" s="166">
        <v>108.7785901535765</v>
      </c>
      <c r="D3052" s="39"/>
      <c r="E3052" s="39"/>
    </row>
    <row r="3053" spans="1:5" ht="15.6">
      <c r="A3053">
        <v>2998</v>
      </c>
      <c r="B3053" s="166">
        <v>130.24095369295125</v>
      </c>
      <c r="D3053" s="39"/>
      <c r="E3053" s="39"/>
    </row>
    <row r="3054" spans="1:5" ht="15.6">
      <c r="A3054">
        <v>2999</v>
      </c>
      <c r="B3054" s="166">
        <v>142.6383383262818</v>
      </c>
      <c r="D3054" s="39"/>
      <c r="E3054" s="39"/>
    </row>
    <row r="3055" spans="1:5" ht="15.6">
      <c r="A3055">
        <v>3000</v>
      </c>
      <c r="B3055" s="166">
        <v>86.731057786006474</v>
      </c>
      <c r="D3055" s="39"/>
      <c r="E3055" s="39"/>
    </row>
    <row r="3056" spans="1:5" ht="15.6">
      <c r="A3056">
        <v>3001</v>
      </c>
      <c r="B3056" s="166">
        <v>100.75270675469812</v>
      </c>
      <c r="D3056" s="39"/>
      <c r="E3056" s="39"/>
    </row>
    <row r="3057" spans="1:5" ht="15.6">
      <c r="A3057">
        <v>3002</v>
      </c>
      <c r="B3057" s="166">
        <v>62.478694313764798</v>
      </c>
      <c r="D3057" s="39"/>
      <c r="E3057" s="39"/>
    </row>
    <row r="3058" spans="1:5" ht="15.6">
      <c r="A3058">
        <v>3003</v>
      </c>
      <c r="B3058" s="166">
        <v>56.391490766215206</v>
      </c>
      <c r="D3058" s="39"/>
      <c r="E3058" s="39"/>
    </row>
    <row r="3059" spans="1:5" ht="15.6">
      <c r="A3059">
        <v>3004</v>
      </c>
      <c r="B3059" s="166">
        <v>101.36678853831437</v>
      </c>
      <c r="D3059" s="39"/>
      <c r="E3059" s="39"/>
    </row>
    <row r="3060" spans="1:5" ht="15.6">
      <c r="A3060">
        <v>3005</v>
      </c>
      <c r="B3060" s="166">
        <v>133.13405052883377</v>
      </c>
      <c r="D3060" s="39"/>
      <c r="E3060" s="39"/>
    </row>
    <row r="3061" spans="1:5" ht="15.6">
      <c r="A3061">
        <v>3006</v>
      </c>
      <c r="B3061" s="166">
        <v>78.735283522757186</v>
      </c>
      <c r="D3061" s="39"/>
      <c r="E3061" s="39"/>
    </row>
    <row r="3062" spans="1:5" ht="15.6">
      <c r="A3062">
        <v>3007</v>
      </c>
      <c r="B3062" s="166">
        <v>189.58516567633563</v>
      </c>
      <c r="D3062" s="39"/>
      <c r="E3062" s="39"/>
    </row>
    <row r="3063" spans="1:5" ht="15.6">
      <c r="A3063">
        <v>3008</v>
      </c>
      <c r="B3063" s="166">
        <v>101.02584244184847</v>
      </c>
      <c r="D3063" s="39"/>
      <c r="E3063" s="39"/>
    </row>
    <row r="3064" spans="1:5" ht="15.6">
      <c r="A3064">
        <v>3009</v>
      </c>
      <c r="B3064" s="166">
        <v>158.6003532351678</v>
      </c>
      <c r="D3064" s="39"/>
      <c r="E3064" s="39"/>
    </row>
    <row r="3065" spans="1:5" ht="15.6">
      <c r="A3065">
        <v>3010</v>
      </c>
      <c r="B3065" s="166">
        <v>102.14141377615219</v>
      </c>
      <c r="D3065" s="39"/>
      <c r="E3065" s="39"/>
    </row>
    <row r="3066" spans="1:5" ht="15.6">
      <c r="A3066">
        <v>3011</v>
      </c>
      <c r="B3066" s="166">
        <v>93.377509742151517</v>
      </c>
      <c r="D3066" s="39"/>
      <c r="E3066" s="39"/>
    </row>
    <row r="3067" spans="1:5" ht="15.6">
      <c r="A3067">
        <v>3012</v>
      </c>
      <c r="B3067" s="166">
        <v>53.368965282989208</v>
      </c>
      <c r="D3067" s="39"/>
      <c r="E3067" s="39"/>
    </row>
    <row r="3068" spans="1:5" ht="15.6">
      <c r="A3068">
        <v>3013</v>
      </c>
      <c r="B3068" s="166">
        <v>103.5407650206251</v>
      </c>
      <c r="D3068" s="39"/>
      <c r="E3068" s="39"/>
    </row>
    <row r="3069" spans="1:5" ht="15.6">
      <c r="A3069">
        <v>3014</v>
      </c>
      <c r="B3069" s="166">
        <v>105.19401911837565</v>
      </c>
      <c r="D3069" s="39"/>
      <c r="E3069" s="39"/>
    </row>
    <row r="3070" spans="1:5" ht="15.6">
      <c r="A3070">
        <v>3015</v>
      </c>
      <c r="B3070" s="166">
        <v>104.99702686724153</v>
      </c>
      <c r="D3070" s="39"/>
      <c r="E3070" s="39"/>
    </row>
    <row r="3071" spans="1:5" ht="15.6">
      <c r="A3071">
        <v>3016</v>
      </c>
      <c r="B3071" s="166">
        <v>148.53858833959015</v>
      </c>
      <c r="D3071" s="39"/>
      <c r="E3071" s="39"/>
    </row>
    <row r="3072" spans="1:5" ht="15.6">
      <c r="A3072">
        <v>3017</v>
      </c>
      <c r="B3072" s="166">
        <v>187.15708286857017</v>
      </c>
      <c r="D3072" s="39"/>
      <c r="E3072" s="39"/>
    </row>
    <row r="3073" spans="1:5" ht="15.6">
      <c r="A3073">
        <v>3018</v>
      </c>
      <c r="B3073" s="166">
        <v>101.04096722187721</v>
      </c>
      <c r="D3073" s="39"/>
      <c r="E3073" s="39"/>
    </row>
    <row r="3074" spans="1:5" ht="15.6">
      <c r="A3074">
        <v>3019</v>
      </c>
      <c r="B3074" s="166">
        <v>87.354638139045363</v>
      </c>
      <c r="D3074" s="39"/>
      <c r="E3074" s="39"/>
    </row>
    <row r="3075" spans="1:5" ht="15.6">
      <c r="A3075">
        <v>3020</v>
      </c>
      <c r="B3075" s="166">
        <v>136.41616741072397</v>
      </c>
      <c r="D3075" s="39"/>
      <c r="E3075" s="39"/>
    </row>
    <row r="3076" spans="1:5" ht="15.6">
      <c r="A3076">
        <v>3021</v>
      </c>
      <c r="B3076" s="166">
        <v>120.80098121260171</v>
      </c>
      <c r="D3076" s="39"/>
      <c r="E3076" s="39"/>
    </row>
    <row r="3077" spans="1:5" ht="15.6">
      <c r="A3077">
        <v>3022</v>
      </c>
      <c r="B3077" s="166">
        <v>115.12979015234906</v>
      </c>
      <c r="D3077" s="39"/>
      <c r="E3077" s="39"/>
    </row>
    <row r="3078" spans="1:5" ht="15.6">
      <c r="A3078">
        <v>3023</v>
      </c>
      <c r="B3078" s="166">
        <v>230.99755904281557</v>
      </c>
      <c r="D3078" s="39"/>
      <c r="E3078" s="39"/>
    </row>
    <row r="3079" spans="1:5" ht="15.6">
      <c r="A3079">
        <v>3024</v>
      </c>
      <c r="B3079" s="166">
        <v>91.902844975210016</v>
      </c>
      <c r="D3079" s="39"/>
      <c r="E3079" s="39"/>
    </row>
    <row r="3080" spans="1:5" ht="15.6">
      <c r="A3080">
        <v>3025</v>
      </c>
      <c r="B3080" s="166">
        <v>102.89989718142762</v>
      </c>
      <c r="D3080" s="39"/>
      <c r="E3080" s="39"/>
    </row>
    <row r="3081" spans="1:5" ht="15.6">
      <c r="A3081">
        <v>3026</v>
      </c>
      <c r="B3081" s="166">
        <v>228.1418615911999</v>
      </c>
      <c r="D3081" s="39"/>
      <c r="E3081" s="39"/>
    </row>
    <row r="3082" spans="1:5" ht="15.6">
      <c r="A3082">
        <v>3027</v>
      </c>
      <c r="B3082" s="166">
        <v>103.24529923658118</v>
      </c>
      <c r="D3082" s="39"/>
      <c r="E3082" s="39"/>
    </row>
    <row r="3083" spans="1:5" ht="15.6">
      <c r="A3083">
        <v>3028</v>
      </c>
      <c r="B3083" s="166">
        <v>282.98673891958805</v>
      </c>
      <c r="D3083" s="39"/>
      <c r="E3083" s="39"/>
    </row>
    <row r="3084" spans="1:5" ht="15.6">
      <c r="A3084">
        <v>3029</v>
      </c>
      <c r="B3084" s="166">
        <v>109.93698191814492</v>
      </c>
      <c r="D3084" s="39"/>
      <c r="E3084" s="39"/>
    </row>
    <row r="3085" spans="1:5" ht="15.6">
      <c r="A3085">
        <v>3030</v>
      </c>
      <c r="B3085" s="166">
        <v>86.010190035585552</v>
      </c>
      <c r="D3085" s="39"/>
      <c r="E3085" s="39"/>
    </row>
    <row r="3086" spans="1:5" ht="15.6">
      <c r="A3086">
        <v>3031</v>
      </c>
      <c r="B3086" s="166">
        <v>141.89209060582306</v>
      </c>
      <c r="D3086" s="39"/>
      <c r="E3086" s="39"/>
    </row>
    <row r="3087" spans="1:5" ht="15.6">
      <c r="A3087">
        <v>3032</v>
      </c>
      <c r="B3087" s="166">
        <v>162.79605526577313</v>
      </c>
      <c r="D3087" s="39"/>
      <c r="E3087" s="39"/>
    </row>
    <row r="3088" spans="1:5" ht="15.6">
      <c r="A3088">
        <v>3033</v>
      </c>
      <c r="B3088" s="166">
        <v>167.66591004153864</v>
      </c>
      <c r="D3088" s="39"/>
      <c r="E3088" s="39"/>
    </row>
    <row r="3089" spans="1:5" ht="15.6">
      <c r="A3089">
        <v>3034</v>
      </c>
      <c r="B3089" s="166">
        <v>72.184881958202297</v>
      </c>
      <c r="D3089" s="39"/>
      <c r="E3089" s="39"/>
    </row>
    <row r="3090" spans="1:5" ht="15.6">
      <c r="A3090">
        <v>3035</v>
      </c>
      <c r="B3090" s="166">
        <v>174.17345831983607</v>
      </c>
      <c r="D3090" s="39"/>
      <c r="E3090" s="39"/>
    </row>
    <row r="3091" spans="1:5" ht="15.6">
      <c r="A3091">
        <v>3036</v>
      </c>
      <c r="B3091" s="166">
        <v>99.475424458515917</v>
      </c>
      <c r="D3091" s="39"/>
      <c r="E3091" s="39"/>
    </row>
    <row r="3092" spans="1:5" ht="15.6">
      <c r="A3092">
        <v>3037</v>
      </c>
      <c r="B3092" s="166">
        <v>104.22891508025681</v>
      </c>
      <c r="D3092" s="39"/>
      <c r="E3092" s="39"/>
    </row>
    <row r="3093" spans="1:5" ht="15.6">
      <c r="A3093">
        <v>3038</v>
      </c>
      <c r="B3093" s="166">
        <v>120.68766854830855</v>
      </c>
      <c r="D3093" s="39"/>
      <c r="E3093" s="39"/>
    </row>
    <row r="3094" spans="1:5" ht="15.6">
      <c r="A3094">
        <v>3039</v>
      </c>
      <c r="B3094" s="166">
        <v>151.2436092021716</v>
      </c>
      <c r="D3094" s="39"/>
      <c r="E3094" s="39"/>
    </row>
    <row r="3095" spans="1:5" ht="15.6">
      <c r="A3095">
        <v>3040</v>
      </c>
      <c r="B3095" s="166">
        <v>108.75233963108835</v>
      </c>
      <c r="D3095" s="39"/>
      <c r="E3095" s="39"/>
    </row>
    <row r="3096" spans="1:5" ht="15.6">
      <c r="A3096">
        <v>3041</v>
      </c>
      <c r="B3096" s="166">
        <v>81.658315144189544</v>
      </c>
      <c r="D3096" s="39"/>
      <c r="E3096" s="39"/>
    </row>
    <row r="3097" spans="1:5" ht="15.6">
      <c r="A3097">
        <v>3042</v>
      </c>
      <c r="B3097" s="166">
        <v>254.43954636161962</v>
      </c>
      <c r="D3097" s="39"/>
      <c r="E3097" s="39"/>
    </row>
    <row r="3098" spans="1:5" ht="15.6">
      <c r="A3098">
        <v>3043</v>
      </c>
      <c r="B3098" s="166">
        <v>60.106607801365712</v>
      </c>
      <c r="D3098" s="39"/>
      <c r="E3098" s="39"/>
    </row>
    <row r="3099" spans="1:5" ht="15.6">
      <c r="A3099">
        <v>3044</v>
      </c>
      <c r="B3099" s="166">
        <v>90.757203880669962</v>
      </c>
      <c r="D3099" s="39"/>
      <c r="E3099" s="39"/>
    </row>
    <row r="3100" spans="1:5" ht="15.6">
      <c r="A3100">
        <v>3045</v>
      </c>
      <c r="B3100" s="166">
        <v>112.22540489857026</v>
      </c>
      <c r="D3100" s="39"/>
      <c r="E3100" s="39"/>
    </row>
    <row r="3101" spans="1:5" ht="15.6">
      <c r="A3101">
        <v>3046</v>
      </c>
      <c r="B3101" s="166">
        <v>82.936814945494234</v>
      </c>
      <c r="D3101" s="39"/>
      <c r="E3101" s="39"/>
    </row>
    <row r="3102" spans="1:5" ht="15.6">
      <c r="A3102">
        <v>3047</v>
      </c>
      <c r="B3102" s="166">
        <v>58.502461620596954</v>
      </c>
      <c r="D3102" s="39"/>
      <c r="E3102" s="39"/>
    </row>
    <row r="3103" spans="1:5" ht="15.6">
      <c r="A3103">
        <v>3048</v>
      </c>
      <c r="B3103" s="166">
        <v>69.535364787286341</v>
      </c>
      <c r="D3103" s="39"/>
      <c r="E3103" s="39"/>
    </row>
    <row r="3104" spans="1:5" ht="15.6">
      <c r="A3104">
        <v>3049</v>
      </c>
      <c r="B3104" s="166">
        <v>64.024038237219884</v>
      </c>
      <c r="D3104" s="39"/>
      <c r="E3104" s="39"/>
    </row>
    <row r="3105" spans="1:5" ht="15.6">
      <c r="A3105">
        <v>3050</v>
      </c>
      <c r="B3105" s="166">
        <v>109.49406213341217</v>
      </c>
      <c r="D3105" s="39"/>
      <c r="E3105" s="39"/>
    </row>
    <row r="3106" spans="1:5" ht="15.6">
      <c r="A3106">
        <v>3051</v>
      </c>
      <c r="B3106" s="166">
        <v>158.85851579672268</v>
      </c>
      <c r="D3106" s="39"/>
      <c r="E3106" s="39"/>
    </row>
    <row r="3107" spans="1:5" ht="15.6">
      <c r="A3107">
        <v>3052</v>
      </c>
      <c r="B3107" s="166">
        <v>101.91481890806652</v>
      </c>
      <c r="D3107" s="39"/>
      <c r="E3107" s="39"/>
    </row>
    <row r="3108" spans="1:5" ht="15.6">
      <c r="A3108">
        <v>3053</v>
      </c>
      <c r="B3108" s="166">
        <v>75.966825470562441</v>
      </c>
      <c r="D3108" s="39"/>
      <c r="E3108" s="39"/>
    </row>
    <row r="3109" spans="1:5" ht="15.6">
      <c r="A3109">
        <v>3054</v>
      </c>
      <c r="B3109" s="166">
        <v>119.55510123934963</v>
      </c>
      <c r="D3109" s="39"/>
      <c r="E3109" s="39"/>
    </row>
    <row r="3110" spans="1:5" ht="15.6">
      <c r="A3110">
        <v>3055</v>
      </c>
      <c r="B3110" s="166">
        <v>174.63128082011821</v>
      </c>
      <c r="D3110" s="39"/>
      <c r="E3110" s="39"/>
    </row>
    <row r="3111" spans="1:5" ht="15.6">
      <c r="A3111">
        <v>3056</v>
      </c>
      <c r="B3111" s="166">
        <v>131.09278037003995</v>
      </c>
      <c r="D3111" s="39"/>
      <c r="E3111" s="39"/>
    </row>
    <row r="3112" spans="1:5" ht="15.6">
      <c r="A3112">
        <v>3057</v>
      </c>
      <c r="B3112" s="166">
        <v>158.21960092352876</v>
      </c>
      <c r="D3112" s="39"/>
      <c r="E3112" s="39"/>
    </row>
    <row r="3113" spans="1:5" ht="15.6">
      <c r="A3113">
        <v>3058</v>
      </c>
      <c r="B3113" s="166">
        <v>218.46002448824217</v>
      </c>
      <c r="D3113" s="39"/>
      <c r="E3113" s="39"/>
    </row>
    <row r="3114" spans="1:5" ht="15.6">
      <c r="A3114">
        <v>3059</v>
      </c>
      <c r="B3114" s="166">
        <v>128.89065392779764</v>
      </c>
      <c r="D3114" s="39"/>
      <c r="E3114" s="39"/>
    </row>
    <row r="3115" spans="1:5" ht="15.6">
      <c r="A3115">
        <v>3060</v>
      </c>
      <c r="B3115" s="166">
        <v>82.012806973531184</v>
      </c>
      <c r="D3115" s="39"/>
      <c r="E3115" s="39"/>
    </row>
    <row r="3116" spans="1:5" ht="15.6">
      <c r="A3116">
        <v>3061</v>
      </c>
      <c r="B3116" s="166">
        <v>98.618084943567737</v>
      </c>
      <c r="D3116" s="39"/>
      <c r="E3116" s="39"/>
    </row>
    <row r="3117" spans="1:5" ht="15.6">
      <c r="A3117">
        <v>3062</v>
      </c>
      <c r="B3117" s="166">
        <v>66.220021129411236</v>
      </c>
      <c r="D3117" s="39"/>
      <c r="E3117" s="39"/>
    </row>
    <row r="3118" spans="1:5" ht="15.6">
      <c r="A3118">
        <v>3063</v>
      </c>
      <c r="B3118" s="166">
        <v>87.840534263345901</v>
      </c>
      <c r="D3118" s="39"/>
      <c r="E3118" s="39"/>
    </row>
    <row r="3119" spans="1:5" ht="15.6">
      <c r="A3119">
        <v>3064</v>
      </c>
      <c r="B3119" s="166">
        <v>67.827126695756505</v>
      </c>
      <c r="D3119" s="39"/>
      <c r="E3119" s="39"/>
    </row>
    <row r="3120" spans="1:5" ht="15.6">
      <c r="A3120">
        <v>3065</v>
      </c>
      <c r="B3120" s="166">
        <v>82.503240511912608</v>
      </c>
      <c r="D3120" s="39"/>
      <c r="E3120" s="39"/>
    </row>
    <row r="3121" spans="1:5" ht="15.6">
      <c r="A3121">
        <v>3066</v>
      </c>
      <c r="B3121" s="166">
        <v>144.55155292670068</v>
      </c>
      <c r="D3121" s="39"/>
      <c r="E3121" s="39"/>
    </row>
    <row r="3122" spans="1:5" ht="15.6">
      <c r="A3122">
        <v>3067</v>
      </c>
      <c r="B3122" s="166">
        <v>69.663046790779092</v>
      </c>
      <c r="D3122" s="39"/>
      <c r="E3122" s="39"/>
    </row>
    <row r="3123" spans="1:5" ht="15.6">
      <c r="A3123">
        <v>3068</v>
      </c>
      <c r="B3123" s="166">
        <v>72.881586404107153</v>
      </c>
      <c r="D3123" s="39"/>
      <c r="E3123" s="39"/>
    </row>
    <row r="3124" spans="1:5" ht="15.6">
      <c r="A3124">
        <v>3069</v>
      </c>
      <c r="B3124" s="166">
        <v>131.44305157065267</v>
      </c>
      <c r="D3124" s="39"/>
      <c r="E3124" s="39"/>
    </row>
    <row r="3125" spans="1:5" ht="15.6">
      <c r="A3125">
        <v>3070</v>
      </c>
      <c r="B3125" s="166">
        <v>108.65678712482534</v>
      </c>
      <c r="D3125" s="39"/>
      <c r="E3125" s="39"/>
    </row>
    <row r="3126" spans="1:5" ht="15.6">
      <c r="A3126">
        <v>3071</v>
      </c>
      <c r="B3126" s="166">
        <v>115.95845215893557</v>
      </c>
      <c r="D3126" s="39"/>
      <c r="E3126" s="39"/>
    </row>
    <row r="3127" spans="1:5" ht="15.6">
      <c r="A3127">
        <v>3072</v>
      </c>
      <c r="B3127" s="166">
        <v>105.56145362601599</v>
      </c>
      <c r="D3127" s="39"/>
      <c r="E3127" s="39"/>
    </row>
    <row r="3128" spans="1:5" ht="15.6">
      <c r="A3128">
        <v>3073</v>
      </c>
      <c r="B3128" s="166">
        <v>117.70349126072794</v>
      </c>
      <c r="D3128" s="39"/>
      <c r="E3128" s="39"/>
    </row>
    <row r="3129" spans="1:5" ht="15.6">
      <c r="A3129">
        <v>3074</v>
      </c>
      <c r="B3129" s="166">
        <v>143.99253232307873</v>
      </c>
      <c r="D3129" s="39"/>
      <c r="E3129" s="39"/>
    </row>
    <row r="3130" spans="1:5" ht="15.6">
      <c r="A3130">
        <v>3075</v>
      </c>
      <c r="B3130" s="166">
        <v>89.169019375622995</v>
      </c>
      <c r="D3130" s="39"/>
      <c r="E3130" s="39"/>
    </row>
    <row r="3131" spans="1:5" ht="15.6">
      <c r="A3131">
        <v>3076</v>
      </c>
      <c r="B3131" s="166">
        <v>70.619235052818624</v>
      </c>
      <c r="D3131" s="39"/>
      <c r="E3131" s="39"/>
    </row>
    <row r="3132" spans="1:5" ht="15.6">
      <c r="A3132">
        <v>3077</v>
      </c>
      <c r="B3132" s="166">
        <v>74.516885732554215</v>
      </c>
      <c r="D3132" s="39"/>
      <c r="E3132" s="39"/>
    </row>
    <row r="3133" spans="1:5" ht="15.6">
      <c r="A3133">
        <v>3078</v>
      </c>
      <c r="B3133" s="166">
        <v>86.399252268091544</v>
      </c>
      <c r="D3133" s="39"/>
      <c r="E3133" s="39"/>
    </row>
    <row r="3134" spans="1:5" ht="15.6">
      <c r="A3134">
        <v>3079</v>
      </c>
      <c r="B3134" s="166">
        <v>86.619139971423706</v>
      </c>
      <c r="D3134" s="39"/>
      <c r="E3134" s="39"/>
    </row>
    <row r="3135" spans="1:5" ht="15.6">
      <c r="A3135">
        <v>3080</v>
      </c>
      <c r="B3135" s="166">
        <v>150.78773264561039</v>
      </c>
      <c r="D3135" s="39"/>
      <c r="E3135" s="39"/>
    </row>
    <row r="3136" spans="1:5" ht="15.6">
      <c r="A3136">
        <v>3081</v>
      </c>
      <c r="B3136" s="166">
        <v>76.192265374765356</v>
      </c>
      <c r="D3136" s="39"/>
      <c r="E3136" s="39"/>
    </row>
    <row r="3137" spans="1:5" ht="15.6">
      <c r="A3137">
        <v>3082</v>
      </c>
      <c r="B3137" s="166">
        <v>147.97839872797056</v>
      </c>
      <c r="D3137" s="39"/>
      <c r="E3137" s="39"/>
    </row>
    <row r="3138" spans="1:5" ht="15.6">
      <c r="A3138">
        <v>3083</v>
      </c>
      <c r="B3138" s="166">
        <v>74.986657004813949</v>
      </c>
      <c r="D3138" s="39"/>
      <c r="E3138" s="39"/>
    </row>
    <row r="3139" spans="1:5" ht="15.6">
      <c r="A3139">
        <v>3084</v>
      </c>
      <c r="B3139" s="166">
        <v>93.603050324061627</v>
      </c>
      <c r="D3139" s="39"/>
      <c r="E3139" s="39"/>
    </row>
    <row r="3140" spans="1:5" ht="15.6">
      <c r="A3140">
        <v>3085</v>
      </c>
      <c r="B3140" s="166">
        <v>177.60294031480362</v>
      </c>
      <c r="D3140" s="39"/>
      <c r="E3140" s="39"/>
    </row>
    <row r="3141" spans="1:5" ht="15.6">
      <c r="A3141">
        <v>3086</v>
      </c>
      <c r="B3141" s="166">
        <v>58.200158359527649</v>
      </c>
      <c r="D3141" s="39"/>
      <c r="E3141" s="39"/>
    </row>
    <row r="3142" spans="1:5" ht="15.6">
      <c r="A3142">
        <v>3087</v>
      </c>
      <c r="B3142" s="166">
        <v>95.862081465444575</v>
      </c>
      <c r="D3142" s="39"/>
      <c r="E3142" s="39"/>
    </row>
    <row r="3143" spans="1:5" ht="15.6">
      <c r="A3143">
        <v>3088</v>
      </c>
      <c r="B3143" s="166">
        <v>108.3391627045427</v>
      </c>
      <c r="D3143" s="39"/>
      <c r="E3143" s="39"/>
    </row>
    <row r="3144" spans="1:5" ht="15.6">
      <c r="A3144">
        <v>3089</v>
      </c>
      <c r="B3144" s="166">
        <v>112.65295440813703</v>
      </c>
      <c r="D3144" s="39"/>
      <c r="E3144" s="39"/>
    </row>
    <row r="3145" spans="1:5" ht="15.6">
      <c r="A3145">
        <v>3090</v>
      </c>
      <c r="B3145" s="166">
        <v>73.514667982749586</v>
      </c>
      <c r="D3145" s="39"/>
      <c r="E3145" s="39"/>
    </row>
    <row r="3146" spans="1:5" ht="15.6">
      <c r="A3146">
        <v>3091</v>
      </c>
      <c r="B3146" s="166">
        <v>208.33832770733903</v>
      </c>
      <c r="D3146" s="39"/>
      <c r="E3146" s="39"/>
    </row>
    <row r="3147" spans="1:5" ht="15.6">
      <c r="A3147">
        <v>3092</v>
      </c>
      <c r="B3147" s="166">
        <v>54.033372993609611</v>
      </c>
      <c r="D3147" s="39"/>
      <c r="E3147" s="39"/>
    </row>
    <row r="3148" spans="1:5" ht="15.6">
      <c r="A3148">
        <v>3093</v>
      </c>
      <c r="B3148" s="166">
        <v>148.10986875321527</v>
      </c>
      <c r="D3148" s="39"/>
      <c r="E3148" s="39"/>
    </row>
    <row r="3149" spans="1:5" ht="15.6">
      <c r="A3149">
        <v>3094</v>
      </c>
      <c r="B3149" s="166">
        <v>95.02897374251107</v>
      </c>
      <c r="D3149" s="39"/>
      <c r="E3149" s="39"/>
    </row>
    <row r="3150" spans="1:5" ht="15.6">
      <c r="A3150">
        <v>3095</v>
      </c>
      <c r="B3150" s="166">
        <v>87.629366714483126</v>
      </c>
      <c r="D3150" s="39"/>
      <c r="E3150" s="39"/>
    </row>
    <row r="3151" spans="1:5" ht="15.6">
      <c r="A3151">
        <v>3096</v>
      </c>
      <c r="B3151" s="166">
        <v>104.69961100671024</v>
      </c>
      <c r="D3151" s="39"/>
      <c r="E3151" s="39"/>
    </row>
    <row r="3152" spans="1:5" ht="15.6">
      <c r="A3152">
        <v>3097</v>
      </c>
      <c r="B3152" s="166">
        <v>77.594782839479976</v>
      </c>
      <c r="D3152" s="39"/>
      <c r="E3152" s="39"/>
    </row>
    <row r="3153" spans="1:5" ht="15.6">
      <c r="A3153">
        <v>3098</v>
      </c>
      <c r="B3153" s="166">
        <v>124.74778366071352</v>
      </c>
      <c r="D3153" s="39"/>
      <c r="E3153" s="39"/>
    </row>
    <row r="3154" spans="1:5" ht="15.6">
      <c r="A3154">
        <v>3099</v>
      </c>
      <c r="B3154" s="166">
        <v>88.66823598771056</v>
      </c>
      <c r="D3154" s="39"/>
      <c r="E3154" s="39"/>
    </row>
    <row r="3155" spans="1:5" ht="15.6">
      <c r="A3155">
        <v>3100</v>
      </c>
      <c r="B3155" s="166">
        <v>135.92326343861848</v>
      </c>
      <c r="D3155" s="39"/>
      <c r="E3155" s="39"/>
    </row>
    <row r="3156" spans="1:5" ht="15.6">
      <c r="A3156">
        <v>3101</v>
      </c>
      <c r="B3156" s="166">
        <v>78.086944979689932</v>
      </c>
      <c r="D3156" s="39"/>
      <c r="E3156" s="39"/>
    </row>
    <row r="3157" spans="1:5" ht="15.6">
      <c r="A3157">
        <v>3102</v>
      </c>
      <c r="B3157" s="166">
        <v>67.671477445839514</v>
      </c>
      <c r="D3157" s="39"/>
      <c r="E3157" s="39"/>
    </row>
    <row r="3158" spans="1:5" ht="15.6">
      <c r="A3158">
        <v>3103</v>
      </c>
      <c r="B3158" s="166">
        <v>151.73459299979518</v>
      </c>
      <c r="D3158" s="39"/>
      <c r="E3158" s="39"/>
    </row>
    <row r="3159" spans="1:5" ht="15.6">
      <c r="A3159">
        <v>3104</v>
      </c>
      <c r="B3159" s="166">
        <v>121.21727371135491</v>
      </c>
      <c r="D3159" s="39"/>
      <c r="E3159" s="39"/>
    </row>
    <row r="3160" spans="1:5" ht="15.6">
      <c r="A3160">
        <v>3105</v>
      </c>
      <c r="B3160" s="166">
        <v>119.42087406773514</v>
      </c>
      <c r="D3160" s="39"/>
      <c r="E3160" s="39"/>
    </row>
    <row r="3161" spans="1:5" ht="15.6">
      <c r="A3161">
        <v>3106</v>
      </c>
      <c r="B3161" s="166">
        <v>132.82234640530444</v>
      </c>
      <c r="D3161" s="39"/>
      <c r="E3161" s="39"/>
    </row>
    <row r="3162" spans="1:5" ht="15.6">
      <c r="A3162">
        <v>3107</v>
      </c>
      <c r="B3162" s="166">
        <v>78.762051795055754</v>
      </c>
      <c r="D3162" s="39"/>
      <c r="E3162" s="39"/>
    </row>
    <row r="3163" spans="1:5" ht="15.6">
      <c r="A3163">
        <v>3108</v>
      </c>
      <c r="B3163" s="166">
        <v>69.59748490149056</v>
      </c>
      <c r="D3163" s="39"/>
      <c r="E3163" s="39"/>
    </row>
    <row r="3164" spans="1:5" ht="15.6">
      <c r="A3164">
        <v>3109</v>
      </c>
      <c r="B3164" s="166">
        <v>69.689714231546944</v>
      </c>
      <c r="D3164" s="39"/>
      <c r="E3164" s="39"/>
    </row>
    <row r="3165" spans="1:5" ht="15.6">
      <c r="A3165">
        <v>3110</v>
      </c>
      <c r="B3165" s="166">
        <v>107.65534101032524</v>
      </c>
      <c r="D3165" s="39"/>
      <c r="E3165" s="39"/>
    </row>
    <row r="3166" spans="1:5" ht="15.6">
      <c r="A3166">
        <v>3111</v>
      </c>
      <c r="B3166" s="166">
        <v>116.84519727935239</v>
      </c>
      <c r="D3166" s="39"/>
      <c r="E3166" s="39"/>
    </row>
    <row r="3167" spans="1:5" ht="15.6">
      <c r="A3167">
        <v>3112</v>
      </c>
      <c r="B3167" s="166">
        <v>152.84954224537461</v>
      </c>
      <c r="D3167" s="39"/>
      <c r="E3167" s="39"/>
    </row>
    <row r="3168" spans="1:5" ht="15.6">
      <c r="A3168">
        <v>3113</v>
      </c>
      <c r="B3168" s="166">
        <v>101.44782743660912</v>
      </c>
      <c r="D3168" s="39"/>
      <c r="E3168" s="39"/>
    </row>
    <row r="3169" spans="1:5" ht="15.6">
      <c r="A3169">
        <v>3114</v>
      </c>
      <c r="B3169" s="166">
        <v>112.91664951956425</v>
      </c>
      <c r="D3169" s="39"/>
      <c r="E3169" s="39"/>
    </row>
    <row r="3170" spans="1:5" ht="15.6">
      <c r="A3170">
        <v>3115</v>
      </c>
      <c r="B3170" s="166">
        <v>85.645071720001596</v>
      </c>
      <c r="D3170" s="39"/>
      <c r="E3170" s="39"/>
    </row>
    <row r="3171" spans="1:5" ht="15.6">
      <c r="A3171">
        <v>3116</v>
      </c>
      <c r="B3171" s="166">
        <v>72.319339179430628</v>
      </c>
      <c r="D3171" s="39"/>
      <c r="E3171" s="39"/>
    </row>
    <row r="3172" spans="1:5" ht="15.6">
      <c r="A3172">
        <v>3117</v>
      </c>
      <c r="B3172" s="166">
        <v>86.307061029279097</v>
      </c>
      <c r="D3172" s="39"/>
      <c r="E3172" s="39"/>
    </row>
    <row r="3173" spans="1:5" ht="15.6">
      <c r="A3173">
        <v>3118</v>
      </c>
      <c r="B3173" s="166">
        <v>205.78831721931289</v>
      </c>
      <c r="D3173" s="39"/>
      <c r="E3173" s="39"/>
    </row>
    <row r="3174" spans="1:5" ht="15.6">
      <c r="A3174">
        <v>3119</v>
      </c>
      <c r="B3174" s="166">
        <v>76.8901531178239</v>
      </c>
      <c r="D3174" s="39"/>
      <c r="E3174" s="39"/>
    </row>
    <row r="3175" spans="1:5" ht="15.6">
      <c r="A3175">
        <v>3120</v>
      </c>
      <c r="B3175" s="166">
        <v>137.09250729929724</v>
      </c>
      <c r="D3175" s="39"/>
      <c r="E3175" s="39"/>
    </row>
    <row r="3176" spans="1:5" ht="15.6">
      <c r="A3176">
        <v>3121</v>
      </c>
      <c r="B3176" s="166">
        <v>107.94108271882837</v>
      </c>
      <c r="D3176" s="39"/>
      <c r="E3176" s="39"/>
    </row>
    <row r="3177" spans="1:5" ht="15.6">
      <c r="A3177">
        <v>3122</v>
      </c>
      <c r="B3177" s="166">
        <v>80.763911470964743</v>
      </c>
      <c r="D3177" s="39"/>
      <c r="E3177" s="39"/>
    </row>
    <row r="3178" spans="1:5" ht="15.6">
      <c r="A3178">
        <v>3123</v>
      </c>
      <c r="B3178" s="166">
        <v>327.23976434916216</v>
      </c>
      <c r="D3178" s="39"/>
      <c r="E3178" s="39"/>
    </row>
    <row r="3179" spans="1:5" ht="15.6">
      <c r="A3179">
        <v>3124</v>
      </c>
      <c r="B3179" s="166">
        <v>130.48115237737272</v>
      </c>
      <c r="D3179" s="39"/>
      <c r="E3179" s="39"/>
    </row>
    <row r="3180" spans="1:5" ht="15.6">
      <c r="A3180">
        <v>3125</v>
      </c>
      <c r="B3180" s="166">
        <v>75.642813829509421</v>
      </c>
      <c r="D3180" s="39"/>
      <c r="E3180" s="39"/>
    </row>
    <row r="3181" spans="1:5" ht="15.6">
      <c r="A3181">
        <v>3126</v>
      </c>
      <c r="B3181" s="166">
        <v>59.947149576237614</v>
      </c>
      <c r="D3181" s="39"/>
      <c r="E3181" s="39"/>
    </row>
    <row r="3182" spans="1:5" ht="15.6">
      <c r="A3182">
        <v>3127</v>
      </c>
      <c r="B3182" s="166">
        <v>152.36118064468627</v>
      </c>
      <c r="D3182" s="39"/>
      <c r="E3182" s="39"/>
    </row>
    <row r="3183" spans="1:5" ht="15.6">
      <c r="A3183">
        <v>3128</v>
      </c>
      <c r="B3183" s="166">
        <v>75.244111499344385</v>
      </c>
      <c r="D3183" s="39"/>
      <c r="E3183" s="39"/>
    </row>
    <row r="3184" spans="1:5" ht="15.6">
      <c r="A3184">
        <v>3129</v>
      </c>
      <c r="B3184" s="166">
        <v>60.022951710655249</v>
      </c>
      <c r="D3184" s="39"/>
      <c r="E3184" s="39"/>
    </row>
    <row r="3185" spans="1:5" ht="15.6">
      <c r="A3185">
        <v>3130</v>
      </c>
      <c r="B3185" s="166">
        <v>116.65106214962968</v>
      </c>
      <c r="D3185" s="39"/>
      <c r="E3185" s="39"/>
    </row>
    <row r="3186" spans="1:5" ht="15.6">
      <c r="A3186">
        <v>3131</v>
      </c>
      <c r="B3186" s="166">
        <v>88.659748883859521</v>
      </c>
      <c r="D3186" s="39"/>
      <c r="E3186" s="39"/>
    </row>
    <row r="3187" spans="1:5" ht="15.6">
      <c r="A3187">
        <v>3132</v>
      </c>
      <c r="B3187" s="166">
        <v>67.856977580137638</v>
      </c>
      <c r="D3187" s="39"/>
      <c r="E3187" s="39"/>
    </row>
    <row r="3188" spans="1:5" ht="15.6">
      <c r="A3188">
        <v>3133</v>
      </c>
      <c r="B3188" s="166">
        <v>131.3161465909551</v>
      </c>
      <c r="D3188" s="39"/>
      <c r="E3188" s="39"/>
    </row>
    <row r="3189" spans="1:5" ht="15.6">
      <c r="A3189">
        <v>3134</v>
      </c>
      <c r="B3189" s="166">
        <v>93.603301990059563</v>
      </c>
      <c r="D3189" s="39"/>
      <c r="E3189" s="39"/>
    </row>
    <row r="3190" spans="1:5" ht="15.6">
      <c r="A3190">
        <v>3135</v>
      </c>
      <c r="B3190" s="166">
        <v>185.45241556996129</v>
      </c>
      <c r="D3190" s="39"/>
      <c r="E3190" s="39"/>
    </row>
    <row r="3191" spans="1:5" ht="15.6">
      <c r="A3191">
        <v>3136</v>
      </c>
      <c r="B3191" s="166">
        <v>94.078348554567086</v>
      </c>
      <c r="D3191" s="39"/>
      <c r="E3191" s="39"/>
    </row>
    <row r="3192" spans="1:5" ht="15.6">
      <c r="A3192">
        <v>3137</v>
      </c>
      <c r="B3192" s="166">
        <v>115.60916180280532</v>
      </c>
      <c r="D3192" s="39"/>
      <c r="E3192" s="39"/>
    </row>
    <row r="3193" spans="1:5" ht="15.6">
      <c r="A3193">
        <v>3138</v>
      </c>
      <c r="B3193" s="166">
        <v>69.97736164193924</v>
      </c>
      <c r="D3193" s="39"/>
      <c r="E3193" s="39"/>
    </row>
    <row r="3194" spans="1:5" ht="15.6">
      <c r="A3194">
        <v>3139</v>
      </c>
      <c r="B3194" s="166">
        <v>74.283290673120618</v>
      </c>
      <c r="D3194" s="39"/>
      <c r="E3194" s="39"/>
    </row>
    <row r="3195" spans="1:5" ht="15.6">
      <c r="A3195">
        <v>3140</v>
      </c>
      <c r="B3195" s="166">
        <v>90.840352714802918</v>
      </c>
      <c r="D3195" s="39"/>
      <c r="E3195" s="39"/>
    </row>
    <row r="3196" spans="1:5" ht="15.6">
      <c r="A3196">
        <v>3141</v>
      </c>
      <c r="B3196" s="166">
        <v>141.26388159809983</v>
      </c>
      <c r="D3196" s="39"/>
      <c r="E3196" s="39"/>
    </row>
    <row r="3197" spans="1:5" ht="15.6">
      <c r="A3197">
        <v>3142</v>
      </c>
      <c r="B3197" s="166">
        <v>77.760866117906232</v>
      </c>
      <c r="D3197" s="39"/>
      <c r="E3197" s="39"/>
    </row>
    <row r="3198" spans="1:5" ht="15.6">
      <c r="A3198">
        <v>3143</v>
      </c>
      <c r="B3198" s="166">
        <v>79.016516044711267</v>
      </c>
      <c r="D3198" s="39"/>
      <c r="E3198" s="39"/>
    </row>
    <row r="3199" spans="1:5" ht="15.6">
      <c r="A3199">
        <v>3144</v>
      </c>
      <c r="B3199" s="166">
        <v>85.071767518718843</v>
      </c>
      <c r="D3199" s="39"/>
      <c r="E3199" s="39"/>
    </row>
    <row r="3200" spans="1:5" ht="15.6">
      <c r="A3200">
        <v>3145</v>
      </c>
      <c r="B3200" s="166">
        <v>60.652862556536057</v>
      </c>
      <c r="D3200" s="39"/>
      <c r="E3200" s="39"/>
    </row>
    <row r="3201" spans="1:5" ht="15.6">
      <c r="A3201">
        <v>3146</v>
      </c>
      <c r="B3201" s="166">
        <v>115.57295198762189</v>
      </c>
      <c r="D3201" s="39"/>
      <c r="E3201" s="39"/>
    </row>
    <row r="3202" spans="1:5" ht="15.6">
      <c r="A3202">
        <v>3147</v>
      </c>
      <c r="B3202" s="166">
        <v>141.51135012703293</v>
      </c>
      <c r="D3202" s="39"/>
      <c r="E3202" s="39"/>
    </row>
    <row r="3203" spans="1:5" ht="15.6">
      <c r="A3203">
        <v>3148</v>
      </c>
      <c r="B3203" s="166">
        <v>116.16333025865188</v>
      </c>
      <c r="D3203" s="39"/>
      <c r="E3203" s="39"/>
    </row>
    <row r="3204" spans="1:5" ht="15.6">
      <c r="A3204">
        <v>3149</v>
      </c>
      <c r="B3204" s="166">
        <v>144.9967217189984</v>
      </c>
      <c r="D3204" s="39"/>
      <c r="E3204" s="39"/>
    </row>
    <row r="3205" spans="1:5" ht="15.6">
      <c r="A3205">
        <v>3150</v>
      </c>
      <c r="B3205" s="166">
        <v>67.774559369298743</v>
      </c>
      <c r="D3205" s="39"/>
      <c r="E3205" s="39"/>
    </row>
    <row r="3206" spans="1:5" ht="15.6">
      <c r="A3206">
        <v>3151</v>
      </c>
      <c r="B3206" s="166">
        <v>98.559689751374123</v>
      </c>
      <c r="D3206" s="39"/>
      <c r="E3206" s="39"/>
    </row>
    <row r="3207" spans="1:5" ht="15.6">
      <c r="A3207">
        <v>3152</v>
      </c>
      <c r="B3207" s="166">
        <v>165.51377929975882</v>
      </c>
      <c r="D3207" s="39"/>
      <c r="E3207" s="39"/>
    </row>
    <row r="3208" spans="1:5" ht="15.6">
      <c r="A3208">
        <v>3153</v>
      </c>
      <c r="B3208" s="166">
        <v>72.157143127530162</v>
      </c>
      <c r="D3208" s="39"/>
      <c r="E3208" s="39"/>
    </row>
    <row r="3209" spans="1:5" ht="15.6">
      <c r="A3209">
        <v>3154</v>
      </c>
      <c r="B3209" s="166">
        <v>145.32585904912406</v>
      </c>
      <c r="D3209" s="39"/>
      <c r="E3209" s="39"/>
    </row>
    <row r="3210" spans="1:5" ht="15.6">
      <c r="A3210">
        <v>3155</v>
      </c>
      <c r="B3210" s="166">
        <v>88.309813183403747</v>
      </c>
      <c r="D3210" s="39"/>
      <c r="E3210" s="39"/>
    </row>
    <row r="3211" spans="1:5" ht="15.6">
      <c r="A3211">
        <v>3156</v>
      </c>
      <c r="B3211" s="166">
        <v>122.6854742885681</v>
      </c>
      <c r="D3211" s="39"/>
      <c r="E3211" s="39"/>
    </row>
    <row r="3212" spans="1:5" ht="15.6">
      <c r="A3212">
        <v>3157</v>
      </c>
      <c r="B3212" s="166">
        <v>143.93342600143288</v>
      </c>
      <c r="D3212" s="39"/>
      <c r="E3212" s="39"/>
    </row>
    <row r="3213" spans="1:5" ht="15.6">
      <c r="A3213">
        <v>3158</v>
      </c>
      <c r="B3213" s="166">
        <v>77.706995040591835</v>
      </c>
      <c r="D3213" s="39"/>
      <c r="E3213" s="39"/>
    </row>
    <row r="3214" spans="1:5" ht="15.6">
      <c r="A3214">
        <v>3159</v>
      </c>
      <c r="B3214" s="166">
        <v>168.58939525296418</v>
      </c>
      <c r="D3214" s="39"/>
      <c r="E3214" s="39"/>
    </row>
    <row r="3215" spans="1:5" ht="15.6">
      <c r="A3215">
        <v>3160</v>
      </c>
      <c r="B3215" s="166">
        <v>105.82782146935165</v>
      </c>
      <c r="D3215" s="39"/>
      <c r="E3215" s="39"/>
    </row>
    <row r="3216" spans="1:5" ht="15.6">
      <c r="A3216">
        <v>3161</v>
      </c>
      <c r="B3216" s="166">
        <v>98.878204698399699</v>
      </c>
      <c r="D3216" s="39"/>
      <c r="E3216" s="39"/>
    </row>
    <row r="3217" spans="1:5" ht="15.6">
      <c r="A3217">
        <v>3162</v>
      </c>
      <c r="B3217" s="166">
        <v>69.71659067725291</v>
      </c>
      <c r="D3217" s="39"/>
      <c r="E3217" s="39"/>
    </row>
    <row r="3218" spans="1:5" ht="15.6">
      <c r="A3218">
        <v>3163</v>
      </c>
      <c r="B3218" s="166">
        <v>137.56300509946968</v>
      </c>
      <c r="D3218" s="39"/>
      <c r="E3218" s="39"/>
    </row>
    <row r="3219" spans="1:5" ht="15.6">
      <c r="A3219">
        <v>3164</v>
      </c>
      <c r="B3219" s="166">
        <v>118.42346215971158</v>
      </c>
      <c r="D3219" s="39"/>
      <c r="E3219" s="39"/>
    </row>
    <row r="3220" spans="1:5" ht="15.6">
      <c r="A3220">
        <v>3165</v>
      </c>
      <c r="B3220" s="166">
        <v>130.20643954401572</v>
      </c>
      <c r="D3220" s="39"/>
      <c r="E3220" s="39"/>
    </row>
    <row r="3221" spans="1:5" ht="15.6">
      <c r="A3221">
        <v>3166</v>
      </c>
      <c r="B3221" s="166">
        <v>102.23176321100728</v>
      </c>
      <c r="D3221" s="39"/>
      <c r="E3221" s="39"/>
    </row>
    <row r="3222" spans="1:5" ht="15.6">
      <c r="A3222">
        <v>3167</v>
      </c>
      <c r="B3222" s="166">
        <v>82.213114461704663</v>
      </c>
      <c r="D3222" s="39"/>
      <c r="E3222" s="39"/>
    </row>
    <row r="3223" spans="1:5" ht="15.6">
      <c r="A3223">
        <v>3168</v>
      </c>
      <c r="B3223" s="166">
        <v>121.56403371491849</v>
      </c>
      <c r="D3223" s="39"/>
      <c r="E3223" s="39"/>
    </row>
    <row r="3224" spans="1:5" ht="15.6">
      <c r="A3224">
        <v>3169</v>
      </c>
      <c r="B3224" s="166">
        <v>71.932529484603904</v>
      </c>
      <c r="D3224" s="39"/>
      <c r="E3224" s="39"/>
    </row>
    <row r="3225" spans="1:5" ht="15.6">
      <c r="A3225">
        <v>3170</v>
      </c>
      <c r="B3225" s="166">
        <v>88.797548765386296</v>
      </c>
      <c r="D3225" s="39"/>
      <c r="E3225" s="39"/>
    </row>
    <row r="3226" spans="1:5" ht="15.6">
      <c r="A3226">
        <v>3171</v>
      </c>
      <c r="B3226" s="166">
        <v>71.811343316966031</v>
      </c>
      <c r="D3226" s="39"/>
      <c r="E3226" s="39"/>
    </row>
    <row r="3227" spans="1:5" ht="15.6">
      <c r="A3227">
        <v>3172</v>
      </c>
      <c r="B3227" s="166">
        <v>110.0517780468044</v>
      </c>
      <c r="D3227" s="39"/>
      <c r="E3227" s="39"/>
    </row>
    <row r="3228" spans="1:5" ht="15.6">
      <c r="A3228">
        <v>3173</v>
      </c>
      <c r="B3228" s="166">
        <v>84.889081175720619</v>
      </c>
      <c r="D3228" s="39"/>
      <c r="E3228" s="39"/>
    </row>
    <row r="3229" spans="1:5" ht="15.6">
      <c r="A3229">
        <v>3174</v>
      </c>
      <c r="B3229" s="166">
        <v>66.406442460612737</v>
      </c>
      <c r="D3229" s="39"/>
      <c r="E3229" s="39"/>
    </row>
    <row r="3230" spans="1:5" ht="15.6">
      <c r="A3230">
        <v>3175</v>
      </c>
      <c r="B3230" s="166">
        <v>145.09210376905077</v>
      </c>
      <c r="D3230" s="39"/>
      <c r="E3230" s="39"/>
    </row>
    <row r="3231" spans="1:5" ht="15.6">
      <c r="A3231">
        <v>3176</v>
      </c>
      <c r="B3231" s="166">
        <v>114.61567068851654</v>
      </c>
      <c r="D3231" s="39"/>
      <c r="E3231" s="39"/>
    </row>
    <row r="3232" spans="1:5" ht="15.6">
      <c r="A3232">
        <v>3177</v>
      </c>
      <c r="B3232" s="166">
        <v>188.92011282282257</v>
      </c>
      <c r="D3232" s="39"/>
      <c r="E3232" s="39"/>
    </row>
    <row r="3233" spans="1:5" ht="15.6">
      <c r="A3233">
        <v>3178</v>
      </c>
      <c r="B3233" s="166">
        <v>154.78697491697511</v>
      </c>
      <c r="D3233" s="39"/>
      <c r="E3233" s="39"/>
    </row>
    <row r="3234" spans="1:5" ht="15.6">
      <c r="A3234">
        <v>3179</v>
      </c>
      <c r="B3234" s="166">
        <v>109.49887398209796</v>
      </c>
      <c r="D3234" s="39"/>
      <c r="E3234" s="39"/>
    </row>
    <row r="3235" spans="1:5" ht="15.6">
      <c r="A3235">
        <v>3180</v>
      </c>
      <c r="B3235" s="166">
        <v>85.76036115592585</v>
      </c>
      <c r="D3235" s="39"/>
      <c r="E3235" s="39"/>
    </row>
    <row r="3236" spans="1:5" ht="15.6">
      <c r="A3236">
        <v>3181</v>
      </c>
      <c r="B3236" s="166">
        <v>82.16496169875721</v>
      </c>
      <c r="D3236" s="39"/>
      <c r="E3236" s="39"/>
    </row>
    <row r="3237" spans="1:5" ht="15.6">
      <c r="A3237">
        <v>3182</v>
      </c>
      <c r="B3237" s="166">
        <v>98.113283099102489</v>
      </c>
      <c r="D3237" s="39"/>
      <c r="E3237" s="39"/>
    </row>
    <row r="3238" spans="1:5" ht="15.6">
      <c r="A3238">
        <v>3183</v>
      </c>
      <c r="B3238" s="166">
        <v>78.158697029373073</v>
      </c>
      <c r="D3238" s="39"/>
      <c r="E3238" s="39"/>
    </row>
    <row r="3239" spans="1:5" ht="15.6">
      <c r="A3239">
        <v>3184</v>
      </c>
      <c r="B3239" s="166">
        <v>80.84391997742145</v>
      </c>
      <c r="D3239" s="39"/>
      <c r="E3239" s="39"/>
    </row>
    <row r="3240" spans="1:5" ht="15.6">
      <c r="A3240">
        <v>3185</v>
      </c>
      <c r="B3240" s="166">
        <v>116.05820082357397</v>
      </c>
      <c r="D3240" s="39"/>
      <c r="E3240" s="39"/>
    </row>
    <row r="3241" spans="1:5" ht="15.6">
      <c r="A3241">
        <v>3186</v>
      </c>
      <c r="B3241" s="166">
        <v>89.284723915113204</v>
      </c>
      <c r="D3241" s="39"/>
      <c r="E3241" s="39"/>
    </row>
    <row r="3242" spans="1:5" ht="15.6">
      <c r="A3242">
        <v>3187</v>
      </c>
      <c r="B3242" s="166">
        <v>104.3767045018032</v>
      </c>
      <c r="D3242" s="39"/>
      <c r="E3242" s="39"/>
    </row>
    <row r="3243" spans="1:5" ht="15.6">
      <c r="A3243">
        <v>3188</v>
      </c>
      <c r="B3243" s="166">
        <v>162.57910287977049</v>
      </c>
      <c r="D3243" s="39"/>
      <c r="E3243" s="39"/>
    </row>
    <row r="3244" spans="1:5" ht="15.6">
      <c r="A3244">
        <v>3189</v>
      </c>
      <c r="B3244" s="166">
        <v>122.72268831795772</v>
      </c>
      <c r="D3244" s="39"/>
      <c r="E3244" s="39"/>
    </row>
    <row r="3245" spans="1:5" ht="15.6">
      <c r="A3245">
        <v>3190</v>
      </c>
      <c r="B3245" s="166">
        <v>121.58980106623228</v>
      </c>
      <c r="D3245" s="39"/>
      <c r="E3245" s="39"/>
    </row>
    <row r="3246" spans="1:5" ht="15.6">
      <c r="A3246">
        <v>3191</v>
      </c>
      <c r="B3246" s="166">
        <v>84.272338991372678</v>
      </c>
      <c r="D3246" s="39"/>
      <c r="E3246" s="39"/>
    </row>
    <row r="3247" spans="1:5" ht="15.6">
      <c r="A3247">
        <v>3192</v>
      </c>
      <c r="B3247" s="166">
        <v>133.91469801381695</v>
      </c>
      <c r="D3247" s="39"/>
      <c r="E3247" s="39"/>
    </row>
    <row r="3248" spans="1:5" ht="15.6">
      <c r="A3248">
        <v>3193</v>
      </c>
      <c r="B3248" s="166">
        <v>138.90179710337537</v>
      </c>
      <c r="D3248" s="39"/>
      <c r="E3248" s="39"/>
    </row>
    <row r="3249" spans="1:5" ht="15.6">
      <c r="A3249">
        <v>3194</v>
      </c>
      <c r="B3249" s="166">
        <v>58.066711017684213</v>
      </c>
      <c r="D3249" s="39"/>
      <c r="E3249" s="39"/>
    </row>
    <row r="3250" spans="1:5" ht="15.6">
      <c r="A3250">
        <v>3195</v>
      </c>
      <c r="B3250" s="166">
        <v>95.493057472040761</v>
      </c>
      <c r="D3250" s="39"/>
      <c r="E3250" s="39"/>
    </row>
    <row r="3251" spans="1:5" ht="15.6">
      <c r="A3251">
        <v>3196</v>
      </c>
      <c r="B3251" s="166">
        <v>105.62686111568604</v>
      </c>
      <c r="D3251" s="39"/>
      <c r="E3251" s="39"/>
    </row>
    <row r="3252" spans="1:5" ht="15.6">
      <c r="A3252">
        <v>3197</v>
      </c>
      <c r="B3252" s="166">
        <v>103.5077603679278</v>
      </c>
      <c r="D3252" s="39"/>
      <c r="E3252" s="39"/>
    </row>
    <row r="3253" spans="1:5" ht="15.6">
      <c r="A3253">
        <v>3198</v>
      </c>
      <c r="B3253" s="166">
        <v>139.02553203902255</v>
      </c>
      <c r="D3253" s="39"/>
      <c r="E3253" s="39"/>
    </row>
    <row r="3254" spans="1:5" ht="15.6">
      <c r="A3254">
        <v>3199</v>
      </c>
      <c r="B3254" s="166">
        <v>77.210547416281372</v>
      </c>
      <c r="D3254" s="39"/>
      <c r="E3254" s="39"/>
    </row>
    <row r="3255" spans="1:5" ht="15.6">
      <c r="A3255">
        <v>3200</v>
      </c>
      <c r="B3255" s="166">
        <v>165.65648358775289</v>
      </c>
      <c r="D3255" s="39"/>
      <c r="E3255" s="39"/>
    </row>
    <row r="3256" spans="1:5" ht="15.6">
      <c r="A3256">
        <v>3201</v>
      </c>
      <c r="B3256" s="166">
        <v>68.539626467079628</v>
      </c>
      <c r="D3256" s="39"/>
      <c r="E3256" s="39"/>
    </row>
    <row r="3257" spans="1:5" ht="15.6">
      <c r="A3257">
        <v>3202</v>
      </c>
      <c r="B3257" s="166">
        <v>83.459783054474272</v>
      </c>
      <c r="D3257" s="39"/>
      <c r="E3257" s="39"/>
    </row>
    <row r="3258" spans="1:5" ht="15.6">
      <c r="A3258">
        <v>3203</v>
      </c>
      <c r="B3258" s="166">
        <v>102.58706504380207</v>
      </c>
      <c r="D3258" s="39"/>
      <c r="E3258" s="39"/>
    </row>
    <row r="3259" spans="1:5" ht="15.6">
      <c r="A3259">
        <v>3204</v>
      </c>
      <c r="B3259" s="166">
        <v>140.89073379122016</v>
      </c>
      <c r="D3259" s="39"/>
      <c r="E3259" s="39"/>
    </row>
    <row r="3260" spans="1:5" ht="15.6">
      <c r="A3260">
        <v>3205</v>
      </c>
      <c r="B3260" s="166">
        <v>134.30049819944307</v>
      </c>
      <c r="D3260" s="39"/>
      <c r="E3260" s="39"/>
    </row>
    <row r="3261" spans="1:5" ht="15.6">
      <c r="A3261">
        <v>3206</v>
      </c>
      <c r="B3261" s="166">
        <v>75.139457892607524</v>
      </c>
      <c r="D3261" s="39"/>
      <c r="E3261" s="39"/>
    </row>
    <row r="3262" spans="1:5" ht="15.6">
      <c r="A3262">
        <v>3207</v>
      </c>
      <c r="B3262" s="166">
        <v>94.08425413338496</v>
      </c>
      <c r="D3262" s="39"/>
      <c r="E3262" s="39"/>
    </row>
    <row r="3263" spans="1:5" ht="15.6">
      <c r="A3263">
        <v>3208</v>
      </c>
      <c r="B3263" s="166">
        <v>257.80781643562352</v>
      </c>
      <c r="D3263" s="39"/>
      <c r="E3263" s="39"/>
    </row>
    <row r="3264" spans="1:5" ht="15.6">
      <c r="A3264">
        <v>3209</v>
      </c>
      <c r="B3264" s="166">
        <v>74.757485333715451</v>
      </c>
      <c r="D3264" s="39"/>
      <c r="E3264" s="39"/>
    </row>
    <row r="3265" spans="1:5" ht="15.6">
      <c r="A3265">
        <v>3210</v>
      </c>
      <c r="B3265" s="166">
        <v>69.014231212101365</v>
      </c>
      <c r="D3265" s="39"/>
      <c r="E3265" s="39"/>
    </row>
    <row r="3266" spans="1:5" ht="15.6">
      <c r="A3266">
        <v>3211</v>
      </c>
      <c r="B3266" s="166">
        <v>211.41883557642009</v>
      </c>
      <c r="D3266" s="39"/>
      <c r="E3266" s="39"/>
    </row>
    <row r="3267" spans="1:5" ht="15.6">
      <c r="A3267">
        <v>3212</v>
      </c>
      <c r="B3267" s="166">
        <v>83.295437928680812</v>
      </c>
      <c r="D3267" s="39"/>
      <c r="E3267" s="39"/>
    </row>
    <row r="3268" spans="1:5" ht="15.6">
      <c r="A3268">
        <v>3213</v>
      </c>
      <c r="B3268" s="166">
        <v>83.484102444332379</v>
      </c>
      <c r="D3268" s="39"/>
      <c r="E3268" s="39"/>
    </row>
    <row r="3269" spans="1:5" ht="15.6">
      <c r="A3269">
        <v>3214</v>
      </c>
      <c r="B3269" s="166">
        <v>111.06122964276049</v>
      </c>
      <c r="D3269" s="39"/>
      <c r="E3269" s="39"/>
    </row>
    <row r="3270" spans="1:5" ht="15.6">
      <c r="A3270">
        <v>3215</v>
      </c>
      <c r="B3270" s="166">
        <v>300.75943526667078</v>
      </c>
      <c r="D3270" s="39"/>
      <c r="E3270" s="39"/>
    </row>
    <row r="3271" spans="1:5" ht="15.6">
      <c r="A3271">
        <v>3216</v>
      </c>
      <c r="B3271" s="166">
        <v>67.256417547576845</v>
      </c>
      <c r="D3271" s="39"/>
      <c r="E3271" s="39"/>
    </row>
    <row r="3272" spans="1:5" ht="15.6">
      <c r="A3272">
        <v>3217</v>
      </c>
      <c r="B3272" s="166">
        <v>197.66881445532925</v>
      </c>
      <c r="D3272" s="39"/>
      <c r="E3272" s="39"/>
    </row>
    <row r="3273" spans="1:5" ht="15.6">
      <c r="A3273">
        <v>3218</v>
      </c>
      <c r="B3273" s="166">
        <v>169.4237362775996</v>
      </c>
      <c r="D3273" s="39"/>
      <c r="E3273" s="39"/>
    </row>
    <row r="3274" spans="1:5" ht="15.6">
      <c r="A3274">
        <v>3219</v>
      </c>
      <c r="B3274" s="166">
        <v>76.323536727548358</v>
      </c>
      <c r="D3274" s="39"/>
      <c r="E3274" s="39"/>
    </row>
    <row r="3275" spans="1:5" ht="15.6">
      <c r="A3275">
        <v>3220</v>
      </c>
      <c r="B3275" s="166">
        <v>108.19894098760342</v>
      </c>
      <c r="D3275" s="39"/>
      <c r="E3275" s="39"/>
    </row>
    <row r="3276" spans="1:5" ht="15.6">
      <c r="A3276">
        <v>3221</v>
      </c>
      <c r="B3276" s="166">
        <v>160.18303967032173</v>
      </c>
      <c r="D3276" s="39"/>
      <c r="E3276" s="39"/>
    </row>
    <row r="3277" spans="1:5" ht="15.6">
      <c r="A3277">
        <v>3222</v>
      </c>
      <c r="B3277" s="166">
        <v>161.12725360548117</v>
      </c>
      <c r="D3277" s="39"/>
      <c r="E3277" s="39"/>
    </row>
    <row r="3278" spans="1:5" ht="15.6">
      <c r="A3278">
        <v>3223</v>
      </c>
      <c r="B3278" s="166">
        <v>59.855431247282795</v>
      </c>
      <c r="D3278" s="39"/>
      <c r="E3278" s="39"/>
    </row>
    <row r="3279" spans="1:5" ht="15.6">
      <c r="A3279">
        <v>3224</v>
      </c>
      <c r="B3279" s="166">
        <v>186.58136176746586</v>
      </c>
      <c r="D3279" s="39"/>
      <c r="E3279" s="39"/>
    </row>
    <row r="3280" spans="1:5" ht="15.6">
      <c r="A3280">
        <v>3225</v>
      </c>
      <c r="B3280" s="166">
        <v>64.139305771955691</v>
      </c>
      <c r="D3280" s="39"/>
      <c r="E3280" s="39"/>
    </row>
    <row r="3281" spans="1:5" ht="15.6">
      <c r="A3281">
        <v>3226</v>
      </c>
      <c r="B3281" s="166">
        <v>91.532704537512785</v>
      </c>
      <c r="D3281" s="39"/>
      <c r="E3281" s="39"/>
    </row>
    <row r="3282" spans="1:5" ht="15.6">
      <c r="A3282">
        <v>3227</v>
      </c>
      <c r="B3282" s="166">
        <v>93.308840109127715</v>
      </c>
      <c r="D3282" s="39"/>
      <c r="E3282" s="39"/>
    </row>
    <row r="3283" spans="1:5" ht="15.6">
      <c r="A3283">
        <v>3228</v>
      </c>
      <c r="B3283" s="166">
        <v>150.42599512113284</v>
      </c>
      <c r="D3283" s="39"/>
      <c r="E3283" s="39"/>
    </row>
    <row r="3284" spans="1:5" ht="15.6">
      <c r="A3284">
        <v>3229</v>
      </c>
      <c r="B3284" s="166">
        <v>93.93640045279561</v>
      </c>
      <c r="D3284" s="39"/>
      <c r="E3284" s="39"/>
    </row>
    <row r="3285" spans="1:5" ht="15.6">
      <c r="A3285">
        <v>3230</v>
      </c>
      <c r="B3285" s="166">
        <v>164.91312944317107</v>
      </c>
      <c r="D3285" s="39"/>
      <c r="E3285" s="39"/>
    </row>
    <row r="3286" spans="1:5" ht="15.6">
      <c r="A3286">
        <v>3231</v>
      </c>
      <c r="B3286" s="166">
        <v>96.422100802261809</v>
      </c>
      <c r="D3286" s="39"/>
      <c r="E3286" s="39"/>
    </row>
    <row r="3287" spans="1:5" ht="15.6">
      <c r="A3287">
        <v>3232</v>
      </c>
      <c r="B3287" s="166">
        <v>82.621163838714267</v>
      </c>
      <c r="D3287" s="39"/>
      <c r="E3287" s="39"/>
    </row>
    <row r="3288" spans="1:5" ht="15.6">
      <c r="A3288">
        <v>3233</v>
      </c>
      <c r="B3288" s="166">
        <v>112.91640256946803</v>
      </c>
      <c r="D3288" s="39"/>
      <c r="E3288" s="39"/>
    </row>
    <row r="3289" spans="1:5" ht="15.6">
      <c r="A3289">
        <v>3234</v>
      </c>
      <c r="B3289" s="166">
        <v>73.213711852874098</v>
      </c>
      <c r="D3289" s="39"/>
      <c r="E3289" s="39"/>
    </row>
    <row r="3290" spans="1:5" ht="15.6">
      <c r="A3290">
        <v>3235</v>
      </c>
      <c r="B3290" s="166">
        <v>77.462632623697687</v>
      </c>
      <c r="D3290" s="39"/>
      <c r="E3290" s="39"/>
    </row>
    <row r="3291" spans="1:5" ht="15.6">
      <c r="A3291">
        <v>3236</v>
      </c>
      <c r="B3291" s="166">
        <v>101.89351410413482</v>
      </c>
      <c r="D3291" s="39"/>
      <c r="E3291" s="39"/>
    </row>
    <row r="3292" spans="1:5" ht="15.6">
      <c r="A3292">
        <v>3237</v>
      </c>
      <c r="B3292" s="166">
        <v>161.50692561519887</v>
      </c>
      <c r="D3292" s="39"/>
      <c r="E3292" s="39"/>
    </row>
    <row r="3293" spans="1:5" ht="15.6">
      <c r="A3293">
        <v>3238</v>
      </c>
      <c r="B3293" s="166">
        <v>70.370119846273454</v>
      </c>
      <c r="D3293" s="39"/>
      <c r="E3293" s="39"/>
    </row>
    <row r="3294" spans="1:5" ht="15.6">
      <c r="A3294">
        <v>3239</v>
      </c>
      <c r="B3294" s="166">
        <v>95.556385090964923</v>
      </c>
      <c r="D3294" s="39"/>
      <c r="E3294" s="39"/>
    </row>
    <row r="3295" spans="1:5" ht="15.6">
      <c r="A3295">
        <v>3240</v>
      </c>
      <c r="B3295" s="166">
        <v>147.44433997544533</v>
      </c>
      <c r="D3295" s="39"/>
      <c r="E3295" s="39"/>
    </row>
    <row r="3296" spans="1:5" ht="15.6">
      <c r="A3296">
        <v>3241</v>
      </c>
      <c r="B3296" s="166">
        <v>161.94344549374142</v>
      </c>
      <c r="D3296" s="39"/>
      <c r="E3296" s="39"/>
    </row>
    <row r="3297" spans="1:5" ht="15.6">
      <c r="A3297">
        <v>3242</v>
      </c>
      <c r="B3297" s="166">
        <v>121.03218234005244</v>
      </c>
      <c r="D3297" s="39"/>
      <c r="E3297" s="39"/>
    </row>
    <row r="3298" spans="1:5" ht="15.6">
      <c r="A3298">
        <v>3243</v>
      </c>
      <c r="B3298" s="166">
        <v>85.281737914546483</v>
      </c>
      <c r="D3298" s="39"/>
      <c r="E3298" s="39"/>
    </row>
    <row r="3299" spans="1:5" ht="15.6">
      <c r="A3299">
        <v>3244</v>
      </c>
      <c r="B3299" s="166">
        <v>71.064360464860286</v>
      </c>
      <c r="D3299" s="39"/>
      <c r="E3299" s="39"/>
    </row>
    <row r="3300" spans="1:5" ht="15.6">
      <c r="A3300">
        <v>3245</v>
      </c>
      <c r="B3300" s="166">
        <v>118.9129452214284</v>
      </c>
      <c r="D3300" s="39"/>
      <c r="E3300" s="39"/>
    </row>
    <row r="3301" spans="1:5" ht="15.6">
      <c r="A3301">
        <v>3246</v>
      </c>
      <c r="B3301" s="166">
        <v>139.60989925356481</v>
      </c>
      <c r="D3301" s="39"/>
      <c r="E3301" s="39"/>
    </row>
    <row r="3302" spans="1:5" ht="15.6">
      <c r="A3302">
        <v>3247</v>
      </c>
      <c r="B3302" s="166">
        <v>82.814423283471527</v>
      </c>
      <c r="D3302" s="39"/>
      <c r="E3302" s="39"/>
    </row>
    <row r="3303" spans="1:5" ht="15.6">
      <c r="A3303">
        <v>3248</v>
      </c>
      <c r="B3303" s="166">
        <v>69.086348755119189</v>
      </c>
      <c r="D3303" s="39"/>
      <c r="E3303" s="39"/>
    </row>
    <row r="3304" spans="1:5" ht="15.6">
      <c r="A3304">
        <v>3249</v>
      </c>
      <c r="B3304" s="166">
        <v>66.539898426256414</v>
      </c>
      <c r="D3304" s="39"/>
      <c r="E3304" s="39"/>
    </row>
    <row r="3305" spans="1:5" ht="15.6">
      <c r="A3305">
        <v>3250</v>
      </c>
      <c r="B3305" s="166">
        <v>67.581533428752138</v>
      </c>
      <c r="D3305" s="39"/>
      <c r="E3305" s="39"/>
    </row>
    <row r="3306" spans="1:5" ht="15.6">
      <c r="A3306">
        <v>3251</v>
      </c>
      <c r="B3306" s="166">
        <v>137.69653596135831</v>
      </c>
      <c r="D3306" s="39"/>
      <c r="E3306" s="39"/>
    </row>
    <row r="3307" spans="1:5" ht="15.6">
      <c r="A3307">
        <v>3252</v>
      </c>
      <c r="B3307" s="166">
        <v>92.513935886574146</v>
      </c>
      <c r="D3307" s="39"/>
      <c r="E3307" s="39"/>
    </row>
    <row r="3308" spans="1:5" ht="15.6">
      <c r="A3308">
        <v>3253</v>
      </c>
      <c r="B3308" s="166">
        <v>65.924825004740782</v>
      </c>
      <c r="D3308" s="39"/>
      <c r="E3308" s="39"/>
    </row>
    <row r="3309" spans="1:5" ht="15.6">
      <c r="A3309">
        <v>3254</v>
      </c>
      <c r="B3309" s="166">
        <v>61.052007370200947</v>
      </c>
      <c r="D3309" s="39"/>
      <c r="E3309" s="39"/>
    </row>
    <row r="3310" spans="1:5" ht="15.6">
      <c r="A3310">
        <v>3255</v>
      </c>
      <c r="B3310" s="166">
        <v>106.87619338629644</v>
      </c>
      <c r="D3310" s="39"/>
      <c r="E3310" s="39"/>
    </row>
    <row r="3311" spans="1:5" ht="15.6">
      <c r="A3311">
        <v>3256</v>
      </c>
      <c r="B3311" s="166">
        <v>105.20827580754364</v>
      </c>
      <c r="D3311" s="39"/>
      <c r="E3311" s="39"/>
    </row>
    <row r="3312" spans="1:5" ht="15.6">
      <c r="A3312">
        <v>3257</v>
      </c>
      <c r="B3312" s="166">
        <v>95.024344034384185</v>
      </c>
      <c r="D3312" s="39"/>
      <c r="E3312" s="39"/>
    </row>
    <row r="3313" spans="1:5" ht="15.6">
      <c r="A3313">
        <v>3258</v>
      </c>
      <c r="B3313" s="166">
        <v>68.770070013129299</v>
      </c>
      <c r="D3313" s="39"/>
      <c r="E3313" s="39"/>
    </row>
    <row r="3314" spans="1:5" ht="15.6">
      <c r="A3314">
        <v>3259</v>
      </c>
      <c r="B3314" s="166">
        <v>126.30675090561155</v>
      </c>
      <c r="D3314" s="39"/>
      <c r="E3314" s="39"/>
    </row>
    <row r="3315" spans="1:5" ht="15.6">
      <c r="A3315">
        <v>3260</v>
      </c>
      <c r="B3315" s="166">
        <v>133.95414731962993</v>
      </c>
      <c r="D3315" s="39"/>
      <c r="E3315" s="39"/>
    </row>
    <row r="3316" spans="1:5" ht="15.6">
      <c r="A3316">
        <v>3261</v>
      </c>
      <c r="B3316" s="166">
        <v>106.80941282688073</v>
      </c>
      <c r="D3316" s="39"/>
      <c r="E3316" s="39"/>
    </row>
    <row r="3317" spans="1:5" ht="15.6">
      <c r="A3317">
        <v>3262</v>
      </c>
      <c r="B3317" s="166">
        <v>109.12144627407828</v>
      </c>
      <c r="D3317" s="39"/>
      <c r="E3317" s="39"/>
    </row>
    <row r="3318" spans="1:5" ht="15.6">
      <c r="A3318">
        <v>3263</v>
      </c>
      <c r="B3318" s="166">
        <v>128.45823810843925</v>
      </c>
      <c r="D3318" s="39"/>
      <c r="E3318" s="39"/>
    </row>
    <row r="3319" spans="1:5" ht="15.6">
      <c r="A3319">
        <v>3264</v>
      </c>
      <c r="B3319" s="166">
        <v>99.230245506923993</v>
      </c>
      <c r="D3319" s="39"/>
      <c r="E3319" s="39"/>
    </row>
    <row r="3320" spans="1:5" ht="15.6">
      <c r="A3320">
        <v>3265</v>
      </c>
      <c r="B3320" s="166">
        <v>142.17053674149119</v>
      </c>
      <c r="D3320" s="39"/>
      <c r="E3320" s="39"/>
    </row>
    <row r="3321" spans="1:5" ht="15.6">
      <c r="A3321">
        <v>3266</v>
      </c>
      <c r="B3321" s="166">
        <v>92.409415512723811</v>
      </c>
      <c r="D3321" s="39"/>
      <c r="E3321" s="39"/>
    </row>
    <row r="3322" spans="1:5" ht="15.6">
      <c r="A3322">
        <v>3267</v>
      </c>
      <c r="B3322" s="166">
        <v>112.14859562528495</v>
      </c>
      <c r="D3322" s="39"/>
      <c r="E3322" s="39"/>
    </row>
    <row r="3323" spans="1:5" ht="15.6">
      <c r="A3323">
        <v>3268</v>
      </c>
      <c r="B3323" s="166">
        <v>97.34973492789517</v>
      </c>
      <c r="D3323" s="39"/>
      <c r="E3323" s="39"/>
    </row>
    <row r="3324" spans="1:5" ht="15.6">
      <c r="A3324">
        <v>3269</v>
      </c>
      <c r="B3324" s="166">
        <v>63.417449059712091</v>
      </c>
      <c r="D3324" s="39"/>
      <c r="E3324" s="39"/>
    </row>
    <row r="3325" spans="1:5" ht="15.6">
      <c r="A3325">
        <v>3270</v>
      </c>
      <c r="B3325" s="166">
        <v>131.84456350447726</v>
      </c>
      <c r="D3325" s="39"/>
      <c r="E3325" s="39"/>
    </row>
    <row r="3326" spans="1:5" ht="15.6">
      <c r="A3326">
        <v>3271</v>
      </c>
      <c r="B3326" s="166">
        <v>118.51366437560213</v>
      </c>
      <c r="D3326" s="39"/>
      <c r="E3326" s="39"/>
    </row>
    <row r="3327" spans="1:5" ht="15.6">
      <c r="A3327">
        <v>3272</v>
      </c>
      <c r="B3327" s="166">
        <v>70.553803206632523</v>
      </c>
      <c r="D3327" s="39"/>
      <c r="E3327" s="39"/>
    </row>
    <row r="3328" spans="1:5" ht="15.6">
      <c r="A3328">
        <v>3273</v>
      </c>
      <c r="B3328" s="166">
        <v>182.49815116825687</v>
      </c>
      <c r="D3328" s="39"/>
      <c r="E3328" s="39"/>
    </row>
    <row r="3329" spans="1:5" ht="15.6">
      <c r="A3329">
        <v>3274</v>
      </c>
      <c r="B3329" s="166">
        <v>113.67670046188773</v>
      </c>
      <c r="D3329" s="39"/>
      <c r="E3329" s="39"/>
    </row>
    <row r="3330" spans="1:5" ht="15.6">
      <c r="A3330">
        <v>3275</v>
      </c>
      <c r="B3330" s="166">
        <v>131.97657580227298</v>
      </c>
      <c r="D3330" s="39"/>
      <c r="E3330" s="39"/>
    </row>
    <row r="3331" spans="1:5" ht="15.6">
      <c r="A3331">
        <v>3276</v>
      </c>
      <c r="B3331" s="166">
        <v>54.383230222335129</v>
      </c>
      <c r="D3331" s="39"/>
      <c r="E3331" s="39"/>
    </row>
    <row r="3332" spans="1:5" ht="15.6">
      <c r="A3332">
        <v>3277</v>
      </c>
      <c r="B3332" s="166">
        <v>102.74917118561029</v>
      </c>
      <c r="D3332" s="39"/>
      <c r="E3332" s="39"/>
    </row>
    <row r="3333" spans="1:5" ht="15.6">
      <c r="A3333">
        <v>3278</v>
      </c>
      <c r="B3333" s="166">
        <v>76.002270101472902</v>
      </c>
      <c r="D3333" s="39"/>
      <c r="E3333" s="39"/>
    </row>
    <row r="3334" spans="1:5" ht="15.6">
      <c r="A3334">
        <v>3279</v>
      </c>
      <c r="B3334" s="166">
        <v>119.32775979829418</v>
      </c>
      <c r="D3334" s="39"/>
      <c r="E3334" s="39"/>
    </row>
    <row r="3335" spans="1:5" ht="15.6">
      <c r="A3335">
        <v>3280</v>
      </c>
      <c r="B3335" s="166">
        <v>186.6089659904178</v>
      </c>
      <c r="D3335" s="39"/>
      <c r="E3335" s="39"/>
    </row>
    <row r="3336" spans="1:5" ht="15.6">
      <c r="A3336">
        <v>3281</v>
      </c>
      <c r="B3336" s="166">
        <v>71.054073963769866</v>
      </c>
      <c r="D3336" s="39"/>
      <c r="E3336" s="39"/>
    </row>
    <row r="3337" spans="1:5" ht="15.6">
      <c r="A3337">
        <v>3282</v>
      </c>
      <c r="B3337" s="166">
        <v>144.0509954748359</v>
      </c>
      <c r="D3337" s="39"/>
      <c r="E3337" s="39"/>
    </row>
    <row r="3338" spans="1:5" ht="15.6">
      <c r="A3338">
        <v>3283</v>
      </c>
      <c r="B3338" s="166">
        <v>60.119167604120229</v>
      </c>
      <c r="D3338" s="39"/>
      <c r="E3338" s="39"/>
    </row>
    <row r="3339" spans="1:5" ht="15.6">
      <c r="A3339">
        <v>3284</v>
      </c>
      <c r="B3339" s="166">
        <v>98.352299012962234</v>
      </c>
      <c r="D3339" s="39"/>
      <c r="E3339" s="39"/>
    </row>
    <row r="3340" spans="1:5" ht="15.6">
      <c r="A3340">
        <v>3285</v>
      </c>
      <c r="B3340" s="166">
        <v>142.61669924513208</v>
      </c>
      <c r="D3340" s="39"/>
      <c r="E3340" s="39"/>
    </row>
    <row r="3341" spans="1:5" ht="15.6">
      <c r="A3341">
        <v>3286</v>
      </c>
      <c r="B3341" s="166">
        <v>68.271839356865172</v>
      </c>
      <c r="D3341" s="39"/>
      <c r="E3341" s="39"/>
    </row>
    <row r="3342" spans="1:5" ht="15.6">
      <c r="A3342">
        <v>3287</v>
      </c>
      <c r="B3342" s="166">
        <v>191.09940093953159</v>
      </c>
      <c r="D3342" s="39"/>
      <c r="E3342" s="39"/>
    </row>
    <row r="3343" spans="1:5" ht="15.6">
      <c r="A3343">
        <v>3288</v>
      </c>
      <c r="B3343" s="166">
        <v>134.83816477120357</v>
      </c>
      <c r="D3343" s="39"/>
      <c r="E3343" s="39"/>
    </row>
    <row r="3344" spans="1:5" ht="15.6">
      <c r="A3344">
        <v>3289</v>
      </c>
      <c r="B3344" s="166">
        <v>93.088251807596336</v>
      </c>
      <c r="D3344" s="39"/>
      <c r="E3344" s="39"/>
    </row>
    <row r="3345" spans="1:5" ht="15.6">
      <c r="A3345">
        <v>3290</v>
      </c>
      <c r="B3345" s="166">
        <v>76.238246612788146</v>
      </c>
      <c r="D3345" s="39"/>
      <c r="E3345" s="39"/>
    </row>
    <row r="3346" spans="1:5" ht="15.6">
      <c r="A3346">
        <v>3291</v>
      </c>
      <c r="B3346" s="166">
        <v>54.050717645792588</v>
      </c>
      <c r="D3346" s="39"/>
      <c r="E3346" s="39"/>
    </row>
    <row r="3347" spans="1:5" ht="15.6">
      <c r="A3347">
        <v>3292</v>
      </c>
      <c r="B3347" s="166">
        <v>153.27734656456545</v>
      </c>
      <c r="D3347" s="39"/>
      <c r="E3347" s="39"/>
    </row>
    <row r="3348" spans="1:5" ht="15.6">
      <c r="A3348">
        <v>3293</v>
      </c>
      <c r="B3348" s="166">
        <v>143.42452085211869</v>
      </c>
      <c r="D3348" s="39"/>
      <c r="E3348" s="39"/>
    </row>
    <row r="3349" spans="1:5" ht="15.6">
      <c r="A3349">
        <v>3294</v>
      </c>
      <c r="B3349" s="166">
        <v>163.77765050264929</v>
      </c>
      <c r="D3349" s="39"/>
      <c r="E3349" s="39"/>
    </row>
    <row r="3350" spans="1:5" ht="15.6">
      <c r="A3350">
        <v>3295</v>
      </c>
      <c r="B3350" s="166">
        <v>102.909058389135</v>
      </c>
      <c r="D3350" s="39"/>
      <c r="E3350" s="39"/>
    </row>
    <row r="3351" spans="1:5" ht="15.6">
      <c r="A3351">
        <v>3296</v>
      </c>
      <c r="B3351" s="166">
        <v>199.63370911988207</v>
      </c>
      <c r="D3351" s="39"/>
      <c r="E3351" s="39"/>
    </row>
    <row r="3352" spans="1:5" ht="15.6">
      <c r="A3352">
        <v>3297</v>
      </c>
      <c r="B3352" s="166">
        <v>111.62687703674099</v>
      </c>
      <c r="D3352" s="39"/>
      <c r="E3352" s="39"/>
    </row>
    <row r="3353" spans="1:5" ht="15.6">
      <c r="A3353">
        <v>3298</v>
      </c>
      <c r="B3353" s="166">
        <v>75.783410844931495</v>
      </c>
      <c r="D3353" s="39"/>
      <c r="E3353" s="39"/>
    </row>
    <row r="3354" spans="1:5" ht="15.6">
      <c r="A3354">
        <v>3299</v>
      </c>
      <c r="B3354" s="166">
        <v>118.8939268658218</v>
      </c>
      <c r="D3354" s="39"/>
      <c r="E3354" s="39"/>
    </row>
    <row r="3355" spans="1:5" ht="15.6">
      <c r="A3355">
        <v>3300</v>
      </c>
      <c r="B3355" s="166">
        <v>77.452533506961032</v>
      </c>
      <c r="D3355" s="39"/>
      <c r="E3355" s="39"/>
    </row>
    <row r="3356" spans="1:5" ht="15.6">
      <c r="A3356">
        <v>3301</v>
      </c>
      <c r="B3356" s="166">
        <v>119.008868810431</v>
      </c>
      <c r="D3356" s="39"/>
      <c r="E3356" s="39"/>
    </row>
    <row r="3357" spans="1:5" ht="15.6">
      <c r="A3357">
        <v>3302</v>
      </c>
      <c r="B3357" s="166">
        <v>74.17435759255406</v>
      </c>
      <c r="D3357" s="39"/>
      <c r="E3357" s="39"/>
    </row>
    <row r="3358" spans="1:5" ht="15.6">
      <c r="A3358">
        <v>3303</v>
      </c>
      <c r="B3358" s="166">
        <v>101.65110457835588</v>
      </c>
      <c r="D3358" s="39"/>
      <c r="E3358" s="39"/>
    </row>
    <row r="3359" spans="1:5" ht="15.6">
      <c r="A3359">
        <v>3304</v>
      </c>
      <c r="B3359" s="166">
        <v>102.21506147972087</v>
      </c>
      <c r="D3359" s="39"/>
      <c r="E3359" s="39"/>
    </row>
    <row r="3360" spans="1:5" ht="15.6">
      <c r="A3360">
        <v>3305</v>
      </c>
      <c r="B3360" s="166">
        <v>56.444752695357998</v>
      </c>
      <c r="D3360" s="39"/>
      <c r="E3360" s="39"/>
    </row>
    <row r="3361" spans="1:5" ht="15.6">
      <c r="A3361">
        <v>3306</v>
      </c>
      <c r="B3361" s="166">
        <v>155.6504385919477</v>
      </c>
      <c r="D3361" s="39"/>
      <c r="E3361" s="39"/>
    </row>
    <row r="3362" spans="1:5" ht="15.6">
      <c r="A3362">
        <v>3307</v>
      </c>
      <c r="B3362" s="166">
        <v>167.21429116547418</v>
      </c>
      <c r="D3362" s="39"/>
      <c r="E3362" s="39"/>
    </row>
    <row r="3363" spans="1:5" ht="15.6">
      <c r="A3363">
        <v>3308</v>
      </c>
      <c r="B3363" s="166">
        <v>61.75030654363345</v>
      </c>
      <c r="D3363" s="39"/>
      <c r="E3363" s="39"/>
    </row>
    <row r="3364" spans="1:5" ht="15.6">
      <c r="A3364">
        <v>3309</v>
      </c>
      <c r="B3364" s="166">
        <v>72.073882832265625</v>
      </c>
      <c r="D3364" s="39"/>
      <c r="E3364" s="39"/>
    </row>
    <row r="3365" spans="1:5" ht="15.6">
      <c r="A3365">
        <v>3310</v>
      </c>
      <c r="B3365" s="166">
        <v>97.813168327019355</v>
      </c>
      <c r="D3365" s="39"/>
      <c r="E3365" s="39"/>
    </row>
    <row r="3366" spans="1:5" ht="15.6">
      <c r="A3366">
        <v>3311</v>
      </c>
      <c r="B3366" s="166">
        <v>117.21384876478632</v>
      </c>
      <c r="D3366" s="39"/>
      <c r="E3366" s="39"/>
    </row>
    <row r="3367" spans="1:5" ht="15.6">
      <c r="A3367">
        <v>3312</v>
      </c>
      <c r="B3367" s="166">
        <v>197.90852419540789</v>
      </c>
      <c r="D3367" s="39"/>
      <c r="E3367" s="39"/>
    </row>
    <row r="3368" spans="1:5" ht="15.6">
      <c r="A3368">
        <v>3313</v>
      </c>
      <c r="B3368" s="166">
        <v>176.67400269881625</v>
      </c>
      <c r="D3368" s="39"/>
      <c r="E3368" s="39"/>
    </row>
    <row r="3369" spans="1:5" ht="15.6">
      <c r="A3369">
        <v>3314</v>
      </c>
      <c r="B3369" s="166">
        <v>268.49517801657333</v>
      </c>
      <c r="D3369" s="39"/>
      <c r="E3369" s="39"/>
    </row>
    <row r="3370" spans="1:5" ht="15.6">
      <c r="A3370">
        <v>3315</v>
      </c>
      <c r="B3370" s="166">
        <v>52.955395851109181</v>
      </c>
      <c r="D3370" s="39"/>
      <c r="E3370" s="39"/>
    </row>
    <row r="3371" spans="1:5" ht="15.6">
      <c r="A3371">
        <v>3316</v>
      </c>
      <c r="B3371" s="166">
        <v>116.93898432456302</v>
      </c>
      <c r="D3371" s="39"/>
      <c r="E3371" s="39"/>
    </row>
    <row r="3372" spans="1:5" ht="15.6">
      <c r="A3372">
        <v>3317</v>
      </c>
      <c r="B3372" s="166">
        <v>71.11024387140246</v>
      </c>
      <c r="D3372" s="39"/>
      <c r="E3372" s="39"/>
    </row>
    <row r="3373" spans="1:5" ht="15.6">
      <c r="A3373">
        <v>3318</v>
      </c>
      <c r="B3373" s="166">
        <v>85.240229292981624</v>
      </c>
      <c r="D3373" s="39"/>
      <c r="E3373" s="39"/>
    </row>
    <row r="3374" spans="1:5" ht="15.6">
      <c r="A3374">
        <v>3319</v>
      </c>
      <c r="B3374" s="166">
        <v>98.719886895930642</v>
      </c>
      <c r="D3374" s="39"/>
      <c r="E3374" s="39"/>
    </row>
    <row r="3375" spans="1:5" ht="15.6">
      <c r="A3375">
        <v>3320</v>
      </c>
      <c r="B3375" s="166">
        <v>125.29359766662706</v>
      </c>
      <c r="D3375" s="39"/>
      <c r="E3375" s="39"/>
    </row>
    <row r="3376" spans="1:5" ht="15.6">
      <c r="A3376">
        <v>3321</v>
      </c>
      <c r="B3376" s="166">
        <v>119.96454373361358</v>
      </c>
      <c r="D3376" s="39"/>
      <c r="E3376" s="39"/>
    </row>
    <row r="3377" spans="1:5" ht="15.6">
      <c r="A3377">
        <v>3322</v>
      </c>
      <c r="B3377" s="166">
        <v>197.92466254928826</v>
      </c>
      <c r="D3377" s="39"/>
      <c r="E3377" s="39"/>
    </row>
    <row r="3378" spans="1:5" ht="15.6">
      <c r="A3378">
        <v>3323</v>
      </c>
      <c r="B3378" s="166">
        <v>86.552773269683598</v>
      </c>
      <c r="D3378" s="39"/>
      <c r="E3378" s="39"/>
    </row>
    <row r="3379" spans="1:5" ht="15.6">
      <c r="A3379">
        <v>3324</v>
      </c>
      <c r="B3379" s="166">
        <v>111.43236045853646</v>
      </c>
      <c r="D3379" s="39"/>
      <c r="E3379" s="39"/>
    </row>
    <row r="3380" spans="1:5" ht="15.6">
      <c r="A3380">
        <v>3325</v>
      </c>
      <c r="B3380" s="166">
        <v>88.169523776312161</v>
      </c>
      <c r="D3380" s="39"/>
      <c r="E3380" s="39"/>
    </row>
    <row r="3381" spans="1:5" ht="15.6">
      <c r="A3381">
        <v>3326</v>
      </c>
      <c r="B3381" s="166">
        <v>60.704490542278286</v>
      </c>
      <c r="D3381" s="39"/>
      <c r="E3381" s="39"/>
    </row>
    <row r="3382" spans="1:5" ht="15.6">
      <c r="A3382">
        <v>3327</v>
      </c>
      <c r="B3382" s="166">
        <v>85.788575418490623</v>
      </c>
      <c r="D3382" s="39"/>
      <c r="E3382" s="39"/>
    </row>
    <row r="3383" spans="1:5" ht="15.6">
      <c r="A3383">
        <v>3328</v>
      </c>
      <c r="B3383" s="166">
        <v>68.999801153475872</v>
      </c>
      <c r="D3383" s="39"/>
      <c r="E3383" s="39"/>
    </row>
    <row r="3384" spans="1:5" ht="15.6">
      <c r="A3384">
        <v>3329</v>
      </c>
      <c r="B3384" s="166">
        <v>99.773936358212481</v>
      </c>
      <c r="D3384" s="39"/>
      <c r="E3384" s="39"/>
    </row>
    <row r="3385" spans="1:5" ht="15.6">
      <c r="A3385">
        <v>3330</v>
      </c>
      <c r="B3385" s="166">
        <v>116.7500050549189</v>
      </c>
      <c r="D3385" s="39"/>
      <c r="E3385" s="39"/>
    </row>
    <row r="3386" spans="1:5" ht="15.6">
      <c r="A3386">
        <v>3331</v>
      </c>
      <c r="B3386" s="166">
        <v>103.7539837307099</v>
      </c>
      <c r="D3386" s="39"/>
      <c r="E3386" s="39"/>
    </row>
    <row r="3387" spans="1:5" ht="15.6">
      <c r="A3387">
        <v>3332</v>
      </c>
      <c r="B3387" s="166">
        <v>118.5270472860359</v>
      </c>
      <c r="D3387" s="39"/>
      <c r="E3387" s="39"/>
    </row>
    <row r="3388" spans="1:5" ht="15.6">
      <c r="A3388">
        <v>3333</v>
      </c>
      <c r="B3388" s="166">
        <v>83.964537251207787</v>
      </c>
      <c r="D3388" s="39"/>
      <c r="E3388" s="39"/>
    </row>
    <row r="3389" spans="1:5" ht="15.6">
      <c r="A3389">
        <v>3334</v>
      </c>
      <c r="B3389" s="166">
        <v>51.176778422293843</v>
      </c>
      <c r="D3389" s="39"/>
      <c r="E3389" s="39"/>
    </row>
    <row r="3390" spans="1:5" ht="15.6">
      <c r="A3390">
        <v>3335</v>
      </c>
      <c r="B3390" s="166">
        <v>48.042152697423298</v>
      </c>
      <c r="D3390" s="39"/>
      <c r="E3390" s="39"/>
    </row>
    <row r="3391" spans="1:5" ht="15.6">
      <c r="A3391">
        <v>3336</v>
      </c>
      <c r="B3391" s="166">
        <v>46.187436874503526</v>
      </c>
      <c r="D3391" s="39"/>
      <c r="E3391" s="39"/>
    </row>
    <row r="3392" spans="1:5" ht="15.6">
      <c r="A3392">
        <v>3337</v>
      </c>
      <c r="B3392" s="166">
        <v>129.01479420351023</v>
      </c>
      <c r="D3392" s="39"/>
      <c r="E3392" s="39"/>
    </row>
    <row r="3393" spans="1:5" ht="15.6">
      <c r="A3393">
        <v>3338</v>
      </c>
      <c r="B3393" s="166">
        <v>149.11772685844247</v>
      </c>
      <c r="D3393" s="39"/>
      <c r="E3393" s="39"/>
    </row>
    <row r="3394" spans="1:5" ht="15.6">
      <c r="A3394">
        <v>3339</v>
      </c>
      <c r="B3394" s="166">
        <v>200.09362295289094</v>
      </c>
      <c r="D3394" s="39"/>
      <c r="E3394" s="39"/>
    </row>
    <row r="3395" spans="1:5" ht="15.6">
      <c r="A3395">
        <v>3340</v>
      </c>
      <c r="B3395" s="166">
        <v>102.50872644574073</v>
      </c>
      <c r="D3395" s="39"/>
      <c r="E3395" s="39"/>
    </row>
    <row r="3396" spans="1:5" ht="15.6">
      <c r="A3396">
        <v>3341</v>
      </c>
      <c r="B3396" s="166">
        <v>60.320884843958048</v>
      </c>
      <c r="D3396" s="39"/>
      <c r="E3396" s="39"/>
    </row>
    <row r="3397" spans="1:5" ht="15.6">
      <c r="A3397">
        <v>3342</v>
      </c>
      <c r="B3397" s="166">
        <v>165.67152417875729</v>
      </c>
      <c r="D3397" s="39"/>
      <c r="E3397" s="39"/>
    </row>
    <row r="3398" spans="1:5" ht="15.6">
      <c r="A3398">
        <v>3343</v>
      </c>
      <c r="B3398" s="166">
        <v>98.035988869004129</v>
      </c>
      <c r="D3398" s="39"/>
      <c r="E3398" s="39"/>
    </row>
    <row r="3399" spans="1:5" ht="15.6">
      <c r="A3399">
        <v>3344</v>
      </c>
      <c r="B3399" s="166">
        <v>74.0462098053668</v>
      </c>
      <c r="D3399" s="39"/>
      <c r="E3399" s="39"/>
    </row>
    <row r="3400" spans="1:5" ht="15.6">
      <c r="A3400">
        <v>3345</v>
      </c>
      <c r="B3400" s="166">
        <v>145.0371942819269</v>
      </c>
      <c r="D3400" s="39"/>
      <c r="E3400" s="39"/>
    </row>
    <row r="3401" spans="1:5" ht="15.6">
      <c r="A3401">
        <v>3346</v>
      </c>
      <c r="B3401" s="166">
        <v>170.77967531940271</v>
      </c>
      <c r="D3401" s="39"/>
      <c r="E3401" s="39"/>
    </row>
    <row r="3402" spans="1:5" ht="15.6">
      <c r="A3402">
        <v>3347</v>
      </c>
      <c r="B3402" s="166">
        <v>89.721826810334065</v>
      </c>
      <c r="D3402" s="39"/>
      <c r="E3402" s="39"/>
    </row>
    <row r="3403" spans="1:5" ht="15.6">
      <c r="A3403">
        <v>3348</v>
      </c>
      <c r="B3403" s="166">
        <v>121.77823917877268</v>
      </c>
      <c r="D3403" s="39"/>
      <c r="E3403" s="39"/>
    </row>
    <row r="3404" spans="1:5" ht="15.6">
      <c r="A3404">
        <v>3349</v>
      </c>
      <c r="B3404" s="166">
        <v>78.323177467624149</v>
      </c>
      <c r="D3404" s="39"/>
      <c r="E3404" s="39"/>
    </row>
    <row r="3405" spans="1:5" ht="15.6">
      <c r="A3405">
        <v>3350</v>
      </c>
      <c r="B3405" s="166">
        <v>74.090003516467291</v>
      </c>
      <c r="D3405" s="39"/>
      <c r="E3405" s="39"/>
    </row>
    <row r="3406" spans="1:5" ht="15.6">
      <c r="A3406">
        <v>3351</v>
      </c>
      <c r="B3406" s="166">
        <v>107.7498094489529</v>
      </c>
      <c r="D3406" s="39"/>
      <c r="E3406" s="39"/>
    </row>
    <row r="3407" spans="1:5" ht="15.6">
      <c r="A3407">
        <v>3352</v>
      </c>
      <c r="B3407" s="166">
        <v>127.06041974081087</v>
      </c>
      <c r="D3407" s="39"/>
      <c r="E3407" s="39"/>
    </row>
    <row r="3408" spans="1:5" ht="15.6">
      <c r="A3408">
        <v>3353</v>
      </c>
      <c r="B3408" s="166">
        <v>114.2592823272568</v>
      </c>
      <c r="D3408" s="39"/>
      <c r="E3408" s="39"/>
    </row>
    <row r="3409" spans="1:5" ht="15.6">
      <c r="A3409">
        <v>3354</v>
      </c>
      <c r="B3409" s="166">
        <v>155.35495080116499</v>
      </c>
      <c r="D3409" s="39"/>
      <c r="E3409" s="39"/>
    </row>
    <row r="3410" spans="1:5" ht="15.6">
      <c r="A3410">
        <v>3355</v>
      </c>
      <c r="B3410" s="166">
        <v>89.42445333729934</v>
      </c>
      <c r="D3410" s="39"/>
      <c r="E3410" s="39"/>
    </row>
    <row r="3411" spans="1:5" ht="15.6">
      <c r="A3411">
        <v>3356</v>
      </c>
      <c r="B3411" s="166">
        <v>117.19681057012521</v>
      </c>
      <c r="D3411" s="39"/>
      <c r="E3411" s="39"/>
    </row>
    <row r="3412" spans="1:5" ht="15.6">
      <c r="A3412">
        <v>3357</v>
      </c>
      <c r="B3412" s="166">
        <v>160.54943637178704</v>
      </c>
      <c r="D3412" s="39"/>
      <c r="E3412" s="39"/>
    </row>
    <row r="3413" spans="1:5" ht="15.6">
      <c r="A3413">
        <v>3358</v>
      </c>
      <c r="B3413" s="166">
        <v>96.968076395589691</v>
      </c>
      <c r="D3413" s="39"/>
      <c r="E3413" s="39"/>
    </row>
    <row r="3414" spans="1:5" ht="15.6">
      <c r="A3414">
        <v>3359</v>
      </c>
      <c r="B3414" s="166">
        <v>122.64871635290294</v>
      </c>
      <c r="D3414" s="39"/>
      <c r="E3414" s="39"/>
    </row>
    <row r="3415" spans="1:5" ht="15.6">
      <c r="A3415">
        <v>3360</v>
      </c>
      <c r="B3415" s="166">
        <v>79.366259763264793</v>
      </c>
      <c r="D3415" s="39"/>
      <c r="E3415" s="39"/>
    </row>
    <row r="3416" spans="1:5" ht="15.6">
      <c r="A3416">
        <v>3361</v>
      </c>
      <c r="B3416" s="166">
        <v>94.632086838366561</v>
      </c>
      <c r="D3416" s="39"/>
      <c r="E3416" s="39"/>
    </row>
    <row r="3417" spans="1:5" ht="15.6">
      <c r="A3417">
        <v>3362</v>
      </c>
      <c r="B3417" s="166">
        <v>74.628225865824504</v>
      </c>
      <c r="D3417" s="39"/>
      <c r="E3417" s="39"/>
    </row>
    <row r="3418" spans="1:5" ht="15.6">
      <c r="A3418">
        <v>3363</v>
      </c>
      <c r="B3418" s="166">
        <v>127.30177130348808</v>
      </c>
      <c r="D3418" s="39"/>
      <c r="E3418" s="39"/>
    </row>
    <row r="3419" spans="1:5" ht="15.6">
      <c r="A3419">
        <v>3364</v>
      </c>
      <c r="B3419" s="166">
        <v>62.09261828263967</v>
      </c>
      <c r="D3419" s="39"/>
      <c r="E3419" s="39"/>
    </row>
    <row r="3420" spans="1:5" ht="15.6">
      <c r="A3420">
        <v>3365</v>
      </c>
      <c r="B3420" s="166">
        <v>91.905996000608127</v>
      </c>
      <c r="D3420" s="39"/>
      <c r="E3420" s="39"/>
    </row>
    <row r="3421" spans="1:5" ht="15.6">
      <c r="A3421">
        <v>3366</v>
      </c>
      <c r="B3421" s="166">
        <v>88.172134937708023</v>
      </c>
      <c r="D3421" s="39"/>
      <c r="E3421" s="39"/>
    </row>
    <row r="3422" spans="1:5" ht="15.6">
      <c r="A3422">
        <v>3367</v>
      </c>
      <c r="B3422" s="166">
        <v>74.696252333657299</v>
      </c>
      <c r="D3422" s="39"/>
      <c r="E3422" s="39"/>
    </row>
    <row r="3423" spans="1:5" ht="15.6">
      <c r="A3423">
        <v>3368</v>
      </c>
      <c r="B3423" s="166">
        <v>68.875197093690758</v>
      </c>
      <c r="D3423" s="39"/>
      <c r="E3423" s="39"/>
    </row>
    <row r="3424" spans="1:5" ht="15.6">
      <c r="A3424">
        <v>3369</v>
      </c>
      <c r="B3424" s="166">
        <v>71.88174739769552</v>
      </c>
      <c r="D3424" s="39"/>
      <c r="E3424" s="39"/>
    </row>
    <row r="3425" spans="1:5" ht="15.6">
      <c r="A3425">
        <v>3370</v>
      </c>
      <c r="B3425" s="166">
        <v>187.27578451162051</v>
      </c>
      <c r="D3425" s="39"/>
      <c r="E3425" s="39"/>
    </row>
    <row r="3426" spans="1:5" ht="15.6">
      <c r="A3426">
        <v>3371</v>
      </c>
      <c r="B3426" s="166">
        <v>140.19459684998915</v>
      </c>
      <c r="D3426" s="39"/>
      <c r="E3426" s="39"/>
    </row>
    <row r="3427" spans="1:5" ht="15.6">
      <c r="A3427">
        <v>3372</v>
      </c>
      <c r="B3427" s="166">
        <v>108.40050949149429</v>
      </c>
      <c r="D3427" s="39"/>
      <c r="E3427" s="39"/>
    </row>
    <row r="3428" spans="1:5" ht="15.6">
      <c r="A3428">
        <v>3373</v>
      </c>
      <c r="B3428" s="166">
        <v>199.04177705774885</v>
      </c>
      <c r="D3428" s="39"/>
      <c r="E3428" s="39"/>
    </row>
    <row r="3429" spans="1:5" ht="15.6">
      <c r="A3429">
        <v>3374</v>
      </c>
      <c r="B3429" s="166">
        <v>146.63177360012543</v>
      </c>
      <c r="D3429" s="39"/>
      <c r="E3429" s="39"/>
    </row>
    <row r="3430" spans="1:5" ht="15.6">
      <c r="A3430">
        <v>3375</v>
      </c>
      <c r="B3430" s="166">
        <v>55.460136633226014</v>
      </c>
      <c r="D3430" s="39"/>
      <c r="E3430" s="39"/>
    </row>
    <row r="3431" spans="1:5" ht="15.6">
      <c r="A3431">
        <v>3376</v>
      </c>
      <c r="B3431" s="166">
        <v>136.29573916033451</v>
      </c>
      <c r="D3431" s="39"/>
      <c r="E3431" s="39"/>
    </row>
    <row r="3432" spans="1:5" ht="15.6">
      <c r="A3432">
        <v>3377</v>
      </c>
      <c r="B3432" s="166">
        <v>93.758884214088269</v>
      </c>
      <c r="D3432" s="39"/>
      <c r="E3432" s="39"/>
    </row>
    <row r="3433" spans="1:5" ht="15.6">
      <c r="A3433">
        <v>3378</v>
      </c>
      <c r="B3433" s="166">
        <v>103.34214996052732</v>
      </c>
      <c r="D3433" s="39"/>
      <c r="E3433" s="39"/>
    </row>
    <row r="3434" spans="1:5" ht="15.6">
      <c r="A3434">
        <v>3379</v>
      </c>
      <c r="B3434" s="166">
        <v>359.60363730010164</v>
      </c>
      <c r="D3434" s="39"/>
      <c r="E3434" s="39"/>
    </row>
    <row r="3435" spans="1:5" ht="15.6">
      <c r="A3435">
        <v>3380</v>
      </c>
      <c r="B3435" s="166">
        <v>168.57674523477792</v>
      </c>
      <c r="D3435" s="39"/>
      <c r="E3435" s="39"/>
    </row>
    <row r="3436" spans="1:5" ht="15.6">
      <c r="A3436">
        <v>3381</v>
      </c>
      <c r="B3436" s="166">
        <v>67.402350995006273</v>
      </c>
      <c r="D3436" s="39"/>
      <c r="E3436" s="39"/>
    </row>
    <row r="3437" spans="1:5" ht="15.6">
      <c r="A3437">
        <v>3382</v>
      </c>
      <c r="B3437" s="166">
        <v>86.916994456978486</v>
      </c>
      <c r="D3437" s="39"/>
      <c r="E3437" s="39"/>
    </row>
    <row r="3438" spans="1:5" ht="15.6">
      <c r="A3438">
        <v>3383</v>
      </c>
      <c r="B3438" s="166">
        <v>128.23319009318575</v>
      </c>
      <c r="D3438" s="39"/>
      <c r="E3438" s="39"/>
    </row>
    <row r="3439" spans="1:5" ht="15.6">
      <c r="A3439">
        <v>3384</v>
      </c>
      <c r="B3439" s="166">
        <v>136.70434080393463</v>
      </c>
      <c r="D3439" s="39"/>
      <c r="E3439" s="39"/>
    </row>
    <row r="3440" spans="1:5" ht="15.6">
      <c r="A3440">
        <v>3385</v>
      </c>
      <c r="B3440" s="166">
        <v>95.658462817069406</v>
      </c>
      <c r="D3440" s="39"/>
      <c r="E3440" s="39"/>
    </row>
    <row r="3441" spans="1:5" ht="15.6">
      <c r="A3441">
        <v>3386</v>
      </c>
      <c r="B3441" s="166">
        <v>106.61105395056124</v>
      </c>
      <c r="D3441" s="39"/>
      <c r="E3441" s="39"/>
    </row>
    <row r="3442" spans="1:5" ht="15.6">
      <c r="A3442">
        <v>3387</v>
      </c>
      <c r="B3442" s="166">
        <v>99.459861379363431</v>
      </c>
      <c r="D3442" s="39"/>
      <c r="E3442" s="39"/>
    </row>
    <row r="3443" spans="1:5" ht="15.6">
      <c r="A3443">
        <v>3388</v>
      </c>
      <c r="B3443" s="166">
        <v>212.32938429104064</v>
      </c>
      <c r="D3443" s="39"/>
      <c r="E3443" s="39"/>
    </row>
    <row r="3444" spans="1:5" ht="15.6">
      <c r="A3444">
        <v>3389</v>
      </c>
      <c r="B3444" s="166">
        <v>82.704326317841279</v>
      </c>
      <c r="D3444" s="39"/>
      <c r="E3444" s="39"/>
    </row>
    <row r="3445" spans="1:5" ht="15.6">
      <c r="A3445">
        <v>3390</v>
      </c>
      <c r="B3445" s="166">
        <v>101.36548130000952</v>
      </c>
      <c r="D3445" s="39"/>
      <c r="E3445" s="39"/>
    </row>
    <row r="3446" spans="1:5" ht="15.6">
      <c r="A3446">
        <v>3391</v>
      </c>
      <c r="B3446" s="166">
        <v>95.690886932415324</v>
      </c>
      <c r="D3446" s="39"/>
      <c r="E3446" s="39"/>
    </row>
    <row r="3447" spans="1:5" ht="15.6">
      <c r="A3447">
        <v>3392</v>
      </c>
      <c r="B3447" s="166">
        <v>134.98659417319095</v>
      </c>
      <c r="D3447" s="39"/>
      <c r="E3447" s="39"/>
    </row>
    <row r="3448" spans="1:5" ht="15.6">
      <c r="A3448">
        <v>3393</v>
      </c>
      <c r="B3448" s="166">
        <v>75.371234601694567</v>
      </c>
      <c r="D3448" s="39"/>
      <c r="E3448" s="39"/>
    </row>
    <row r="3449" spans="1:5" ht="15.6">
      <c r="A3449">
        <v>3394</v>
      </c>
      <c r="B3449" s="166">
        <v>69.108600048922256</v>
      </c>
      <c r="D3449" s="39"/>
      <c r="E3449" s="39"/>
    </row>
    <row r="3450" spans="1:5" ht="15.6">
      <c r="A3450">
        <v>3395</v>
      </c>
      <c r="B3450" s="166">
        <v>124.94392172788704</v>
      </c>
      <c r="D3450" s="39"/>
      <c r="E3450" s="39"/>
    </row>
    <row r="3451" spans="1:5" ht="15.6">
      <c r="A3451">
        <v>3396</v>
      </c>
      <c r="B3451" s="166">
        <v>101.28695393602355</v>
      </c>
      <c r="D3451" s="39"/>
      <c r="E3451" s="39"/>
    </row>
    <row r="3452" spans="1:5" ht="15.6">
      <c r="A3452">
        <v>3397</v>
      </c>
      <c r="B3452" s="166">
        <v>127.97905278418065</v>
      </c>
      <c r="D3452" s="39"/>
      <c r="E3452" s="39"/>
    </row>
    <row r="3453" spans="1:5" ht="15.6">
      <c r="A3453">
        <v>3398</v>
      </c>
      <c r="B3453" s="166">
        <v>116.34580278815741</v>
      </c>
      <c r="D3453" s="39"/>
      <c r="E3453" s="39"/>
    </row>
    <row r="3454" spans="1:5" ht="15.6">
      <c r="A3454">
        <v>3399</v>
      </c>
      <c r="B3454" s="166">
        <v>73.746060309215096</v>
      </c>
      <c r="D3454" s="39"/>
      <c r="E3454" s="39"/>
    </row>
    <row r="3455" spans="1:5" ht="15.6">
      <c r="A3455">
        <v>3400</v>
      </c>
      <c r="B3455" s="166">
        <v>86.339539339340632</v>
      </c>
      <c r="D3455" s="39"/>
      <c r="E3455" s="39"/>
    </row>
    <row r="3456" spans="1:5" ht="15.6">
      <c r="A3456">
        <v>3401</v>
      </c>
      <c r="B3456" s="166">
        <v>140.05394272315453</v>
      </c>
      <c r="D3456" s="39"/>
      <c r="E3456" s="39"/>
    </row>
    <row r="3457" spans="1:5" ht="15.6">
      <c r="A3457">
        <v>3402</v>
      </c>
      <c r="B3457" s="166">
        <v>154.6137581464441</v>
      </c>
      <c r="D3457" s="39"/>
      <c r="E3457" s="39"/>
    </row>
    <row r="3458" spans="1:5" ht="15.6">
      <c r="A3458">
        <v>3403</v>
      </c>
      <c r="B3458" s="166">
        <v>137.66169421606463</v>
      </c>
      <c r="D3458" s="39"/>
      <c r="E3458" s="39"/>
    </row>
    <row r="3459" spans="1:5" ht="15.6">
      <c r="A3459">
        <v>3404</v>
      </c>
      <c r="B3459" s="166">
        <v>95.100802796110145</v>
      </c>
      <c r="D3459" s="39"/>
      <c r="E3459" s="39"/>
    </row>
    <row r="3460" spans="1:5" ht="15.6">
      <c r="A3460">
        <v>3405</v>
      </c>
      <c r="B3460" s="166">
        <v>173.04044738062186</v>
      </c>
      <c r="D3460" s="39"/>
      <c r="E3460" s="39"/>
    </row>
    <row r="3461" spans="1:5" ht="15.6">
      <c r="A3461">
        <v>3406</v>
      </c>
      <c r="B3461" s="166">
        <v>240.82288137798983</v>
      </c>
      <c r="D3461" s="39"/>
      <c r="E3461" s="39"/>
    </row>
    <row r="3462" spans="1:5" ht="15.6">
      <c r="A3462">
        <v>3407</v>
      </c>
      <c r="B3462" s="166">
        <v>91.941295633695745</v>
      </c>
      <c r="D3462" s="39"/>
      <c r="E3462" s="39"/>
    </row>
    <row r="3463" spans="1:5" ht="15.6">
      <c r="A3463">
        <v>3408</v>
      </c>
      <c r="B3463" s="166">
        <v>92.15313447330972</v>
      </c>
      <c r="D3463" s="39"/>
      <c r="E3463" s="39"/>
    </row>
    <row r="3464" spans="1:5" ht="15.6">
      <c r="A3464">
        <v>3409</v>
      </c>
      <c r="B3464" s="166">
        <v>91.344612786795551</v>
      </c>
      <c r="D3464" s="39"/>
      <c r="E3464" s="39"/>
    </row>
    <row r="3465" spans="1:5" ht="15.6">
      <c r="A3465">
        <v>3410</v>
      </c>
      <c r="B3465" s="166">
        <v>90.483775652131271</v>
      </c>
      <c r="D3465" s="39"/>
      <c r="E3465" s="39"/>
    </row>
    <row r="3466" spans="1:5" ht="15.6">
      <c r="A3466">
        <v>3411</v>
      </c>
      <c r="B3466" s="166">
        <v>88.847088810232634</v>
      </c>
      <c r="D3466" s="39"/>
      <c r="E3466" s="39"/>
    </row>
    <row r="3467" spans="1:5" ht="15.6">
      <c r="A3467">
        <v>3412</v>
      </c>
      <c r="B3467" s="166">
        <v>78.596276196801185</v>
      </c>
      <c r="D3467" s="39"/>
      <c r="E3467" s="39"/>
    </row>
    <row r="3468" spans="1:5" ht="15.6">
      <c r="A3468">
        <v>3413</v>
      </c>
      <c r="B3468" s="166">
        <v>127.52878979011322</v>
      </c>
      <c r="D3468" s="39"/>
      <c r="E3468" s="39"/>
    </row>
    <row r="3469" spans="1:5" ht="15.6">
      <c r="A3469">
        <v>3414</v>
      </c>
      <c r="B3469" s="166">
        <v>68.466203850603208</v>
      </c>
      <c r="D3469" s="39"/>
      <c r="E3469" s="39"/>
    </row>
    <row r="3470" spans="1:5" ht="15.6">
      <c r="A3470">
        <v>3415</v>
      </c>
      <c r="B3470" s="166">
        <v>159.07217811097874</v>
      </c>
      <c r="D3470" s="39"/>
      <c r="E3470" s="39"/>
    </row>
    <row r="3471" spans="1:5" ht="15.6">
      <c r="A3471">
        <v>3416</v>
      </c>
      <c r="B3471" s="166">
        <v>68.479488979982349</v>
      </c>
      <c r="D3471" s="39"/>
      <c r="E3471" s="39"/>
    </row>
    <row r="3472" spans="1:5" ht="15.6">
      <c r="A3472">
        <v>3417</v>
      </c>
      <c r="B3472" s="166">
        <v>206.90709567535376</v>
      </c>
      <c r="D3472" s="39"/>
      <c r="E3472" s="39"/>
    </row>
    <row r="3473" spans="1:5" ht="15.6">
      <c r="A3473">
        <v>3418</v>
      </c>
      <c r="B3473" s="166">
        <v>125.42235692665213</v>
      </c>
      <c r="D3473" s="39"/>
      <c r="E3473" s="39"/>
    </row>
    <row r="3474" spans="1:5" ht="15.6">
      <c r="A3474">
        <v>3419</v>
      </c>
      <c r="B3474" s="166">
        <v>57.206833663364684</v>
      </c>
      <c r="D3474" s="39"/>
      <c r="E3474" s="39"/>
    </row>
    <row r="3475" spans="1:5" ht="15.6">
      <c r="A3475">
        <v>3420</v>
      </c>
      <c r="B3475" s="166">
        <v>136.65004287992952</v>
      </c>
      <c r="D3475" s="39"/>
      <c r="E3475" s="39"/>
    </row>
    <row r="3476" spans="1:5" ht="15.6">
      <c r="A3476">
        <v>3421</v>
      </c>
      <c r="B3476" s="166">
        <v>105.93746055436503</v>
      </c>
      <c r="D3476" s="39"/>
      <c r="E3476" s="39"/>
    </row>
    <row r="3477" spans="1:5" ht="15.6">
      <c r="A3477">
        <v>3422</v>
      </c>
      <c r="B3477" s="166">
        <v>147.31298080839321</v>
      </c>
      <c r="D3477" s="39"/>
      <c r="E3477" s="39"/>
    </row>
    <row r="3478" spans="1:5" ht="15.6">
      <c r="A3478">
        <v>3423</v>
      </c>
      <c r="B3478" s="166">
        <v>143.42329341500522</v>
      </c>
      <c r="D3478" s="39"/>
      <c r="E3478" s="39"/>
    </row>
    <row r="3479" spans="1:5" ht="15.6">
      <c r="A3479">
        <v>3424</v>
      </c>
      <c r="B3479" s="166">
        <v>184.34633828915159</v>
      </c>
      <c r="D3479" s="39"/>
      <c r="E3479" s="39"/>
    </row>
    <row r="3480" spans="1:5" ht="15.6">
      <c r="A3480">
        <v>3425</v>
      </c>
      <c r="B3480" s="166">
        <v>208.63040047376427</v>
      </c>
      <c r="D3480" s="39"/>
      <c r="E3480" s="39"/>
    </row>
    <row r="3481" spans="1:5" ht="15.6">
      <c r="A3481">
        <v>3426</v>
      </c>
      <c r="B3481" s="166">
        <v>81.307168180205593</v>
      </c>
      <c r="D3481" s="39"/>
      <c r="E3481" s="39"/>
    </row>
    <row r="3482" spans="1:5" ht="15.6">
      <c r="A3482">
        <v>3427</v>
      </c>
      <c r="B3482" s="166">
        <v>152.60114251640377</v>
      </c>
      <c r="D3482" s="39"/>
      <c r="E3482" s="39"/>
    </row>
    <row r="3483" spans="1:5" ht="15.6">
      <c r="A3483">
        <v>3428</v>
      </c>
      <c r="B3483" s="166">
        <v>77.706827211523176</v>
      </c>
      <c r="D3483" s="39"/>
      <c r="E3483" s="39"/>
    </row>
    <row r="3484" spans="1:5" ht="15.6">
      <c r="A3484">
        <v>3429</v>
      </c>
      <c r="B3484" s="166">
        <v>175.24890558237186</v>
      </c>
      <c r="D3484" s="39"/>
      <c r="E3484" s="39"/>
    </row>
    <row r="3485" spans="1:5" ht="15.6">
      <c r="A3485">
        <v>3430</v>
      </c>
      <c r="B3485" s="166">
        <v>107.37877079800742</v>
      </c>
      <c r="D3485" s="39"/>
      <c r="E3485" s="39"/>
    </row>
    <row r="3486" spans="1:5" ht="15.6">
      <c r="A3486">
        <v>3431</v>
      </c>
      <c r="B3486" s="166">
        <v>114.43582659580308</v>
      </c>
      <c r="D3486" s="39"/>
      <c r="E3486" s="39"/>
    </row>
    <row r="3487" spans="1:5" ht="15.6">
      <c r="A3487">
        <v>3432</v>
      </c>
      <c r="B3487" s="166">
        <v>90.678270391225226</v>
      </c>
      <c r="D3487" s="39"/>
      <c r="E3487" s="39"/>
    </row>
    <row r="3488" spans="1:5" ht="15.6">
      <c r="A3488">
        <v>3433</v>
      </c>
      <c r="B3488" s="166">
        <v>102.71306525489726</v>
      </c>
      <c r="D3488" s="39"/>
      <c r="E3488" s="39"/>
    </row>
    <row r="3489" spans="1:5" ht="15.6">
      <c r="A3489">
        <v>3434</v>
      </c>
      <c r="B3489" s="166">
        <v>105.08293429563493</v>
      </c>
      <c r="D3489" s="39"/>
      <c r="E3489" s="39"/>
    </row>
    <row r="3490" spans="1:5" ht="15.6">
      <c r="A3490">
        <v>3435</v>
      </c>
      <c r="B3490" s="166">
        <v>89.628593675910153</v>
      </c>
      <c r="D3490" s="39"/>
      <c r="E3490" s="39"/>
    </row>
    <row r="3491" spans="1:5" ht="15.6">
      <c r="A3491">
        <v>3436</v>
      </c>
      <c r="B3491" s="166">
        <v>103.43892381791535</v>
      </c>
      <c r="D3491" s="39"/>
      <c r="E3491" s="39"/>
    </row>
    <row r="3492" spans="1:5" ht="15.6">
      <c r="A3492">
        <v>3437</v>
      </c>
      <c r="B3492" s="166">
        <v>122.30767227163354</v>
      </c>
      <c r="D3492" s="39"/>
      <c r="E3492" s="39"/>
    </row>
    <row r="3493" spans="1:5" ht="15.6">
      <c r="A3493">
        <v>3438</v>
      </c>
      <c r="B3493" s="166">
        <v>91.747644075635861</v>
      </c>
      <c r="D3493" s="39"/>
      <c r="E3493" s="39"/>
    </row>
    <row r="3494" spans="1:5" ht="15.6">
      <c r="A3494">
        <v>3439</v>
      </c>
      <c r="B3494" s="166">
        <v>83.208213100854081</v>
      </c>
      <c r="D3494" s="39"/>
      <c r="E3494" s="39"/>
    </row>
    <row r="3495" spans="1:5" ht="15.6">
      <c r="A3495">
        <v>3440</v>
      </c>
      <c r="B3495" s="166">
        <v>108.0781507836794</v>
      </c>
      <c r="D3495" s="39"/>
      <c r="E3495" s="39"/>
    </row>
    <row r="3496" spans="1:5" ht="15.6">
      <c r="A3496">
        <v>3441</v>
      </c>
      <c r="B3496" s="166">
        <v>75.501277259427397</v>
      </c>
      <c r="D3496" s="39"/>
      <c r="E3496" s="39"/>
    </row>
    <row r="3497" spans="1:5" ht="15.6">
      <c r="A3497">
        <v>3442</v>
      </c>
      <c r="B3497" s="166">
        <v>89.865062149437108</v>
      </c>
      <c r="D3497" s="39"/>
      <c r="E3497" s="39"/>
    </row>
    <row r="3498" spans="1:5" ht="15.6">
      <c r="A3498">
        <v>3443</v>
      </c>
      <c r="B3498" s="166">
        <v>91.316315868114344</v>
      </c>
      <c r="D3498" s="39"/>
      <c r="E3498" s="39"/>
    </row>
    <row r="3499" spans="1:5" ht="15.6">
      <c r="A3499">
        <v>3444</v>
      </c>
      <c r="B3499" s="166">
        <v>161.71369628932518</v>
      </c>
      <c r="D3499" s="39"/>
      <c r="E3499" s="39"/>
    </row>
    <row r="3500" spans="1:5" ht="15.6">
      <c r="A3500">
        <v>3445</v>
      </c>
      <c r="B3500" s="166">
        <v>103.96556722520371</v>
      </c>
      <c r="D3500" s="39"/>
      <c r="E3500" s="39"/>
    </row>
    <row r="3501" spans="1:5" ht="15.6">
      <c r="A3501">
        <v>3446</v>
      </c>
      <c r="B3501" s="166">
        <v>77.63560904839764</v>
      </c>
      <c r="D3501" s="39"/>
      <c r="E3501" s="39"/>
    </row>
    <row r="3502" spans="1:5" ht="15.6">
      <c r="A3502">
        <v>3447</v>
      </c>
      <c r="B3502" s="166">
        <v>136.11108940813469</v>
      </c>
      <c r="D3502" s="39"/>
      <c r="E3502" s="39"/>
    </row>
    <row r="3503" spans="1:5" ht="15.6">
      <c r="A3503">
        <v>3448</v>
      </c>
      <c r="B3503" s="166">
        <v>78.023326592796707</v>
      </c>
      <c r="D3503" s="39"/>
      <c r="E3503" s="39"/>
    </row>
    <row r="3504" spans="1:5" ht="15.6">
      <c r="A3504">
        <v>3449</v>
      </c>
      <c r="B3504" s="166">
        <v>130.0991893595527</v>
      </c>
      <c r="D3504" s="39"/>
      <c r="E3504" s="39"/>
    </row>
    <row r="3505" spans="1:5" ht="15.6">
      <c r="A3505">
        <v>3450</v>
      </c>
      <c r="B3505" s="166">
        <v>147.80956909868925</v>
      </c>
      <c r="D3505" s="39"/>
      <c r="E3505" s="39"/>
    </row>
    <row r="3506" spans="1:5" ht="15.6">
      <c r="A3506">
        <v>3451</v>
      </c>
      <c r="B3506" s="166">
        <v>125.63224122080547</v>
      </c>
      <c r="D3506" s="39"/>
      <c r="E3506" s="39"/>
    </row>
    <row r="3507" spans="1:5" ht="15.6">
      <c r="A3507">
        <v>3452</v>
      </c>
      <c r="B3507" s="166">
        <v>77.617916693915248</v>
      </c>
      <c r="D3507" s="39"/>
      <c r="E3507" s="39"/>
    </row>
    <row r="3508" spans="1:5" ht="15.6">
      <c r="A3508">
        <v>3453</v>
      </c>
      <c r="B3508" s="166">
        <v>64.238781500301258</v>
      </c>
      <c r="D3508" s="39"/>
      <c r="E3508" s="39"/>
    </row>
    <row r="3509" spans="1:5" ht="15.6">
      <c r="A3509">
        <v>3454</v>
      </c>
      <c r="B3509" s="166">
        <v>77.911797262535814</v>
      </c>
      <c r="D3509" s="39"/>
      <c r="E3509" s="39"/>
    </row>
    <row r="3510" spans="1:5" ht="15.6">
      <c r="A3510">
        <v>3455</v>
      </c>
      <c r="B3510" s="166">
        <v>77.852227523784762</v>
      </c>
      <c r="D3510" s="39"/>
      <c r="E3510" s="39"/>
    </row>
    <row r="3511" spans="1:5" ht="15.6">
      <c r="A3511">
        <v>3456</v>
      </c>
      <c r="B3511" s="166">
        <v>71.398480443881496</v>
      </c>
      <c r="D3511" s="39"/>
      <c r="E3511" s="39"/>
    </row>
    <row r="3512" spans="1:5" ht="15.6">
      <c r="A3512">
        <v>3457</v>
      </c>
      <c r="B3512" s="166">
        <v>152.48841799384681</v>
      </c>
      <c r="D3512" s="39"/>
      <c r="E3512" s="39"/>
    </row>
    <row r="3513" spans="1:5" ht="15.6">
      <c r="A3513">
        <v>3458</v>
      </c>
      <c r="B3513" s="166">
        <v>138.92649552970721</v>
      </c>
      <c r="D3513" s="39"/>
      <c r="E3513" s="39"/>
    </row>
    <row r="3514" spans="1:5" ht="15.6">
      <c r="A3514">
        <v>3459</v>
      </c>
      <c r="B3514" s="166">
        <v>75.49008182608317</v>
      </c>
      <c r="D3514" s="39"/>
      <c r="E3514" s="39"/>
    </row>
    <row r="3515" spans="1:5" ht="15.6">
      <c r="A3515">
        <v>3460</v>
      </c>
      <c r="B3515" s="166">
        <v>99.272391094140147</v>
      </c>
      <c r="D3515" s="39"/>
      <c r="E3515" s="39"/>
    </row>
    <row r="3516" spans="1:5" ht="15.6">
      <c r="A3516">
        <v>3461</v>
      </c>
      <c r="B3516" s="166">
        <v>70.850987085065057</v>
      </c>
      <c r="D3516" s="39"/>
      <c r="E3516" s="39"/>
    </row>
    <row r="3517" spans="1:5" ht="15.6">
      <c r="A3517">
        <v>3462</v>
      </c>
      <c r="B3517" s="166">
        <v>46.873702835124107</v>
      </c>
      <c r="D3517" s="39"/>
      <c r="E3517" s="39"/>
    </row>
    <row r="3518" spans="1:5" ht="15.6">
      <c r="A3518">
        <v>3463</v>
      </c>
      <c r="B3518" s="166">
        <v>64.56327612760164</v>
      </c>
      <c r="D3518" s="39"/>
      <c r="E3518" s="39"/>
    </row>
    <row r="3519" spans="1:5" ht="15.6">
      <c r="A3519">
        <v>3464</v>
      </c>
      <c r="B3519" s="166">
        <v>110.04720744299415</v>
      </c>
      <c r="D3519" s="39"/>
      <c r="E3519" s="39"/>
    </row>
    <row r="3520" spans="1:5" ht="15.6">
      <c r="A3520">
        <v>3465</v>
      </c>
      <c r="B3520" s="166">
        <v>87.186625854126248</v>
      </c>
      <c r="D3520" s="39"/>
      <c r="E3520" s="39"/>
    </row>
    <row r="3521" spans="1:5" ht="15.6">
      <c r="A3521">
        <v>3466</v>
      </c>
      <c r="B3521" s="166">
        <v>61.550548169997214</v>
      </c>
      <c r="D3521" s="39"/>
      <c r="E3521" s="39"/>
    </row>
    <row r="3522" spans="1:5" ht="15.6">
      <c r="A3522">
        <v>3467</v>
      </c>
      <c r="B3522" s="166">
        <v>63.225519095568174</v>
      </c>
      <c r="D3522" s="39"/>
      <c r="E3522" s="39"/>
    </row>
    <row r="3523" spans="1:5" ht="15.6">
      <c r="A3523">
        <v>3468</v>
      </c>
      <c r="B3523" s="166">
        <v>204.58719483988372</v>
      </c>
      <c r="D3523" s="39"/>
      <c r="E3523" s="39"/>
    </row>
    <row r="3524" spans="1:5" ht="15.6">
      <c r="A3524">
        <v>3469</v>
      </c>
      <c r="B3524" s="166">
        <v>107.00430752692228</v>
      </c>
      <c r="D3524" s="39"/>
      <c r="E3524" s="39"/>
    </row>
    <row r="3525" spans="1:5" ht="15.6">
      <c r="A3525">
        <v>3470</v>
      </c>
      <c r="B3525" s="166">
        <v>151.74074198597043</v>
      </c>
      <c r="D3525" s="39"/>
      <c r="E3525" s="39"/>
    </row>
    <row r="3526" spans="1:5" ht="15.6">
      <c r="A3526">
        <v>3471</v>
      </c>
      <c r="B3526" s="166">
        <v>124.77576300349763</v>
      </c>
      <c r="D3526" s="39"/>
      <c r="E3526" s="39"/>
    </row>
    <row r="3527" spans="1:5" ht="15.6">
      <c r="A3527">
        <v>3472</v>
      </c>
      <c r="B3527" s="166">
        <v>82.515167434784999</v>
      </c>
      <c r="D3527" s="39"/>
      <c r="E3527" s="39"/>
    </row>
    <row r="3528" spans="1:5" ht="15.6">
      <c r="A3528">
        <v>3473</v>
      </c>
      <c r="B3528" s="166">
        <v>138.30898699468167</v>
      </c>
      <c r="D3528" s="39"/>
      <c r="E3528" s="39"/>
    </row>
    <row r="3529" spans="1:5" ht="15.6">
      <c r="A3529">
        <v>3474</v>
      </c>
      <c r="B3529" s="166">
        <v>68.846415161146751</v>
      </c>
      <c r="D3529" s="39"/>
      <c r="E3529" s="39"/>
    </row>
    <row r="3530" spans="1:5" ht="15.6">
      <c r="A3530">
        <v>3475</v>
      </c>
      <c r="B3530" s="166">
        <v>144.82823815201988</v>
      </c>
      <c r="D3530" s="39"/>
      <c r="E3530" s="39"/>
    </row>
    <row r="3531" spans="1:5" ht="15.6">
      <c r="A3531">
        <v>3476</v>
      </c>
      <c r="B3531" s="166">
        <v>158.3827163630323</v>
      </c>
      <c r="D3531" s="39"/>
      <c r="E3531" s="39"/>
    </row>
    <row r="3532" spans="1:5" ht="15.6">
      <c r="A3532">
        <v>3477</v>
      </c>
      <c r="B3532" s="166">
        <v>93.368581566150255</v>
      </c>
      <c r="D3532" s="39"/>
      <c r="E3532" s="39"/>
    </row>
    <row r="3533" spans="1:5" ht="15.6">
      <c r="A3533">
        <v>3478</v>
      </c>
      <c r="B3533" s="166">
        <v>300.44917712863742</v>
      </c>
      <c r="D3533" s="39"/>
      <c r="E3533" s="39"/>
    </row>
    <row r="3534" spans="1:5" ht="15.6">
      <c r="A3534">
        <v>3479</v>
      </c>
      <c r="B3534" s="166">
        <v>78.98491428576331</v>
      </c>
      <c r="D3534" s="39"/>
      <c r="E3534" s="39"/>
    </row>
    <row r="3535" spans="1:5" ht="15.6">
      <c r="A3535">
        <v>3480</v>
      </c>
      <c r="B3535" s="166">
        <v>73.647159456498287</v>
      </c>
      <c r="D3535" s="39"/>
      <c r="E3535" s="39"/>
    </row>
    <row r="3536" spans="1:5" ht="15.6">
      <c r="A3536">
        <v>3481</v>
      </c>
      <c r="B3536" s="166">
        <v>224.18600657171208</v>
      </c>
      <c r="D3536" s="39"/>
      <c r="E3536" s="39"/>
    </row>
    <row r="3537" spans="1:5" ht="15.6">
      <c r="A3537">
        <v>3482</v>
      </c>
      <c r="B3537" s="166">
        <v>134.51171015167773</v>
      </c>
      <c r="D3537" s="39"/>
      <c r="E3537" s="39"/>
    </row>
    <row r="3538" spans="1:5" ht="15.6">
      <c r="A3538">
        <v>3483</v>
      </c>
      <c r="B3538" s="166">
        <v>71.00986847360798</v>
      </c>
      <c r="D3538" s="39"/>
      <c r="E3538" s="39"/>
    </row>
    <row r="3539" spans="1:5" ht="15.6">
      <c r="A3539">
        <v>3484</v>
      </c>
      <c r="B3539" s="166">
        <v>108.23172916045019</v>
      </c>
      <c r="D3539" s="39"/>
      <c r="E3539" s="39"/>
    </row>
    <row r="3540" spans="1:5" ht="15.6">
      <c r="A3540">
        <v>3485</v>
      </c>
      <c r="B3540" s="166">
        <v>124.53008105569991</v>
      </c>
      <c r="D3540" s="39"/>
      <c r="E3540" s="39"/>
    </row>
    <row r="3541" spans="1:5" ht="15.6">
      <c r="A3541">
        <v>3486</v>
      </c>
      <c r="B3541" s="166">
        <v>130.76524963291337</v>
      </c>
      <c r="D3541" s="39"/>
      <c r="E3541" s="39"/>
    </row>
    <row r="3542" spans="1:5" ht="15.6">
      <c r="A3542">
        <v>3487</v>
      </c>
      <c r="B3542" s="166">
        <v>153.26395926312318</v>
      </c>
      <c r="D3542" s="39"/>
      <c r="E3542" s="39"/>
    </row>
    <row r="3543" spans="1:5" ht="15.6">
      <c r="A3543">
        <v>3488</v>
      </c>
      <c r="B3543" s="166">
        <v>107.02043443328907</v>
      </c>
      <c r="D3543" s="39"/>
      <c r="E3543" s="39"/>
    </row>
    <row r="3544" spans="1:5" ht="15.6">
      <c r="A3544">
        <v>3489</v>
      </c>
      <c r="B3544" s="166">
        <v>154.54174769900135</v>
      </c>
      <c r="D3544" s="39"/>
      <c r="E3544" s="39"/>
    </row>
    <row r="3545" spans="1:5" ht="15.6">
      <c r="A3545">
        <v>3490</v>
      </c>
      <c r="B3545" s="166">
        <v>71.171081709057674</v>
      </c>
      <c r="D3545" s="39"/>
      <c r="E3545" s="39"/>
    </row>
    <row r="3546" spans="1:5" ht="15.6">
      <c r="A3546">
        <v>3491</v>
      </c>
      <c r="B3546" s="166">
        <v>182.32449565879671</v>
      </c>
      <c r="D3546" s="39"/>
      <c r="E3546" s="39"/>
    </row>
    <row r="3547" spans="1:5" ht="15.6">
      <c r="A3547">
        <v>3492</v>
      </c>
      <c r="B3547" s="166">
        <v>218.12992062844253</v>
      </c>
      <c r="D3547" s="39"/>
      <c r="E3547" s="39"/>
    </row>
    <row r="3548" spans="1:5" ht="15.6">
      <c r="A3548">
        <v>3493</v>
      </c>
      <c r="B3548" s="166">
        <v>51.851010970448222</v>
      </c>
      <c r="D3548" s="39"/>
      <c r="E3548" s="39"/>
    </row>
    <row r="3549" spans="1:5" ht="15.6">
      <c r="A3549">
        <v>3494</v>
      </c>
      <c r="B3549" s="166">
        <v>134.47462529549875</v>
      </c>
      <c r="D3549" s="39"/>
      <c r="E3549" s="39"/>
    </row>
    <row r="3550" spans="1:5" ht="15.6">
      <c r="A3550">
        <v>3495</v>
      </c>
      <c r="B3550" s="166">
        <v>81.540819923373107</v>
      </c>
      <c r="D3550" s="39"/>
      <c r="E3550" s="39"/>
    </row>
    <row r="3551" spans="1:5" ht="15.6">
      <c r="A3551">
        <v>3496</v>
      </c>
      <c r="B3551" s="166">
        <v>100.38607007895232</v>
      </c>
      <c r="D3551" s="39"/>
      <c r="E3551" s="39"/>
    </row>
    <row r="3552" spans="1:5" ht="15.6">
      <c r="A3552">
        <v>3497</v>
      </c>
      <c r="B3552" s="166">
        <v>121.85290937483343</v>
      </c>
      <c r="D3552" s="39"/>
      <c r="E3552" s="39"/>
    </row>
    <row r="3553" spans="1:5" ht="15.6">
      <c r="A3553">
        <v>3498</v>
      </c>
      <c r="B3553" s="166">
        <v>119.49148102632485</v>
      </c>
      <c r="D3553" s="39"/>
      <c r="E3553" s="39"/>
    </row>
    <row r="3554" spans="1:5" ht="15.6">
      <c r="A3554">
        <v>3499</v>
      </c>
      <c r="B3554" s="166">
        <v>186.52771296501831</v>
      </c>
      <c r="D3554" s="39"/>
      <c r="E3554" s="39"/>
    </row>
    <row r="3555" spans="1:5" ht="15.6">
      <c r="A3555">
        <v>3500</v>
      </c>
      <c r="B3555" s="166">
        <v>119.65174420183926</v>
      </c>
      <c r="D3555" s="39"/>
      <c r="E3555" s="39"/>
    </row>
    <row r="3556" spans="1:5" ht="15.6">
      <c r="A3556">
        <v>3501</v>
      </c>
      <c r="B3556" s="166">
        <v>91.825240221595294</v>
      </c>
      <c r="D3556" s="39"/>
      <c r="E3556" s="39"/>
    </row>
    <row r="3557" spans="1:5" ht="15.6">
      <c r="A3557">
        <v>3502</v>
      </c>
      <c r="B3557" s="166">
        <v>96.265584523740173</v>
      </c>
      <c r="D3557" s="39"/>
      <c r="E3557" s="39"/>
    </row>
    <row r="3558" spans="1:5" ht="15.6">
      <c r="A3558">
        <v>3503</v>
      </c>
      <c r="B3558" s="166">
        <v>99.577206751195106</v>
      </c>
      <c r="D3558" s="39"/>
      <c r="E3558" s="39"/>
    </row>
    <row r="3559" spans="1:5" ht="15.6">
      <c r="A3559">
        <v>3504</v>
      </c>
      <c r="B3559" s="166">
        <v>255.31163150077467</v>
      </c>
      <c r="D3559" s="39"/>
      <c r="E3559" s="39"/>
    </row>
    <row r="3560" spans="1:5" ht="15.6">
      <c r="A3560">
        <v>3505</v>
      </c>
      <c r="B3560" s="166">
        <v>164.8697410614177</v>
      </c>
      <c r="D3560" s="39"/>
      <c r="E3560" s="39"/>
    </row>
    <row r="3561" spans="1:5" ht="15.6">
      <c r="A3561">
        <v>3506</v>
      </c>
      <c r="B3561" s="166">
        <v>99.85365647650255</v>
      </c>
      <c r="D3561" s="39"/>
      <c r="E3561" s="39"/>
    </row>
    <row r="3562" spans="1:5" ht="15.6">
      <c r="A3562">
        <v>3507</v>
      </c>
      <c r="B3562" s="166">
        <v>74.668730917449395</v>
      </c>
      <c r="D3562" s="39"/>
      <c r="E3562" s="39"/>
    </row>
    <row r="3563" spans="1:5" ht="15.6">
      <c r="A3563">
        <v>3508</v>
      </c>
      <c r="B3563" s="166">
        <v>85.348016326904443</v>
      </c>
      <c r="D3563" s="39"/>
      <c r="E3563" s="39"/>
    </row>
    <row r="3564" spans="1:5" ht="15.6">
      <c r="A3564">
        <v>3509</v>
      </c>
      <c r="B3564" s="166">
        <v>117.40547704187674</v>
      </c>
      <c r="D3564" s="39"/>
      <c r="E3564" s="39"/>
    </row>
    <row r="3565" spans="1:5" ht="15.6">
      <c r="A3565">
        <v>3510</v>
      </c>
      <c r="B3565" s="166">
        <v>144.63438645074712</v>
      </c>
      <c r="D3565" s="39"/>
      <c r="E3565" s="39"/>
    </row>
    <row r="3566" spans="1:5" ht="15.6">
      <c r="A3566">
        <v>3511</v>
      </c>
      <c r="B3566" s="166">
        <v>182.20352417760404</v>
      </c>
      <c r="D3566" s="39"/>
      <c r="E3566" s="39"/>
    </row>
    <row r="3567" spans="1:5" ht="15.6">
      <c r="A3567">
        <v>3512</v>
      </c>
      <c r="B3567" s="166">
        <v>110.18607867251596</v>
      </c>
      <c r="D3567" s="39"/>
      <c r="E3567" s="39"/>
    </row>
    <row r="3568" spans="1:5" ht="15.6">
      <c r="A3568">
        <v>3513</v>
      </c>
      <c r="B3568" s="166">
        <v>178.06500583869806</v>
      </c>
      <c r="D3568" s="39"/>
      <c r="E3568" s="39"/>
    </row>
    <row r="3569" spans="1:5" ht="15.6">
      <c r="A3569">
        <v>3514</v>
      </c>
      <c r="B3569" s="166">
        <v>95.740965491681109</v>
      </c>
      <c r="D3569" s="39"/>
      <c r="E3569" s="39"/>
    </row>
    <row r="3570" spans="1:5" ht="15.6">
      <c r="A3570">
        <v>3515</v>
      </c>
      <c r="B3570" s="166">
        <v>119.39707403142668</v>
      </c>
      <c r="D3570" s="39"/>
      <c r="E3570" s="39"/>
    </row>
    <row r="3571" spans="1:5" ht="15.6">
      <c r="A3571">
        <v>3516</v>
      </c>
      <c r="B3571" s="166">
        <v>72.844564013685627</v>
      </c>
      <c r="D3571" s="39"/>
      <c r="E3571" s="39"/>
    </row>
    <row r="3572" spans="1:5" ht="15.6">
      <c r="A3572">
        <v>3517</v>
      </c>
      <c r="B3572" s="166">
        <v>109.87920134225051</v>
      </c>
      <c r="D3572" s="39"/>
      <c r="E3572" s="39"/>
    </row>
    <row r="3573" spans="1:5" ht="15.6">
      <c r="A3573">
        <v>3518</v>
      </c>
      <c r="B3573" s="166">
        <v>68.819146562333103</v>
      </c>
      <c r="D3573" s="39"/>
      <c r="E3573" s="39"/>
    </row>
    <row r="3574" spans="1:5" ht="15.6">
      <c r="A3574">
        <v>3519</v>
      </c>
      <c r="B3574" s="166">
        <v>134.36745343850606</v>
      </c>
      <c r="D3574" s="39"/>
      <c r="E3574" s="39"/>
    </row>
    <row r="3575" spans="1:5" ht="15.6">
      <c r="A3575">
        <v>3520</v>
      </c>
      <c r="B3575" s="166">
        <v>90.0558736996297</v>
      </c>
      <c r="D3575" s="39"/>
      <c r="E3575" s="39"/>
    </row>
    <row r="3576" spans="1:5" ht="15.6">
      <c r="A3576">
        <v>3521</v>
      </c>
      <c r="B3576" s="166">
        <v>90.321474511998787</v>
      </c>
      <c r="D3576" s="39"/>
      <c r="E3576" s="39"/>
    </row>
    <row r="3577" spans="1:5" ht="15.6">
      <c r="A3577">
        <v>3522</v>
      </c>
      <c r="B3577" s="166">
        <v>92.0183224830363</v>
      </c>
      <c r="D3577" s="39"/>
      <c r="E3577" s="39"/>
    </row>
    <row r="3578" spans="1:5" ht="15.6">
      <c r="A3578">
        <v>3523</v>
      </c>
      <c r="B3578" s="166">
        <v>84.111772220609097</v>
      </c>
      <c r="D3578" s="39"/>
      <c r="E3578" s="39"/>
    </row>
    <row r="3579" spans="1:5" ht="15.6">
      <c r="A3579">
        <v>3524</v>
      </c>
      <c r="B3579" s="166">
        <v>80.141342709026858</v>
      </c>
      <c r="D3579" s="39"/>
      <c r="E3579" s="39"/>
    </row>
    <row r="3580" spans="1:5" ht="15.6">
      <c r="A3580">
        <v>3525</v>
      </c>
      <c r="B3580" s="166">
        <v>64.084293680386594</v>
      </c>
      <c r="D3580" s="39"/>
      <c r="E3580" s="39"/>
    </row>
    <row r="3581" spans="1:5" ht="15.6">
      <c r="A3581">
        <v>3526</v>
      </c>
      <c r="B3581" s="166">
        <v>119.15576007094597</v>
      </c>
      <c r="D3581" s="39"/>
      <c r="E3581" s="39"/>
    </row>
    <row r="3582" spans="1:5" ht="15.6">
      <c r="A3582">
        <v>3527</v>
      </c>
      <c r="B3582" s="166">
        <v>62.097765132712105</v>
      </c>
      <c r="D3582" s="39"/>
      <c r="E3582" s="39"/>
    </row>
    <row r="3583" spans="1:5" ht="15.6">
      <c r="A3583">
        <v>3528</v>
      </c>
      <c r="B3583" s="166">
        <v>73.166906111663039</v>
      </c>
      <c r="D3583" s="39"/>
      <c r="E3583" s="39"/>
    </row>
    <row r="3584" spans="1:5" ht="15.6">
      <c r="A3584">
        <v>3529</v>
      </c>
      <c r="B3584" s="166">
        <v>91.337575256671471</v>
      </c>
      <c r="D3584" s="39"/>
      <c r="E3584" s="39"/>
    </row>
    <row r="3585" spans="1:5" ht="15.6">
      <c r="A3585">
        <v>3530</v>
      </c>
      <c r="B3585" s="166">
        <v>227.36772820915493</v>
      </c>
      <c r="D3585" s="39"/>
      <c r="E3585" s="39"/>
    </row>
    <row r="3586" spans="1:5" ht="15.6">
      <c r="A3586">
        <v>3531</v>
      </c>
      <c r="B3586" s="166">
        <v>58.311300699853426</v>
      </c>
      <c r="D3586" s="39"/>
      <c r="E3586" s="39"/>
    </row>
    <row r="3587" spans="1:5" ht="15.6">
      <c r="A3587">
        <v>3532</v>
      </c>
      <c r="B3587" s="166">
        <v>65.391349411465711</v>
      </c>
      <c r="D3587" s="39"/>
      <c r="E3587" s="39"/>
    </row>
    <row r="3588" spans="1:5" ht="15.6">
      <c r="A3588">
        <v>3533</v>
      </c>
      <c r="B3588" s="166">
        <v>71.29293276625225</v>
      </c>
      <c r="D3588" s="39"/>
      <c r="E3588" s="39"/>
    </row>
    <row r="3589" spans="1:5" ht="15.6">
      <c r="A3589">
        <v>3534</v>
      </c>
      <c r="B3589" s="166">
        <v>70.262603829617021</v>
      </c>
      <c r="D3589" s="39"/>
      <c r="E3589" s="39"/>
    </row>
    <row r="3590" spans="1:5" ht="15.6">
      <c r="A3590">
        <v>3535</v>
      </c>
      <c r="B3590" s="166">
        <v>206.57981214986796</v>
      </c>
      <c r="D3590" s="39"/>
      <c r="E3590" s="39"/>
    </row>
    <row r="3591" spans="1:5" ht="15.6">
      <c r="A3591">
        <v>3536</v>
      </c>
      <c r="B3591" s="166">
        <v>78.490051826370305</v>
      </c>
      <c r="D3591" s="39"/>
      <c r="E3591" s="39"/>
    </row>
    <row r="3592" spans="1:5" ht="15.6">
      <c r="A3592">
        <v>3537</v>
      </c>
      <c r="B3592" s="166">
        <v>93.338272102004012</v>
      </c>
      <c r="D3592" s="39"/>
      <c r="E3592" s="39"/>
    </row>
    <row r="3593" spans="1:5" ht="15.6">
      <c r="A3593">
        <v>3538</v>
      </c>
      <c r="B3593" s="166">
        <v>94.745837527040749</v>
      </c>
      <c r="D3593" s="39"/>
      <c r="E3593" s="39"/>
    </row>
    <row r="3594" spans="1:5" ht="15.6">
      <c r="A3594">
        <v>3539</v>
      </c>
      <c r="B3594" s="166">
        <v>76.79447495635192</v>
      </c>
      <c r="D3594" s="39"/>
      <c r="E3594" s="39"/>
    </row>
    <row r="3595" spans="1:5" ht="15.6">
      <c r="A3595">
        <v>3540</v>
      </c>
      <c r="B3595" s="166">
        <v>66.038702789696259</v>
      </c>
      <c r="D3595" s="39"/>
      <c r="E3595" s="39"/>
    </row>
    <row r="3596" spans="1:5" ht="15.6">
      <c r="A3596">
        <v>3541</v>
      </c>
      <c r="B3596" s="166">
        <v>49.626656786342522</v>
      </c>
      <c r="D3596" s="39"/>
      <c r="E3596" s="39"/>
    </row>
    <row r="3597" spans="1:5" ht="15.6">
      <c r="A3597">
        <v>3542</v>
      </c>
      <c r="B3597" s="166">
        <v>88.241071484984403</v>
      </c>
      <c r="D3597" s="39"/>
      <c r="E3597" s="39"/>
    </row>
    <row r="3598" spans="1:5" ht="15.6">
      <c r="A3598">
        <v>3543</v>
      </c>
      <c r="B3598" s="166">
        <v>88.070107521428682</v>
      </c>
      <c r="D3598" s="39"/>
      <c r="E3598" s="39"/>
    </row>
    <row r="3599" spans="1:5" ht="15.6">
      <c r="A3599">
        <v>3544</v>
      </c>
      <c r="B3599" s="166">
        <v>79.846552467699567</v>
      </c>
      <c r="D3599" s="39"/>
      <c r="E3599" s="39"/>
    </row>
    <row r="3600" spans="1:5" ht="15.6">
      <c r="A3600">
        <v>3545</v>
      </c>
      <c r="B3600" s="166">
        <v>124.69870062931219</v>
      </c>
      <c r="D3600" s="39"/>
      <c r="E3600" s="39"/>
    </row>
    <row r="3601" spans="1:5" ht="15.6">
      <c r="A3601">
        <v>3546</v>
      </c>
      <c r="B3601" s="166">
        <v>83.048495274526658</v>
      </c>
      <c r="D3601" s="39"/>
      <c r="E3601" s="39"/>
    </row>
    <row r="3602" spans="1:5" ht="15.6">
      <c r="A3602">
        <v>3547</v>
      </c>
      <c r="B3602" s="166">
        <v>94.897950381723746</v>
      </c>
      <c r="D3602" s="39"/>
      <c r="E3602" s="39"/>
    </row>
    <row r="3603" spans="1:5" ht="15.6">
      <c r="A3603">
        <v>3548</v>
      </c>
      <c r="B3603" s="166">
        <v>78.923642089022977</v>
      </c>
      <c r="D3603" s="39"/>
      <c r="E3603" s="39"/>
    </row>
    <row r="3604" spans="1:5" ht="15.6">
      <c r="A3604">
        <v>3549</v>
      </c>
      <c r="B3604" s="166">
        <v>227.30588632713702</v>
      </c>
      <c r="D3604" s="39"/>
      <c r="E3604" s="39"/>
    </row>
    <row r="3605" spans="1:5" ht="15.6">
      <c r="A3605">
        <v>3550</v>
      </c>
      <c r="B3605" s="166">
        <v>105.34543714227119</v>
      </c>
      <c r="D3605" s="39"/>
      <c r="E3605" s="39"/>
    </row>
    <row r="3606" spans="1:5" ht="15.6">
      <c r="A3606">
        <v>3551</v>
      </c>
      <c r="B3606" s="166">
        <v>206.46738937207201</v>
      </c>
      <c r="D3606" s="39"/>
      <c r="E3606" s="39"/>
    </row>
    <row r="3607" spans="1:5" ht="15.6">
      <c r="A3607">
        <v>3552</v>
      </c>
      <c r="B3607" s="166">
        <v>104.56651734408855</v>
      </c>
      <c r="D3607" s="39"/>
      <c r="E3607" s="39"/>
    </row>
    <row r="3608" spans="1:5" ht="15.6">
      <c r="A3608">
        <v>3553</v>
      </c>
      <c r="B3608" s="166">
        <v>82.362359346076133</v>
      </c>
      <c r="D3608" s="39"/>
      <c r="E3608" s="39"/>
    </row>
    <row r="3609" spans="1:5" ht="15.6">
      <c r="A3609">
        <v>3554</v>
      </c>
      <c r="B3609" s="166">
        <v>121.60213093002494</v>
      </c>
      <c r="D3609" s="39"/>
      <c r="E3609" s="39"/>
    </row>
    <row r="3610" spans="1:5" ht="15.6">
      <c r="A3610">
        <v>3555</v>
      </c>
      <c r="B3610" s="166">
        <v>80.72844513612381</v>
      </c>
      <c r="D3610" s="39"/>
      <c r="E3610" s="39"/>
    </row>
    <row r="3611" spans="1:5" ht="15.6">
      <c r="A3611">
        <v>3556</v>
      </c>
      <c r="B3611" s="166">
        <v>116.51936842076874</v>
      </c>
      <c r="D3611" s="39"/>
      <c r="E3611" s="39"/>
    </row>
    <row r="3612" spans="1:5" ht="15.6">
      <c r="A3612">
        <v>3557</v>
      </c>
      <c r="B3612" s="166">
        <v>120.13967333459838</v>
      </c>
      <c r="D3612" s="39"/>
      <c r="E3612" s="39"/>
    </row>
    <row r="3613" spans="1:5" ht="15.6">
      <c r="A3613">
        <v>3558</v>
      </c>
      <c r="B3613" s="166">
        <v>70.091690742030281</v>
      </c>
      <c r="D3613" s="39"/>
      <c r="E3613" s="39"/>
    </row>
    <row r="3614" spans="1:5" ht="15.6">
      <c r="A3614">
        <v>3559</v>
      </c>
      <c r="B3614" s="166">
        <v>136.29681905054071</v>
      </c>
      <c r="D3614" s="39"/>
      <c r="E3614" s="39"/>
    </row>
    <row r="3615" spans="1:5" ht="15.6">
      <c r="A3615">
        <v>3560</v>
      </c>
      <c r="B3615" s="166">
        <v>154.15095745086231</v>
      </c>
      <c r="D3615" s="39"/>
      <c r="E3615" s="39"/>
    </row>
    <row r="3616" spans="1:5" ht="15.6">
      <c r="A3616">
        <v>3561</v>
      </c>
      <c r="B3616" s="166">
        <v>74.545102895793391</v>
      </c>
      <c r="D3616" s="39"/>
      <c r="E3616" s="39"/>
    </row>
    <row r="3617" spans="1:5" ht="15.6">
      <c r="A3617">
        <v>3562</v>
      </c>
      <c r="B3617" s="166">
        <v>104.05666342469756</v>
      </c>
      <c r="D3617" s="39"/>
      <c r="E3617" s="39"/>
    </row>
    <row r="3618" spans="1:5" ht="15.6">
      <c r="A3618">
        <v>3563</v>
      </c>
      <c r="B3618" s="166">
        <v>73.358683818314844</v>
      </c>
      <c r="D3618" s="39"/>
      <c r="E3618" s="39"/>
    </row>
    <row r="3619" spans="1:5" ht="15.6">
      <c r="A3619">
        <v>3564</v>
      </c>
      <c r="B3619" s="166">
        <v>159.04772224734725</v>
      </c>
      <c r="D3619" s="39"/>
      <c r="E3619" s="39"/>
    </row>
    <row r="3620" spans="1:5" ht="15.6">
      <c r="A3620">
        <v>3565</v>
      </c>
      <c r="B3620" s="166">
        <v>108.87218958662866</v>
      </c>
      <c r="D3620" s="39"/>
      <c r="E3620" s="39"/>
    </row>
    <row r="3621" spans="1:5" ht="15.6">
      <c r="A3621">
        <v>3566</v>
      </c>
      <c r="B3621" s="166">
        <v>100.89415864809079</v>
      </c>
      <c r="D3621" s="39"/>
      <c r="E3621" s="39"/>
    </row>
    <row r="3622" spans="1:5" ht="15.6">
      <c r="A3622">
        <v>3567</v>
      </c>
      <c r="B3622" s="166">
        <v>100.47466766219192</v>
      </c>
      <c r="D3622" s="39"/>
      <c r="E3622" s="39"/>
    </row>
    <row r="3623" spans="1:5" ht="15.6">
      <c r="A3623">
        <v>3568</v>
      </c>
      <c r="B3623" s="166">
        <v>67.425152707439352</v>
      </c>
      <c r="D3623" s="39"/>
      <c r="E3623" s="39"/>
    </row>
    <row r="3624" spans="1:5" ht="15.6">
      <c r="A3624">
        <v>3569</v>
      </c>
      <c r="B3624" s="166">
        <v>94.938580586575199</v>
      </c>
      <c r="D3624" s="39"/>
      <c r="E3624" s="39"/>
    </row>
    <row r="3625" spans="1:5" ht="15.6">
      <c r="A3625">
        <v>3570</v>
      </c>
      <c r="B3625" s="166">
        <v>114.91138160864347</v>
      </c>
      <c r="D3625" s="39"/>
      <c r="E3625" s="39"/>
    </row>
    <row r="3626" spans="1:5" ht="15.6">
      <c r="A3626">
        <v>3571</v>
      </c>
      <c r="B3626" s="166">
        <v>81.026414720822643</v>
      </c>
      <c r="D3626" s="39"/>
      <c r="E3626" s="39"/>
    </row>
    <row r="3627" spans="1:5" ht="15.6">
      <c r="A3627">
        <v>3572</v>
      </c>
      <c r="B3627" s="166">
        <v>94.015845583817452</v>
      </c>
      <c r="D3627" s="39"/>
      <c r="E3627" s="39"/>
    </row>
    <row r="3628" spans="1:5" ht="15.6">
      <c r="A3628">
        <v>3573</v>
      </c>
      <c r="B3628" s="166">
        <v>91.821627430020484</v>
      </c>
      <c r="D3628" s="39"/>
      <c r="E3628" s="39"/>
    </row>
    <row r="3629" spans="1:5" ht="15.6">
      <c r="A3629">
        <v>3574</v>
      </c>
      <c r="B3629" s="166">
        <v>104.47601536625426</v>
      </c>
      <c r="D3629" s="39"/>
      <c r="E3629" s="39"/>
    </row>
    <row r="3630" spans="1:5" ht="15.6">
      <c r="A3630">
        <v>3575</v>
      </c>
      <c r="B3630" s="166">
        <v>177.85888901758608</v>
      </c>
      <c r="D3630" s="39"/>
      <c r="E3630" s="39"/>
    </row>
    <row r="3631" spans="1:5" ht="15.6">
      <c r="A3631">
        <v>3576</v>
      </c>
      <c r="B3631" s="166">
        <v>54.724420567221756</v>
      </c>
      <c r="D3631" s="39"/>
      <c r="E3631" s="39"/>
    </row>
    <row r="3632" spans="1:5" ht="15.6">
      <c r="A3632">
        <v>3577</v>
      </c>
      <c r="B3632" s="166">
        <v>55.562433367540152</v>
      </c>
      <c r="D3632" s="39"/>
      <c r="E3632" s="39"/>
    </row>
    <row r="3633" spans="1:5" ht="15.6">
      <c r="A3633">
        <v>3578</v>
      </c>
      <c r="B3633" s="166">
        <v>101.45719409111464</v>
      </c>
      <c r="D3633" s="39"/>
      <c r="E3633" s="39"/>
    </row>
    <row r="3634" spans="1:5" ht="15.6">
      <c r="A3634">
        <v>3579</v>
      </c>
      <c r="B3634" s="166">
        <v>182.38042301277721</v>
      </c>
      <c r="D3634" s="39"/>
      <c r="E3634" s="39"/>
    </row>
    <row r="3635" spans="1:5" ht="15.6">
      <c r="A3635">
        <v>3580</v>
      </c>
      <c r="B3635" s="166">
        <v>134.72637834328475</v>
      </c>
      <c r="D3635" s="39"/>
      <c r="E3635" s="39"/>
    </row>
    <row r="3636" spans="1:5" ht="15.6">
      <c r="A3636">
        <v>3581</v>
      </c>
      <c r="B3636" s="166">
        <v>82.583022178207429</v>
      </c>
      <c r="D3636" s="39"/>
      <c r="E3636" s="39"/>
    </row>
    <row r="3637" spans="1:5" ht="15.6">
      <c r="A3637">
        <v>3582</v>
      </c>
      <c r="B3637" s="166">
        <v>85.938976128102539</v>
      </c>
      <c r="D3637" s="39"/>
      <c r="E3637" s="39"/>
    </row>
    <row r="3638" spans="1:5" ht="15.6">
      <c r="A3638">
        <v>3583</v>
      </c>
      <c r="B3638" s="166">
        <v>81.726988592368826</v>
      </c>
      <c r="D3638" s="39"/>
      <c r="E3638" s="39"/>
    </row>
    <row r="3639" spans="1:5" ht="15.6">
      <c r="A3639">
        <v>3584</v>
      </c>
      <c r="B3639" s="166">
        <v>82.269663961858228</v>
      </c>
      <c r="D3639" s="39"/>
      <c r="E3639" s="39"/>
    </row>
    <row r="3640" spans="1:5" ht="15.6">
      <c r="A3640">
        <v>3585</v>
      </c>
      <c r="B3640" s="166">
        <v>135.24830535852277</v>
      </c>
      <c r="D3640" s="39"/>
      <c r="E3640" s="39"/>
    </row>
    <row r="3641" spans="1:5" ht="15.6">
      <c r="A3641">
        <v>3586</v>
      </c>
      <c r="B3641" s="166">
        <v>88.007662667626818</v>
      </c>
      <c r="D3641" s="39"/>
      <c r="E3641" s="39"/>
    </row>
    <row r="3642" spans="1:5" ht="15.6">
      <c r="A3642">
        <v>3587</v>
      </c>
      <c r="B3642" s="166">
        <v>76.278550555090632</v>
      </c>
      <c r="D3642" s="39"/>
      <c r="E3642" s="39"/>
    </row>
    <row r="3643" spans="1:5" ht="15.6">
      <c r="A3643">
        <v>3588</v>
      </c>
      <c r="B3643" s="166">
        <v>78.127899437950745</v>
      </c>
      <c r="D3643" s="39"/>
      <c r="E3643" s="39"/>
    </row>
    <row r="3644" spans="1:5" ht="15.6">
      <c r="A3644">
        <v>3589</v>
      </c>
      <c r="B3644" s="166">
        <v>179.60701509751834</v>
      </c>
      <c r="D3644" s="39"/>
      <c r="E3644" s="39"/>
    </row>
    <row r="3645" spans="1:5" ht="15.6">
      <c r="A3645">
        <v>3590</v>
      </c>
      <c r="B3645" s="166">
        <v>93.121583518747073</v>
      </c>
      <c r="D3645" s="39"/>
      <c r="E3645" s="39"/>
    </row>
    <row r="3646" spans="1:5" ht="15.6">
      <c r="A3646">
        <v>3591</v>
      </c>
      <c r="B3646" s="166">
        <v>164.78004510209064</v>
      </c>
      <c r="D3646" s="39"/>
      <c r="E3646" s="39"/>
    </row>
    <row r="3647" spans="1:5" ht="15.6">
      <c r="A3647">
        <v>3592</v>
      </c>
      <c r="B3647" s="166">
        <v>88.310575759741425</v>
      </c>
      <c r="D3647" s="39"/>
      <c r="E3647" s="39"/>
    </row>
    <row r="3648" spans="1:5" ht="15.6">
      <c r="A3648">
        <v>3593</v>
      </c>
      <c r="B3648" s="166">
        <v>60.632216507328891</v>
      </c>
      <c r="D3648" s="39"/>
      <c r="E3648" s="39"/>
    </row>
    <row r="3649" spans="1:5" ht="15.6">
      <c r="A3649">
        <v>3594</v>
      </c>
      <c r="B3649" s="166">
        <v>113.20520574611827</v>
      </c>
      <c r="D3649" s="39"/>
      <c r="E3649" s="39"/>
    </row>
    <row r="3650" spans="1:5" ht="15.6">
      <c r="A3650">
        <v>3595</v>
      </c>
      <c r="B3650" s="166">
        <v>156.96204078215345</v>
      </c>
      <c r="D3650" s="39"/>
      <c r="E3650" s="39"/>
    </row>
    <row r="3651" spans="1:5" ht="15.6">
      <c r="A3651">
        <v>3596</v>
      </c>
      <c r="B3651" s="166">
        <v>64.987645434412983</v>
      </c>
      <c r="D3651" s="39"/>
      <c r="E3651" s="39"/>
    </row>
    <row r="3652" spans="1:5" ht="15.6">
      <c r="A3652">
        <v>3597</v>
      </c>
      <c r="B3652" s="166">
        <v>99.701073496484781</v>
      </c>
      <c r="D3652" s="39"/>
      <c r="E3652" s="39"/>
    </row>
    <row r="3653" spans="1:5" ht="15.6">
      <c r="A3653">
        <v>3598</v>
      </c>
      <c r="B3653" s="166">
        <v>52.727303077534955</v>
      </c>
      <c r="D3653" s="39"/>
      <c r="E3653" s="39"/>
    </row>
    <row r="3654" spans="1:5" ht="15.6">
      <c r="A3654">
        <v>3599</v>
      </c>
      <c r="B3654" s="166">
        <v>165.56674679028271</v>
      </c>
      <c r="D3654" s="39"/>
      <c r="E3654" s="39"/>
    </row>
    <row r="3655" spans="1:5" ht="15.6">
      <c r="A3655">
        <v>3600</v>
      </c>
      <c r="B3655" s="166">
        <v>69.997475002820124</v>
      </c>
      <c r="D3655" s="39"/>
      <c r="E3655" s="39"/>
    </row>
    <row r="3656" spans="1:5" ht="15.6">
      <c r="A3656">
        <v>3601</v>
      </c>
      <c r="B3656" s="166">
        <v>133.679097915569</v>
      </c>
      <c r="D3656" s="39"/>
      <c r="E3656" s="39"/>
    </row>
    <row r="3657" spans="1:5" ht="15.6">
      <c r="A3657">
        <v>3602</v>
      </c>
      <c r="B3657" s="166">
        <v>78.151618441669811</v>
      </c>
      <c r="D3657" s="39"/>
      <c r="E3657" s="39"/>
    </row>
    <row r="3658" spans="1:5" ht="15.6">
      <c r="A3658">
        <v>3603</v>
      </c>
      <c r="B3658" s="166">
        <v>81.754453685128581</v>
      </c>
      <c r="D3658" s="39"/>
      <c r="E3658" s="39"/>
    </row>
    <row r="3659" spans="1:5" ht="15.6">
      <c r="A3659">
        <v>3604</v>
      </c>
      <c r="B3659" s="166">
        <v>183.18225927218688</v>
      </c>
      <c r="D3659" s="39"/>
      <c r="E3659" s="39"/>
    </row>
    <row r="3660" spans="1:5" ht="15.6">
      <c r="A3660">
        <v>3605</v>
      </c>
      <c r="B3660" s="166">
        <v>143.57144928023109</v>
      </c>
      <c r="D3660" s="39"/>
      <c r="E3660" s="39"/>
    </row>
    <row r="3661" spans="1:5" ht="15.6">
      <c r="A3661">
        <v>3606</v>
      </c>
      <c r="B3661" s="166">
        <v>113.78089050096234</v>
      </c>
      <c r="D3661" s="39"/>
      <c r="E3661" s="39"/>
    </row>
    <row r="3662" spans="1:5" ht="15.6">
      <c r="A3662">
        <v>3607</v>
      </c>
      <c r="B3662" s="166">
        <v>104.93575205662381</v>
      </c>
      <c r="D3662" s="39"/>
      <c r="E3662" s="39"/>
    </row>
    <row r="3663" spans="1:5" ht="15.6">
      <c r="A3663">
        <v>3608</v>
      </c>
      <c r="B3663" s="166">
        <v>94.779116553137413</v>
      </c>
      <c r="D3663" s="39"/>
      <c r="E3663" s="39"/>
    </row>
    <row r="3664" spans="1:5" ht="15.6">
      <c r="A3664">
        <v>3609</v>
      </c>
      <c r="B3664" s="166">
        <v>112.8887583513843</v>
      </c>
      <c r="D3664" s="39"/>
      <c r="E3664" s="39"/>
    </row>
    <row r="3665" spans="1:5" ht="15.6">
      <c r="A3665">
        <v>3610</v>
      </c>
      <c r="B3665" s="166">
        <v>94.742207648298063</v>
      </c>
      <c r="D3665" s="39"/>
      <c r="E3665" s="39"/>
    </row>
    <row r="3666" spans="1:5" ht="15.6">
      <c r="A3666">
        <v>3611</v>
      </c>
      <c r="B3666" s="166">
        <v>84.544312015261539</v>
      </c>
      <c r="D3666" s="39"/>
      <c r="E3666" s="39"/>
    </row>
    <row r="3667" spans="1:5" ht="15.6">
      <c r="A3667">
        <v>3612</v>
      </c>
      <c r="B3667" s="166">
        <v>82.390863045299369</v>
      </c>
      <c r="D3667" s="39"/>
      <c r="E3667" s="39"/>
    </row>
    <row r="3668" spans="1:5" ht="15.6">
      <c r="A3668">
        <v>3613</v>
      </c>
      <c r="B3668" s="166">
        <v>124.40626109933451</v>
      </c>
      <c r="D3668" s="39"/>
      <c r="E3668" s="39"/>
    </row>
    <row r="3669" spans="1:5" ht="15.6">
      <c r="A3669">
        <v>3614</v>
      </c>
      <c r="B3669" s="166">
        <v>112.85586322233016</v>
      </c>
      <c r="D3669" s="39"/>
      <c r="E3669" s="39"/>
    </row>
    <row r="3670" spans="1:5" ht="15.6">
      <c r="A3670">
        <v>3615</v>
      </c>
      <c r="B3670" s="166">
        <v>94.059028719247934</v>
      </c>
      <c r="D3670" s="39"/>
      <c r="E3670" s="39"/>
    </row>
    <row r="3671" spans="1:5" ht="15.6">
      <c r="A3671">
        <v>3616</v>
      </c>
      <c r="B3671" s="166">
        <v>115.88151234637226</v>
      </c>
      <c r="D3671" s="39"/>
      <c r="E3671" s="39"/>
    </row>
    <row r="3672" spans="1:5" ht="15.6">
      <c r="A3672">
        <v>3617</v>
      </c>
      <c r="B3672" s="166">
        <v>110.42865073898577</v>
      </c>
      <c r="D3672" s="39"/>
      <c r="E3672" s="39"/>
    </row>
    <row r="3673" spans="1:5" ht="15.6">
      <c r="A3673">
        <v>3618</v>
      </c>
      <c r="B3673" s="166">
        <v>152.12018743764216</v>
      </c>
      <c r="D3673" s="39"/>
      <c r="E3673" s="39"/>
    </row>
    <row r="3674" spans="1:5" ht="15.6">
      <c r="A3674">
        <v>3619</v>
      </c>
      <c r="B3674" s="166">
        <v>141.00755860624074</v>
      </c>
      <c r="D3674" s="39"/>
      <c r="E3674" s="39"/>
    </row>
    <row r="3675" spans="1:5" ht="15.6">
      <c r="A3675">
        <v>3620</v>
      </c>
      <c r="B3675" s="166">
        <v>93.496959827290624</v>
      </c>
      <c r="D3675" s="39"/>
      <c r="E3675" s="39"/>
    </row>
    <row r="3676" spans="1:5" ht="15.6">
      <c r="A3676">
        <v>3621</v>
      </c>
      <c r="B3676" s="166">
        <v>88.446488896303251</v>
      </c>
      <c r="D3676" s="39"/>
      <c r="E3676" s="39"/>
    </row>
    <row r="3677" spans="1:5" ht="15.6">
      <c r="A3677">
        <v>3622</v>
      </c>
      <c r="B3677" s="166">
        <v>108.22263151339118</v>
      </c>
      <c r="D3677" s="39"/>
      <c r="E3677" s="39"/>
    </row>
    <row r="3678" spans="1:5" ht="15.6">
      <c r="A3678">
        <v>3623</v>
      </c>
      <c r="B3678" s="166">
        <v>65.482167280055805</v>
      </c>
      <c r="D3678" s="39"/>
      <c r="E3678" s="39"/>
    </row>
    <row r="3679" spans="1:5" ht="15.6">
      <c r="A3679">
        <v>3624</v>
      </c>
      <c r="B3679" s="166">
        <v>82.815103852882928</v>
      </c>
      <c r="D3679" s="39"/>
      <c r="E3679" s="39"/>
    </row>
    <row r="3680" spans="1:5" ht="15.6">
      <c r="A3680">
        <v>3625</v>
      </c>
      <c r="B3680" s="166">
        <v>94.061314941994979</v>
      </c>
      <c r="D3680" s="39"/>
      <c r="E3680" s="39"/>
    </row>
    <row r="3681" spans="1:5" ht="15.6">
      <c r="A3681">
        <v>3626</v>
      </c>
      <c r="B3681" s="166">
        <v>99.304426489166246</v>
      </c>
      <c r="D3681" s="39"/>
      <c r="E3681" s="39"/>
    </row>
    <row r="3682" spans="1:5" ht="15.6">
      <c r="A3682">
        <v>3627</v>
      </c>
      <c r="B3682" s="166">
        <v>102.82065570188055</v>
      </c>
      <c r="D3682" s="39"/>
      <c r="E3682" s="39"/>
    </row>
    <row r="3683" spans="1:5" ht="15.6">
      <c r="A3683">
        <v>3628</v>
      </c>
      <c r="B3683" s="166">
        <v>79.382130048141349</v>
      </c>
      <c r="D3683" s="39"/>
      <c r="E3683" s="39"/>
    </row>
    <row r="3684" spans="1:5" ht="15.6">
      <c r="A3684">
        <v>3629</v>
      </c>
      <c r="B3684" s="166">
        <v>239.40542763442815</v>
      </c>
      <c r="D3684" s="39"/>
      <c r="E3684" s="39"/>
    </row>
    <row r="3685" spans="1:5" ht="15.6">
      <c r="A3685">
        <v>3630</v>
      </c>
      <c r="B3685" s="166">
        <v>205.82475627890818</v>
      </c>
      <c r="D3685" s="39"/>
      <c r="E3685" s="39"/>
    </row>
    <row r="3686" spans="1:5" ht="15.6">
      <c r="A3686">
        <v>3631</v>
      </c>
      <c r="B3686" s="166">
        <v>173.08104857042864</v>
      </c>
      <c r="D3686" s="39"/>
      <c r="E3686" s="39"/>
    </row>
    <row r="3687" spans="1:5" ht="15.6">
      <c r="A3687">
        <v>3632</v>
      </c>
      <c r="B3687" s="166">
        <v>149.84632521096907</v>
      </c>
      <c r="D3687" s="39"/>
      <c r="E3687" s="39"/>
    </row>
    <row r="3688" spans="1:5" ht="15.6">
      <c r="A3688">
        <v>3633</v>
      </c>
      <c r="B3688" s="166">
        <v>139.84358618919546</v>
      </c>
      <c r="D3688" s="39"/>
      <c r="E3688" s="39"/>
    </row>
    <row r="3689" spans="1:5" ht="15.6">
      <c r="A3689">
        <v>3634</v>
      </c>
      <c r="B3689" s="166">
        <v>67.344486609246147</v>
      </c>
      <c r="D3689" s="39"/>
      <c r="E3689" s="39"/>
    </row>
    <row r="3690" spans="1:5" ht="15.6">
      <c r="A3690">
        <v>3635</v>
      </c>
      <c r="B3690" s="166">
        <v>167.59406072869524</v>
      </c>
      <c r="D3690" s="39"/>
      <c r="E3690" s="39"/>
    </row>
    <row r="3691" spans="1:5" ht="15.6">
      <c r="A3691">
        <v>3636</v>
      </c>
      <c r="B3691" s="166">
        <v>90.633577539963454</v>
      </c>
      <c r="D3691" s="39"/>
      <c r="E3691" s="39"/>
    </row>
    <row r="3692" spans="1:5" ht="15.6">
      <c r="A3692">
        <v>3637</v>
      </c>
      <c r="B3692" s="166">
        <v>96.405907434503376</v>
      </c>
      <c r="D3692" s="39"/>
      <c r="E3692" s="39"/>
    </row>
    <row r="3693" spans="1:5" ht="15.6">
      <c r="A3693">
        <v>3638</v>
      </c>
      <c r="B3693" s="166">
        <v>132.64122957694417</v>
      </c>
      <c r="D3693" s="39"/>
      <c r="E3693" s="39"/>
    </row>
    <row r="3694" spans="1:5" ht="15.6">
      <c r="A3694">
        <v>3639</v>
      </c>
      <c r="B3694" s="166">
        <v>120.0530465058655</v>
      </c>
      <c r="D3694" s="39"/>
      <c r="E3694" s="39"/>
    </row>
    <row r="3695" spans="1:5" ht="15.6">
      <c r="A3695">
        <v>3640</v>
      </c>
      <c r="B3695" s="166">
        <v>84.86397461727168</v>
      </c>
      <c r="D3695" s="39"/>
      <c r="E3695" s="39"/>
    </row>
    <row r="3696" spans="1:5" ht="15.6">
      <c r="A3696">
        <v>3641</v>
      </c>
      <c r="B3696" s="166">
        <v>98.629797308917105</v>
      </c>
      <c r="D3696" s="39"/>
      <c r="E3696" s="39"/>
    </row>
    <row r="3697" spans="1:5" ht="15.6">
      <c r="A3697">
        <v>3642</v>
      </c>
      <c r="B3697" s="166">
        <v>65.492976700617618</v>
      </c>
      <c r="D3697" s="39"/>
      <c r="E3697" s="39"/>
    </row>
    <row r="3698" spans="1:5" ht="15.6">
      <c r="A3698">
        <v>3643</v>
      </c>
      <c r="B3698" s="166">
        <v>168.98307069824682</v>
      </c>
      <c r="D3698" s="39"/>
      <c r="E3698" s="39"/>
    </row>
    <row r="3699" spans="1:5" ht="15.6">
      <c r="A3699">
        <v>3644</v>
      </c>
      <c r="B3699" s="166">
        <v>96.315862334873614</v>
      </c>
      <c r="D3699" s="39"/>
      <c r="E3699" s="39"/>
    </row>
    <row r="3700" spans="1:5" ht="15.6">
      <c r="A3700">
        <v>3645</v>
      </c>
      <c r="B3700" s="166">
        <v>136.8080147228068</v>
      </c>
      <c r="D3700" s="39"/>
      <c r="E3700" s="39"/>
    </row>
    <row r="3701" spans="1:5" ht="15.6">
      <c r="A3701">
        <v>3646</v>
      </c>
      <c r="B3701" s="166">
        <v>90.025924253130853</v>
      </c>
      <c r="D3701" s="39"/>
      <c r="E3701" s="39"/>
    </row>
    <row r="3702" spans="1:5" ht="15.6">
      <c r="A3702">
        <v>3647</v>
      </c>
      <c r="B3702" s="166">
        <v>84.939115530582697</v>
      </c>
      <c r="D3702" s="39"/>
      <c r="E3702" s="39"/>
    </row>
    <row r="3703" spans="1:5" ht="15.6">
      <c r="A3703">
        <v>3648</v>
      </c>
      <c r="B3703" s="166">
        <v>105.4605837006438</v>
      </c>
      <c r="D3703" s="39"/>
      <c r="E3703" s="39"/>
    </row>
    <row r="3704" spans="1:5" ht="15.6">
      <c r="A3704">
        <v>3649</v>
      </c>
      <c r="B3704" s="166">
        <v>148.87738119898734</v>
      </c>
      <c r="D3704" s="39"/>
      <c r="E3704" s="39"/>
    </row>
    <row r="3705" spans="1:5" ht="15.6">
      <c r="A3705">
        <v>3650</v>
      </c>
      <c r="B3705" s="166">
        <v>117.84308527687024</v>
      </c>
      <c r="D3705" s="39"/>
      <c r="E3705" s="39"/>
    </row>
    <row r="3706" spans="1:5" ht="15.6">
      <c r="A3706">
        <v>3651</v>
      </c>
      <c r="B3706" s="166">
        <v>79.347874675602299</v>
      </c>
      <c r="D3706" s="39"/>
      <c r="E3706" s="39"/>
    </row>
    <row r="3707" spans="1:5" ht="15.6">
      <c r="A3707">
        <v>3652</v>
      </c>
      <c r="B3707" s="166">
        <v>73.064638859627166</v>
      </c>
      <c r="D3707" s="39"/>
      <c r="E3707" s="39"/>
    </row>
    <row r="3708" spans="1:5" ht="15.6">
      <c r="A3708">
        <v>3653</v>
      </c>
      <c r="B3708" s="166">
        <v>141.34477719531404</v>
      </c>
      <c r="D3708" s="39"/>
      <c r="E3708" s="39"/>
    </row>
    <row r="3709" spans="1:5" ht="15.6">
      <c r="A3709">
        <v>3654</v>
      </c>
      <c r="B3709" s="166">
        <v>77.765988571347052</v>
      </c>
      <c r="D3709" s="39"/>
      <c r="E3709" s="39"/>
    </row>
    <row r="3710" spans="1:5" ht="15.6">
      <c r="A3710">
        <v>3655</v>
      </c>
      <c r="B3710" s="166">
        <v>51.157857962551319</v>
      </c>
      <c r="D3710" s="39"/>
      <c r="E3710" s="39"/>
    </row>
    <row r="3711" spans="1:5" ht="15.6">
      <c r="A3711">
        <v>3656</v>
      </c>
      <c r="B3711" s="166">
        <v>116.48272317298719</v>
      </c>
      <c r="D3711" s="39"/>
      <c r="E3711" s="39"/>
    </row>
    <row r="3712" spans="1:5" ht="15.6">
      <c r="A3712">
        <v>3657</v>
      </c>
      <c r="B3712" s="166">
        <v>171.55800903090338</v>
      </c>
      <c r="D3712" s="39"/>
      <c r="E3712" s="39"/>
    </row>
    <row r="3713" spans="1:5" ht="15.6">
      <c r="A3713">
        <v>3658</v>
      </c>
      <c r="B3713" s="166">
        <v>134.36846213302448</v>
      </c>
      <c r="D3713" s="39"/>
      <c r="E3713" s="39"/>
    </row>
    <row r="3714" spans="1:5" ht="15.6">
      <c r="A3714">
        <v>3659</v>
      </c>
      <c r="B3714" s="166">
        <v>117.03169844367189</v>
      </c>
      <c r="D3714" s="39"/>
      <c r="E3714" s="39"/>
    </row>
    <row r="3715" spans="1:5" ht="15.6">
      <c r="A3715">
        <v>3660</v>
      </c>
      <c r="B3715" s="166">
        <v>240.12166031315718</v>
      </c>
      <c r="D3715" s="39"/>
      <c r="E3715" s="39"/>
    </row>
    <row r="3716" spans="1:5" ht="15.6">
      <c r="A3716">
        <v>3661</v>
      </c>
      <c r="B3716" s="166">
        <v>122.71818839392019</v>
      </c>
      <c r="D3716" s="39"/>
      <c r="E3716" s="39"/>
    </row>
    <row r="3717" spans="1:5" ht="15.6">
      <c r="A3717">
        <v>3662</v>
      </c>
      <c r="B3717" s="166">
        <v>90.342951779455561</v>
      </c>
      <c r="D3717" s="39"/>
      <c r="E3717" s="39"/>
    </row>
    <row r="3718" spans="1:5" ht="15.6">
      <c r="A3718">
        <v>3663</v>
      </c>
      <c r="B3718" s="166">
        <v>137.95387121672394</v>
      </c>
      <c r="D3718" s="39"/>
      <c r="E3718" s="39"/>
    </row>
    <row r="3719" spans="1:5" ht="15.6">
      <c r="A3719">
        <v>3664</v>
      </c>
      <c r="B3719" s="166">
        <v>172.04536184720348</v>
      </c>
      <c r="D3719" s="39"/>
      <c r="E3719" s="39"/>
    </row>
    <row r="3720" spans="1:5" ht="15.6">
      <c r="A3720">
        <v>3665</v>
      </c>
      <c r="B3720" s="166">
        <v>156.33216569000226</v>
      </c>
      <c r="D3720" s="39"/>
      <c r="E3720" s="39"/>
    </row>
    <row r="3721" spans="1:5" ht="15.6">
      <c r="A3721">
        <v>3666</v>
      </c>
      <c r="B3721" s="166">
        <v>77.176443834640352</v>
      </c>
      <c r="D3721" s="39"/>
      <c r="E3721" s="39"/>
    </row>
    <row r="3722" spans="1:5" ht="15.6">
      <c r="A3722">
        <v>3667</v>
      </c>
      <c r="B3722" s="166">
        <v>51.028123900648012</v>
      </c>
      <c r="D3722" s="39"/>
      <c r="E3722" s="39"/>
    </row>
    <row r="3723" spans="1:5" ht="15.6">
      <c r="A3723">
        <v>3668</v>
      </c>
      <c r="B3723" s="166">
        <v>135.64778738954226</v>
      </c>
      <c r="D3723" s="39"/>
      <c r="E3723" s="39"/>
    </row>
    <row r="3724" spans="1:5" ht="15.6">
      <c r="A3724">
        <v>3669</v>
      </c>
      <c r="B3724" s="166">
        <v>67.421306013502786</v>
      </c>
      <c r="D3724" s="39"/>
      <c r="E3724" s="39"/>
    </row>
    <row r="3725" spans="1:5" ht="15.6">
      <c r="A3725">
        <v>3670</v>
      </c>
      <c r="B3725" s="166">
        <v>76.091312706849109</v>
      </c>
      <c r="D3725" s="39"/>
      <c r="E3725" s="39"/>
    </row>
    <row r="3726" spans="1:5" ht="15.6">
      <c r="A3726">
        <v>3671</v>
      </c>
      <c r="B3726" s="166">
        <v>71.493492282959721</v>
      </c>
      <c r="D3726" s="39"/>
      <c r="E3726" s="39"/>
    </row>
    <row r="3727" spans="1:5" ht="15.6">
      <c r="A3727">
        <v>3672</v>
      </c>
      <c r="B3727" s="166">
        <v>114.67479786552944</v>
      </c>
      <c r="D3727" s="39"/>
      <c r="E3727" s="39"/>
    </row>
    <row r="3728" spans="1:5" ht="15.6">
      <c r="A3728">
        <v>3673</v>
      </c>
      <c r="B3728" s="166">
        <v>108.41640731001378</v>
      </c>
      <c r="D3728" s="39"/>
      <c r="E3728" s="39"/>
    </row>
    <row r="3729" spans="1:5" ht="15.6">
      <c r="A3729">
        <v>3674</v>
      </c>
      <c r="B3729" s="166">
        <v>89.673823276735149</v>
      </c>
      <c r="D3729" s="39"/>
      <c r="E3729" s="39"/>
    </row>
    <row r="3730" spans="1:5" ht="15.6">
      <c r="A3730">
        <v>3675</v>
      </c>
      <c r="B3730" s="166">
        <v>116.21438232195203</v>
      </c>
      <c r="D3730" s="39"/>
      <c r="E3730" s="39"/>
    </row>
    <row r="3731" spans="1:5" ht="15.6">
      <c r="A3731">
        <v>3676</v>
      </c>
      <c r="B3731" s="166">
        <v>123.205215955203</v>
      </c>
      <c r="D3731" s="39"/>
      <c r="E3731" s="39"/>
    </row>
    <row r="3732" spans="1:5" ht="15.6">
      <c r="A3732">
        <v>3677</v>
      </c>
      <c r="B3732" s="166">
        <v>128.66747859092419</v>
      </c>
      <c r="D3732" s="39"/>
      <c r="E3732" s="39"/>
    </row>
    <row r="3733" spans="1:5" ht="15.6">
      <c r="A3733">
        <v>3678</v>
      </c>
      <c r="B3733" s="166">
        <v>121.468157023476</v>
      </c>
      <c r="D3733" s="39"/>
      <c r="E3733" s="39"/>
    </row>
    <row r="3734" spans="1:5" ht="15.6">
      <c r="A3734">
        <v>3679</v>
      </c>
      <c r="B3734" s="166">
        <v>143.99736612956735</v>
      </c>
      <c r="D3734" s="39"/>
      <c r="E3734" s="39"/>
    </row>
    <row r="3735" spans="1:5" ht="15.6">
      <c r="A3735">
        <v>3680</v>
      </c>
      <c r="B3735" s="166">
        <v>176.80290777215154</v>
      </c>
      <c r="D3735" s="39"/>
      <c r="E3735" s="39"/>
    </row>
    <row r="3736" spans="1:5" ht="15.6">
      <c r="A3736">
        <v>3681</v>
      </c>
      <c r="B3736" s="166">
        <v>89.577420796737456</v>
      </c>
      <c r="D3736" s="39"/>
      <c r="E3736" s="39"/>
    </row>
    <row r="3737" spans="1:5" ht="15.6">
      <c r="A3737">
        <v>3682</v>
      </c>
      <c r="B3737" s="166">
        <v>105.00784640578743</v>
      </c>
      <c r="D3737" s="39"/>
      <c r="E3737" s="39"/>
    </row>
    <row r="3738" spans="1:5" ht="15.6">
      <c r="A3738">
        <v>3683</v>
      </c>
      <c r="B3738" s="166">
        <v>84.791074751109548</v>
      </c>
      <c r="D3738" s="39"/>
      <c r="E3738" s="39"/>
    </row>
    <row r="3739" spans="1:5" ht="15.6">
      <c r="A3739">
        <v>3684</v>
      </c>
      <c r="B3739" s="166">
        <v>113.10183409689539</v>
      </c>
      <c r="D3739" s="39"/>
      <c r="E3739" s="39"/>
    </row>
    <row r="3740" spans="1:5" ht="15.6">
      <c r="A3740">
        <v>3685</v>
      </c>
      <c r="B3740" s="166">
        <v>103.82936338217993</v>
      </c>
      <c r="D3740" s="39"/>
      <c r="E3740" s="39"/>
    </row>
    <row r="3741" spans="1:5" ht="15.6">
      <c r="A3741">
        <v>3686</v>
      </c>
      <c r="B3741" s="166">
        <v>133.05635417600936</v>
      </c>
      <c r="D3741" s="39"/>
      <c r="E3741" s="39"/>
    </row>
    <row r="3742" spans="1:5" ht="15.6">
      <c r="A3742">
        <v>3687</v>
      </c>
      <c r="B3742" s="166">
        <v>89.625616301477848</v>
      </c>
      <c r="D3742" s="39"/>
      <c r="E3742" s="39"/>
    </row>
    <row r="3743" spans="1:5" ht="15.6">
      <c r="A3743">
        <v>3688</v>
      </c>
      <c r="B3743" s="166">
        <v>129.6302013301524</v>
      </c>
      <c r="D3743" s="39"/>
      <c r="E3743" s="39"/>
    </row>
    <row r="3744" spans="1:5" ht="15.6">
      <c r="A3744">
        <v>3689</v>
      </c>
      <c r="B3744" s="166">
        <v>94.251551348287862</v>
      </c>
      <c r="D3744" s="39"/>
      <c r="E3744" s="39"/>
    </row>
    <row r="3745" spans="1:5" ht="15.6">
      <c r="A3745">
        <v>3690</v>
      </c>
      <c r="B3745" s="166">
        <v>166.35926978478253</v>
      </c>
      <c r="D3745" s="39"/>
      <c r="E3745" s="39"/>
    </row>
    <row r="3746" spans="1:5" ht="15.6">
      <c r="A3746">
        <v>3691</v>
      </c>
      <c r="B3746" s="166">
        <v>80.278502430851503</v>
      </c>
      <c r="D3746" s="39"/>
      <c r="E3746" s="39"/>
    </row>
    <row r="3747" spans="1:5" ht="15.6">
      <c r="A3747">
        <v>3692</v>
      </c>
      <c r="B3747" s="166">
        <v>129.59926601509051</v>
      </c>
      <c r="D3747" s="39"/>
      <c r="E3747" s="39"/>
    </row>
    <row r="3748" spans="1:5" ht="15.6">
      <c r="A3748">
        <v>3693</v>
      </c>
      <c r="B3748" s="166">
        <v>74.884340482184541</v>
      </c>
      <c r="D3748" s="39"/>
      <c r="E3748" s="39"/>
    </row>
    <row r="3749" spans="1:5" ht="15.6">
      <c r="A3749">
        <v>3694</v>
      </c>
      <c r="B3749" s="166">
        <v>200.42637534562132</v>
      </c>
      <c r="D3749" s="39"/>
      <c r="E3749" s="39"/>
    </row>
    <row r="3750" spans="1:5" ht="15.6">
      <c r="A3750">
        <v>3695</v>
      </c>
      <c r="B3750" s="166">
        <v>193.69052048174461</v>
      </c>
      <c r="D3750" s="39"/>
      <c r="E3750" s="39"/>
    </row>
    <row r="3751" spans="1:5" ht="15.6">
      <c r="A3751">
        <v>3696</v>
      </c>
      <c r="B3751" s="166">
        <v>110.45342829996274</v>
      </c>
      <c r="D3751" s="39"/>
      <c r="E3751" s="39"/>
    </row>
    <row r="3752" spans="1:5" ht="15.6">
      <c r="A3752">
        <v>3697</v>
      </c>
      <c r="B3752" s="166">
        <v>115.45669167366633</v>
      </c>
      <c r="D3752" s="39"/>
      <c r="E3752" s="39"/>
    </row>
    <row r="3753" spans="1:5" ht="15.6">
      <c r="A3753">
        <v>3698</v>
      </c>
      <c r="B3753" s="166">
        <v>112.149922500839</v>
      </c>
      <c r="D3753" s="39"/>
      <c r="E3753" s="39"/>
    </row>
    <row r="3754" spans="1:5" ht="15.6">
      <c r="A3754">
        <v>3699</v>
      </c>
      <c r="B3754" s="166">
        <v>92.765799868811243</v>
      </c>
      <c r="D3754" s="39"/>
      <c r="E3754" s="39"/>
    </row>
    <row r="3755" spans="1:5" ht="15.6">
      <c r="A3755">
        <v>3700</v>
      </c>
      <c r="B3755" s="166">
        <v>119.79253114760819</v>
      </c>
      <c r="D3755" s="39"/>
      <c r="E3755" s="39"/>
    </row>
    <row r="3756" spans="1:5" ht="15.6">
      <c r="A3756">
        <v>3701</v>
      </c>
      <c r="B3756" s="166">
        <v>157.88679651710797</v>
      </c>
      <c r="D3756" s="39"/>
      <c r="E3756" s="39"/>
    </row>
    <row r="3757" spans="1:5" ht="15.6">
      <c r="A3757">
        <v>3702</v>
      </c>
      <c r="B3757" s="166">
        <v>85.482339631136853</v>
      </c>
      <c r="D3757" s="39"/>
      <c r="E3757" s="39"/>
    </row>
    <row r="3758" spans="1:5" ht="15.6">
      <c r="A3758">
        <v>3703</v>
      </c>
      <c r="B3758" s="166">
        <v>135.51901052643552</v>
      </c>
      <c r="D3758" s="39"/>
      <c r="E3758" s="39"/>
    </row>
    <row r="3759" spans="1:5" ht="15.6">
      <c r="A3759">
        <v>3704</v>
      </c>
      <c r="B3759" s="166">
        <v>129.17613267847227</v>
      </c>
      <c r="D3759" s="39"/>
      <c r="E3759" s="39"/>
    </row>
    <row r="3760" spans="1:5" ht="15.6">
      <c r="A3760">
        <v>3705</v>
      </c>
      <c r="B3760" s="166">
        <v>138.10397336404856</v>
      </c>
      <c r="D3760" s="39"/>
      <c r="E3760" s="39"/>
    </row>
    <row r="3761" spans="1:5" ht="15.6">
      <c r="A3761">
        <v>3706</v>
      </c>
      <c r="B3761" s="166">
        <v>138.73044629971346</v>
      </c>
      <c r="D3761" s="39"/>
      <c r="E3761" s="39"/>
    </row>
    <row r="3762" spans="1:5" ht="15.6">
      <c r="A3762">
        <v>3707</v>
      </c>
      <c r="B3762" s="166">
        <v>99.664722491406337</v>
      </c>
      <c r="D3762" s="39"/>
      <c r="E3762" s="39"/>
    </row>
    <row r="3763" spans="1:5" ht="15.6">
      <c r="A3763">
        <v>3708</v>
      </c>
      <c r="B3763" s="166">
        <v>99.729312999259662</v>
      </c>
      <c r="D3763" s="39"/>
      <c r="E3763" s="39"/>
    </row>
    <row r="3764" spans="1:5" ht="15.6">
      <c r="A3764">
        <v>3709</v>
      </c>
      <c r="B3764" s="166">
        <v>148.12318125424676</v>
      </c>
      <c r="D3764" s="39"/>
      <c r="E3764" s="39"/>
    </row>
    <row r="3765" spans="1:5" ht="15.6">
      <c r="A3765">
        <v>3710</v>
      </c>
      <c r="B3765" s="166">
        <v>97.576758784047385</v>
      </c>
      <c r="D3765" s="39"/>
      <c r="E3765" s="39"/>
    </row>
    <row r="3766" spans="1:5" ht="15.6">
      <c r="A3766">
        <v>3711</v>
      </c>
      <c r="B3766" s="166">
        <v>99.718070955028722</v>
      </c>
      <c r="D3766" s="39"/>
      <c r="E3766" s="39"/>
    </row>
    <row r="3767" spans="1:5" ht="15.6">
      <c r="A3767">
        <v>3712</v>
      </c>
      <c r="B3767" s="166">
        <v>104.14895279847917</v>
      </c>
      <c r="D3767" s="39"/>
      <c r="E3767" s="39"/>
    </row>
    <row r="3768" spans="1:5" ht="15.6">
      <c r="A3768">
        <v>3713</v>
      </c>
      <c r="B3768" s="166">
        <v>72.701485454448274</v>
      </c>
      <c r="D3768" s="39"/>
      <c r="E3768" s="39"/>
    </row>
    <row r="3769" spans="1:5" ht="15.6">
      <c r="A3769">
        <v>3714</v>
      </c>
      <c r="B3769" s="166">
        <v>101.32363038199368</v>
      </c>
      <c r="D3769" s="39"/>
      <c r="E3769" s="39"/>
    </row>
    <row r="3770" spans="1:5" ht="15.6">
      <c r="A3770">
        <v>3715</v>
      </c>
      <c r="B3770" s="166">
        <v>50.412357797516258</v>
      </c>
      <c r="D3770" s="39"/>
      <c r="E3770" s="39"/>
    </row>
    <row r="3771" spans="1:5" ht="15.6">
      <c r="A3771">
        <v>3716</v>
      </c>
      <c r="B3771" s="166">
        <v>116.61864721189691</v>
      </c>
      <c r="D3771" s="39"/>
      <c r="E3771" s="39"/>
    </row>
    <row r="3772" spans="1:5" ht="15.6">
      <c r="A3772">
        <v>3717</v>
      </c>
      <c r="B3772" s="166">
        <v>81.964064820750181</v>
      </c>
      <c r="D3772" s="39"/>
      <c r="E3772" s="39"/>
    </row>
    <row r="3773" spans="1:5" ht="15.6">
      <c r="A3773">
        <v>3718</v>
      </c>
      <c r="B3773" s="166">
        <v>192.89675926950756</v>
      </c>
      <c r="D3773" s="39"/>
      <c r="E3773" s="39"/>
    </row>
    <row r="3774" spans="1:5" ht="15.6">
      <c r="A3774">
        <v>3719</v>
      </c>
      <c r="B3774" s="166">
        <v>78.711479920939865</v>
      </c>
      <c r="D3774" s="39"/>
      <c r="E3774" s="39"/>
    </row>
    <row r="3775" spans="1:5" ht="15.6">
      <c r="A3775">
        <v>3720</v>
      </c>
      <c r="B3775" s="166">
        <v>76.393598575373105</v>
      </c>
      <c r="D3775" s="39"/>
      <c r="E3775" s="39"/>
    </row>
    <row r="3776" spans="1:5" ht="15.6">
      <c r="A3776">
        <v>3721</v>
      </c>
      <c r="B3776" s="166">
        <v>147.34772325938891</v>
      </c>
      <c r="D3776" s="39"/>
      <c r="E3776" s="39"/>
    </row>
    <row r="3777" spans="1:5" ht="15.6">
      <c r="A3777">
        <v>3722</v>
      </c>
      <c r="B3777" s="166">
        <v>136.28800151100589</v>
      </c>
      <c r="D3777" s="39"/>
      <c r="E3777" s="39"/>
    </row>
    <row r="3778" spans="1:5" ht="15.6">
      <c r="A3778">
        <v>3723</v>
      </c>
      <c r="B3778" s="166">
        <v>125.3238554970748</v>
      </c>
      <c r="D3778" s="39"/>
      <c r="E3778" s="39"/>
    </row>
    <row r="3779" spans="1:5" ht="15.6">
      <c r="A3779">
        <v>3724</v>
      </c>
      <c r="B3779" s="166">
        <v>73.510805169871873</v>
      </c>
      <c r="D3779" s="39"/>
      <c r="E3779" s="39"/>
    </row>
    <row r="3780" spans="1:5" ht="15.6">
      <c r="A3780">
        <v>3725</v>
      </c>
      <c r="B3780" s="166">
        <v>135.98661835447851</v>
      </c>
      <c r="D3780" s="39"/>
      <c r="E3780" s="39"/>
    </row>
    <row r="3781" spans="1:5" ht="15.6">
      <c r="A3781">
        <v>3726</v>
      </c>
      <c r="B3781" s="166">
        <v>165.86371826105233</v>
      </c>
      <c r="D3781" s="39"/>
      <c r="E3781" s="39"/>
    </row>
    <row r="3782" spans="1:5" ht="15.6">
      <c r="A3782">
        <v>3727</v>
      </c>
      <c r="B3782" s="166">
        <v>108.79661528449469</v>
      </c>
      <c r="D3782" s="39"/>
      <c r="E3782" s="39"/>
    </row>
    <row r="3783" spans="1:5" ht="15.6">
      <c r="A3783">
        <v>3728</v>
      </c>
      <c r="B3783" s="166">
        <v>140.27771238960273</v>
      </c>
      <c r="D3783" s="39"/>
      <c r="E3783" s="39"/>
    </row>
    <row r="3784" spans="1:5" ht="15.6">
      <c r="A3784">
        <v>3729</v>
      </c>
      <c r="B3784" s="166">
        <v>82.667553102276457</v>
      </c>
      <c r="D3784" s="39"/>
      <c r="E3784" s="39"/>
    </row>
    <row r="3785" spans="1:5" ht="15.6">
      <c r="A3785">
        <v>3730</v>
      </c>
      <c r="B3785" s="166">
        <v>84.857320031962672</v>
      </c>
      <c r="D3785" s="39"/>
      <c r="E3785" s="39"/>
    </row>
    <row r="3786" spans="1:5" ht="15.6">
      <c r="A3786">
        <v>3731</v>
      </c>
      <c r="B3786" s="166">
        <v>92.020642107172037</v>
      </c>
      <c r="D3786" s="39"/>
      <c r="E3786" s="39"/>
    </row>
    <row r="3787" spans="1:5" ht="15.6">
      <c r="A3787">
        <v>3732</v>
      </c>
      <c r="B3787" s="166">
        <v>79.984183608438983</v>
      </c>
      <c r="D3787" s="39"/>
      <c r="E3787" s="39"/>
    </row>
    <row r="3788" spans="1:5" ht="15.6">
      <c r="A3788">
        <v>3733</v>
      </c>
      <c r="B3788" s="166">
        <v>137.73336306355793</v>
      </c>
      <c r="D3788" s="39"/>
      <c r="E3788" s="39"/>
    </row>
    <row r="3789" spans="1:5" ht="15.6">
      <c r="A3789">
        <v>3734</v>
      </c>
      <c r="B3789" s="166">
        <v>67.423808688836161</v>
      </c>
      <c r="D3789" s="39"/>
      <c r="E3789" s="39"/>
    </row>
    <row r="3790" spans="1:5" ht="15.6">
      <c r="A3790">
        <v>3735</v>
      </c>
      <c r="B3790" s="166">
        <v>89.26157940142626</v>
      </c>
      <c r="D3790" s="39"/>
      <c r="E3790" s="39"/>
    </row>
    <row r="3791" spans="1:5" ht="15.6">
      <c r="A3791">
        <v>3736</v>
      </c>
      <c r="B3791" s="166">
        <v>119.63678047484042</v>
      </c>
      <c r="D3791" s="39"/>
      <c r="E3791" s="39"/>
    </row>
    <row r="3792" spans="1:5" ht="15.6">
      <c r="A3792">
        <v>3737</v>
      </c>
      <c r="B3792" s="166">
        <v>68.395036414255244</v>
      </c>
      <c r="D3792" s="39"/>
      <c r="E3792" s="39"/>
    </row>
    <row r="3793" spans="1:5" ht="15.6">
      <c r="A3793">
        <v>3738</v>
      </c>
      <c r="B3793" s="166">
        <v>67.420180991852448</v>
      </c>
      <c r="D3793" s="39"/>
      <c r="E3793" s="39"/>
    </row>
    <row r="3794" spans="1:5" ht="15.6">
      <c r="A3794">
        <v>3739</v>
      </c>
      <c r="B3794" s="166">
        <v>106.51764230463873</v>
      </c>
      <c r="D3794" s="39"/>
      <c r="E3794" s="39"/>
    </row>
    <row r="3795" spans="1:5" ht="15.6">
      <c r="A3795">
        <v>3740</v>
      </c>
      <c r="B3795" s="166">
        <v>102.86233988214693</v>
      </c>
      <c r="D3795" s="39"/>
      <c r="E3795" s="39"/>
    </row>
    <row r="3796" spans="1:5" ht="15.6">
      <c r="A3796">
        <v>3741</v>
      </c>
      <c r="B3796" s="166">
        <v>80.207045378444022</v>
      </c>
      <c r="D3796" s="39"/>
      <c r="E3796" s="39"/>
    </row>
    <row r="3797" spans="1:5" ht="15.6">
      <c r="A3797">
        <v>3742</v>
      </c>
      <c r="B3797" s="166">
        <v>80.913338339416967</v>
      </c>
      <c r="D3797" s="39"/>
      <c r="E3797" s="39"/>
    </row>
    <row r="3798" spans="1:5" ht="15.6">
      <c r="A3798">
        <v>3743</v>
      </c>
      <c r="B3798" s="166">
        <v>91.82389865806698</v>
      </c>
      <c r="D3798" s="39"/>
      <c r="E3798" s="39"/>
    </row>
    <row r="3799" spans="1:5" ht="15.6">
      <c r="A3799">
        <v>3744</v>
      </c>
      <c r="B3799" s="166">
        <v>113.87951495248353</v>
      </c>
      <c r="D3799" s="39"/>
      <c r="E3799" s="39"/>
    </row>
    <row r="3800" spans="1:5" ht="15.6">
      <c r="A3800">
        <v>3745</v>
      </c>
      <c r="B3800" s="166">
        <v>105.97879831441485</v>
      </c>
      <c r="D3800" s="39"/>
      <c r="E3800" s="39"/>
    </row>
    <row r="3801" spans="1:5" ht="15.6">
      <c r="A3801">
        <v>3746</v>
      </c>
      <c r="B3801" s="166">
        <v>139.36039353513542</v>
      </c>
      <c r="D3801" s="39"/>
      <c r="E3801" s="39"/>
    </row>
    <row r="3802" spans="1:5" ht="15.6">
      <c r="A3802">
        <v>3747</v>
      </c>
      <c r="B3802" s="166">
        <v>61.976073741793961</v>
      </c>
      <c r="D3802" s="39"/>
      <c r="E3802" s="39"/>
    </row>
    <row r="3803" spans="1:5" ht="15.6">
      <c r="A3803">
        <v>3748</v>
      </c>
      <c r="B3803" s="166">
        <v>115.90155528562916</v>
      </c>
      <c r="D3803" s="39"/>
      <c r="E3803" s="39"/>
    </row>
    <row r="3804" spans="1:5" ht="15.6">
      <c r="A3804">
        <v>3749</v>
      </c>
      <c r="B3804" s="166">
        <v>193.65598579072298</v>
      </c>
      <c r="D3804" s="39"/>
      <c r="E3804" s="39"/>
    </row>
    <row r="3805" spans="1:5" ht="15.6">
      <c r="A3805">
        <v>3750</v>
      </c>
      <c r="B3805" s="166">
        <v>87.107172977573057</v>
      </c>
      <c r="D3805" s="39"/>
      <c r="E3805" s="39"/>
    </row>
    <row r="3806" spans="1:5" ht="15.6">
      <c r="A3806">
        <v>3751</v>
      </c>
      <c r="B3806" s="166">
        <v>80.893603180764359</v>
      </c>
      <c r="D3806" s="39"/>
      <c r="E3806" s="39"/>
    </row>
    <row r="3807" spans="1:5" ht="15.6">
      <c r="A3807">
        <v>3752</v>
      </c>
      <c r="B3807" s="166">
        <v>119.9895547427837</v>
      </c>
      <c r="D3807" s="39"/>
      <c r="E3807" s="39"/>
    </row>
    <row r="3808" spans="1:5" ht="15.6">
      <c r="A3808">
        <v>3753</v>
      </c>
      <c r="B3808" s="166">
        <v>176.22562927881216</v>
      </c>
      <c r="D3808" s="39"/>
      <c r="E3808" s="39"/>
    </row>
    <row r="3809" spans="1:5" ht="15.6">
      <c r="A3809">
        <v>3754</v>
      </c>
      <c r="B3809" s="166">
        <v>118.33236521753071</v>
      </c>
      <c r="D3809" s="39"/>
      <c r="E3809" s="39"/>
    </row>
    <row r="3810" spans="1:5" ht="15.6">
      <c r="A3810">
        <v>3755</v>
      </c>
      <c r="B3810" s="166">
        <v>89.560955045132161</v>
      </c>
      <c r="D3810" s="39"/>
      <c r="E3810" s="39"/>
    </row>
    <row r="3811" spans="1:5" ht="15.6">
      <c r="A3811">
        <v>3756</v>
      </c>
      <c r="B3811" s="166">
        <v>58.981920574770719</v>
      </c>
      <c r="D3811" s="39"/>
      <c r="E3811" s="39"/>
    </row>
    <row r="3812" spans="1:5" ht="15.6">
      <c r="A3812">
        <v>3757</v>
      </c>
      <c r="B3812" s="166">
        <v>160.84778719037135</v>
      </c>
      <c r="D3812" s="39"/>
      <c r="E3812" s="39"/>
    </row>
    <row r="3813" spans="1:5" ht="15.6">
      <c r="A3813">
        <v>3758</v>
      </c>
      <c r="B3813" s="166">
        <v>68.105597764252252</v>
      </c>
      <c r="D3813" s="39"/>
      <c r="E3813" s="39"/>
    </row>
    <row r="3814" spans="1:5" ht="15.6">
      <c r="A3814">
        <v>3759</v>
      </c>
      <c r="B3814" s="166">
        <v>91.130473062402714</v>
      </c>
      <c r="D3814" s="39"/>
      <c r="E3814" s="39"/>
    </row>
    <row r="3815" spans="1:5" ht="15.6">
      <c r="A3815">
        <v>3760</v>
      </c>
      <c r="B3815" s="166">
        <v>75.093469773033434</v>
      </c>
      <c r="D3815" s="39"/>
      <c r="E3815" s="39"/>
    </row>
    <row r="3816" spans="1:5" ht="15.6">
      <c r="A3816">
        <v>3761</v>
      </c>
      <c r="B3816" s="166">
        <v>115.53702298848404</v>
      </c>
      <c r="D3816" s="39"/>
      <c r="E3816" s="39"/>
    </row>
    <row r="3817" spans="1:5" ht="15.6">
      <c r="A3817">
        <v>3762</v>
      </c>
      <c r="B3817" s="166">
        <v>121.17927404659075</v>
      </c>
      <c r="D3817" s="39"/>
      <c r="E3817" s="39"/>
    </row>
    <row r="3818" spans="1:5" ht="15.6">
      <c r="A3818">
        <v>3763</v>
      </c>
      <c r="B3818" s="166">
        <v>103.32830140358342</v>
      </c>
      <c r="D3818" s="39"/>
      <c r="E3818" s="39"/>
    </row>
    <row r="3819" spans="1:5" ht="15.6">
      <c r="A3819">
        <v>3764</v>
      </c>
      <c r="B3819" s="166">
        <v>88.206631156276458</v>
      </c>
      <c r="D3819" s="39"/>
      <c r="E3819" s="39"/>
    </row>
    <row r="3820" spans="1:5" ht="15.6">
      <c r="A3820">
        <v>3765</v>
      </c>
      <c r="B3820" s="166">
        <v>88.039754086336586</v>
      </c>
      <c r="D3820" s="39"/>
      <c r="E3820" s="39"/>
    </row>
    <row r="3821" spans="1:5" ht="15.6">
      <c r="A3821">
        <v>3766</v>
      </c>
      <c r="B3821" s="166">
        <v>146.19335355225502</v>
      </c>
      <c r="D3821" s="39"/>
      <c r="E3821" s="39"/>
    </row>
    <row r="3822" spans="1:5" ht="15.6">
      <c r="A3822">
        <v>3767</v>
      </c>
      <c r="B3822" s="166">
        <v>92.987721321954126</v>
      </c>
      <c r="D3822" s="39"/>
      <c r="E3822" s="39"/>
    </row>
    <row r="3823" spans="1:5" ht="15.6">
      <c r="A3823">
        <v>3768</v>
      </c>
      <c r="B3823" s="166">
        <v>78.498441403555361</v>
      </c>
      <c r="D3823" s="39"/>
      <c r="E3823" s="39"/>
    </row>
    <row r="3824" spans="1:5" ht="15.6">
      <c r="A3824">
        <v>3769</v>
      </c>
      <c r="B3824" s="166">
        <v>65.944884689046205</v>
      </c>
      <c r="D3824" s="39"/>
      <c r="E3824" s="39"/>
    </row>
    <row r="3825" spans="1:5" ht="15.6">
      <c r="A3825">
        <v>3770</v>
      </c>
      <c r="B3825" s="166">
        <v>116.34641322255635</v>
      </c>
      <c r="D3825" s="39"/>
      <c r="E3825" s="39"/>
    </row>
    <row r="3826" spans="1:5" ht="15.6">
      <c r="A3826">
        <v>3771</v>
      </c>
      <c r="B3826" s="166">
        <v>61.585884154038602</v>
      </c>
      <c r="D3826" s="39"/>
      <c r="E3826" s="39"/>
    </row>
    <row r="3827" spans="1:5" ht="15.6">
      <c r="A3827">
        <v>3772</v>
      </c>
      <c r="B3827" s="166">
        <v>142.198550129745</v>
      </c>
      <c r="D3827" s="39"/>
      <c r="E3827" s="39"/>
    </row>
    <row r="3828" spans="1:5" ht="15.6">
      <c r="A3828">
        <v>3773</v>
      </c>
      <c r="B3828" s="166">
        <v>88.695124074600443</v>
      </c>
      <c r="D3828" s="39"/>
      <c r="E3828" s="39"/>
    </row>
    <row r="3829" spans="1:5" ht="15.6">
      <c r="A3829">
        <v>3774</v>
      </c>
      <c r="B3829" s="166">
        <v>122.83909897233934</v>
      </c>
      <c r="D3829" s="39"/>
      <c r="E3829" s="39"/>
    </row>
    <row r="3830" spans="1:5" ht="15.6">
      <c r="A3830">
        <v>3775</v>
      </c>
      <c r="B3830" s="166">
        <v>168.7599989259603</v>
      </c>
      <c r="D3830" s="39"/>
      <c r="E3830" s="39"/>
    </row>
    <row r="3831" spans="1:5" ht="15.6">
      <c r="A3831">
        <v>3776</v>
      </c>
      <c r="B3831" s="166">
        <v>170.24949576447167</v>
      </c>
      <c r="D3831" s="39"/>
      <c r="E3831" s="39"/>
    </row>
    <row r="3832" spans="1:5" ht="15.6">
      <c r="A3832">
        <v>3777</v>
      </c>
      <c r="B3832" s="166">
        <v>106.24216925735462</v>
      </c>
      <c r="D3832" s="39"/>
      <c r="E3832" s="39"/>
    </row>
    <row r="3833" spans="1:5" ht="15.6">
      <c r="A3833">
        <v>3778</v>
      </c>
      <c r="B3833" s="166">
        <v>138.20185687312383</v>
      </c>
      <c r="D3833" s="39"/>
      <c r="E3833" s="39"/>
    </row>
    <row r="3834" spans="1:5" ht="15.6">
      <c r="A3834">
        <v>3779</v>
      </c>
      <c r="B3834" s="166">
        <v>109.17580299261031</v>
      </c>
      <c r="D3834" s="39"/>
      <c r="E3834" s="39"/>
    </row>
    <row r="3835" spans="1:5" ht="15.6">
      <c r="A3835">
        <v>3780</v>
      </c>
      <c r="B3835" s="166">
        <v>77.92032896384768</v>
      </c>
      <c r="D3835" s="39"/>
      <c r="E3835" s="39"/>
    </row>
    <row r="3836" spans="1:5" ht="15.6">
      <c r="A3836">
        <v>3781</v>
      </c>
      <c r="B3836" s="166">
        <v>174.61889026701931</v>
      </c>
      <c r="D3836" s="39"/>
      <c r="E3836" s="39"/>
    </row>
    <row r="3837" spans="1:5" ht="15.6">
      <c r="A3837">
        <v>3782</v>
      </c>
      <c r="B3837" s="166">
        <v>111.65543118558615</v>
      </c>
      <c r="D3837" s="39"/>
      <c r="E3837" s="39"/>
    </row>
    <row r="3838" spans="1:5" ht="15.6">
      <c r="A3838">
        <v>3783</v>
      </c>
      <c r="B3838" s="166">
        <v>111.91064914401767</v>
      </c>
      <c r="D3838" s="39"/>
      <c r="E3838" s="39"/>
    </row>
    <row r="3839" spans="1:5" ht="15.6">
      <c r="A3839">
        <v>3784</v>
      </c>
      <c r="B3839" s="166">
        <v>88.531066916430717</v>
      </c>
      <c r="D3839" s="39"/>
      <c r="E3839" s="39"/>
    </row>
    <row r="3840" spans="1:5" ht="15.6">
      <c r="A3840">
        <v>3785</v>
      </c>
      <c r="B3840" s="166">
        <v>185.33704810141936</v>
      </c>
      <c r="D3840" s="39"/>
      <c r="E3840" s="39"/>
    </row>
    <row r="3841" spans="1:5" ht="15.6">
      <c r="A3841">
        <v>3786</v>
      </c>
      <c r="B3841" s="166">
        <v>131.81891471042528</v>
      </c>
      <c r="D3841" s="39"/>
      <c r="E3841" s="39"/>
    </row>
    <row r="3842" spans="1:5" ht="15.6">
      <c r="A3842">
        <v>3787</v>
      </c>
      <c r="B3842" s="166">
        <v>99.450977264406177</v>
      </c>
      <c r="D3842" s="39"/>
      <c r="E3842" s="39"/>
    </row>
    <row r="3843" spans="1:5" ht="15.6">
      <c r="A3843">
        <v>3788</v>
      </c>
      <c r="B3843" s="166">
        <v>93.86224515109916</v>
      </c>
      <c r="D3843" s="39"/>
      <c r="E3843" s="39"/>
    </row>
    <row r="3844" spans="1:5" ht="15.6">
      <c r="A3844">
        <v>3789</v>
      </c>
      <c r="B3844" s="166">
        <v>135.40562121497334</v>
      </c>
      <c r="D3844" s="39"/>
      <c r="E3844" s="39"/>
    </row>
    <row r="3845" spans="1:5" ht="15.6">
      <c r="A3845">
        <v>3790</v>
      </c>
      <c r="B3845" s="166">
        <v>122.02059663152805</v>
      </c>
      <c r="D3845" s="39"/>
      <c r="E3845" s="39"/>
    </row>
    <row r="3846" spans="1:5" ht="15.6">
      <c r="A3846">
        <v>3791</v>
      </c>
      <c r="B3846" s="166">
        <v>122.74637815367508</v>
      </c>
      <c r="D3846" s="39"/>
      <c r="E3846" s="39"/>
    </row>
    <row r="3847" spans="1:5" ht="15.6">
      <c r="A3847">
        <v>3792</v>
      </c>
      <c r="B3847" s="166">
        <v>41.082028900044477</v>
      </c>
      <c r="D3847" s="39"/>
      <c r="E3847" s="39"/>
    </row>
    <row r="3848" spans="1:5" ht="15.6">
      <c r="A3848">
        <v>3793</v>
      </c>
      <c r="B3848" s="166">
        <v>59.589414312015911</v>
      </c>
      <c r="D3848" s="39"/>
      <c r="E3848" s="39"/>
    </row>
    <row r="3849" spans="1:5" ht="15.6">
      <c r="A3849">
        <v>3794</v>
      </c>
      <c r="B3849" s="166">
        <v>223.49907163195189</v>
      </c>
      <c r="D3849" s="39"/>
      <c r="E3849" s="39"/>
    </row>
    <row r="3850" spans="1:5" ht="15.6">
      <c r="A3850">
        <v>3795</v>
      </c>
      <c r="B3850" s="166">
        <v>123.45991427875332</v>
      </c>
      <c r="D3850" s="39"/>
      <c r="E3850" s="39"/>
    </row>
    <row r="3851" spans="1:5" ht="15.6">
      <c r="A3851">
        <v>3796</v>
      </c>
      <c r="B3851" s="166">
        <v>175.45012041300527</v>
      </c>
      <c r="D3851" s="39"/>
      <c r="E3851" s="39"/>
    </row>
    <row r="3852" spans="1:5" ht="15.6">
      <c r="A3852">
        <v>3797</v>
      </c>
      <c r="B3852" s="166">
        <v>172.96915731191152</v>
      </c>
      <c r="D3852" s="39"/>
      <c r="E3852" s="39"/>
    </row>
    <row r="3853" spans="1:5" ht="15.6">
      <c r="A3853">
        <v>3798</v>
      </c>
      <c r="B3853" s="166">
        <v>131.87878863524418</v>
      </c>
      <c r="D3853" s="39"/>
      <c r="E3853" s="39"/>
    </row>
    <row r="3854" spans="1:5" ht="15.6">
      <c r="A3854">
        <v>3799</v>
      </c>
      <c r="B3854" s="166">
        <v>104.89174541005703</v>
      </c>
      <c r="D3854" s="39"/>
      <c r="E3854" s="39"/>
    </row>
    <row r="3855" spans="1:5" ht="15.6">
      <c r="A3855">
        <v>3800</v>
      </c>
      <c r="B3855" s="166">
        <v>81.842874356566512</v>
      </c>
      <c r="D3855" s="39"/>
      <c r="E3855" s="39"/>
    </row>
    <row r="3856" spans="1:5" ht="15.6">
      <c r="A3856">
        <v>3801</v>
      </c>
      <c r="B3856" s="166">
        <v>108.23230563241431</v>
      </c>
      <c r="D3856" s="39"/>
      <c r="E3856" s="39"/>
    </row>
    <row r="3857" spans="1:5" ht="15.6">
      <c r="A3857">
        <v>3802</v>
      </c>
      <c r="B3857" s="166">
        <v>189.85853457551389</v>
      </c>
      <c r="D3857" s="39"/>
      <c r="E3857" s="39"/>
    </row>
    <row r="3858" spans="1:5" ht="15.6">
      <c r="A3858">
        <v>3803</v>
      </c>
      <c r="B3858" s="166">
        <v>134.4673639400676</v>
      </c>
      <c r="D3858" s="39"/>
      <c r="E3858" s="39"/>
    </row>
    <row r="3859" spans="1:5" ht="15.6">
      <c r="A3859">
        <v>3804</v>
      </c>
      <c r="B3859" s="166">
        <v>129.3598262653027</v>
      </c>
      <c r="D3859" s="39"/>
      <c r="E3859" s="39"/>
    </row>
    <row r="3860" spans="1:5" ht="15.6">
      <c r="A3860">
        <v>3805</v>
      </c>
      <c r="B3860" s="166">
        <v>116.78869884706015</v>
      </c>
      <c r="D3860" s="39"/>
      <c r="E3860" s="39"/>
    </row>
    <row r="3861" spans="1:5" ht="15.6">
      <c r="A3861">
        <v>3806</v>
      </c>
      <c r="B3861" s="166">
        <v>175.69118344109302</v>
      </c>
      <c r="D3861" s="39"/>
      <c r="E3861" s="39"/>
    </row>
    <row r="3862" spans="1:5" ht="15.6">
      <c r="A3862">
        <v>3807</v>
      </c>
      <c r="B3862" s="166">
        <v>159.4333211091579</v>
      </c>
      <c r="D3862" s="39"/>
      <c r="E3862" s="39"/>
    </row>
    <row r="3863" spans="1:5" ht="15.6">
      <c r="A3863">
        <v>3808</v>
      </c>
      <c r="B3863" s="166">
        <v>130.64532886072459</v>
      </c>
      <c r="D3863" s="39"/>
      <c r="E3863" s="39"/>
    </row>
    <row r="3864" spans="1:5" ht="15.6">
      <c r="A3864">
        <v>3809</v>
      </c>
      <c r="B3864" s="166">
        <v>100.62389263280903</v>
      </c>
      <c r="D3864" s="39"/>
      <c r="E3864" s="39"/>
    </row>
    <row r="3865" spans="1:5" ht="15.6">
      <c r="A3865">
        <v>3810</v>
      </c>
      <c r="B3865" s="166">
        <v>108.09114608716315</v>
      </c>
      <c r="D3865" s="39"/>
      <c r="E3865" s="39"/>
    </row>
    <row r="3866" spans="1:5" ht="15.6">
      <c r="A3866">
        <v>3811</v>
      </c>
      <c r="B3866" s="166">
        <v>53.64549372083961</v>
      </c>
      <c r="D3866" s="39"/>
      <c r="E3866" s="39"/>
    </row>
    <row r="3867" spans="1:5" ht="15.6">
      <c r="A3867">
        <v>3812</v>
      </c>
      <c r="B3867" s="166">
        <v>75.625357455225512</v>
      </c>
      <c r="D3867" s="39"/>
      <c r="E3867" s="39"/>
    </row>
    <row r="3868" spans="1:5" ht="15.6">
      <c r="A3868">
        <v>3813</v>
      </c>
      <c r="B3868" s="166">
        <v>69.03587000068012</v>
      </c>
      <c r="D3868" s="39"/>
      <c r="E3868" s="39"/>
    </row>
    <row r="3869" spans="1:5" ht="15.6">
      <c r="A3869">
        <v>3814</v>
      </c>
      <c r="B3869" s="166">
        <v>161.90856858300802</v>
      </c>
      <c r="D3869" s="39"/>
      <c r="E3869" s="39"/>
    </row>
    <row r="3870" spans="1:5" ht="15.6">
      <c r="A3870">
        <v>3815</v>
      </c>
      <c r="B3870" s="166">
        <v>155.63149632417714</v>
      </c>
      <c r="D3870" s="39"/>
      <c r="E3870" s="39"/>
    </row>
    <row r="3871" spans="1:5" ht="15.6">
      <c r="A3871">
        <v>3816</v>
      </c>
      <c r="B3871" s="166">
        <v>91.090753482875925</v>
      </c>
      <c r="D3871" s="39"/>
      <c r="E3871" s="39"/>
    </row>
    <row r="3872" spans="1:5" ht="15.6">
      <c r="A3872">
        <v>3817</v>
      </c>
      <c r="B3872" s="166">
        <v>87.639886945802942</v>
      </c>
      <c r="D3872" s="39"/>
      <c r="E3872" s="39"/>
    </row>
    <row r="3873" spans="1:5" ht="15.6">
      <c r="A3873">
        <v>3818</v>
      </c>
      <c r="B3873" s="166">
        <v>58.919672675732272</v>
      </c>
      <c r="D3873" s="39"/>
      <c r="E3873" s="39"/>
    </row>
    <row r="3874" spans="1:5" ht="15.6">
      <c r="A3874">
        <v>3819</v>
      </c>
      <c r="B3874" s="166">
        <v>112.15236102957638</v>
      </c>
      <c r="D3874" s="39"/>
      <c r="E3874" s="39"/>
    </row>
    <row r="3875" spans="1:5" ht="15.6">
      <c r="A3875">
        <v>3820</v>
      </c>
      <c r="B3875" s="166">
        <v>148.1313005405519</v>
      </c>
      <c r="D3875" s="39"/>
      <c r="E3875" s="39"/>
    </row>
    <row r="3876" spans="1:5" ht="15.6">
      <c r="A3876">
        <v>3821</v>
      </c>
      <c r="B3876" s="166">
        <v>149.78322434283123</v>
      </c>
      <c r="D3876" s="39"/>
      <c r="E3876" s="39"/>
    </row>
    <row r="3877" spans="1:5" ht="15.6">
      <c r="A3877">
        <v>3822</v>
      </c>
      <c r="B3877" s="166">
        <v>75.27649812988264</v>
      </c>
      <c r="D3877" s="39"/>
      <c r="E3877" s="39"/>
    </row>
    <row r="3878" spans="1:5" ht="15.6">
      <c r="A3878">
        <v>3823</v>
      </c>
      <c r="B3878" s="166">
        <v>86.748023568939175</v>
      </c>
      <c r="D3878" s="39"/>
      <c r="E3878" s="39"/>
    </row>
    <row r="3879" spans="1:5" ht="15.6">
      <c r="A3879">
        <v>3824</v>
      </c>
      <c r="B3879" s="166">
        <v>126.49415662918527</v>
      </c>
      <c r="D3879" s="39"/>
      <c r="E3879" s="39"/>
    </row>
    <row r="3880" spans="1:5" ht="15.6">
      <c r="A3880">
        <v>3825</v>
      </c>
      <c r="B3880" s="166">
        <v>51.635589407688059</v>
      </c>
      <c r="D3880" s="39"/>
      <c r="E3880" s="39"/>
    </row>
    <row r="3881" spans="1:5" ht="15.6">
      <c r="A3881">
        <v>3826</v>
      </c>
      <c r="B3881" s="166">
        <v>94.629987586474215</v>
      </c>
      <c r="D3881" s="39"/>
      <c r="E3881" s="39"/>
    </row>
    <row r="3882" spans="1:5" ht="15.6">
      <c r="A3882">
        <v>3827</v>
      </c>
      <c r="B3882" s="166">
        <v>186.37140687400944</v>
      </c>
      <c r="D3882" s="39"/>
      <c r="E3882" s="39"/>
    </row>
    <row r="3883" spans="1:5" ht="15.6">
      <c r="A3883">
        <v>3828</v>
      </c>
      <c r="B3883" s="166">
        <v>123.49649508518783</v>
      </c>
      <c r="D3883" s="39"/>
      <c r="E3883" s="39"/>
    </row>
    <row r="3884" spans="1:5" ht="15.6">
      <c r="A3884">
        <v>3829</v>
      </c>
      <c r="B3884" s="166">
        <v>106.06968510387244</v>
      </c>
      <c r="D3884" s="39"/>
      <c r="E3884" s="39"/>
    </row>
    <row r="3885" spans="1:5" ht="15.6">
      <c r="A3885">
        <v>3830</v>
      </c>
      <c r="B3885" s="166">
        <v>92.581555628275837</v>
      </c>
      <c r="D3885" s="39"/>
      <c r="E3885" s="39"/>
    </row>
    <row r="3886" spans="1:5" ht="15.6">
      <c r="A3886">
        <v>3831</v>
      </c>
      <c r="B3886" s="166">
        <v>140.33733573737229</v>
      </c>
      <c r="D3886" s="39"/>
      <c r="E3886" s="39"/>
    </row>
    <row r="3887" spans="1:5" ht="15.6">
      <c r="A3887">
        <v>3832</v>
      </c>
      <c r="B3887" s="166">
        <v>77.641061261567543</v>
      </c>
      <c r="D3887" s="39"/>
      <c r="E3887" s="39"/>
    </row>
    <row r="3888" spans="1:5" ht="15.6">
      <c r="A3888">
        <v>3833</v>
      </c>
      <c r="B3888" s="166">
        <v>108.42079582699354</v>
      </c>
      <c r="D3888" s="39"/>
      <c r="E3888" s="39"/>
    </row>
    <row r="3889" spans="1:5" ht="15.6">
      <c r="A3889">
        <v>3834</v>
      </c>
      <c r="B3889" s="166">
        <v>131.19387521045115</v>
      </c>
      <c r="D3889" s="39"/>
      <c r="E3889" s="39"/>
    </row>
    <row r="3890" spans="1:5" ht="15.6">
      <c r="A3890">
        <v>3835</v>
      </c>
      <c r="B3890" s="166">
        <v>91.767575626534253</v>
      </c>
      <c r="D3890" s="39"/>
      <c r="E3890" s="39"/>
    </row>
    <row r="3891" spans="1:5" ht="15.6">
      <c r="A3891">
        <v>3836</v>
      </c>
      <c r="B3891" s="166">
        <v>94.850579141264021</v>
      </c>
      <c r="D3891" s="39"/>
      <c r="E3891" s="39"/>
    </row>
    <row r="3892" spans="1:5" ht="15.6">
      <c r="A3892">
        <v>3837</v>
      </c>
      <c r="B3892" s="166">
        <v>112.46937698311751</v>
      </c>
      <c r="D3892" s="39"/>
      <c r="E3892" s="39"/>
    </row>
    <row r="3893" spans="1:5" ht="15.6">
      <c r="A3893">
        <v>3838</v>
      </c>
      <c r="B3893" s="166">
        <v>86.32087997567541</v>
      </c>
      <c r="D3893" s="39"/>
      <c r="E3893" s="39"/>
    </row>
    <row r="3894" spans="1:5" ht="15.6">
      <c r="A3894">
        <v>3839</v>
      </c>
      <c r="B3894" s="166">
        <v>215.02596911381448</v>
      </c>
      <c r="D3894" s="39"/>
      <c r="E3894" s="39"/>
    </row>
    <row r="3895" spans="1:5" ht="15.6">
      <c r="A3895">
        <v>3840</v>
      </c>
      <c r="B3895" s="166">
        <v>104.93251574533977</v>
      </c>
      <c r="D3895" s="39"/>
      <c r="E3895" s="39"/>
    </row>
    <row r="3896" spans="1:5" ht="15.6">
      <c r="A3896">
        <v>3841</v>
      </c>
      <c r="B3896" s="166">
        <v>101.55527460299386</v>
      </c>
      <c r="D3896" s="39"/>
      <c r="E3896" s="39"/>
    </row>
    <row r="3897" spans="1:5" ht="15.6">
      <c r="A3897">
        <v>3842</v>
      </c>
      <c r="B3897" s="166">
        <v>70.322108579125228</v>
      </c>
      <c r="D3897" s="39"/>
      <c r="E3897" s="39"/>
    </row>
    <row r="3898" spans="1:5" ht="15.6">
      <c r="A3898">
        <v>3843</v>
      </c>
      <c r="B3898" s="166">
        <v>58.502258821610617</v>
      </c>
      <c r="D3898" s="39"/>
      <c r="E3898" s="39"/>
    </row>
    <row r="3899" spans="1:5" ht="15.6">
      <c r="A3899">
        <v>3844</v>
      </c>
      <c r="B3899" s="166">
        <v>94.024168556900648</v>
      </c>
      <c r="D3899" s="39"/>
      <c r="E3899" s="39"/>
    </row>
    <row r="3900" spans="1:5" ht="15.6">
      <c r="A3900">
        <v>3845</v>
      </c>
      <c r="B3900" s="166">
        <v>88.15220707727056</v>
      </c>
      <c r="D3900" s="39"/>
      <c r="E3900" s="39"/>
    </row>
    <row r="3901" spans="1:5" ht="15.6">
      <c r="A3901">
        <v>3846</v>
      </c>
      <c r="B3901" s="166">
        <v>72.451803819402656</v>
      </c>
      <c r="D3901" s="39"/>
      <c r="E3901" s="39"/>
    </row>
    <row r="3902" spans="1:5" ht="15.6">
      <c r="A3902">
        <v>3847</v>
      </c>
      <c r="B3902" s="166">
        <v>104.23164250517287</v>
      </c>
      <c r="D3902" s="39"/>
      <c r="E3902" s="39"/>
    </row>
    <row r="3903" spans="1:5" ht="15.6">
      <c r="A3903">
        <v>3848</v>
      </c>
      <c r="B3903" s="166">
        <v>62.221218663650063</v>
      </c>
      <c r="D3903" s="39"/>
      <c r="E3903" s="39"/>
    </row>
    <row r="3904" spans="1:5" ht="15.6">
      <c r="A3904">
        <v>3849</v>
      </c>
      <c r="B3904" s="166">
        <v>84.821339166474587</v>
      </c>
      <c r="D3904" s="39"/>
      <c r="E3904" s="39"/>
    </row>
    <row r="3905" spans="1:5" ht="15.6">
      <c r="A3905">
        <v>3850</v>
      </c>
      <c r="B3905" s="166">
        <v>207.31083348351305</v>
      </c>
      <c r="D3905" s="39"/>
      <c r="E3905" s="39"/>
    </row>
    <row r="3906" spans="1:5" ht="15.6">
      <c r="A3906">
        <v>3851</v>
      </c>
      <c r="B3906" s="166">
        <v>81.29105844515361</v>
      </c>
      <c r="D3906" s="39"/>
      <c r="E3906" s="39"/>
    </row>
    <row r="3907" spans="1:5" ht="15.6">
      <c r="A3907">
        <v>3852</v>
      </c>
      <c r="B3907" s="166">
        <v>122.05310044134804</v>
      </c>
      <c r="D3907" s="39"/>
      <c r="E3907" s="39"/>
    </row>
    <row r="3908" spans="1:5" ht="15.6">
      <c r="A3908">
        <v>3853</v>
      </c>
      <c r="B3908" s="166">
        <v>60.462528314827267</v>
      </c>
      <c r="D3908" s="39"/>
      <c r="E3908" s="39"/>
    </row>
    <row r="3909" spans="1:5" ht="15.6">
      <c r="A3909">
        <v>3854</v>
      </c>
      <c r="B3909" s="166">
        <v>196.31034508895792</v>
      </c>
      <c r="D3909" s="39"/>
      <c r="E3909" s="39"/>
    </row>
    <row r="3910" spans="1:5" ht="15.6">
      <c r="A3910">
        <v>3855</v>
      </c>
      <c r="B3910" s="166">
        <v>97.57094555758114</v>
      </c>
      <c r="D3910" s="39"/>
      <c r="E3910" s="39"/>
    </row>
    <row r="3911" spans="1:5" ht="15.6">
      <c r="A3911">
        <v>3856</v>
      </c>
      <c r="B3911" s="166">
        <v>86.001549172645412</v>
      </c>
      <c r="D3911" s="39"/>
      <c r="E3911" s="39"/>
    </row>
    <row r="3912" spans="1:5" ht="15.6">
      <c r="A3912">
        <v>3857</v>
      </c>
      <c r="B3912" s="166">
        <v>100.22043775208085</v>
      </c>
      <c r="D3912" s="39"/>
      <c r="E3912" s="39"/>
    </row>
    <row r="3913" spans="1:5" ht="15.6">
      <c r="A3913">
        <v>3858</v>
      </c>
      <c r="B3913" s="166">
        <v>112.88452224947325</v>
      </c>
      <c r="D3913" s="39"/>
      <c r="E3913" s="39"/>
    </row>
    <row r="3914" spans="1:5" ht="15.6">
      <c r="A3914">
        <v>3859</v>
      </c>
      <c r="B3914" s="166">
        <v>111.14977498455735</v>
      </c>
      <c r="D3914" s="39"/>
      <c r="E3914" s="39"/>
    </row>
    <row r="3915" spans="1:5" ht="15.6">
      <c r="A3915">
        <v>3860</v>
      </c>
      <c r="B3915" s="166">
        <v>59.944186606999196</v>
      </c>
      <c r="D3915" s="39"/>
      <c r="E3915" s="39"/>
    </row>
    <row r="3916" spans="1:5" ht="15.6">
      <c r="A3916">
        <v>3861</v>
      </c>
      <c r="B3916" s="166">
        <v>71.08945970033146</v>
      </c>
      <c r="D3916" s="39"/>
      <c r="E3916" s="39"/>
    </row>
    <row r="3917" spans="1:5" ht="15.6">
      <c r="A3917">
        <v>3862</v>
      </c>
      <c r="B3917" s="166">
        <v>85.349778155841349</v>
      </c>
      <c r="D3917" s="39"/>
      <c r="E3917" s="39"/>
    </row>
    <row r="3918" spans="1:5" ht="15.6">
      <c r="A3918">
        <v>3863</v>
      </c>
      <c r="B3918" s="166">
        <v>101.52869210117966</v>
      </c>
      <c r="D3918" s="39"/>
      <c r="E3918" s="39"/>
    </row>
    <row r="3919" spans="1:5" ht="15.6">
      <c r="A3919">
        <v>3864</v>
      </c>
      <c r="B3919" s="166">
        <v>80.428517359873538</v>
      </c>
      <c r="D3919" s="39"/>
      <c r="E3919" s="39"/>
    </row>
    <row r="3920" spans="1:5" ht="15.6">
      <c r="A3920">
        <v>3865</v>
      </c>
      <c r="B3920" s="166">
        <v>143.33847959937648</v>
      </c>
      <c r="D3920" s="39"/>
      <c r="E3920" s="39"/>
    </row>
    <row r="3921" spans="1:5" ht="15.6">
      <c r="A3921">
        <v>3866</v>
      </c>
      <c r="B3921" s="166">
        <v>84.27241315778771</v>
      </c>
      <c r="D3921" s="39"/>
      <c r="E3921" s="39"/>
    </row>
    <row r="3922" spans="1:5" ht="15.6">
      <c r="A3922">
        <v>3867</v>
      </c>
      <c r="B3922" s="166">
        <v>128.140499584748</v>
      </c>
      <c r="D3922" s="39"/>
      <c r="E3922" s="39"/>
    </row>
    <row r="3923" spans="1:5" ht="15.6">
      <c r="A3923">
        <v>3868</v>
      </c>
      <c r="B3923" s="166">
        <v>75.184586598944009</v>
      </c>
      <c r="D3923" s="39"/>
      <c r="E3923" s="39"/>
    </row>
    <row r="3924" spans="1:5" ht="15.6">
      <c r="A3924">
        <v>3869</v>
      </c>
      <c r="B3924" s="166">
        <v>98.383180228944937</v>
      </c>
      <c r="D3924" s="39"/>
      <c r="E3924" s="39"/>
    </row>
    <row r="3925" spans="1:5" ht="15.6">
      <c r="A3925">
        <v>3870</v>
      </c>
      <c r="B3925" s="166">
        <v>85.617142780083213</v>
      </c>
      <c r="D3925" s="39"/>
      <c r="E3925" s="39"/>
    </row>
    <row r="3926" spans="1:5" ht="15.6">
      <c r="A3926">
        <v>3871</v>
      </c>
      <c r="B3926" s="166">
        <v>53.50869818862882</v>
      </c>
      <c r="D3926" s="39"/>
      <c r="E3926" s="39"/>
    </row>
    <row r="3927" spans="1:5" ht="15.6">
      <c r="A3927">
        <v>3872</v>
      </c>
      <c r="B3927" s="166">
        <v>152.84872631536959</v>
      </c>
      <c r="D3927" s="39"/>
      <c r="E3927" s="39"/>
    </row>
    <row r="3928" spans="1:5" ht="15.6">
      <c r="A3928">
        <v>3873</v>
      </c>
      <c r="B3928" s="166">
        <v>113.57892880659917</v>
      </c>
      <c r="D3928" s="39"/>
      <c r="E3928" s="39"/>
    </row>
    <row r="3929" spans="1:5" ht="15.6">
      <c r="A3929">
        <v>3874</v>
      </c>
      <c r="B3929" s="166">
        <v>156.01955762044417</v>
      </c>
      <c r="D3929" s="39"/>
      <c r="E3929" s="39"/>
    </row>
    <row r="3930" spans="1:5" ht="15.6">
      <c r="A3930">
        <v>3875</v>
      </c>
      <c r="B3930" s="166">
        <v>115.20487264334329</v>
      </c>
      <c r="D3930" s="39"/>
      <c r="E3930" s="39"/>
    </row>
    <row r="3931" spans="1:5" ht="15.6">
      <c r="A3931">
        <v>3876</v>
      </c>
      <c r="B3931" s="166">
        <v>96.269784366633161</v>
      </c>
      <c r="D3931" s="39"/>
      <c r="E3931" s="39"/>
    </row>
    <row r="3932" spans="1:5" ht="15.6">
      <c r="A3932">
        <v>3877</v>
      </c>
      <c r="B3932" s="166">
        <v>188.26063699282489</v>
      </c>
      <c r="D3932" s="39"/>
      <c r="E3932" s="39"/>
    </row>
    <row r="3933" spans="1:5" ht="15.6">
      <c r="A3933">
        <v>3878</v>
      </c>
      <c r="B3933" s="166">
        <v>73.02042721061062</v>
      </c>
      <c r="D3933" s="39"/>
      <c r="E3933" s="39"/>
    </row>
    <row r="3934" spans="1:5" ht="15.6">
      <c r="A3934">
        <v>3879</v>
      </c>
      <c r="B3934" s="166">
        <v>94.791112837626827</v>
      </c>
      <c r="D3934" s="39"/>
      <c r="E3934" s="39"/>
    </row>
    <row r="3935" spans="1:5" ht="15.6">
      <c r="A3935">
        <v>3880</v>
      </c>
      <c r="B3935" s="166">
        <v>201.70810151184247</v>
      </c>
      <c r="D3935" s="39"/>
      <c r="E3935" s="39"/>
    </row>
    <row r="3936" spans="1:5" ht="15.6">
      <c r="A3936">
        <v>3881</v>
      </c>
      <c r="B3936" s="166">
        <v>117.27484102476423</v>
      </c>
      <c r="D3936" s="39"/>
      <c r="E3936" s="39"/>
    </row>
    <row r="3937" spans="1:5" ht="15.6">
      <c r="A3937">
        <v>3882</v>
      </c>
      <c r="B3937" s="166">
        <v>63.701912245325481</v>
      </c>
      <c r="D3937" s="39"/>
      <c r="E3937" s="39"/>
    </row>
    <row r="3938" spans="1:5" ht="15.6">
      <c r="A3938">
        <v>3883</v>
      </c>
      <c r="B3938" s="166">
        <v>101.29727494390869</v>
      </c>
      <c r="D3938" s="39"/>
      <c r="E3938" s="39"/>
    </row>
    <row r="3939" spans="1:5" ht="15.6">
      <c r="A3939">
        <v>3884</v>
      </c>
      <c r="B3939" s="166">
        <v>56.2441542444014</v>
      </c>
      <c r="D3939" s="39"/>
      <c r="E3939" s="39"/>
    </row>
    <row r="3940" spans="1:5" ht="15.6">
      <c r="A3940">
        <v>3885</v>
      </c>
      <c r="B3940" s="166">
        <v>132.25959434726462</v>
      </c>
      <c r="D3940" s="39"/>
      <c r="E3940" s="39"/>
    </row>
    <row r="3941" spans="1:5" ht="15.6">
      <c r="A3941">
        <v>3886</v>
      </c>
      <c r="B3941" s="166">
        <v>70.798551398489877</v>
      </c>
      <c r="D3941" s="39"/>
      <c r="E3941" s="39"/>
    </row>
    <row r="3942" spans="1:5" ht="15.6">
      <c r="A3942">
        <v>3887</v>
      </c>
      <c r="B3942" s="166">
        <v>178.65175528688988</v>
      </c>
      <c r="D3942" s="39"/>
      <c r="E3942" s="39"/>
    </row>
    <row r="3943" spans="1:5" ht="15.6">
      <c r="A3943">
        <v>3888</v>
      </c>
      <c r="B3943" s="166">
        <v>85.633216180528862</v>
      </c>
      <c r="D3943" s="39"/>
      <c r="E3943" s="39"/>
    </row>
    <row r="3944" spans="1:5" ht="15.6">
      <c r="A3944">
        <v>3889</v>
      </c>
      <c r="B3944" s="166">
        <v>78.480230289057118</v>
      </c>
      <c r="D3944" s="39"/>
      <c r="E3944" s="39"/>
    </row>
    <row r="3945" spans="1:5" ht="15.6">
      <c r="A3945">
        <v>3890</v>
      </c>
      <c r="B3945" s="166">
        <v>58.551408178969723</v>
      </c>
      <c r="D3945" s="39"/>
      <c r="E3945" s="39"/>
    </row>
    <row r="3946" spans="1:5" ht="15.6">
      <c r="A3946">
        <v>3891</v>
      </c>
      <c r="B3946" s="166">
        <v>52.51590134712977</v>
      </c>
      <c r="D3946" s="39"/>
      <c r="E3946" s="39"/>
    </row>
    <row r="3947" spans="1:5" ht="15.6">
      <c r="A3947">
        <v>3892</v>
      </c>
      <c r="B3947" s="166">
        <v>122.44893161211682</v>
      </c>
      <c r="D3947" s="39"/>
      <c r="E3947" s="39"/>
    </row>
    <row r="3948" spans="1:5" ht="15.6">
      <c r="A3948">
        <v>3893</v>
      </c>
      <c r="B3948" s="166">
        <v>136.61285348886128</v>
      </c>
      <c r="D3948" s="39"/>
      <c r="E3948" s="39"/>
    </row>
    <row r="3949" spans="1:5" ht="15.6">
      <c r="A3949">
        <v>3894</v>
      </c>
      <c r="B3949" s="166">
        <v>137.97811533371961</v>
      </c>
      <c r="D3949" s="39"/>
      <c r="E3949" s="39"/>
    </row>
    <row r="3950" spans="1:5" ht="15.6">
      <c r="A3950">
        <v>3895</v>
      </c>
      <c r="B3950" s="166">
        <v>111.24623497412527</v>
      </c>
      <c r="D3950" s="39"/>
      <c r="E3950" s="39"/>
    </row>
    <row r="3951" spans="1:5" ht="15.6">
      <c r="A3951">
        <v>3896</v>
      </c>
      <c r="B3951" s="166">
        <v>77.005805115378891</v>
      </c>
      <c r="D3951" s="39"/>
      <c r="E3951" s="39"/>
    </row>
    <row r="3952" spans="1:5" ht="15.6">
      <c r="A3952">
        <v>3897</v>
      </c>
      <c r="B3952" s="166">
        <v>209.81793212086649</v>
      </c>
      <c r="D3952" s="39"/>
      <c r="E3952" s="39"/>
    </row>
    <row r="3953" spans="1:5" ht="15.6">
      <c r="A3953">
        <v>3898</v>
      </c>
      <c r="B3953" s="166">
        <v>45.499904010694571</v>
      </c>
      <c r="D3953" s="39"/>
      <c r="E3953" s="39"/>
    </row>
    <row r="3954" spans="1:5" ht="15.6">
      <c r="A3954">
        <v>3899</v>
      </c>
      <c r="B3954" s="166">
        <v>93.269210395728962</v>
      </c>
      <c r="D3954" s="39"/>
      <c r="E3954" s="39"/>
    </row>
    <row r="3955" spans="1:5" ht="15.6">
      <c r="A3955">
        <v>3900</v>
      </c>
      <c r="B3955" s="166">
        <v>143.64277509408572</v>
      </c>
      <c r="D3955" s="39"/>
      <c r="E3955" s="39"/>
    </row>
    <row r="3956" spans="1:5" ht="15.6">
      <c r="A3956">
        <v>3901</v>
      </c>
      <c r="B3956" s="166">
        <v>79.638404172183414</v>
      </c>
      <c r="D3956" s="39"/>
      <c r="E3956" s="39"/>
    </row>
    <row r="3957" spans="1:5" ht="15.6">
      <c r="A3957">
        <v>3902</v>
      </c>
      <c r="B3957" s="166">
        <v>121.05920174999549</v>
      </c>
      <c r="D3957" s="39"/>
      <c r="E3957" s="39"/>
    </row>
    <row r="3958" spans="1:5" ht="15.6">
      <c r="A3958">
        <v>3903</v>
      </c>
      <c r="B3958" s="166">
        <v>154.8127403049248</v>
      </c>
      <c r="D3958" s="39"/>
      <c r="E3958" s="39"/>
    </row>
    <row r="3959" spans="1:5" ht="15.6">
      <c r="A3959">
        <v>3904</v>
      </c>
      <c r="B3959" s="166">
        <v>84.621202173014169</v>
      </c>
      <c r="D3959" s="39"/>
      <c r="E3959" s="39"/>
    </row>
    <row r="3960" spans="1:5" ht="15.6">
      <c r="A3960">
        <v>3905</v>
      </c>
      <c r="B3960" s="166">
        <v>126.5511558136627</v>
      </c>
      <c r="D3960" s="39"/>
      <c r="E3960" s="39"/>
    </row>
    <row r="3961" spans="1:5" ht="15.6">
      <c r="A3961">
        <v>3906</v>
      </c>
      <c r="B3961" s="166">
        <v>191.64674157679215</v>
      </c>
      <c r="D3961" s="39"/>
      <c r="E3961" s="39"/>
    </row>
    <row r="3962" spans="1:5" ht="15.6">
      <c r="A3962">
        <v>3907</v>
      </c>
      <c r="B3962" s="166">
        <v>75.690448478542692</v>
      </c>
      <c r="D3962" s="39"/>
      <c r="E3962" s="39"/>
    </row>
    <row r="3963" spans="1:5" ht="15.6">
      <c r="A3963">
        <v>3908</v>
      </c>
      <c r="B3963" s="166">
        <v>153.66810657949719</v>
      </c>
      <c r="D3963" s="39"/>
      <c r="E3963" s="39"/>
    </row>
    <row r="3964" spans="1:5" ht="15.6">
      <c r="A3964">
        <v>3909</v>
      </c>
      <c r="B3964" s="166">
        <v>124.24441488903014</v>
      </c>
      <c r="D3964" s="39"/>
      <c r="E3964" s="39"/>
    </row>
    <row r="3965" spans="1:5" ht="15.6">
      <c r="A3965">
        <v>3910</v>
      </c>
      <c r="B3965" s="166">
        <v>48.967084828380592</v>
      </c>
      <c r="D3965" s="39"/>
      <c r="E3965" s="39"/>
    </row>
    <row r="3966" spans="1:5" ht="15.6">
      <c r="A3966">
        <v>3911</v>
      </c>
      <c r="B3966" s="166">
        <v>258.25086298141861</v>
      </c>
      <c r="D3966" s="39"/>
      <c r="E3966" s="39"/>
    </row>
    <row r="3967" spans="1:5" ht="15.6">
      <c r="A3967">
        <v>3912</v>
      </c>
      <c r="B3967" s="166">
        <v>164.86492816797593</v>
      </c>
      <c r="D3967" s="39"/>
      <c r="E3967" s="39"/>
    </row>
    <row r="3968" spans="1:5" ht="15.6">
      <c r="A3968">
        <v>3913</v>
      </c>
      <c r="B3968" s="166">
        <v>54.013651036327261</v>
      </c>
      <c r="D3968" s="39"/>
      <c r="E3968" s="39"/>
    </row>
    <row r="3969" spans="1:5" ht="15.6">
      <c r="A3969">
        <v>3914</v>
      </c>
      <c r="B3969" s="166">
        <v>80.93408591481797</v>
      </c>
      <c r="D3969" s="39"/>
      <c r="E3969" s="39"/>
    </row>
    <row r="3970" spans="1:5" ht="15.6">
      <c r="A3970">
        <v>3915</v>
      </c>
      <c r="B3970" s="166">
        <v>63.927913989827054</v>
      </c>
      <c r="D3970" s="39"/>
      <c r="E3970" s="39"/>
    </row>
    <row r="3971" spans="1:5" ht="15.6">
      <c r="A3971">
        <v>3916</v>
      </c>
      <c r="B3971" s="166">
        <v>76.731219387732153</v>
      </c>
      <c r="D3971" s="39"/>
      <c r="E3971" s="39"/>
    </row>
    <row r="3972" spans="1:5" ht="15.6">
      <c r="A3972">
        <v>3917</v>
      </c>
      <c r="B3972" s="166">
        <v>152.01137453379371</v>
      </c>
      <c r="D3972" s="39"/>
      <c r="E3972" s="39"/>
    </row>
    <row r="3973" spans="1:5" ht="15.6">
      <c r="A3973">
        <v>3918</v>
      </c>
      <c r="B3973" s="166">
        <v>105.32630461962627</v>
      </c>
      <c r="D3973" s="39"/>
      <c r="E3973" s="39"/>
    </row>
    <row r="3974" spans="1:5" ht="15.6">
      <c r="A3974">
        <v>3919</v>
      </c>
      <c r="B3974" s="166">
        <v>71.054795867572864</v>
      </c>
      <c r="D3974" s="39"/>
      <c r="E3974" s="39"/>
    </row>
    <row r="3975" spans="1:5" ht="15.6">
      <c r="A3975">
        <v>3920</v>
      </c>
      <c r="B3975" s="166">
        <v>67.756110704104614</v>
      </c>
      <c r="D3975" s="39"/>
      <c r="E3975" s="39"/>
    </row>
    <row r="3976" spans="1:5" ht="15.6">
      <c r="A3976">
        <v>3921</v>
      </c>
      <c r="B3976" s="166">
        <v>144.83631111896068</v>
      </c>
      <c r="D3976" s="39"/>
      <c r="E3976" s="39"/>
    </row>
    <row r="3977" spans="1:5" ht="15.6">
      <c r="A3977">
        <v>3922</v>
      </c>
      <c r="B3977" s="166">
        <v>115.02890964848191</v>
      </c>
      <c r="D3977" s="39"/>
      <c r="E3977" s="39"/>
    </row>
    <row r="3978" spans="1:5" ht="15.6">
      <c r="A3978">
        <v>3923</v>
      </c>
      <c r="B3978" s="166">
        <v>116.61407566492586</v>
      </c>
      <c r="D3978" s="39"/>
      <c r="E3978" s="39"/>
    </row>
    <row r="3979" spans="1:5" ht="15.6">
      <c r="A3979">
        <v>3924</v>
      </c>
      <c r="B3979" s="166">
        <v>81.772090383440258</v>
      </c>
      <c r="D3979" s="39"/>
      <c r="E3979" s="39"/>
    </row>
    <row r="3980" spans="1:5" ht="15.6">
      <c r="A3980">
        <v>3925</v>
      </c>
      <c r="B3980" s="166">
        <v>156.15845804566112</v>
      </c>
      <c r="D3980" s="39"/>
      <c r="E3980" s="39"/>
    </row>
    <row r="3981" spans="1:5" ht="15.6">
      <c r="A3981">
        <v>3926</v>
      </c>
      <c r="B3981" s="166">
        <v>91.296219482253377</v>
      </c>
      <c r="D3981" s="39"/>
      <c r="E3981" s="39"/>
    </row>
    <row r="3982" spans="1:5" ht="15.6">
      <c r="A3982">
        <v>3927</v>
      </c>
      <c r="B3982" s="166">
        <v>66.362431439105578</v>
      </c>
      <c r="D3982" s="39"/>
      <c r="E3982" s="39"/>
    </row>
    <row r="3983" spans="1:5" ht="15.6">
      <c r="A3983">
        <v>3928</v>
      </c>
      <c r="B3983" s="166">
        <v>85.972568345586524</v>
      </c>
      <c r="D3983" s="39"/>
      <c r="E3983" s="39"/>
    </row>
    <row r="3984" spans="1:5" ht="15.6">
      <c r="A3984">
        <v>3929</v>
      </c>
      <c r="B3984" s="166">
        <v>124.76845224518688</v>
      </c>
      <c r="D3984" s="39"/>
      <c r="E3984" s="39"/>
    </row>
    <row r="3985" spans="1:5" ht="15.6">
      <c r="A3985">
        <v>3930</v>
      </c>
      <c r="B3985" s="166">
        <v>136.33890311169424</v>
      </c>
      <c r="D3985" s="39"/>
      <c r="E3985" s="39"/>
    </row>
    <row r="3986" spans="1:5" ht="15.6">
      <c r="A3986">
        <v>3931</v>
      </c>
      <c r="B3986" s="166">
        <v>154.54694469906912</v>
      </c>
      <c r="D3986" s="39"/>
      <c r="E3986" s="39"/>
    </row>
    <row r="3987" spans="1:5" ht="15.6">
      <c r="A3987">
        <v>3932</v>
      </c>
      <c r="B3987" s="166">
        <v>79.440020682071079</v>
      </c>
      <c r="D3987" s="39"/>
      <c r="E3987" s="39"/>
    </row>
    <row r="3988" spans="1:5" ht="15.6">
      <c r="A3988">
        <v>3933</v>
      </c>
      <c r="B3988" s="166">
        <v>91.365352644533729</v>
      </c>
      <c r="D3988" s="39"/>
      <c r="E3988" s="39"/>
    </row>
    <row r="3989" spans="1:5" ht="15.6">
      <c r="A3989">
        <v>3934</v>
      </c>
      <c r="B3989" s="166">
        <v>118.00814266806944</v>
      </c>
      <c r="D3989" s="39"/>
      <c r="E3989" s="39"/>
    </row>
    <row r="3990" spans="1:5" ht="15.6">
      <c r="A3990">
        <v>3935</v>
      </c>
      <c r="B3990" s="166">
        <v>163.92209602986708</v>
      </c>
      <c r="D3990" s="39"/>
      <c r="E3990" s="39"/>
    </row>
    <row r="3991" spans="1:5" ht="15.6">
      <c r="A3991">
        <v>3936</v>
      </c>
      <c r="B3991" s="166">
        <v>111.81022277630096</v>
      </c>
      <c r="D3991" s="39"/>
      <c r="E3991" s="39"/>
    </row>
    <row r="3992" spans="1:5" ht="15.6">
      <c r="A3992">
        <v>3937</v>
      </c>
      <c r="B3992" s="166">
        <v>100.41106742918684</v>
      </c>
      <c r="D3992" s="39"/>
      <c r="E3992" s="39"/>
    </row>
    <row r="3993" spans="1:5" ht="15.6">
      <c r="A3993">
        <v>3938</v>
      </c>
      <c r="B3993" s="166">
        <v>118.9923421318201</v>
      </c>
      <c r="D3993" s="39"/>
      <c r="E3993" s="39"/>
    </row>
    <row r="3994" spans="1:5" ht="15.6">
      <c r="A3994">
        <v>3939</v>
      </c>
      <c r="B3994" s="166">
        <v>111.67187302568691</v>
      </c>
      <c r="D3994" s="39"/>
      <c r="E3994" s="39"/>
    </row>
    <row r="3995" spans="1:5" ht="15.6">
      <c r="A3995">
        <v>3940</v>
      </c>
      <c r="B3995" s="166">
        <v>78.717627045011525</v>
      </c>
      <c r="D3995" s="39"/>
      <c r="E3995" s="39"/>
    </row>
    <row r="3996" spans="1:5" ht="15.6">
      <c r="A3996">
        <v>3941</v>
      </c>
      <c r="B3996" s="166">
        <v>80.573766029173484</v>
      </c>
      <c r="D3996" s="39"/>
      <c r="E3996" s="39"/>
    </row>
    <row r="3997" spans="1:5" ht="15.6">
      <c r="A3997">
        <v>3942</v>
      </c>
      <c r="B3997" s="166">
        <v>174.82339533507496</v>
      </c>
      <c r="D3997" s="39"/>
      <c r="E3997" s="39"/>
    </row>
    <row r="3998" spans="1:5" ht="15.6">
      <c r="A3998">
        <v>3943</v>
      </c>
      <c r="B3998" s="166">
        <v>75.625251788802643</v>
      </c>
      <c r="D3998" s="39"/>
      <c r="E3998" s="39"/>
    </row>
    <row r="3999" spans="1:5" ht="15.6">
      <c r="A3999">
        <v>3944</v>
      </c>
      <c r="B3999" s="166">
        <v>55.352379901081228</v>
      </c>
      <c r="D3999" s="39"/>
      <c r="E3999" s="39"/>
    </row>
    <row r="4000" spans="1:5" ht="15.6">
      <c r="A4000">
        <v>3945</v>
      </c>
      <c r="B4000" s="166">
        <v>119.6132651669771</v>
      </c>
      <c r="D4000" s="39"/>
      <c r="E4000" s="39"/>
    </row>
    <row r="4001" spans="1:5" ht="15.6">
      <c r="A4001">
        <v>3946</v>
      </c>
      <c r="B4001" s="166">
        <v>160.35874000174769</v>
      </c>
      <c r="D4001" s="39"/>
      <c r="E4001" s="39"/>
    </row>
    <row r="4002" spans="1:5" ht="15.6">
      <c r="A4002">
        <v>3947</v>
      </c>
      <c r="B4002" s="166">
        <v>82.914254986747508</v>
      </c>
      <c r="D4002" s="39"/>
      <c r="E4002" s="39"/>
    </row>
    <row r="4003" spans="1:5" ht="15.6">
      <c r="A4003">
        <v>3948</v>
      </c>
      <c r="B4003" s="166">
        <v>68.613850456947958</v>
      </c>
      <c r="D4003" s="39"/>
      <c r="E4003" s="39"/>
    </row>
    <row r="4004" spans="1:5" ht="15.6">
      <c r="A4004">
        <v>3949</v>
      </c>
      <c r="B4004" s="166">
        <v>110.52949000146653</v>
      </c>
      <c r="D4004" s="39"/>
      <c r="E4004" s="39"/>
    </row>
    <row r="4005" spans="1:5" ht="15.6">
      <c r="A4005">
        <v>3950</v>
      </c>
      <c r="B4005" s="166">
        <v>116.67055647238081</v>
      </c>
      <c r="D4005" s="39"/>
      <c r="E4005" s="39"/>
    </row>
    <row r="4006" spans="1:5" ht="15.6">
      <c r="A4006">
        <v>3951</v>
      </c>
      <c r="B4006" s="166">
        <v>116.90074007074033</v>
      </c>
      <c r="D4006" s="39"/>
      <c r="E4006" s="39"/>
    </row>
    <row r="4007" spans="1:5" ht="15.6">
      <c r="A4007">
        <v>3952</v>
      </c>
      <c r="B4007" s="166">
        <v>67.627908808285525</v>
      </c>
      <c r="D4007" s="39"/>
      <c r="E4007" s="39"/>
    </row>
    <row r="4008" spans="1:5" ht="15.6">
      <c r="A4008">
        <v>3953</v>
      </c>
      <c r="B4008" s="166">
        <v>96.917486485573875</v>
      </c>
      <c r="D4008" s="39"/>
      <c r="E4008" s="39"/>
    </row>
    <row r="4009" spans="1:5" ht="15.6">
      <c r="A4009">
        <v>3954</v>
      </c>
      <c r="B4009" s="166">
        <v>178.66863899980694</v>
      </c>
      <c r="D4009" s="39"/>
      <c r="E4009" s="39"/>
    </row>
    <row r="4010" spans="1:5" ht="15.6">
      <c r="A4010">
        <v>3955</v>
      </c>
      <c r="B4010" s="166">
        <v>77.059823970213358</v>
      </c>
      <c r="D4010" s="39"/>
      <c r="E4010" s="39"/>
    </row>
    <row r="4011" spans="1:5" ht="15.6">
      <c r="A4011">
        <v>3956</v>
      </c>
      <c r="B4011" s="166">
        <v>65.108303285808134</v>
      </c>
      <c r="D4011" s="39"/>
      <c r="E4011" s="39"/>
    </row>
    <row r="4012" spans="1:5" ht="15.6">
      <c r="A4012">
        <v>3957</v>
      </c>
      <c r="B4012" s="166">
        <v>129.50873855110723</v>
      </c>
      <c r="D4012" s="39"/>
      <c r="E4012" s="39"/>
    </row>
    <row r="4013" spans="1:5" ht="15.6">
      <c r="A4013">
        <v>3958</v>
      </c>
      <c r="B4013" s="166">
        <v>134.26317195491001</v>
      </c>
      <c r="D4013" s="39"/>
      <c r="E4013" s="39"/>
    </row>
    <row r="4014" spans="1:5" ht="15.6">
      <c r="A4014">
        <v>3959</v>
      </c>
      <c r="B4014" s="166">
        <v>106.10319383641618</v>
      </c>
      <c r="D4014" s="39"/>
      <c r="E4014" s="39"/>
    </row>
    <row r="4015" spans="1:5" ht="15.6">
      <c r="A4015">
        <v>3960</v>
      </c>
      <c r="B4015" s="166">
        <v>124.82325835449151</v>
      </c>
      <c r="D4015" s="39"/>
      <c r="E4015" s="39"/>
    </row>
    <row r="4016" spans="1:5" ht="15.6">
      <c r="A4016">
        <v>3961</v>
      </c>
      <c r="B4016" s="166">
        <v>92.186143750556553</v>
      </c>
      <c r="D4016" s="39"/>
      <c r="E4016" s="39"/>
    </row>
    <row r="4017" spans="1:5" ht="15.6">
      <c r="A4017">
        <v>3962</v>
      </c>
      <c r="B4017" s="166">
        <v>91.230010087858375</v>
      </c>
      <c r="D4017" s="39"/>
      <c r="E4017" s="39"/>
    </row>
    <row r="4018" spans="1:5" ht="15.6">
      <c r="A4018">
        <v>3963</v>
      </c>
      <c r="B4018" s="166">
        <v>145.24878424505394</v>
      </c>
      <c r="D4018" s="39"/>
      <c r="E4018" s="39"/>
    </row>
    <row r="4019" spans="1:5" ht="15.6">
      <c r="A4019">
        <v>3964</v>
      </c>
      <c r="B4019" s="166">
        <v>88.427024808944836</v>
      </c>
      <c r="D4019" s="39"/>
      <c r="E4019" s="39"/>
    </row>
    <row r="4020" spans="1:5" ht="15.6">
      <c r="A4020">
        <v>3965</v>
      </c>
      <c r="B4020" s="166">
        <v>83.274181737736427</v>
      </c>
      <c r="D4020" s="39"/>
      <c r="E4020" s="39"/>
    </row>
    <row r="4021" spans="1:5" ht="15.6">
      <c r="A4021">
        <v>3966</v>
      </c>
      <c r="B4021" s="166">
        <v>70.928871760677268</v>
      </c>
      <c r="D4021" s="39"/>
      <c r="E4021" s="39"/>
    </row>
    <row r="4022" spans="1:5" ht="15.6">
      <c r="A4022">
        <v>3967</v>
      </c>
      <c r="B4022" s="166">
        <v>122.00408510279756</v>
      </c>
      <c r="D4022" s="39"/>
      <c r="E4022" s="39"/>
    </row>
    <row r="4023" spans="1:5" ht="15.6">
      <c r="A4023">
        <v>3968</v>
      </c>
      <c r="B4023" s="166">
        <v>120.44033911684626</v>
      </c>
      <c r="D4023" s="39"/>
      <c r="E4023" s="39"/>
    </row>
    <row r="4024" spans="1:5" ht="15.6">
      <c r="A4024">
        <v>3969</v>
      </c>
      <c r="B4024" s="166">
        <v>203.28804106890942</v>
      </c>
      <c r="D4024" s="39"/>
      <c r="E4024" s="39"/>
    </row>
    <row r="4025" spans="1:5" ht="15.6">
      <c r="A4025">
        <v>3970</v>
      </c>
      <c r="B4025" s="166">
        <v>137.58820649651847</v>
      </c>
      <c r="D4025" s="39"/>
      <c r="E4025" s="39"/>
    </row>
    <row r="4026" spans="1:5" ht="15.6">
      <c r="A4026">
        <v>3971</v>
      </c>
      <c r="B4026" s="166">
        <v>81.734951370237098</v>
      </c>
      <c r="D4026" s="39"/>
      <c r="E4026" s="39"/>
    </row>
    <row r="4027" spans="1:5" ht="15.6">
      <c r="A4027">
        <v>3972</v>
      </c>
      <c r="B4027" s="166">
        <v>131.99680432641429</v>
      </c>
      <c r="D4027" s="39"/>
      <c r="E4027" s="39"/>
    </row>
    <row r="4028" spans="1:5" ht="15.6">
      <c r="A4028">
        <v>3973</v>
      </c>
      <c r="B4028" s="166">
        <v>113.27574622985071</v>
      </c>
      <c r="D4028" s="39"/>
      <c r="E4028" s="39"/>
    </row>
    <row r="4029" spans="1:5" ht="15.6">
      <c r="A4029">
        <v>3974</v>
      </c>
      <c r="B4029" s="166">
        <v>87.538807183731649</v>
      </c>
      <c r="D4029" s="39"/>
      <c r="E4029" s="39"/>
    </row>
    <row r="4030" spans="1:5" ht="15.6">
      <c r="A4030">
        <v>3975</v>
      </c>
      <c r="B4030" s="166">
        <v>121.30495401295138</v>
      </c>
      <c r="D4030" s="39"/>
      <c r="E4030" s="39"/>
    </row>
    <row r="4031" spans="1:5" ht="15.6">
      <c r="A4031">
        <v>3976</v>
      </c>
      <c r="B4031" s="166">
        <v>78.896771753646775</v>
      </c>
      <c r="D4031" s="39"/>
      <c r="E4031" s="39"/>
    </row>
    <row r="4032" spans="1:5" ht="15.6">
      <c r="A4032">
        <v>3977</v>
      </c>
      <c r="B4032" s="166">
        <v>95.843763765374419</v>
      </c>
      <c r="D4032" s="39"/>
      <c r="E4032" s="39"/>
    </row>
    <row r="4033" spans="1:5" ht="15.6">
      <c r="A4033">
        <v>3978</v>
      </c>
      <c r="B4033" s="166">
        <v>145.20331277635708</v>
      </c>
      <c r="D4033" s="39"/>
      <c r="E4033" s="39"/>
    </row>
    <row r="4034" spans="1:5" ht="15.6">
      <c r="A4034">
        <v>3979</v>
      </c>
      <c r="B4034" s="166">
        <v>191.97844452280094</v>
      </c>
      <c r="D4034" s="39"/>
      <c r="E4034" s="39"/>
    </row>
    <row r="4035" spans="1:5" ht="15.6">
      <c r="A4035">
        <v>3980</v>
      </c>
      <c r="B4035" s="166">
        <v>99.051678949379294</v>
      </c>
      <c r="D4035" s="39"/>
      <c r="E4035" s="39"/>
    </row>
    <row r="4036" spans="1:5" ht="15.6">
      <c r="A4036">
        <v>3981</v>
      </c>
      <c r="B4036" s="166">
        <v>89.264557730017117</v>
      </c>
      <c r="D4036" s="39"/>
      <c r="E4036" s="39"/>
    </row>
    <row r="4037" spans="1:5" ht="15.6">
      <c r="A4037">
        <v>3982</v>
      </c>
      <c r="B4037" s="166">
        <v>74.079577026103266</v>
      </c>
      <c r="D4037" s="39"/>
      <c r="E4037" s="39"/>
    </row>
    <row r="4038" spans="1:5" ht="15.6">
      <c r="A4038">
        <v>3983</v>
      </c>
      <c r="B4038" s="166">
        <v>61.865392779984596</v>
      </c>
      <c r="D4038" s="39"/>
      <c r="E4038" s="39"/>
    </row>
    <row r="4039" spans="1:5" ht="15.6">
      <c r="A4039">
        <v>3984</v>
      </c>
      <c r="B4039" s="166">
        <v>82.337167543166302</v>
      </c>
      <c r="D4039" s="39"/>
      <c r="E4039" s="39"/>
    </row>
    <row r="4040" spans="1:5" ht="15.6">
      <c r="A4040">
        <v>3985</v>
      </c>
      <c r="B4040" s="166">
        <v>90.441362119941502</v>
      </c>
      <c r="D4040" s="39"/>
      <c r="E4040" s="39"/>
    </row>
    <row r="4041" spans="1:5" ht="15.6">
      <c r="A4041">
        <v>3986</v>
      </c>
      <c r="B4041" s="166">
        <v>93.414845623363092</v>
      </c>
      <c r="D4041" s="39"/>
      <c r="E4041" s="39"/>
    </row>
    <row r="4042" spans="1:5" ht="15.6">
      <c r="A4042">
        <v>3987</v>
      </c>
      <c r="B4042" s="166">
        <v>53.727481924357001</v>
      </c>
      <c r="D4042" s="39"/>
      <c r="E4042" s="39"/>
    </row>
    <row r="4043" spans="1:5" ht="15.6">
      <c r="A4043">
        <v>3988</v>
      </c>
      <c r="B4043" s="166">
        <v>111.54923054505714</v>
      </c>
      <c r="D4043" s="39"/>
      <c r="E4043" s="39"/>
    </row>
    <row r="4044" spans="1:5" ht="15.6">
      <c r="A4044">
        <v>3989</v>
      </c>
      <c r="B4044" s="166">
        <v>100.53163531833897</v>
      </c>
      <c r="D4044" s="39"/>
      <c r="E4044" s="39"/>
    </row>
    <row r="4045" spans="1:5" ht="15.6">
      <c r="A4045">
        <v>3990</v>
      </c>
      <c r="B4045" s="166">
        <v>183.94461164931465</v>
      </c>
      <c r="D4045" s="39"/>
      <c r="E4045" s="39"/>
    </row>
    <row r="4046" spans="1:5" ht="15.6">
      <c r="A4046">
        <v>3991</v>
      </c>
      <c r="B4046" s="166">
        <v>122.69776553882319</v>
      </c>
      <c r="D4046" s="39"/>
      <c r="E4046" s="39"/>
    </row>
    <row r="4047" spans="1:5" ht="15.6">
      <c r="A4047">
        <v>3992</v>
      </c>
      <c r="B4047" s="166">
        <v>93.970821748381979</v>
      </c>
      <c r="D4047" s="39"/>
      <c r="E4047" s="39"/>
    </row>
    <row r="4048" spans="1:5" ht="15.6">
      <c r="A4048">
        <v>3993</v>
      </c>
      <c r="B4048" s="166">
        <v>217.33618999704726</v>
      </c>
      <c r="D4048" s="39"/>
      <c r="E4048" s="39"/>
    </row>
    <row r="4049" spans="1:5" ht="15.6">
      <c r="A4049">
        <v>3994</v>
      </c>
      <c r="B4049" s="166">
        <v>67.488101660647686</v>
      </c>
      <c r="D4049" s="39"/>
      <c r="E4049" s="39"/>
    </row>
    <row r="4050" spans="1:5" ht="15.6">
      <c r="A4050">
        <v>3995</v>
      </c>
      <c r="B4050" s="166">
        <v>83.865571211791178</v>
      </c>
      <c r="D4050" s="39"/>
      <c r="E4050" s="39"/>
    </row>
    <row r="4051" spans="1:5" ht="15.6">
      <c r="A4051">
        <v>3996</v>
      </c>
      <c r="B4051" s="166">
        <v>65.903997461247997</v>
      </c>
      <c r="D4051" s="39"/>
      <c r="E4051" s="39"/>
    </row>
    <row r="4052" spans="1:5" ht="15.6">
      <c r="A4052">
        <v>3997</v>
      </c>
      <c r="B4052" s="166">
        <v>67.216756981806455</v>
      </c>
      <c r="D4052" s="39"/>
      <c r="E4052" s="39"/>
    </row>
    <row r="4053" spans="1:5" ht="15.6">
      <c r="A4053">
        <v>3998</v>
      </c>
      <c r="B4053" s="166">
        <v>97.985367572214159</v>
      </c>
      <c r="D4053" s="39"/>
      <c r="E4053" s="39"/>
    </row>
    <row r="4054" spans="1:5" ht="15.6">
      <c r="A4054">
        <v>3999</v>
      </c>
      <c r="B4054" s="166">
        <v>153.05035630205623</v>
      </c>
      <c r="D4054" s="39"/>
      <c r="E4054" s="39"/>
    </row>
    <row r="4055" spans="1:5" ht="15.6">
      <c r="A4055">
        <v>4000</v>
      </c>
      <c r="B4055" s="166">
        <v>135.67185151402398</v>
      </c>
      <c r="D4055" s="39"/>
      <c r="E4055" s="39"/>
    </row>
    <row r="4056" spans="1:5" ht="15.6">
      <c r="A4056">
        <v>4001</v>
      </c>
      <c r="B4056" s="166">
        <v>86.130669059709561</v>
      </c>
      <c r="D4056" s="39"/>
      <c r="E4056" s="39"/>
    </row>
    <row r="4057" spans="1:5" ht="15.6">
      <c r="A4057">
        <v>4002</v>
      </c>
      <c r="B4057" s="166">
        <v>112.04662661275228</v>
      </c>
      <c r="D4057" s="39"/>
      <c r="E4057" s="39"/>
    </row>
    <row r="4058" spans="1:5" ht="15.6">
      <c r="A4058">
        <v>4003</v>
      </c>
      <c r="B4058" s="166">
        <v>121.39553886969807</v>
      </c>
      <c r="D4058" s="39"/>
      <c r="E4058" s="39"/>
    </row>
    <row r="4059" spans="1:5" ht="15.6">
      <c r="A4059">
        <v>4004</v>
      </c>
      <c r="B4059" s="166">
        <v>155.56122108903759</v>
      </c>
      <c r="D4059" s="39"/>
      <c r="E4059" s="39"/>
    </row>
    <row r="4060" spans="1:5" ht="15.6">
      <c r="A4060">
        <v>4005</v>
      </c>
      <c r="B4060" s="166">
        <v>67.531704979625189</v>
      </c>
      <c r="D4060" s="39"/>
      <c r="E4060" s="39"/>
    </row>
    <row r="4061" spans="1:5" ht="15.6">
      <c r="A4061">
        <v>4006</v>
      </c>
      <c r="B4061" s="166">
        <v>109.34515637344501</v>
      </c>
      <c r="D4061" s="39"/>
      <c r="E4061" s="39"/>
    </row>
    <row r="4062" spans="1:5" ht="15.6">
      <c r="A4062">
        <v>4007</v>
      </c>
      <c r="B4062" s="166">
        <v>112.8655616572629</v>
      </c>
      <c r="D4062" s="39"/>
      <c r="E4062" s="39"/>
    </row>
    <row r="4063" spans="1:5" ht="15.6">
      <c r="A4063">
        <v>4008</v>
      </c>
      <c r="B4063" s="166">
        <v>122.52744743671096</v>
      </c>
      <c r="D4063" s="39"/>
      <c r="E4063" s="39"/>
    </row>
    <row r="4064" spans="1:5" ht="15.6">
      <c r="A4064">
        <v>4009</v>
      </c>
      <c r="B4064" s="166">
        <v>94.440065079223075</v>
      </c>
      <c r="D4064" s="39"/>
      <c r="E4064" s="39"/>
    </row>
    <row r="4065" spans="1:5" ht="15.6">
      <c r="A4065">
        <v>4010</v>
      </c>
      <c r="B4065" s="166">
        <v>86.478553414375455</v>
      </c>
      <c r="D4065" s="39"/>
      <c r="E4065" s="39"/>
    </row>
    <row r="4066" spans="1:5" ht="15.6">
      <c r="A4066">
        <v>4011</v>
      </c>
      <c r="B4066" s="166">
        <v>129.80131600647886</v>
      </c>
      <c r="D4066" s="39"/>
      <c r="E4066" s="39"/>
    </row>
    <row r="4067" spans="1:5" ht="15.6">
      <c r="A4067">
        <v>4012</v>
      </c>
      <c r="B4067" s="166">
        <v>130.56195272460815</v>
      </c>
      <c r="D4067" s="39"/>
      <c r="E4067" s="39"/>
    </row>
    <row r="4068" spans="1:5" ht="15.6">
      <c r="A4068">
        <v>4013</v>
      </c>
      <c r="B4068" s="166">
        <v>80.262366636526011</v>
      </c>
      <c r="D4068" s="39"/>
      <c r="E4068" s="39"/>
    </row>
    <row r="4069" spans="1:5" ht="15.6">
      <c r="A4069">
        <v>4014</v>
      </c>
      <c r="B4069" s="166">
        <v>138.69137008600086</v>
      </c>
      <c r="D4069" s="39"/>
      <c r="E4069" s="39"/>
    </row>
    <row r="4070" spans="1:5" ht="15.6">
      <c r="A4070">
        <v>4015</v>
      </c>
      <c r="B4070" s="166">
        <v>52.374085534016459</v>
      </c>
      <c r="D4070" s="39"/>
      <c r="E4070" s="39"/>
    </row>
    <row r="4071" spans="1:5" ht="15.6">
      <c r="A4071">
        <v>4016</v>
      </c>
      <c r="B4071" s="166">
        <v>76.558700120706504</v>
      </c>
      <c r="D4071" s="39"/>
      <c r="E4071" s="39"/>
    </row>
    <row r="4072" spans="1:5" ht="15.6">
      <c r="A4072">
        <v>4017</v>
      </c>
      <c r="B4072" s="166">
        <v>200.64289769808582</v>
      </c>
      <c r="D4072" s="39"/>
      <c r="E4072" s="39"/>
    </row>
    <row r="4073" spans="1:5" ht="15.6">
      <c r="A4073">
        <v>4018</v>
      </c>
      <c r="B4073" s="166">
        <v>112.76562980338311</v>
      </c>
      <c r="D4073" s="39"/>
      <c r="E4073" s="39"/>
    </row>
    <row r="4074" spans="1:5" ht="15.6">
      <c r="A4074">
        <v>4019</v>
      </c>
      <c r="B4074" s="166">
        <v>246.53031980714638</v>
      </c>
      <c r="D4074" s="39"/>
      <c r="E4074" s="39"/>
    </row>
    <row r="4075" spans="1:5" ht="15.6">
      <c r="A4075">
        <v>4020</v>
      </c>
      <c r="B4075" s="166">
        <v>159.18266027851908</v>
      </c>
      <c r="D4075" s="39"/>
      <c r="E4075" s="39"/>
    </row>
    <row r="4076" spans="1:5" ht="15.6">
      <c r="A4076">
        <v>4021</v>
      </c>
      <c r="B4076" s="166">
        <v>59.115931605650914</v>
      </c>
      <c r="D4076" s="39"/>
      <c r="E4076" s="39"/>
    </row>
    <row r="4077" spans="1:5" ht="15.6">
      <c r="A4077">
        <v>4022</v>
      </c>
      <c r="B4077" s="166">
        <v>70.834450870954186</v>
      </c>
      <c r="D4077" s="39"/>
      <c r="E4077" s="39"/>
    </row>
    <row r="4078" spans="1:5" ht="15.6">
      <c r="A4078">
        <v>4023</v>
      </c>
      <c r="B4078" s="166">
        <v>111.61857086658259</v>
      </c>
      <c r="D4078" s="39"/>
      <c r="E4078" s="39"/>
    </row>
    <row r="4079" spans="1:5" ht="15.6">
      <c r="A4079">
        <v>4024</v>
      </c>
      <c r="B4079" s="166">
        <v>126.23217968567481</v>
      </c>
      <c r="D4079" s="39"/>
      <c r="E4079" s="39"/>
    </row>
    <row r="4080" spans="1:5" ht="15.6">
      <c r="A4080">
        <v>4025</v>
      </c>
      <c r="B4080" s="166">
        <v>65.100938174869242</v>
      </c>
      <c r="D4080" s="39"/>
      <c r="E4080" s="39"/>
    </row>
    <row r="4081" spans="1:5" ht="15.6">
      <c r="A4081">
        <v>4026</v>
      </c>
      <c r="B4081" s="166">
        <v>140.55020250757897</v>
      </c>
      <c r="D4081" s="39"/>
      <c r="E4081" s="39"/>
    </row>
    <row r="4082" spans="1:5" ht="15.6">
      <c r="A4082">
        <v>4027</v>
      </c>
      <c r="B4082" s="166">
        <v>91.926221869705017</v>
      </c>
      <c r="D4082" s="39"/>
      <c r="E4082" s="39"/>
    </row>
    <row r="4083" spans="1:5" ht="15.6">
      <c r="A4083">
        <v>4028</v>
      </c>
      <c r="B4083" s="166">
        <v>71.790659831461284</v>
      </c>
      <c r="D4083" s="39"/>
      <c r="E4083" s="39"/>
    </row>
    <row r="4084" spans="1:5" ht="15.6">
      <c r="A4084">
        <v>4029</v>
      </c>
      <c r="B4084" s="166">
        <v>104.03468845200824</v>
      </c>
      <c r="D4084" s="39"/>
      <c r="E4084" s="39"/>
    </row>
    <row r="4085" spans="1:5" ht="15.6">
      <c r="A4085">
        <v>4030</v>
      </c>
      <c r="B4085" s="166">
        <v>95.985936936228043</v>
      </c>
      <c r="D4085" s="39"/>
      <c r="E4085" s="39"/>
    </row>
    <row r="4086" spans="1:5" ht="15.6">
      <c r="A4086">
        <v>4031</v>
      </c>
      <c r="B4086" s="166">
        <v>165.56068462371138</v>
      </c>
      <c r="D4086" s="39"/>
      <c r="E4086" s="39"/>
    </row>
    <row r="4087" spans="1:5" ht="15.6">
      <c r="A4087">
        <v>4032</v>
      </c>
      <c r="B4087" s="166">
        <v>65.866503970751481</v>
      </c>
      <c r="D4087" s="39"/>
      <c r="E4087" s="39"/>
    </row>
    <row r="4088" spans="1:5" ht="15.6">
      <c r="A4088">
        <v>4033</v>
      </c>
      <c r="B4088" s="166">
        <v>78.266761478075949</v>
      </c>
      <c r="D4088" s="39"/>
      <c r="E4088" s="39"/>
    </row>
    <row r="4089" spans="1:5" ht="15.6">
      <c r="A4089">
        <v>4034</v>
      </c>
      <c r="B4089" s="166">
        <v>67.568622928877645</v>
      </c>
      <c r="D4089" s="39"/>
      <c r="E4089" s="39"/>
    </row>
    <row r="4090" spans="1:5" ht="15.6">
      <c r="A4090">
        <v>4035</v>
      </c>
      <c r="B4090" s="166">
        <v>112.07292914048487</v>
      </c>
      <c r="D4090" s="39"/>
      <c r="E4090" s="39"/>
    </row>
    <row r="4091" spans="1:5" ht="15.6">
      <c r="A4091">
        <v>4036</v>
      </c>
      <c r="B4091" s="166">
        <v>98.609894210349864</v>
      </c>
      <c r="D4091" s="39"/>
      <c r="E4091" s="39"/>
    </row>
    <row r="4092" spans="1:5" ht="15.6">
      <c r="A4092">
        <v>4037</v>
      </c>
      <c r="B4092" s="166">
        <v>180.60896025239907</v>
      </c>
      <c r="D4092" s="39"/>
      <c r="E4092" s="39"/>
    </row>
    <row r="4093" spans="1:5" ht="15.6">
      <c r="A4093">
        <v>4038</v>
      </c>
      <c r="B4093" s="166">
        <v>86.239771337942415</v>
      </c>
      <c r="D4093" s="39"/>
      <c r="E4093" s="39"/>
    </row>
    <row r="4094" spans="1:5" ht="15.6">
      <c r="A4094">
        <v>4039</v>
      </c>
      <c r="B4094" s="166">
        <v>209.46999953083036</v>
      </c>
      <c r="D4094" s="39"/>
      <c r="E4094" s="39"/>
    </row>
    <row r="4095" spans="1:5" ht="15.6">
      <c r="A4095">
        <v>4040</v>
      </c>
      <c r="B4095" s="166">
        <v>61.784731736987041</v>
      </c>
      <c r="D4095" s="39"/>
      <c r="E4095" s="39"/>
    </row>
    <row r="4096" spans="1:5" ht="15.6">
      <c r="A4096">
        <v>4041</v>
      </c>
      <c r="B4096" s="166">
        <v>90.053795661444099</v>
      </c>
      <c r="D4096" s="39"/>
      <c r="E4096" s="39"/>
    </row>
    <row r="4097" spans="1:5" ht="15.6">
      <c r="A4097">
        <v>4042</v>
      </c>
      <c r="B4097" s="166">
        <v>69.486267560469088</v>
      </c>
      <c r="D4097" s="39"/>
      <c r="E4097" s="39"/>
    </row>
    <row r="4098" spans="1:5" ht="15.6">
      <c r="A4098">
        <v>4043</v>
      </c>
      <c r="B4098" s="166">
        <v>81.410864009350036</v>
      </c>
      <c r="D4098" s="39"/>
      <c r="E4098" s="39"/>
    </row>
    <row r="4099" spans="1:5" ht="15.6">
      <c r="A4099">
        <v>4044</v>
      </c>
      <c r="B4099" s="166">
        <v>90.910351216768504</v>
      </c>
      <c r="D4099" s="39"/>
      <c r="E4099" s="39"/>
    </row>
    <row r="4100" spans="1:5" ht="15.6">
      <c r="A4100">
        <v>4045</v>
      </c>
      <c r="B4100" s="166">
        <v>139.97375382491379</v>
      </c>
      <c r="D4100" s="39"/>
      <c r="E4100" s="39"/>
    </row>
    <row r="4101" spans="1:5" ht="15.6">
      <c r="A4101">
        <v>4046</v>
      </c>
      <c r="B4101" s="166">
        <v>107.48309273299935</v>
      </c>
      <c r="D4101" s="39"/>
      <c r="E4101" s="39"/>
    </row>
    <row r="4102" spans="1:5" ht="15.6">
      <c r="A4102">
        <v>4047</v>
      </c>
      <c r="B4102" s="166">
        <v>130.21122176500694</v>
      </c>
      <c r="D4102" s="39"/>
      <c r="E4102" s="39"/>
    </row>
    <row r="4103" spans="1:5" ht="15.6">
      <c r="A4103">
        <v>4048</v>
      </c>
      <c r="B4103" s="166">
        <v>96.508611914706265</v>
      </c>
      <c r="D4103" s="39"/>
      <c r="E4103" s="39"/>
    </row>
    <row r="4104" spans="1:5" ht="15.6">
      <c r="A4104">
        <v>4049</v>
      </c>
      <c r="B4104" s="166">
        <v>133.62551560003413</v>
      </c>
      <c r="D4104" s="39"/>
      <c r="E4104" s="39"/>
    </row>
    <row r="4105" spans="1:5" ht="15.6">
      <c r="A4105">
        <v>4050</v>
      </c>
      <c r="B4105" s="166">
        <v>204.60537988876732</v>
      </c>
      <c r="D4105" s="39"/>
      <c r="E4105" s="39"/>
    </row>
    <row r="4106" spans="1:5" ht="15.6">
      <c r="A4106">
        <v>4051</v>
      </c>
      <c r="B4106" s="166">
        <v>193.42717886188166</v>
      </c>
      <c r="D4106" s="39"/>
      <c r="E4106" s="39"/>
    </row>
    <row r="4107" spans="1:5" ht="15.6">
      <c r="A4107">
        <v>4052</v>
      </c>
      <c r="B4107" s="166">
        <v>119.11409068094363</v>
      </c>
      <c r="D4107" s="39"/>
      <c r="E4107" s="39"/>
    </row>
    <row r="4108" spans="1:5" ht="15.6">
      <c r="A4108">
        <v>4053</v>
      </c>
      <c r="B4108" s="166">
        <v>73.736742053711041</v>
      </c>
      <c r="D4108" s="39"/>
      <c r="E4108" s="39"/>
    </row>
    <row r="4109" spans="1:5" ht="15.6">
      <c r="A4109">
        <v>4054</v>
      </c>
      <c r="B4109" s="166">
        <v>88.327199013688045</v>
      </c>
      <c r="D4109" s="39"/>
      <c r="E4109" s="39"/>
    </row>
    <row r="4110" spans="1:5" ht="15.6">
      <c r="A4110">
        <v>4055</v>
      </c>
      <c r="B4110" s="166">
        <v>88.105194672946439</v>
      </c>
      <c r="D4110" s="39"/>
      <c r="E4110" s="39"/>
    </row>
    <row r="4111" spans="1:5" ht="15.6">
      <c r="A4111">
        <v>4056</v>
      </c>
      <c r="B4111" s="166">
        <v>75.386333576831277</v>
      </c>
      <c r="D4111" s="39"/>
      <c r="E4111" s="39"/>
    </row>
    <row r="4112" spans="1:5" ht="15.6">
      <c r="A4112">
        <v>4057</v>
      </c>
      <c r="B4112" s="166">
        <v>64.600417314863364</v>
      </c>
      <c r="D4112" s="39"/>
      <c r="E4112" s="39"/>
    </row>
    <row r="4113" spans="1:5" ht="15.6">
      <c r="A4113">
        <v>4058</v>
      </c>
      <c r="B4113" s="166">
        <v>100.3488907988777</v>
      </c>
      <c r="D4113" s="39"/>
      <c r="E4113" s="39"/>
    </row>
    <row r="4114" spans="1:5" ht="15.6">
      <c r="A4114">
        <v>4059</v>
      </c>
      <c r="B4114" s="166">
        <v>166.34155786658428</v>
      </c>
      <c r="D4114" s="39"/>
      <c r="E4114" s="39"/>
    </row>
    <row r="4115" spans="1:5" ht="15.6">
      <c r="A4115">
        <v>4060</v>
      </c>
      <c r="B4115" s="166">
        <v>151.67265835792534</v>
      </c>
      <c r="D4115" s="39"/>
      <c r="E4115" s="39"/>
    </row>
    <row r="4116" spans="1:5" ht="15.6">
      <c r="A4116">
        <v>4061</v>
      </c>
      <c r="B4116" s="166">
        <v>85.213996166340422</v>
      </c>
      <c r="D4116" s="39"/>
      <c r="E4116" s="39"/>
    </row>
    <row r="4117" spans="1:5" ht="15.6">
      <c r="A4117">
        <v>4062</v>
      </c>
      <c r="B4117" s="166">
        <v>109.41163705172552</v>
      </c>
      <c r="D4117" s="39"/>
      <c r="E4117" s="39"/>
    </row>
    <row r="4118" spans="1:5" ht="15.6">
      <c r="A4118">
        <v>4063</v>
      </c>
      <c r="B4118" s="166">
        <v>109.43760297085733</v>
      </c>
      <c r="D4118" s="39"/>
      <c r="E4118" s="39"/>
    </row>
    <row r="4119" spans="1:5" ht="15.6">
      <c r="A4119">
        <v>4064</v>
      </c>
      <c r="B4119" s="166">
        <v>88.690057093506852</v>
      </c>
      <c r="D4119" s="39"/>
      <c r="E4119" s="39"/>
    </row>
    <row r="4120" spans="1:5" ht="15.6">
      <c r="A4120">
        <v>4065</v>
      </c>
      <c r="B4120" s="166">
        <v>218.32503877378721</v>
      </c>
      <c r="D4120" s="39"/>
      <c r="E4120" s="39"/>
    </row>
    <row r="4121" spans="1:5" ht="15.6">
      <c r="A4121">
        <v>4066</v>
      </c>
      <c r="B4121" s="166">
        <v>148.90702098766442</v>
      </c>
      <c r="D4121" s="39"/>
      <c r="E4121" s="39"/>
    </row>
    <row r="4122" spans="1:5" ht="15.6">
      <c r="A4122">
        <v>4067</v>
      </c>
      <c r="B4122" s="166">
        <v>98.887870680325506</v>
      </c>
      <c r="D4122" s="39"/>
      <c r="E4122" s="39"/>
    </row>
    <row r="4123" spans="1:5" ht="15.6">
      <c r="A4123">
        <v>4068</v>
      </c>
      <c r="B4123" s="166">
        <v>123.29583942874829</v>
      </c>
      <c r="D4123" s="39"/>
      <c r="E4123" s="39"/>
    </row>
    <row r="4124" spans="1:5" ht="15.6">
      <c r="A4124">
        <v>4069</v>
      </c>
      <c r="B4124" s="166">
        <v>81.33591282955507</v>
      </c>
      <c r="D4124" s="39"/>
      <c r="E4124" s="39"/>
    </row>
    <row r="4125" spans="1:5" ht="15.6">
      <c r="A4125">
        <v>4070</v>
      </c>
      <c r="B4125" s="166">
        <v>127.30107951020649</v>
      </c>
      <c r="D4125" s="39"/>
      <c r="E4125" s="39"/>
    </row>
    <row r="4126" spans="1:5" ht="15.6">
      <c r="A4126">
        <v>4071</v>
      </c>
      <c r="B4126" s="166">
        <v>88.863931672973919</v>
      </c>
      <c r="D4126" s="39"/>
      <c r="E4126" s="39"/>
    </row>
    <row r="4127" spans="1:5" ht="15.6">
      <c r="A4127">
        <v>4072</v>
      </c>
      <c r="B4127" s="166">
        <v>164.66197450892878</v>
      </c>
      <c r="D4127" s="39"/>
      <c r="E4127" s="39"/>
    </row>
    <row r="4128" spans="1:5" ht="15.6">
      <c r="A4128">
        <v>4073</v>
      </c>
      <c r="B4128" s="166">
        <v>176.1829118418182</v>
      </c>
      <c r="D4128" s="39"/>
      <c r="E4128" s="39"/>
    </row>
    <row r="4129" spans="1:5" ht="15.6">
      <c r="A4129">
        <v>4074</v>
      </c>
      <c r="B4129" s="166">
        <v>175.84907417739015</v>
      </c>
      <c r="D4129" s="39"/>
      <c r="E4129" s="39"/>
    </row>
    <row r="4130" spans="1:5" ht="15.6">
      <c r="A4130">
        <v>4075</v>
      </c>
      <c r="B4130" s="166">
        <v>72.303299751713169</v>
      </c>
      <c r="D4130" s="39"/>
      <c r="E4130" s="39"/>
    </row>
    <row r="4131" spans="1:5" ht="15.6">
      <c r="A4131">
        <v>4076</v>
      </c>
      <c r="B4131" s="166">
        <v>99.095294621481671</v>
      </c>
      <c r="D4131" s="39"/>
      <c r="E4131" s="39"/>
    </row>
    <row r="4132" spans="1:5" ht="15.6">
      <c r="A4132">
        <v>4077</v>
      </c>
      <c r="B4132" s="166">
        <v>143.88248134562829</v>
      </c>
      <c r="D4132" s="39"/>
      <c r="E4132" s="39"/>
    </row>
    <row r="4133" spans="1:5" ht="15.6">
      <c r="A4133">
        <v>4078</v>
      </c>
      <c r="B4133" s="166">
        <v>118.29011594751191</v>
      </c>
      <c r="D4133" s="39"/>
      <c r="E4133" s="39"/>
    </row>
    <row r="4134" spans="1:5" ht="15.6">
      <c r="A4134">
        <v>4079</v>
      </c>
      <c r="B4134" s="166">
        <v>117.17937228780421</v>
      </c>
      <c r="D4134" s="39"/>
      <c r="E4134" s="39"/>
    </row>
    <row r="4135" spans="1:5" ht="15.6">
      <c r="A4135">
        <v>4080</v>
      </c>
      <c r="B4135" s="166">
        <v>84.063876860652726</v>
      </c>
      <c r="D4135" s="39"/>
      <c r="E4135" s="39"/>
    </row>
    <row r="4136" spans="1:5" ht="15.6">
      <c r="A4136">
        <v>4081</v>
      </c>
      <c r="B4136" s="166">
        <v>55.689488220738525</v>
      </c>
      <c r="D4136" s="39"/>
      <c r="E4136" s="39"/>
    </row>
    <row r="4137" spans="1:5" ht="15.6">
      <c r="A4137">
        <v>4082</v>
      </c>
      <c r="B4137" s="166">
        <v>97.013136754054585</v>
      </c>
      <c r="D4137" s="39"/>
      <c r="E4137" s="39"/>
    </row>
    <row r="4138" spans="1:5" ht="15.6">
      <c r="A4138">
        <v>4083</v>
      </c>
      <c r="B4138" s="166">
        <v>161.08363456590857</v>
      </c>
      <c r="D4138" s="39"/>
      <c r="E4138" s="39"/>
    </row>
    <row r="4139" spans="1:5" ht="15.6">
      <c r="A4139">
        <v>4084</v>
      </c>
      <c r="B4139" s="166">
        <v>109.53393931779618</v>
      </c>
      <c r="D4139" s="39"/>
      <c r="E4139" s="39"/>
    </row>
    <row r="4140" spans="1:5" ht="15.6">
      <c r="A4140">
        <v>4085</v>
      </c>
      <c r="B4140" s="166">
        <v>108.31175911969891</v>
      </c>
      <c r="D4140" s="39"/>
      <c r="E4140" s="39"/>
    </row>
    <row r="4141" spans="1:5" ht="15.6">
      <c r="A4141">
        <v>4086</v>
      </c>
      <c r="B4141" s="166">
        <v>78.901428227920817</v>
      </c>
      <c r="D4141" s="39"/>
      <c r="E4141" s="39"/>
    </row>
    <row r="4142" spans="1:5" ht="15.6">
      <c r="A4142">
        <v>4087</v>
      </c>
      <c r="B4142" s="166">
        <v>181.95391205064195</v>
      </c>
      <c r="D4142" s="39"/>
      <c r="E4142" s="39"/>
    </row>
    <row r="4143" spans="1:5" ht="15.6">
      <c r="A4143">
        <v>4088</v>
      </c>
      <c r="B4143" s="166">
        <v>146.38622874710114</v>
      </c>
      <c r="D4143" s="39"/>
      <c r="E4143" s="39"/>
    </row>
    <row r="4144" spans="1:5" ht="15.6">
      <c r="A4144">
        <v>4089</v>
      </c>
      <c r="B4144" s="166">
        <v>64.484492568504848</v>
      </c>
      <c r="D4144" s="39"/>
      <c r="E4144" s="39"/>
    </row>
    <row r="4145" spans="1:5" ht="15.6">
      <c r="A4145">
        <v>4090</v>
      </c>
      <c r="B4145" s="166">
        <v>76.876525300748625</v>
      </c>
      <c r="D4145" s="39"/>
      <c r="E4145" s="39"/>
    </row>
    <row r="4146" spans="1:5" ht="15.6">
      <c r="A4146">
        <v>4091</v>
      </c>
      <c r="B4146" s="166">
        <v>131.00857720173988</v>
      </c>
      <c r="D4146" s="39"/>
      <c r="E4146" s="39"/>
    </row>
    <row r="4147" spans="1:5" ht="15.6">
      <c r="A4147">
        <v>4092</v>
      </c>
      <c r="B4147" s="166">
        <v>96.240582512930089</v>
      </c>
      <c r="D4147" s="39"/>
      <c r="E4147" s="39"/>
    </row>
    <row r="4148" spans="1:5" ht="15.6">
      <c r="A4148">
        <v>4093</v>
      </c>
      <c r="B4148" s="166">
        <v>88.825093606928618</v>
      </c>
      <c r="D4148" s="39"/>
      <c r="E4148" s="39"/>
    </row>
    <row r="4149" spans="1:5" ht="15.6">
      <c r="A4149">
        <v>4094</v>
      </c>
      <c r="B4149" s="166">
        <v>145.2886057343992</v>
      </c>
      <c r="D4149" s="39"/>
      <c r="E4149" s="39"/>
    </row>
    <row r="4150" spans="1:5" ht="15.6">
      <c r="A4150">
        <v>4095</v>
      </c>
      <c r="B4150" s="166">
        <v>65.996368023083477</v>
      </c>
      <c r="D4150" s="39"/>
      <c r="E4150" s="39"/>
    </row>
    <row r="4151" spans="1:5" ht="15.6">
      <c r="A4151">
        <v>4096</v>
      </c>
      <c r="B4151" s="166">
        <v>101.1315843186167</v>
      </c>
      <c r="D4151" s="39"/>
      <c r="E4151" s="39"/>
    </row>
    <row r="4152" spans="1:5" ht="15.6">
      <c r="A4152">
        <v>4097</v>
      </c>
      <c r="B4152" s="166">
        <v>259.45389391221931</v>
      </c>
      <c r="D4152" s="39"/>
      <c r="E4152" s="39"/>
    </row>
    <row r="4153" spans="1:5" ht="15.6">
      <c r="A4153">
        <v>4098</v>
      </c>
      <c r="B4153" s="166">
        <v>58.53547823968816</v>
      </c>
      <c r="D4153" s="39"/>
      <c r="E4153" s="39"/>
    </row>
    <row r="4154" spans="1:5" ht="15.6">
      <c r="A4154">
        <v>4099</v>
      </c>
      <c r="B4154" s="166">
        <v>104.67257590517784</v>
      </c>
      <c r="D4154" s="39"/>
      <c r="E4154" s="39"/>
    </row>
    <row r="4155" spans="1:5" ht="15.6">
      <c r="A4155">
        <v>4100</v>
      </c>
      <c r="B4155" s="166">
        <v>87.055350399927278</v>
      </c>
      <c r="D4155" s="39"/>
      <c r="E4155" s="39"/>
    </row>
    <row r="4156" spans="1:5" ht="15.6">
      <c r="A4156">
        <v>4101</v>
      </c>
      <c r="B4156" s="166">
        <v>155.97614843615989</v>
      </c>
      <c r="D4156" s="39"/>
      <c r="E4156" s="39"/>
    </row>
    <row r="4157" spans="1:5" ht="15.6">
      <c r="A4157">
        <v>4102</v>
      </c>
      <c r="B4157" s="166">
        <v>127.43149467048154</v>
      </c>
      <c r="D4157" s="39"/>
      <c r="E4157" s="39"/>
    </row>
    <row r="4158" spans="1:5" ht="15.6">
      <c r="A4158">
        <v>4103</v>
      </c>
      <c r="B4158" s="166">
        <v>54.650957658527552</v>
      </c>
      <c r="D4158" s="39"/>
      <c r="E4158" s="39"/>
    </row>
    <row r="4159" spans="1:5" ht="15.6">
      <c r="A4159">
        <v>4104</v>
      </c>
      <c r="B4159" s="166">
        <v>101.69907983008981</v>
      </c>
      <c r="D4159" s="39"/>
      <c r="E4159" s="39"/>
    </row>
    <row r="4160" spans="1:5" ht="15.6">
      <c r="A4160">
        <v>4105</v>
      </c>
      <c r="B4160" s="166">
        <v>137.01463338644356</v>
      </c>
      <c r="D4160" s="39"/>
      <c r="E4160" s="39"/>
    </row>
    <row r="4161" spans="1:5" ht="15.6">
      <c r="A4161">
        <v>4106</v>
      </c>
      <c r="B4161" s="166">
        <v>78.831156419307646</v>
      </c>
      <c r="D4161" s="39"/>
      <c r="E4161" s="39"/>
    </row>
    <row r="4162" spans="1:5" ht="15.6">
      <c r="A4162">
        <v>4107</v>
      </c>
      <c r="B4162" s="166">
        <v>80.34587049182791</v>
      </c>
      <c r="D4162" s="39"/>
      <c r="E4162" s="39"/>
    </row>
    <row r="4163" spans="1:5" ht="15.6">
      <c r="A4163">
        <v>4108</v>
      </c>
      <c r="B4163" s="166">
        <v>133.58907427828922</v>
      </c>
      <c r="D4163" s="39"/>
      <c r="E4163" s="39"/>
    </row>
    <row r="4164" spans="1:5" ht="15.6">
      <c r="A4164">
        <v>4109</v>
      </c>
      <c r="B4164" s="166">
        <v>91.126348471881698</v>
      </c>
      <c r="D4164" s="39"/>
      <c r="E4164" s="39"/>
    </row>
    <row r="4165" spans="1:5" ht="15.6">
      <c r="A4165">
        <v>4110</v>
      </c>
      <c r="B4165" s="166">
        <v>128.46338501830198</v>
      </c>
      <c r="D4165" s="39"/>
      <c r="E4165" s="39"/>
    </row>
    <row r="4166" spans="1:5" ht="15.6">
      <c r="A4166">
        <v>4111</v>
      </c>
      <c r="B4166" s="166">
        <v>109.47032882303169</v>
      </c>
      <c r="D4166" s="39"/>
      <c r="E4166" s="39"/>
    </row>
    <row r="4167" spans="1:5" ht="15.6">
      <c r="A4167">
        <v>4112</v>
      </c>
      <c r="B4167" s="166">
        <v>174.54334781293835</v>
      </c>
      <c r="D4167" s="39"/>
      <c r="E4167" s="39"/>
    </row>
    <row r="4168" spans="1:5" ht="15.6">
      <c r="A4168">
        <v>4113</v>
      </c>
      <c r="B4168" s="166">
        <v>95.883978940584313</v>
      </c>
      <c r="D4168" s="39"/>
      <c r="E4168" s="39"/>
    </row>
    <row r="4169" spans="1:5" ht="15.6">
      <c r="A4169">
        <v>4114</v>
      </c>
      <c r="B4169" s="166">
        <v>62.682253461868086</v>
      </c>
      <c r="D4169" s="39"/>
      <c r="E4169" s="39"/>
    </row>
    <row r="4170" spans="1:5" ht="15.6">
      <c r="A4170">
        <v>4115</v>
      </c>
      <c r="B4170" s="166">
        <v>151.1612165946726</v>
      </c>
      <c r="D4170" s="39"/>
      <c r="E4170" s="39"/>
    </row>
    <row r="4171" spans="1:5" ht="15.6">
      <c r="A4171">
        <v>4116</v>
      </c>
      <c r="B4171" s="166">
        <v>80.673921118132895</v>
      </c>
      <c r="D4171" s="39"/>
      <c r="E4171" s="39"/>
    </row>
    <row r="4172" spans="1:5" ht="15.6">
      <c r="A4172">
        <v>4117</v>
      </c>
      <c r="B4172" s="166">
        <v>91.673967160809966</v>
      </c>
      <c r="D4172" s="39"/>
      <c r="E4172" s="39"/>
    </row>
    <row r="4173" spans="1:5" ht="15.6">
      <c r="A4173">
        <v>4118</v>
      </c>
      <c r="B4173" s="166">
        <v>99.03999310612771</v>
      </c>
      <c r="D4173" s="39"/>
      <c r="E4173" s="39"/>
    </row>
    <row r="4174" spans="1:5" ht="15.6">
      <c r="A4174">
        <v>4119</v>
      </c>
      <c r="B4174" s="166">
        <v>105.23951951077002</v>
      </c>
      <c r="D4174" s="39"/>
      <c r="E4174" s="39"/>
    </row>
    <row r="4175" spans="1:5" ht="15.6">
      <c r="A4175">
        <v>4120</v>
      </c>
      <c r="B4175" s="166">
        <v>127.45203776635474</v>
      </c>
      <c r="D4175" s="39"/>
      <c r="E4175" s="39"/>
    </row>
    <row r="4176" spans="1:5" ht="15.6">
      <c r="A4176">
        <v>4121</v>
      </c>
      <c r="B4176" s="166">
        <v>100.49967186383969</v>
      </c>
      <c r="D4176" s="39"/>
      <c r="E4176" s="39"/>
    </row>
    <row r="4177" spans="1:5" ht="15.6">
      <c r="A4177">
        <v>4122</v>
      </c>
      <c r="B4177" s="166">
        <v>147.62900941527505</v>
      </c>
      <c r="D4177" s="39"/>
      <c r="E4177" s="39"/>
    </row>
    <row r="4178" spans="1:5" ht="15.6">
      <c r="A4178">
        <v>4123</v>
      </c>
      <c r="B4178" s="166">
        <v>111.50277282896604</v>
      </c>
      <c r="D4178" s="39"/>
      <c r="E4178" s="39"/>
    </row>
    <row r="4179" spans="1:5" ht="15.6">
      <c r="A4179">
        <v>4124</v>
      </c>
      <c r="B4179" s="166">
        <v>133.90505387631251</v>
      </c>
      <c r="D4179" s="39"/>
      <c r="E4179" s="39"/>
    </row>
    <row r="4180" spans="1:5" ht="15.6">
      <c r="A4180">
        <v>4125</v>
      </c>
      <c r="B4180" s="166">
        <v>139.39637206508911</v>
      </c>
      <c r="D4180" s="39"/>
      <c r="E4180" s="39"/>
    </row>
    <row r="4181" spans="1:5" ht="15.6">
      <c r="A4181">
        <v>4126</v>
      </c>
      <c r="B4181" s="166">
        <v>100.55617624582598</v>
      </c>
      <c r="D4181" s="39"/>
      <c r="E4181" s="39"/>
    </row>
    <row r="4182" spans="1:5" ht="15.6">
      <c r="A4182">
        <v>4127</v>
      </c>
      <c r="B4182" s="166">
        <v>63.828650357359983</v>
      </c>
      <c r="D4182" s="39"/>
      <c r="E4182" s="39"/>
    </row>
    <row r="4183" spans="1:5" ht="15.6">
      <c r="A4183">
        <v>4128</v>
      </c>
      <c r="B4183" s="166">
        <v>89.222794605841671</v>
      </c>
      <c r="D4183" s="39"/>
      <c r="E4183" s="39"/>
    </row>
    <row r="4184" spans="1:5" ht="15.6">
      <c r="A4184">
        <v>4129</v>
      </c>
      <c r="B4184" s="166">
        <v>195.48226637558255</v>
      </c>
      <c r="D4184" s="39"/>
      <c r="E4184" s="39"/>
    </row>
    <row r="4185" spans="1:5" ht="15.6">
      <c r="A4185">
        <v>4130</v>
      </c>
      <c r="B4185" s="166">
        <v>118.97334813922826</v>
      </c>
      <c r="D4185" s="39"/>
      <c r="E4185" s="39"/>
    </row>
    <row r="4186" spans="1:5" ht="15.6">
      <c r="A4186">
        <v>4131</v>
      </c>
      <c r="B4186" s="166">
        <v>56.044429947222532</v>
      </c>
      <c r="D4186" s="39"/>
      <c r="E4186" s="39"/>
    </row>
    <row r="4187" spans="1:5" ht="15.6">
      <c r="A4187">
        <v>4132</v>
      </c>
      <c r="B4187" s="166">
        <v>153.37767206142871</v>
      </c>
      <c r="D4187" s="39"/>
      <c r="E4187" s="39"/>
    </row>
    <row r="4188" spans="1:5" ht="15.6">
      <c r="A4188">
        <v>4133</v>
      </c>
      <c r="B4188" s="166">
        <v>85.436244665023722</v>
      </c>
      <c r="D4188" s="39"/>
      <c r="E4188" s="39"/>
    </row>
    <row r="4189" spans="1:5" ht="15.6">
      <c r="A4189">
        <v>4134</v>
      </c>
      <c r="B4189" s="166">
        <v>73.787411477483801</v>
      </c>
      <c r="D4189" s="39"/>
      <c r="E4189" s="39"/>
    </row>
    <row r="4190" spans="1:5" ht="15.6">
      <c r="A4190">
        <v>4135</v>
      </c>
      <c r="B4190" s="166">
        <v>89.36142825738456</v>
      </c>
      <c r="D4190" s="39"/>
      <c r="E4190" s="39"/>
    </row>
    <row r="4191" spans="1:5" ht="15.6">
      <c r="A4191">
        <v>4136</v>
      </c>
      <c r="B4191" s="166">
        <v>202.55551246300141</v>
      </c>
      <c r="D4191" s="39"/>
      <c r="E4191" s="39"/>
    </row>
    <row r="4192" spans="1:5" ht="15.6">
      <c r="A4192">
        <v>4137</v>
      </c>
      <c r="B4192" s="166">
        <v>62.220478102468668</v>
      </c>
      <c r="D4192" s="39"/>
      <c r="E4192" s="39"/>
    </row>
    <row r="4193" spans="1:5" ht="15.6">
      <c r="A4193">
        <v>4138</v>
      </c>
      <c r="B4193" s="166">
        <v>111.8694432930541</v>
      </c>
      <c r="D4193" s="39"/>
      <c r="E4193" s="39"/>
    </row>
    <row r="4194" spans="1:5" ht="15.6">
      <c r="A4194">
        <v>4139</v>
      </c>
      <c r="B4194" s="166">
        <v>132.98213270302242</v>
      </c>
      <c r="D4194" s="39"/>
      <c r="E4194" s="39"/>
    </row>
    <row r="4195" spans="1:5" ht="15.6">
      <c r="A4195">
        <v>4140</v>
      </c>
      <c r="B4195" s="166">
        <v>80.128476566943931</v>
      </c>
      <c r="D4195" s="39"/>
      <c r="E4195" s="39"/>
    </row>
    <row r="4196" spans="1:5" ht="15.6">
      <c r="A4196">
        <v>4141</v>
      </c>
      <c r="B4196" s="166">
        <v>90.034198739575203</v>
      </c>
      <c r="D4196" s="39"/>
      <c r="E4196" s="39"/>
    </row>
    <row r="4197" spans="1:5" ht="15.6">
      <c r="A4197">
        <v>4142</v>
      </c>
      <c r="B4197" s="166">
        <v>134.18675261826212</v>
      </c>
      <c r="D4197" s="39"/>
      <c r="E4197" s="39"/>
    </row>
    <row r="4198" spans="1:5" ht="15.6">
      <c r="A4198">
        <v>4143</v>
      </c>
      <c r="B4198" s="166">
        <v>103.30990563467269</v>
      </c>
      <c r="D4198" s="39"/>
      <c r="E4198" s="39"/>
    </row>
    <row r="4199" spans="1:5" ht="15.6">
      <c r="A4199">
        <v>4144</v>
      </c>
      <c r="B4199" s="166">
        <v>136.21748321547551</v>
      </c>
      <c r="D4199" s="39"/>
      <c r="E4199" s="39"/>
    </row>
    <row r="4200" spans="1:5" ht="15.6">
      <c r="A4200">
        <v>4145</v>
      </c>
      <c r="B4200" s="166">
        <v>100.46830911549785</v>
      </c>
      <c r="D4200" s="39"/>
      <c r="E4200" s="39"/>
    </row>
    <row r="4201" spans="1:5" ht="15.6">
      <c r="A4201">
        <v>4146</v>
      </c>
      <c r="B4201" s="166">
        <v>84.594355861099274</v>
      </c>
      <c r="D4201" s="39"/>
      <c r="E4201" s="39"/>
    </row>
    <row r="4202" spans="1:5" ht="15.6">
      <c r="A4202">
        <v>4147</v>
      </c>
      <c r="B4202" s="166">
        <v>148.54072348525244</v>
      </c>
      <c r="D4202" s="39"/>
      <c r="E4202" s="39"/>
    </row>
    <row r="4203" spans="1:5" ht="15.6">
      <c r="A4203">
        <v>4148</v>
      </c>
      <c r="B4203" s="166">
        <v>120.68003938286252</v>
      </c>
      <c r="D4203" s="39"/>
      <c r="E4203" s="39"/>
    </row>
    <row r="4204" spans="1:5" ht="15.6">
      <c r="A4204">
        <v>4149</v>
      </c>
      <c r="B4204" s="166">
        <v>70.873204733288958</v>
      </c>
      <c r="D4204" s="39"/>
      <c r="E4204" s="39"/>
    </row>
    <row r="4205" spans="1:5" ht="15.6">
      <c r="A4205">
        <v>4150</v>
      </c>
      <c r="B4205" s="166">
        <v>75.381678486872502</v>
      </c>
      <c r="D4205" s="39"/>
      <c r="E4205" s="39"/>
    </row>
    <row r="4206" spans="1:5" ht="15.6">
      <c r="A4206">
        <v>4151</v>
      </c>
      <c r="B4206" s="166">
        <v>78.156306446243946</v>
      </c>
      <c r="D4206" s="39"/>
      <c r="E4206" s="39"/>
    </row>
    <row r="4207" spans="1:5" ht="15.6">
      <c r="A4207">
        <v>4152</v>
      </c>
      <c r="B4207" s="166">
        <v>96.150824782055594</v>
      </c>
      <c r="D4207" s="39"/>
      <c r="E4207" s="39"/>
    </row>
    <row r="4208" spans="1:5" ht="15.6">
      <c r="A4208">
        <v>4153</v>
      </c>
      <c r="B4208" s="166">
        <v>77.878670909418631</v>
      </c>
      <c r="D4208" s="39"/>
      <c r="E4208" s="39"/>
    </row>
    <row r="4209" spans="1:5" ht="15.6">
      <c r="A4209">
        <v>4154</v>
      </c>
      <c r="B4209" s="166">
        <v>153.20291394782234</v>
      </c>
      <c r="D4209" s="39"/>
      <c r="E4209" s="39"/>
    </row>
    <row r="4210" spans="1:5" ht="15.6">
      <c r="A4210">
        <v>4155</v>
      </c>
      <c r="B4210" s="166">
        <v>89.193885710944841</v>
      </c>
      <c r="D4210" s="39"/>
      <c r="E4210" s="39"/>
    </row>
    <row r="4211" spans="1:5" ht="15.6">
      <c r="A4211">
        <v>4156</v>
      </c>
      <c r="B4211" s="166">
        <v>85.726020692775776</v>
      </c>
      <c r="D4211" s="39"/>
      <c r="E4211" s="39"/>
    </row>
    <row r="4212" spans="1:5" ht="15.6">
      <c r="A4212">
        <v>4157</v>
      </c>
      <c r="B4212" s="166">
        <v>112.7556945577509</v>
      </c>
      <c r="D4212" s="39"/>
      <c r="E4212" s="39"/>
    </row>
    <row r="4213" spans="1:5" ht="15.6">
      <c r="A4213">
        <v>4158</v>
      </c>
      <c r="B4213" s="166">
        <v>102.57826921137966</v>
      </c>
      <c r="D4213" s="39"/>
      <c r="E4213" s="39"/>
    </row>
    <row r="4214" spans="1:5" ht="15.6">
      <c r="A4214">
        <v>4159</v>
      </c>
      <c r="B4214" s="166">
        <v>99.604774050203034</v>
      </c>
      <c r="D4214" s="39"/>
      <c r="E4214" s="39"/>
    </row>
    <row r="4215" spans="1:5" ht="15.6">
      <c r="A4215">
        <v>4160</v>
      </c>
      <c r="B4215" s="166">
        <v>71.213863790194807</v>
      </c>
      <c r="D4215" s="39"/>
      <c r="E4215" s="39"/>
    </row>
    <row r="4216" spans="1:5" ht="15.6">
      <c r="A4216">
        <v>4161</v>
      </c>
      <c r="B4216" s="166">
        <v>66.571364898336867</v>
      </c>
      <c r="D4216" s="39"/>
      <c r="E4216" s="39"/>
    </row>
    <row r="4217" spans="1:5" ht="15.6">
      <c r="A4217">
        <v>4162</v>
      </c>
      <c r="B4217" s="166">
        <v>139.34095565831515</v>
      </c>
      <c r="D4217" s="39"/>
      <c r="E4217" s="39"/>
    </row>
    <row r="4218" spans="1:5" ht="15.6">
      <c r="A4218">
        <v>4163</v>
      </c>
      <c r="B4218" s="166">
        <v>156.68531394704607</v>
      </c>
      <c r="D4218" s="39"/>
      <c r="E4218" s="39"/>
    </row>
    <row r="4219" spans="1:5" ht="15.6">
      <c r="A4219">
        <v>4164</v>
      </c>
      <c r="B4219" s="166">
        <v>70.035731427537101</v>
      </c>
      <c r="D4219" s="39"/>
      <c r="E4219" s="39"/>
    </row>
    <row r="4220" spans="1:5" ht="15.6">
      <c r="A4220">
        <v>4165</v>
      </c>
      <c r="B4220" s="166">
        <v>71.255369019293852</v>
      </c>
      <c r="D4220" s="39"/>
      <c r="E4220" s="39"/>
    </row>
    <row r="4221" spans="1:5" ht="15.6">
      <c r="A4221">
        <v>4166</v>
      </c>
      <c r="B4221" s="166">
        <v>115.50508608868483</v>
      </c>
      <c r="D4221" s="39"/>
      <c r="E4221" s="39"/>
    </row>
    <row r="4222" spans="1:5" ht="15.6">
      <c r="A4222">
        <v>4167</v>
      </c>
      <c r="B4222" s="166">
        <v>75.569620003328353</v>
      </c>
      <c r="D4222" s="39"/>
      <c r="E4222" s="39"/>
    </row>
    <row r="4223" spans="1:5" ht="15.6">
      <c r="A4223">
        <v>4168</v>
      </c>
      <c r="B4223" s="166">
        <v>90.604148479298416</v>
      </c>
      <c r="D4223" s="39"/>
      <c r="E4223" s="39"/>
    </row>
    <row r="4224" spans="1:5" ht="15.6">
      <c r="A4224">
        <v>4169</v>
      </c>
      <c r="B4224" s="166">
        <v>122.0415745567913</v>
      </c>
      <c r="D4224" s="39"/>
      <c r="E4224" s="39"/>
    </row>
    <row r="4225" spans="1:5" ht="15.6">
      <c r="A4225">
        <v>4170</v>
      </c>
      <c r="B4225" s="166">
        <v>87.805041184068543</v>
      </c>
      <c r="D4225" s="39"/>
      <c r="E4225" s="39"/>
    </row>
    <row r="4226" spans="1:5" ht="15.6">
      <c r="A4226">
        <v>4171</v>
      </c>
      <c r="B4226" s="166">
        <v>91.637262111010784</v>
      </c>
      <c r="D4226" s="39"/>
      <c r="E4226" s="39"/>
    </row>
    <row r="4227" spans="1:5" ht="15.6">
      <c r="A4227">
        <v>4172</v>
      </c>
      <c r="B4227" s="166">
        <v>70.369812387965851</v>
      </c>
      <c r="D4227" s="39"/>
      <c r="E4227" s="39"/>
    </row>
    <row r="4228" spans="1:5" ht="15.6">
      <c r="A4228">
        <v>4173</v>
      </c>
      <c r="B4228" s="166">
        <v>76.56746587981867</v>
      </c>
      <c r="D4228" s="39"/>
      <c r="E4228" s="39"/>
    </row>
    <row r="4229" spans="1:5" ht="15.6">
      <c r="A4229">
        <v>4174</v>
      </c>
      <c r="B4229" s="166">
        <v>167.06249250392182</v>
      </c>
      <c r="D4229" s="39"/>
      <c r="E4229" s="39"/>
    </row>
    <row r="4230" spans="1:5" ht="15.6">
      <c r="A4230">
        <v>4175</v>
      </c>
      <c r="B4230" s="166">
        <v>69.151086758638172</v>
      </c>
      <c r="D4230" s="39"/>
      <c r="E4230" s="39"/>
    </row>
    <row r="4231" spans="1:5" ht="15.6">
      <c r="A4231">
        <v>4176</v>
      </c>
      <c r="B4231" s="166">
        <v>100.95991821670995</v>
      </c>
      <c r="D4231" s="39"/>
      <c r="E4231" s="39"/>
    </row>
    <row r="4232" spans="1:5" ht="15.6">
      <c r="A4232">
        <v>4177</v>
      </c>
      <c r="B4232" s="166">
        <v>71.010026384926803</v>
      </c>
      <c r="D4232" s="39"/>
      <c r="E4232" s="39"/>
    </row>
    <row r="4233" spans="1:5" ht="15.6">
      <c r="A4233">
        <v>4178</v>
      </c>
      <c r="B4233" s="166">
        <v>94.326132798995218</v>
      </c>
      <c r="D4233" s="39"/>
      <c r="E4233" s="39"/>
    </row>
    <row r="4234" spans="1:5" ht="15.6">
      <c r="A4234">
        <v>4179</v>
      </c>
      <c r="B4234" s="166">
        <v>73.429172514580699</v>
      </c>
      <c r="D4234" s="39"/>
      <c r="E4234" s="39"/>
    </row>
    <row r="4235" spans="1:5" ht="15.6">
      <c r="A4235">
        <v>4180</v>
      </c>
      <c r="B4235" s="166">
        <v>117.3242568217959</v>
      </c>
      <c r="D4235" s="39"/>
      <c r="E4235" s="39"/>
    </row>
    <row r="4236" spans="1:5" ht="15.6">
      <c r="A4236">
        <v>4181</v>
      </c>
      <c r="B4236" s="166">
        <v>137.95631745208917</v>
      </c>
      <c r="D4236" s="39"/>
      <c r="E4236" s="39"/>
    </row>
    <row r="4237" spans="1:5" ht="15.6">
      <c r="A4237">
        <v>4182</v>
      </c>
      <c r="B4237" s="166">
        <v>220.07449798710877</v>
      </c>
      <c r="D4237" s="39"/>
      <c r="E4237" s="39"/>
    </row>
    <row r="4238" spans="1:5" ht="15.6">
      <c r="A4238">
        <v>4183</v>
      </c>
      <c r="B4238" s="166">
        <v>108.50326186146059</v>
      </c>
      <c r="D4238" s="39"/>
      <c r="E4238" s="39"/>
    </row>
    <row r="4239" spans="1:5" ht="15.6">
      <c r="A4239">
        <v>4184</v>
      </c>
      <c r="B4239" s="166">
        <v>80.712670648250651</v>
      </c>
      <c r="D4239" s="39"/>
      <c r="E4239" s="39"/>
    </row>
    <row r="4240" spans="1:5" ht="15.6">
      <c r="A4240">
        <v>4185</v>
      </c>
      <c r="B4240" s="166">
        <v>97.658519271531659</v>
      </c>
      <c r="D4240" s="39"/>
      <c r="E4240" s="39"/>
    </row>
    <row r="4241" spans="1:5" ht="15.6">
      <c r="A4241">
        <v>4186</v>
      </c>
      <c r="B4241" s="166">
        <v>140.85692343660551</v>
      </c>
      <c r="D4241" s="39"/>
      <c r="E4241" s="39"/>
    </row>
    <row r="4242" spans="1:5" ht="15.6">
      <c r="A4242">
        <v>4187</v>
      </c>
      <c r="B4242" s="166">
        <v>155.99510928640271</v>
      </c>
      <c r="D4242" s="39"/>
      <c r="E4242" s="39"/>
    </row>
    <row r="4243" spans="1:5" ht="15.6">
      <c r="A4243">
        <v>4188</v>
      </c>
      <c r="B4243" s="166">
        <v>116.48731407230589</v>
      </c>
      <c r="D4243" s="39"/>
      <c r="E4243" s="39"/>
    </row>
    <row r="4244" spans="1:5" ht="15.6">
      <c r="A4244">
        <v>4189</v>
      </c>
      <c r="B4244" s="166">
        <v>124.42207529476089</v>
      </c>
      <c r="D4244" s="39"/>
      <c r="E4244" s="39"/>
    </row>
    <row r="4245" spans="1:5" ht="15.6">
      <c r="A4245">
        <v>4190</v>
      </c>
      <c r="B4245" s="166">
        <v>111.77599743289731</v>
      </c>
      <c r="D4245" s="39"/>
      <c r="E4245" s="39"/>
    </row>
    <row r="4246" spans="1:5" ht="15.6">
      <c r="A4246">
        <v>4191</v>
      </c>
      <c r="B4246" s="166">
        <v>107.09342817057217</v>
      </c>
      <c r="D4246" s="39"/>
      <c r="E4246" s="39"/>
    </row>
    <row r="4247" spans="1:5" ht="15.6">
      <c r="A4247">
        <v>4192</v>
      </c>
      <c r="B4247" s="166">
        <v>127.35276557560061</v>
      </c>
      <c r="D4247" s="39"/>
      <c r="E4247" s="39"/>
    </row>
    <row r="4248" spans="1:5" ht="15.6">
      <c r="A4248">
        <v>4193</v>
      </c>
      <c r="B4248" s="166">
        <v>179.41251168283023</v>
      </c>
      <c r="D4248" s="39"/>
      <c r="E4248" s="39"/>
    </row>
    <row r="4249" spans="1:5" ht="15.6">
      <c r="A4249">
        <v>4194</v>
      </c>
      <c r="B4249" s="166">
        <v>102.18135035494969</v>
      </c>
      <c r="D4249" s="39"/>
      <c r="E4249" s="39"/>
    </row>
    <row r="4250" spans="1:5" ht="15.6">
      <c r="A4250">
        <v>4195</v>
      </c>
      <c r="B4250" s="166">
        <v>144.03482852478442</v>
      </c>
      <c r="D4250" s="39"/>
      <c r="E4250" s="39"/>
    </row>
    <row r="4251" spans="1:5" ht="15.6">
      <c r="A4251">
        <v>4196</v>
      </c>
      <c r="B4251" s="166">
        <v>102.05848019416929</v>
      </c>
      <c r="D4251" s="39"/>
      <c r="E4251" s="39"/>
    </row>
    <row r="4252" spans="1:5" ht="15.6">
      <c r="A4252">
        <v>4197</v>
      </c>
      <c r="B4252" s="166">
        <v>138.14606022543396</v>
      </c>
      <c r="D4252" s="39"/>
      <c r="E4252" s="39"/>
    </row>
    <row r="4253" spans="1:5" ht="15.6">
      <c r="A4253">
        <v>4198</v>
      </c>
      <c r="B4253" s="166">
        <v>123.70294772496761</v>
      </c>
      <c r="D4253" s="39"/>
      <c r="E4253" s="39"/>
    </row>
    <row r="4254" spans="1:5" ht="15.6">
      <c r="A4254">
        <v>4199</v>
      </c>
      <c r="B4254" s="166">
        <v>80.570226656518599</v>
      </c>
      <c r="D4254" s="39"/>
      <c r="E4254" s="39"/>
    </row>
    <row r="4255" spans="1:5" ht="15.6">
      <c r="A4255">
        <v>4200</v>
      </c>
      <c r="B4255" s="166">
        <v>176.68337045958475</v>
      </c>
      <c r="D4255" s="39"/>
      <c r="E4255" s="39"/>
    </row>
    <row r="4256" spans="1:5" ht="15.6">
      <c r="A4256">
        <v>4201</v>
      </c>
      <c r="B4256" s="166">
        <v>90.269518559687043</v>
      </c>
      <c r="D4256" s="39"/>
      <c r="E4256" s="39"/>
    </row>
    <row r="4257" spans="1:5" ht="15.6">
      <c r="A4257">
        <v>4202</v>
      </c>
      <c r="B4257" s="166">
        <v>98.624772167603737</v>
      </c>
      <c r="D4257" s="39"/>
      <c r="E4257" s="39"/>
    </row>
    <row r="4258" spans="1:5" ht="15.6">
      <c r="A4258">
        <v>4203</v>
      </c>
      <c r="B4258" s="166">
        <v>59.31063255363096</v>
      </c>
      <c r="D4258" s="39"/>
      <c r="E4258" s="39"/>
    </row>
    <row r="4259" spans="1:5" ht="15.6">
      <c r="A4259">
        <v>4204</v>
      </c>
      <c r="B4259" s="166">
        <v>148.5893140099684</v>
      </c>
      <c r="D4259" s="39"/>
      <c r="E4259" s="39"/>
    </row>
    <row r="4260" spans="1:5" ht="15.6">
      <c r="A4260">
        <v>4205</v>
      </c>
      <c r="B4260" s="166">
        <v>69.886671747012159</v>
      </c>
      <c r="D4260" s="39"/>
      <c r="E4260" s="39"/>
    </row>
    <row r="4261" spans="1:5" ht="15.6">
      <c r="A4261">
        <v>4206</v>
      </c>
      <c r="B4261" s="166">
        <v>253.54783617999669</v>
      </c>
      <c r="D4261" s="39"/>
      <c r="E4261" s="39"/>
    </row>
    <row r="4262" spans="1:5" ht="15.6">
      <c r="A4262">
        <v>4207</v>
      </c>
      <c r="B4262" s="166">
        <v>98.94949687934114</v>
      </c>
      <c r="D4262" s="39"/>
      <c r="E4262" s="39"/>
    </row>
    <row r="4263" spans="1:5" ht="15.6">
      <c r="A4263">
        <v>4208</v>
      </c>
      <c r="B4263" s="166">
        <v>99.550467057700558</v>
      </c>
      <c r="D4263" s="39"/>
      <c r="E4263" s="39"/>
    </row>
    <row r="4264" spans="1:5" ht="15.6">
      <c r="A4264">
        <v>4209</v>
      </c>
      <c r="B4264" s="166">
        <v>125.46727247390896</v>
      </c>
      <c r="D4264" s="39"/>
      <c r="E4264" s="39"/>
    </row>
    <row r="4265" spans="1:5" ht="15.6">
      <c r="A4265">
        <v>4210</v>
      </c>
      <c r="B4265" s="166">
        <v>103.67563686958238</v>
      </c>
      <c r="D4265" s="39"/>
      <c r="E4265" s="39"/>
    </row>
    <row r="4266" spans="1:5" ht="15.6">
      <c r="A4266">
        <v>4211</v>
      </c>
      <c r="B4266" s="166">
        <v>106.34552877060727</v>
      </c>
      <c r="D4266" s="39"/>
      <c r="E4266" s="39"/>
    </row>
    <row r="4267" spans="1:5" ht="15.6">
      <c r="A4267">
        <v>4212</v>
      </c>
      <c r="B4267" s="166">
        <v>216.42892280181533</v>
      </c>
      <c r="D4267" s="39"/>
      <c r="E4267" s="39"/>
    </row>
    <row r="4268" spans="1:5" ht="15.6">
      <c r="A4268">
        <v>4213</v>
      </c>
      <c r="B4268" s="166">
        <v>131.27975098250326</v>
      </c>
      <c r="D4268" s="39"/>
      <c r="E4268" s="39"/>
    </row>
    <row r="4269" spans="1:5" ht="15.6">
      <c r="A4269">
        <v>4214</v>
      </c>
      <c r="B4269" s="166">
        <v>76.940967954512317</v>
      </c>
      <c r="D4269" s="39"/>
      <c r="E4269" s="39"/>
    </row>
    <row r="4270" spans="1:5" ht="15.6">
      <c r="A4270">
        <v>4215</v>
      </c>
      <c r="B4270" s="166">
        <v>163.1611110740061</v>
      </c>
      <c r="D4270" s="39"/>
      <c r="E4270" s="39"/>
    </row>
    <row r="4271" spans="1:5" ht="15.6">
      <c r="A4271">
        <v>4216</v>
      </c>
      <c r="B4271" s="166">
        <v>119.9591815818538</v>
      </c>
      <c r="D4271" s="39"/>
      <c r="E4271" s="39"/>
    </row>
    <row r="4272" spans="1:5" ht="15.6">
      <c r="A4272">
        <v>4217</v>
      </c>
      <c r="B4272" s="166">
        <v>103.43138641468629</v>
      </c>
      <c r="D4272" s="39"/>
      <c r="E4272" s="39"/>
    </row>
    <row r="4273" spans="1:5" ht="15.6">
      <c r="A4273">
        <v>4218</v>
      </c>
      <c r="B4273" s="166">
        <v>142.26372080842543</v>
      </c>
      <c r="D4273" s="39"/>
      <c r="E4273" s="39"/>
    </row>
    <row r="4274" spans="1:5" ht="15.6">
      <c r="A4274">
        <v>4219</v>
      </c>
      <c r="B4274" s="166">
        <v>121.82279067531896</v>
      </c>
      <c r="D4274" s="39"/>
      <c r="E4274" s="39"/>
    </row>
    <row r="4275" spans="1:5" ht="15.6">
      <c r="A4275">
        <v>4220</v>
      </c>
      <c r="B4275" s="166">
        <v>111.08847780187682</v>
      </c>
      <c r="D4275" s="39"/>
      <c r="E4275" s="39"/>
    </row>
    <row r="4276" spans="1:5" ht="15.6">
      <c r="A4276">
        <v>4221</v>
      </c>
      <c r="B4276" s="166">
        <v>74.786774276272837</v>
      </c>
      <c r="D4276" s="39"/>
      <c r="E4276" s="39"/>
    </row>
    <row r="4277" spans="1:5" ht="15.6">
      <c r="A4277">
        <v>4222</v>
      </c>
      <c r="B4277" s="166">
        <v>145.21606051940608</v>
      </c>
      <c r="D4277" s="39"/>
      <c r="E4277" s="39"/>
    </row>
    <row r="4278" spans="1:5" ht="15.6">
      <c r="A4278">
        <v>4223</v>
      </c>
      <c r="B4278" s="166">
        <v>119.66978007431855</v>
      </c>
      <c r="D4278" s="39"/>
      <c r="E4278" s="39"/>
    </row>
    <row r="4279" spans="1:5" ht="15.6">
      <c r="A4279">
        <v>4224</v>
      </c>
      <c r="B4279" s="166">
        <v>93.316024115602886</v>
      </c>
      <c r="D4279" s="39"/>
      <c r="E4279" s="39"/>
    </row>
    <row r="4280" spans="1:5" ht="15.6">
      <c r="A4280">
        <v>4225</v>
      </c>
      <c r="B4280" s="166">
        <v>157.69584469174791</v>
      </c>
      <c r="D4280" s="39"/>
      <c r="E4280" s="39"/>
    </row>
    <row r="4281" spans="1:5" ht="15.6">
      <c r="A4281">
        <v>4226</v>
      </c>
      <c r="B4281" s="166">
        <v>65.504363787356851</v>
      </c>
      <c r="D4281" s="39"/>
      <c r="E4281" s="39"/>
    </row>
    <row r="4282" spans="1:5" ht="15.6">
      <c r="A4282">
        <v>4227</v>
      </c>
      <c r="B4282" s="166">
        <v>108.151372475578</v>
      </c>
      <c r="D4282" s="39"/>
      <c r="E4282" s="39"/>
    </row>
    <row r="4283" spans="1:5" ht="15.6">
      <c r="A4283">
        <v>4228</v>
      </c>
      <c r="B4283" s="166">
        <v>89.896559334785678</v>
      </c>
      <c r="D4283" s="39"/>
      <c r="E4283" s="39"/>
    </row>
    <row r="4284" spans="1:5" ht="15.6">
      <c r="A4284">
        <v>4229</v>
      </c>
      <c r="B4284" s="166">
        <v>96.228830674287579</v>
      </c>
      <c r="D4284" s="39"/>
      <c r="E4284" s="39"/>
    </row>
    <row r="4285" spans="1:5" ht="15.6">
      <c r="A4285">
        <v>4230</v>
      </c>
      <c r="B4285" s="166">
        <v>103.9263427672756</v>
      </c>
      <c r="D4285" s="39"/>
      <c r="E4285" s="39"/>
    </row>
    <row r="4286" spans="1:5" ht="15.6">
      <c r="A4286">
        <v>4231</v>
      </c>
      <c r="B4286" s="166">
        <v>159.56487134743489</v>
      </c>
      <c r="D4286" s="39"/>
      <c r="E4286" s="39"/>
    </row>
    <row r="4287" spans="1:5" ht="15.6">
      <c r="A4287">
        <v>4232</v>
      </c>
      <c r="B4287" s="166">
        <v>71.967446382809939</v>
      </c>
      <c r="D4287" s="39"/>
      <c r="E4287" s="39"/>
    </row>
    <row r="4288" spans="1:5" ht="15.6">
      <c r="A4288">
        <v>4233</v>
      </c>
      <c r="B4288" s="166">
        <v>116.71173654848333</v>
      </c>
      <c r="D4288" s="39"/>
      <c r="E4288" s="39"/>
    </row>
    <row r="4289" spans="1:5" ht="15.6">
      <c r="A4289">
        <v>4234</v>
      </c>
      <c r="B4289" s="166">
        <v>78.348492290951057</v>
      </c>
      <c r="D4289" s="39"/>
      <c r="E4289" s="39"/>
    </row>
    <row r="4290" spans="1:5" ht="15.6">
      <c r="A4290">
        <v>4235</v>
      </c>
      <c r="B4290" s="166">
        <v>96.693872141758092</v>
      </c>
      <c r="D4290" s="39"/>
      <c r="E4290" s="39"/>
    </row>
    <row r="4291" spans="1:5" ht="15.6">
      <c r="A4291">
        <v>4236</v>
      </c>
      <c r="B4291" s="166">
        <v>155.51828040815531</v>
      </c>
      <c r="D4291" s="39"/>
      <c r="E4291" s="39"/>
    </row>
    <row r="4292" spans="1:5" ht="15.6">
      <c r="A4292">
        <v>4237</v>
      </c>
      <c r="B4292" s="166">
        <v>85.630582120570139</v>
      </c>
      <c r="D4292" s="39"/>
      <c r="E4292" s="39"/>
    </row>
    <row r="4293" spans="1:5" ht="15.6">
      <c r="A4293">
        <v>4238</v>
      </c>
      <c r="B4293" s="166">
        <v>103.8812746556786</v>
      </c>
      <c r="D4293" s="39"/>
      <c r="E4293" s="39"/>
    </row>
    <row r="4294" spans="1:5" ht="15.6">
      <c r="A4294">
        <v>4239</v>
      </c>
      <c r="B4294" s="166">
        <v>159.54627276685426</v>
      </c>
      <c r="D4294" s="39"/>
      <c r="E4294" s="39"/>
    </row>
    <row r="4295" spans="1:5" ht="15.6">
      <c r="A4295">
        <v>4240</v>
      </c>
      <c r="B4295" s="166">
        <v>175.74747653914017</v>
      </c>
      <c r="D4295" s="39"/>
      <c r="E4295" s="39"/>
    </row>
    <row r="4296" spans="1:5" ht="15.6">
      <c r="A4296">
        <v>4241</v>
      </c>
      <c r="B4296" s="166">
        <v>85.86926523022801</v>
      </c>
      <c r="D4296" s="39"/>
      <c r="E4296" s="39"/>
    </row>
    <row r="4297" spans="1:5" ht="15.6">
      <c r="A4297">
        <v>4242</v>
      </c>
      <c r="B4297" s="166">
        <v>99.623768003449996</v>
      </c>
      <c r="D4297" s="39"/>
      <c r="E4297" s="39"/>
    </row>
    <row r="4298" spans="1:5" ht="15.6">
      <c r="A4298">
        <v>4243</v>
      </c>
      <c r="B4298" s="166">
        <v>87.922957491759462</v>
      </c>
      <c r="D4298" s="39"/>
      <c r="E4298" s="39"/>
    </row>
    <row r="4299" spans="1:5" ht="15.6">
      <c r="A4299">
        <v>4244</v>
      </c>
      <c r="B4299" s="166">
        <v>87.937954199228713</v>
      </c>
      <c r="D4299" s="39"/>
      <c r="E4299" s="39"/>
    </row>
    <row r="4300" spans="1:5" ht="15.6">
      <c r="A4300">
        <v>4245</v>
      </c>
      <c r="B4300" s="166">
        <v>131.87884562003205</v>
      </c>
      <c r="D4300" s="39"/>
      <c r="E4300" s="39"/>
    </row>
    <row r="4301" spans="1:5" ht="15.6">
      <c r="A4301">
        <v>4246</v>
      </c>
      <c r="B4301" s="166">
        <v>59.233581435091011</v>
      </c>
      <c r="D4301" s="39"/>
      <c r="E4301" s="39"/>
    </row>
    <row r="4302" spans="1:5" ht="15.6">
      <c r="A4302">
        <v>4247</v>
      </c>
      <c r="B4302" s="166">
        <v>82.033605567439366</v>
      </c>
      <c r="D4302" s="39"/>
      <c r="E4302" s="39"/>
    </row>
    <row r="4303" spans="1:5" ht="15.6">
      <c r="A4303">
        <v>4248</v>
      </c>
      <c r="B4303" s="166">
        <v>97.227242585152709</v>
      </c>
      <c r="D4303" s="39"/>
      <c r="E4303" s="39"/>
    </row>
    <row r="4304" spans="1:5" ht="15.6">
      <c r="A4304">
        <v>4249</v>
      </c>
      <c r="B4304" s="166">
        <v>65.385995365504982</v>
      </c>
      <c r="D4304" s="39"/>
      <c r="E4304" s="39"/>
    </row>
    <row r="4305" spans="1:5" ht="15.6">
      <c r="A4305">
        <v>4250</v>
      </c>
      <c r="B4305" s="166">
        <v>162.9310793676359</v>
      </c>
      <c r="D4305" s="39"/>
      <c r="E4305" s="39"/>
    </row>
    <row r="4306" spans="1:5" ht="15.6">
      <c r="A4306">
        <v>4251</v>
      </c>
      <c r="B4306" s="166">
        <v>90.246032779009099</v>
      </c>
      <c r="D4306" s="39"/>
      <c r="E4306" s="39"/>
    </row>
    <row r="4307" spans="1:5" ht="15.6">
      <c r="A4307">
        <v>4252</v>
      </c>
      <c r="B4307" s="166">
        <v>177.33152461999856</v>
      </c>
      <c r="D4307" s="39"/>
      <c r="E4307" s="39"/>
    </row>
    <row r="4308" spans="1:5" ht="15.6">
      <c r="A4308">
        <v>4253</v>
      </c>
      <c r="B4308" s="166">
        <v>194.81350595237214</v>
      </c>
      <c r="D4308" s="39"/>
      <c r="E4308" s="39"/>
    </row>
    <row r="4309" spans="1:5" ht="15.6">
      <c r="A4309">
        <v>4254</v>
      </c>
      <c r="B4309" s="166">
        <v>65.457992078919574</v>
      </c>
      <c r="D4309" s="39"/>
      <c r="E4309" s="39"/>
    </row>
    <row r="4310" spans="1:5" ht="15.6">
      <c r="A4310">
        <v>4255</v>
      </c>
      <c r="B4310" s="166">
        <v>193.66083961917096</v>
      </c>
      <c r="D4310" s="39"/>
      <c r="E4310" s="39"/>
    </row>
    <row r="4311" spans="1:5" ht="15.6">
      <c r="A4311">
        <v>4256</v>
      </c>
      <c r="B4311" s="166">
        <v>113.95394691226296</v>
      </c>
      <c r="D4311" s="39"/>
      <c r="E4311" s="39"/>
    </row>
    <row r="4312" spans="1:5" ht="15.6">
      <c r="A4312">
        <v>4257</v>
      </c>
      <c r="B4312" s="166">
        <v>121.62835864794474</v>
      </c>
      <c r="D4312" s="39"/>
      <c r="E4312" s="39"/>
    </row>
    <row r="4313" spans="1:5" ht="15.6">
      <c r="A4313">
        <v>4258</v>
      </c>
      <c r="B4313" s="166">
        <v>131.46575223550323</v>
      </c>
      <c r="D4313" s="39"/>
      <c r="E4313" s="39"/>
    </row>
    <row r="4314" spans="1:5" ht="15.6">
      <c r="A4314">
        <v>4259</v>
      </c>
      <c r="B4314" s="166">
        <v>96.253373318160669</v>
      </c>
      <c r="D4314" s="39"/>
      <c r="E4314" s="39"/>
    </row>
    <row r="4315" spans="1:5" ht="15.6">
      <c r="A4315">
        <v>4260</v>
      </c>
      <c r="B4315" s="166">
        <v>105.39588432795288</v>
      </c>
      <c r="D4315" s="39"/>
      <c r="E4315" s="39"/>
    </row>
    <row r="4316" spans="1:5" ht="15.6">
      <c r="A4316">
        <v>4261</v>
      </c>
      <c r="B4316" s="166">
        <v>81.984539415517887</v>
      </c>
      <c r="D4316" s="39"/>
      <c r="E4316" s="39"/>
    </row>
    <row r="4317" spans="1:5" ht="15.6">
      <c r="A4317">
        <v>4262</v>
      </c>
      <c r="B4317" s="166">
        <v>114.069574779386</v>
      </c>
      <c r="D4317" s="39"/>
      <c r="E4317" s="39"/>
    </row>
    <row r="4318" spans="1:5" ht="15.6">
      <c r="A4318">
        <v>4263</v>
      </c>
      <c r="B4318" s="166">
        <v>129.44532157592545</v>
      </c>
      <c r="D4318" s="39"/>
      <c r="E4318" s="39"/>
    </row>
    <row r="4319" spans="1:5" ht="15.6">
      <c r="A4319">
        <v>4264</v>
      </c>
      <c r="B4319" s="166">
        <v>80.09946275845148</v>
      </c>
      <c r="D4319" s="39"/>
      <c r="E4319" s="39"/>
    </row>
    <row r="4320" spans="1:5" ht="15.6">
      <c r="A4320">
        <v>4265</v>
      </c>
      <c r="B4320" s="166">
        <v>189.83116506317987</v>
      </c>
      <c r="D4320" s="39"/>
      <c r="E4320" s="39"/>
    </row>
    <row r="4321" spans="1:5" ht="15.6">
      <c r="A4321">
        <v>4266</v>
      </c>
      <c r="B4321" s="166">
        <v>118.52698689748749</v>
      </c>
      <c r="D4321" s="39"/>
      <c r="E4321" s="39"/>
    </row>
    <row r="4322" spans="1:5" ht="15.6">
      <c r="A4322">
        <v>4267</v>
      </c>
      <c r="B4322" s="166">
        <v>132.24060243727843</v>
      </c>
      <c r="D4322" s="39"/>
      <c r="E4322" s="39"/>
    </row>
    <row r="4323" spans="1:5" ht="15.6">
      <c r="A4323">
        <v>4268</v>
      </c>
      <c r="B4323" s="166">
        <v>111.37112348926948</v>
      </c>
      <c r="D4323" s="39"/>
      <c r="E4323" s="39"/>
    </row>
    <row r="4324" spans="1:5" ht="15.6">
      <c r="A4324">
        <v>4269</v>
      </c>
      <c r="B4324" s="166">
        <v>143.54188921101928</v>
      </c>
      <c r="D4324" s="39"/>
      <c r="E4324" s="39"/>
    </row>
    <row r="4325" spans="1:5" ht="15.6">
      <c r="A4325">
        <v>4270</v>
      </c>
      <c r="B4325" s="166">
        <v>144.98867398020965</v>
      </c>
      <c r="D4325" s="39"/>
      <c r="E4325" s="39"/>
    </row>
    <row r="4326" spans="1:5" ht="15.6">
      <c r="A4326">
        <v>4271</v>
      </c>
      <c r="B4326" s="166">
        <v>96.854634656778941</v>
      </c>
      <c r="D4326" s="39"/>
      <c r="E4326" s="39"/>
    </row>
    <row r="4327" spans="1:5" ht="15.6">
      <c r="A4327">
        <v>4272</v>
      </c>
      <c r="B4327" s="166">
        <v>94.504289662121167</v>
      </c>
      <c r="D4327" s="39"/>
      <c r="E4327" s="39"/>
    </row>
    <row r="4328" spans="1:5" ht="15.6">
      <c r="A4328">
        <v>4273</v>
      </c>
      <c r="B4328" s="166">
        <v>78.703934548877484</v>
      </c>
      <c r="D4328" s="39"/>
      <c r="E4328" s="39"/>
    </row>
    <row r="4329" spans="1:5" ht="15.6">
      <c r="A4329">
        <v>4274</v>
      </c>
      <c r="B4329" s="166">
        <v>134.17759881495243</v>
      </c>
      <c r="D4329" s="39"/>
      <c r="E4329" s="39"/>
    </row>
    <row r="4330" spans="1:5" ht="15.6">
      <c r="A4330">
        <v>4275</v>
      </c>
      <c r="B4330" s="166">
        <v>104.48167278316829</v>
      </c>
      <c r="D4330" s="39"/>
      <c r="E4330" s="39"/>
    </row>
    <row r="4331" spans="1:5" ht="15.6">
      <c r="A4331">
        <v>4276</v>
      </c>
      <c r="B4331" s="166">
        <v>94.899024669259958</v>
      </c>
      <c r="D4331" s="39"/>
      <c r="E4331" s="39"/>
    </row>
    <row r="4332" spans="1:5" ht="15.6">
      <c r="A4332">
        <v>4277</v>
      </c>
      <c r="B4332" s="166">
        <v>62.194058800541107</v>
      </c>
      <c r="D4332" s="39"/>
      <c r="E4332" s="39"/>
    </row>
    <row r="4333" spans="1:5" ht="15.6">
      <c r="A4333">
        <v>4278</v>
      </c>
      <c r="B4333" s="166">
        <v>51.566637623684947</v>
      </c>
      <c r="D4333" s="39"/>
      <c r="E4333" s="39"/>
    </row>
    <row r="4334" spans="1:5" ht="15.6">
      <c r="A4334">
        <v>4279</v>
      </c>
      <c r="B4334" s="166">
        <v>67.68641516154382</v>
      </c>
      <c r="D4334" s="39"/>
      <c r="E4334" s="39"/>
    </row>
    <row r="4335" spans="1:5" ht="15.6">
      <c r="A4335">
        <v>4280</v>
      </c>
      <c r="B4335" s="166">
        <v>131.67885613312413</v>
      </c>
      <c r="D4335" s="39"/>
      <c r="E4335" s="39"/>
    </row>
    <row r="4336" spans="1:5" ht="15.6">
      <c r="A4336">
        <v>4281</v>
      </c>
      <c r="B4336" s="166">
        <v>57.695294913706945</v>
      </c>
      <c r="D4336" s="39"/>
      <c r="E4336" s="39"/>
    </row>
    <row r="4337" spans="1:5" ht="15.6">
      <c r="A4337">
        <v>4282</v>
      </c>
      <c r="B4337" s="166">
        <v>115.78797609395326</v>
      </c>
      <c r="D4337" s="39"/>
      <c r="E4337" s="39"/>
    </row>
    <row r="4338" spans="1:5" ht="15.6">
      <c r="A4338">
        <v>4283</v>
      </c>
      <c r="B4338" s="166">
        <v>148.95988222482191</v>
      </c>
      <c r="D4338" s="39"/>
      <c r="E4338" s="39"/>
    </row>
    <row r="4339" spans="1:5" ht="15.6">
      <c r="A4339">
        <v>4284</v>
      </c>
      <c r="B4339" s="166">
        <v>70.365197247539768</v>
      </c>
      <c r="D4339" s="39"/>
      <c r="E4339" s="39"/>
    </row>
    <row r="4340" spans="1:5" ht="15.6">
      <c r="A4340">
        <v>4285</v>
      </c>
      <c r="B4340" s="166">
        <v>82.083216388249738</v>
      </c>
      <c r="D4340" s="39"/>
      <c r="E4340" s="39"/>
    </row>
    <row r="4341" spans="1:5" ht="15.6">
      <c r="A4341">
        <v>4286</v>
      </c>
      <c r="B4341" s="166">
        <v>66.643836377589295</v>
      </c>
      <c r="D4341" s="39"/>
      <c r="E4341" s="39"/>
    </row>
    <row r="4342" spans="1:5" ht="15.6">
      <c r="A4342">
        <v>4287</v>
      </c>
      <c r="B4342" s="166">
        <v>216.80765124716024</v>
      </c>
      <c r="D4342" s="39"/>
      <c r="E4342" s="39"/>
    </row>
    <row r="4343" spans="1:5" ht="15.6">
      <c r="A4343">
        <v>4288</v>
      </c>
      <c r="B4343" s="166">
        <v>170.07758082721509</v>
      </c>
      <c r="D4343" s="39"/>
      <c r="E4343" s="39"/>
    </row>
    <row r="4344" spans="1:5" ht="15.6">
      <c r="A4344">
        <v>4289</v>
      </c>
      <c r="B4344" s="166">
        <v>121.18037173638403</v>
      </c>
      <c r="D4344" s="39"/>
      <c r="E4344" s="39"/>
    </row>
    <row r="4345" spans="1:5" ht="15.6">
      <c r="A4345">
        <v>4290</v>
      </c>
      <c r="B4345" s="166">
        <v>105.64783734777058</v>
      </c>
      <c r="D4345" s="39"/>
      <c r="E4345" s="39"/>
    </row>
    <row r="4346" spans="1:5" ht="15.6">
      <c r="A4346">
        <v>4291</v>
      </c>
      <c r="B4346" s="166">
        <v>58.126683757439999</v>
      </c>
      <c r="D4346" s="39"/>
      <c r="E4346" s="39"/>
    </row>
    <row r="4347" spans="1:5" ht="15.6">
      <c r="A4347">
        <v>4292</v>
      </c>
      <c r="B4347" s="166">
        <v>75.442243783896913</v>
      </c>
      <c r="D4347" s="39"/>
      <c r="E4347" s="39"/>
    </row>
    <row r="4348" spans="1:5" ht="15.6">
      <c r="A4348">
        <v>4293</v>
      </c>
      <c r="B4348" s="166">
        <v>122.24224661025194</v>
      </c>
      <c r="D4348" s="39"/>
      <c r="E4348" s="39"/>
    </row>
    <row r="4349" spans="1:5" ht="15.6">
      <c r="A4349">
        <v>4294</v>
      </c>
      <c r="B4349" s="166">
        <v>79.457692519220529</v>
      </c>
      <c r="D4349" s="39"/>
      <c r="E4349" s="39"/>
    </row>
    <row r="4350" spans="1:5" ht="15.6">
      <c r="A4350">
        <v>4295</v>
      </c>
      <c r="B4350" s="166">
        <v>93.562104072646889</v>
      </c>
      <c r="D4350" s="39"/>
      <c r="E4350" s="39"/>
    </row>
    <row r="4351" spans="1:5" ht="15.6">
      <c r="A4351">
        <v>4296</v>
      </c>
      <c r="B4351" s="166">
        <v>58.920762077498019</v>
      </c>
      <c r="D4351" s="39"/>
      <c r="E4351" s="39"/>
    </row>
    <row r="4352" spans="1:5" ht="15.6">
      <c r="A4352">
        <v>4297</v>
      </c>
      <c r="B4352" s="166">
        <v>145.86938603301445</v>
      </c>
      <c r="D4352" s="39"/>
      <c r="E4352" s="39"/>
    </row>
    <row r="4353" spans="1:5" ht="15.6">
      <c r="A4353">
        <v>4298</v>
      </c>
      <c r="B4353" s="166">
        <v>83.311228789130269</v>
      </c>
      <c r="D4353" s="39"/>
      <c r="E4353" s="39"/>
    </row>
    <row r="4354" spans="1:5" ht="15.6">
      <c r="A4354">
        <v>4299</v>
      </c>
      <c r="B4354" s="166">
        <v>74.494675732974756</v>
      </c>
      <c r="D4354" s="39"/>
      <c r="E4354" s="39"/>
    </row>
    <row r="4355" spans="1:5" ht="15.6">
      <c r="A4355">
        <v>4300</v>
      </c>
      <c r="B4355" s="166">
        <v>122.43262924376839</v>
      </c>
      <c r="D4355" s="39"/>
      <c r="E4355" s="39"/>
    </row>
    <row r="4356" spans="1:5" ht="15.6">
      <c r="A4356">
        <v>4301</v>
      </c>
      <c r="B4356" s="166">
        <v>150.29905237729136</v>
      </c>
      <c r="D4356" s="39"/>
      <c r="E4356" s="39"/>
    </row>
    <row r="4357" spans="1:5" ht="15.6">
      <c r="A4357">
        <v>4302</v>
      </c>
      <c r="B4357" s="166">
        <v>124.71509633098276</v>
      </c>
      <c r="D4357" s="39"/>
      <c r="E4357" s="39"/>
    </row>
    <row r="4358" spans="1:5" ht="15.6">
      <c r="A4358">
        <v>4303</v>
      </c>
      <c r="B4358" s="166">
        <v>65.581361970127162</v>
      </c>
      <c r="D4358" s="39"/>
      <c r="E4358" s="39"/>
    </row>
    <row r="4359" spans="1:5" ht="15.6">
      <c r="A4359">
        <v>4304</v>
      </c>
      <c r="B4359" s="166">
        <v>94.085408393124183</v>
      </c>
      <c r="D4359" s="39"/>
      <c r="E4359" s="39"/>
    </row>
    <row r="4360" spans="1:5" ht="15.6">
      <c r="A4360">
        <v>4305</v>
      </c>
      <c r="B4360" s="166">
        <v>126.56307887463419</v>
      </c>
      <c r="D4360" s="39"/>
      <c r="E4360" s="39"/>
    </row>
    <row r="4361" spans="1:5" ht="15.6">
      <c r="A4361">
        <v>4306</v>
      </c>
      <c r="B4361" s="166">
        <v>105.62945883220927</v>
      </c>
      <c r="D4361" s="39"/>
      <c r="E4361" s="39"/>
    </row>
    <row r="4362" spans="1:5" ht="15.6">
      <c r="A4362">
        <v>4307</v>
      </c>
      <c r="B4362" s="166">
        <v>63.407714787063142</v>
      </c>
      <c r="D4362" s="39"/>
      <c r="E4362" s="39"/>
    </row>
    <row r="4363" spans="1:5" ht="15.6">
      <c r="A4363">
        <v>4308</v>
      </c>
      <c r="B4363" s="166">
        <v>200.5703632981652</v>
      </c>
      <c r="D4363" s="39"/>
      <c r="E4363" s="39"/>
    </row>
    <row r="4364" spans="1:5" ht="15.6">
      <c r="A4364">
        <v>4309</v>
      </c>
      <c r="B4364" s="166">
        <v>88.945453869518118</v>
      </c>
      <c r="D4364" s="39"/>
      <c r="E4364" s="39"/>
    </row>
    <row r="4365" spans="1:5" ht="15.6">
      <c r="A4365">
        <v>4310</v>
      </c>
      <c r="B4365" s="166">
        <v>136.85049020788983</v>
      </c>
      <c r="D4365" s="39"/>
      <c r="E4365" s="39"/>
    </row>
    <row r="4366" spans="1:5" ht="15.6">
      <c r="A4366">
        <v>4311</v>
      </c>
      <c r="B4366" s="166">
        <v>85.251645327887431</v>
      </c>
      <c r="D4366" s="39"/>
      <c r="E4366" s="39"/>
    </row>
    <row r="4367" spans="1:5" ht="15.6">
      <c r="A4367">
        <v>4312</v>
      </c>
      <c r="B4367" s="166">
        <v>96.011689062251605</v>
      </c>
      <c r="D4367" s="39"/>
      <c r="E4367" s="39"/>
    </row>
    <row r="4368" spans="1:5" ht="15.6">
      <c r="A4368">
        <v>4313</v>
      </c>
      <c r="B4368" s="166">
        <v>212.95135584372326</v>
      </c>
      <c r="D4368" s="39"/>
      <c r="E4368" s="39"/>
    </row>
    <row r="4369" spans="1:5" ht="15.6">
      <c r="A4369">
        <v>4314</v>
      </c>
      <c r="B4369" s="166">
        <v>143.5263275672495</v>
      </c>
      <c r="D4369" s="39"/>
      <c r="E4369" s="39"/>
    </row>
    <row r="4370" spans="1:5" ht="15.6">
      <c r="A4370">
        <v>4315</v>
      </c>
      <c r="B4370" s="166">
        <v>152.8300758511233</v>
      </c>
      <c r="D4370" s="39"/>
      <c r="E4370" s="39"/>
    </row>
    <row r="4371" spans="1:5" ht="15.6">
      <c r="A4371">
        <v>4316</v>
      </c>
      <c r="B4371" s="166">
        <v>139.60311386363404</v>
      </c>
      <c r="D4371" s="39"/>
      <c r="E4371" s="39"/>
    </row>
    <row r="4372" spans="1:5" ht="15.6">
      <c r="A4372">
        <v>4317</v>
      </c>
      <c r="B4372" s="166">
        <v>97.914561873779505</v>
      </c>
      <c r="D4372" s="39"/>
      <c r="E4372" s="39"/>
    </row>
    <row r="4373" spans="1:5" ht="15.6">
      <c r="A4373">
        <v>4318</v>
      </c>
      <c r="B4373" s="166">
        <v>59.610885025758577</v>
      </c>
      <c r="D4373" s="39"/>
      <c r="E4373" s="39"/>
    </row>
    <row r="4374" spans="1:5" ht="15.6">
      <c r="A4374">
        <v>4319</v>
      </c>
      <c r="B4374" s="166">
        <v>172.42744339369284</v>
      </c>
      <c r="D4374" s="39"/>
      <c r="E4374" s="39"/>
    </row>
    <row r="4375" spans="1:5" ht="15.6">
      <c r="A4375">
        <v>4320</v>
      </c>
      <c r="B4375" s="166">
        <v>69.229451741519142</v>
      </c>
      <c r="D4375" s="39"/>
      <c r="E4375" s="39"/>
    </row>
    <row r="4376" spans="1:5" ht="15.6">
      <c r="A4376">
        <v>4321</v>
      </c>
      <c r="B4376" s="166">
        <v>116.05511795755106</v>
      </c>
      <c r="D4376" s="39"/>
      <c r="E4376" s="39"/>
    </row>
    <row r="4377" spans="1:5" ht="15.6">
      <c r="A4377">
        <v>4322</v>
      </c>
      <c r="B4377" s="166">
        <v>108.32238189787824</v>
      </c>
      <c r="D4377" s="39"/>
      <c r="E4377" s="39"/>
    </row>
    <row r="4378" spans="1:5" ht="15.6">
      <c r="A4378">
        <v>4323</v>
      </c>
      <c r="B4378" s="166">
        <v>107.96872379838175</v>
      </c>
      <c r="D4378" s="39"/>
      <c r="E4378" s="39"/>
    </row>
    <row r="4379" spans="1:5" ht="15.6">
      <c r="A4379">
        <v>4324</v>
      </c>
      <c r="B4379" s="166">
        <v>111.21644080541783</v>
      </c>
      <c r="D4379" s="39"/>
      <c r="E4379" s="39"/>
    </row>
    <row r="4380" spans="1:5" ht="15.6">
      <c r="A4380">
        <v>4325</v>
      </c>
      <c r="B4380" s="166">
        <v>101.81938414512958</v>
      </c>
      <c r="D4380" s="39"/>
      <c r="E4380" s="39"/>
    </row>
    <row r="4381" spans="1:5" ht="15.6">
      <c r="A4381">
        <v>4326</v>
      </c>
      <c r="B4381" s="166">
        <v>139.31189254965693</v>
      </c>
      <c r="D4381" s="39"/>
      <c r="E4381" s="39"/>
    </row>
    <row r="4382" spans="1:5" ht="15.6">
      <c r="A4382">
        <v>4327</v>
      </c>
      <c r="B4382" s="166">
        <v>245.1760803111228</v>
      </c>
      <c r="D4382" s="39"/>
      <c r="E4382" s="39"/>
    </row>
    <row r="4383" spans="1:5" ht="15.6">
      <c r="A4383">
        <v>4328</v>
      </c>
      <c r="B4383" s="166">
        <v>108.92990347804628</v>
      </c>
      <c r="D4383" s="39"/>
      <c r="E4383" s="39"/>
    </row>
    <row r="4384" spans="1:5" ht="15.6">
      <c r="A4384">
        <v>4329</v>
      </c>
      <c r="B4384" s="166">
        <v>90.893871002366836</v>
      </c>
      <c r="D4384" s="39"/>
      <c r="E4384" s="39"/>
    </row>
    <row r="4385" spans="1:5" ht="15.6">
      <c r="A4385">
        <v>4330</v>
      </c>
      <c r="B4385" s="166">
        <v>138.24820537118669</v>
      </c>
      <c r="D4385" s="39"/>
      <c r="E4385" s="39"/>
    </row>
    <row r="4386" spans="1:5" ht="15.6">
      <c r="A4386">
        <v>4331</v>
      </c>
      <c r="B4386" s="166">
        <v>101.8488140009738</v>
      </c>
      <c r="D4386" s="39"/>
      <c r="E4386" s="39"/>
    </row>
    <row r="4387" spans="1:5" ht="15.6">
      <c r="A4387">
        <v>4332</v>
      </c>
      <c r="B4387" s="166">
        <v>243.65555190495695</v>
      </c>
      <c r="D4387" s="39"/>
      <c r="E4387" s="39"/>
    </row>
    <row r="4388" spans="1:5" ht="15.6">
      <c r="A4388">
        <v>4333</v>
      </c>
      <c r="B4388" s="166">
        <v>60.626852763144598</v>
      </c>
      <c r="D4388" s="39"/>
      <c r="E4388" s="39"/>
    </row>
    <row r="4389" spans="1:5" ht="15.6">
      <c r="A4389">
        <v>4334</v>
      </c>
      <c r="B4389" s="166">
        <v>159.29113336099331</v>
      </c>
      <c r="D4389" s="39"/>
      <c r="E4389" s="39"/>
    </row>
    <row r="4390" spans="1:5" ht="15.6">
      <c r="A4390">
        <v>4335</v>
      </c>
      <c r="B4390" s="166">
        <v>60.10772827238506</v>
      </c>
      <c r="D4390" s="39"/>
      <c r="E4390" s="39"/>
    </row>
    <row r="4391" spans="1:5" ht="15.6">
      <c r="A4391">
        <v>4336</v>
      </c>
      <c r="B4391" s="166">
        <v>54.36457002742722</v>
      </c>
      <c r="D4391" s="39"/>
      <c r="E4391" s="39"/>
    </row>
    <row r="4392" spans="1:5" ht="15.6">
      <c r="A4392">
        <v>4337</v>
      </c>
      <c r="B4392" s="166">
        <v>118.51228005967712</v>
      </c>
      <c r="D4392" s="39"/>
      <c r="E4392" s="39"/>
    </row>
    <row r="4393" spans="1:5" ht="15.6">
      <c r="A4393">
        <v>4338</v>
      </c>
      <c r="B4393" s="166">
        <v>62.009548975381058</v>
      </c>
      <c r="D4393" s="39"/>
      <c r="E4393" s="39"/>
    </row>
    <row r="4394" spans="1:5" ht="15.6">
      <c r="A4394">
        <v>4339</v>
      </c>
      <c r="B4394" s="166">
        <v>143.93812570427195</v>
      </c>
      <c r="D4394" s="39"/>
      <c r="E4394" s="39"/>
    </row>
    <row r="4395" spans="1:5" ht="15.6">
      <c r="A4395">
        <v>4340</v>
      </c>
      <c r="B4395" s="166">
        <v>146.72890779859657</v>
      </c>
      <c r="D4395" s="39"/>
      <c r="E4395" s="39"/>
    </row>
    <row r="4396" spans="1:5" ht="15.6">
      <c r="A4396">
        <v>4341</v>
      </c>
      <c r="B4396" s="166">
        <v>148.90641154113302</v>
      </c>
      <c r="D4396" s="39"/>
      <c r="E4396" s="39"/>
    </row>
    <row r="4397" spans="1:5" ht="15.6">
      <c r="A4397">
        <v>4342</v>
      </c>
      <c r="B4397" s="166">
        <v>109.79279519042596</v>
      </c>
      <c r="D4397" s="39"/>
      <c r="E4397" s="39"/>
    </row>
    <row r="4398" spans="1:5" ht="15.6">
      <c r="A4398">
        <v>4343</v>
      </c>
      <c r="B4398" s="166">
        <v>86.586291727734761</v>
      </c>
      <c r="D4398" s="39"/>
      <c r="E4398" s="39"/>
    </row>
    <row r="4399" spans="1:5" ht="15.6">
      <c r="A4399">
        <v>4344</v>
      </c>
      <c r="B4399" s="166">
        <v>86.045449359560081</v>
      </c>
      <c r="D4399" s="39"/>
      <c r="E4399" s="39"/>
    </row>
    <row r="4400" spans="1:5" ht="15.6">
      <c r="A4400">
        <v>4345</v>
      </c>
      <c r="B4400" s="166">
        <v>93.68232730176085</v>
      </c>
      <c r="D4400" s="39"/>
      <c r="E4400" s="39"/>
    </row>
    <row r="4401" spans="1:5" ht="15.6">
      <c r="A4401">
        <v>4346</v>
      </c>
      <c r="B4401" s="166">
        <v>87.33021721776521</v>
      </c>
      <c r="D4401" s="39"/>
      <c r="E4401" s="39"/>
    </row>
    <row r="4402" spans="1:5" ht="15.6">
      <c r="A4402">
        <v>4347</v>
      </c>
      <c r="B4402" s="166">
        <v>59.187284850844264</v>
      </c>
      <c r="D4402" s="39"/>
      <c r="E4402" s="39"/>
    </row>
    <row r="4403" spans="1:5" ht="15.6">
      <c r="A4403">
        <v>4348</v>
      </c>
      <c r="B4403" s="166">
        <v>124.52444109825558</v>
      </c>
      <c r="D4403" s="39"/>
      <c r="E4403" s="39"/>
    </row>
    <row r="4404" spans="1:5" ht="15.6">
      <c r="A4404">
        <v>4349</v>
      </c>
      <c r="B4404" s="166">
        <v>134.40628770391712</v>
      </c>
      <c r="D4404" s="39"/>
      <c r="E4404" s="39"/>
    </row>
    <row r="4405" spans="1:5" ht="15.6">
      <c r="A4405">
        <v>4350</v>
      </c>
      <c r="B4405" s="166">
        <v>66.963435023495364</v>
      </c>
      <c r="D4405" s="39"/>
      <c r="E4405" s="39"/>
    </row>
    <row r="4406" spans="1:5" ht="15.6">
      <c r="A4406">
        <v>4351</v>
      </c>
      <c r="B4406" s="166">
        <v>113.53249588614814</v>
      </c>
      <c r="D4406" s="39"/>
      <c r="E4406" s="39"/>
    </row>
    <row r="4407" spans="1:5" ht="15.6">
      <c r="A4407">
        <v>4352</v>
      </c>
      <c r="B4407" s="166">
        <v>73.517517380381634</v>
      </c>
      <c r="D4407" s="39"/>
      <c r="E4407" s="39"/>
    </row>
    <row r="4408" spans="1:5" ht="15.6">
      <c r="A4408">
        <v>4353</v>
      </c>
      <c r="B4408" s="166">
        <v>184.46159919110372</v>
      </c>
      <c r="D4408" s="39"/>
      <c r="E4408" s="39"/>
    </row>
    <row r="4409" spans="1:5" ht="15.6">
      <c r="A4409">
        <v>4354</v>
      </c>
      <c r="B4409" s="166">
        <v>111.09082091887723</v>
      </c>
      <c r="D4409" s="39"/>
      <c r="E4409" s="39"/>
    </row>
    <row r="4410" spans="1:5" ht="15.6">
      <c r="A4410">
        <v>4355</v>
      </c>
      <c r="B4410" s="166">
        <v>77.913673314534577</v>
      </c>
      <c r="D4410" s="39"/>
      <c r="E4410" s="39"/>
    </row>
    <row r="4411" spans="1:5" ht="15.6">
      <c r="A4411">
        <v>4356</v>
      </c>
      <c r="B4411" s="166">
        <v>126.80872632573883</v>
      </c>
      <c r="D4411" s="39"/>
      <c r="E4411" s="39"/>
    </row>
    <row r="4412" spans="1:5" ht="15.6">
      <c r="A4412">
        <v>4357</v>
      </c>
      <c r="B4412" s="166">
        <v>265.12127308215054</v>
      </c>
      <c r="D4412" s="39"/>
      <c r="E4412" s="39"/>
    </row>
    <row r="4413" spans="1:5" ht="15.6">
      <c r="A4413">
        <v>4358</v>
      </c>
      <c r="B4413" s="166">
        <v>228.75158634473124</v>
      </c>
      <c r="D4413" s="39"/>
      <c r="E4413" s="39"/>
    </row>
    <row r="4414" spans="1:5" ht="15.6">
      <c r="A4414">
        <v>4359</v>
      </c>
      <c r="B4414" s="166">
        <v>65.783967218623332</v>
      </c>
      <c r="D4414" s="39"/>
      <c r="E4414" s="39"/>
    </row>
    <row r="4415" spans="1:5" ht="15.6">
      <c r="A4415">
        <v>4360</v>
      </c>
      <c r="B4415" s="166">
        <v>147.05791087348538</v>
      </c>
      <c r="D4415" s="39"/>
      <c r="E4415" s="39"/>
    </row>
    <row r="4416" spans="1:5" ht="15.6">
      <c r="A4416">
        <v>4361</v>
      </c>
      <c r="B4416" s="166">
        <v>140.26697868164035</v>
      </c>
      <c r="D4416" s="39"/>
      <c r="E4416" s="39"/>
    </row>
    <row r="4417" spans="1:5" ht="15.6">
      <c r="A4417">
        <v>4362</v>
      </c>
      <c r="B4417" s="166">
        <v>194.34661515780064</v>
      </c>
      <c r="D4417" s="39"/>
      <c r="E4417" s="39"/>
    </row>
    <row r="4418" spans="1:5" ht="15.6">
      <c r="A4418">
        <v>4363</v>
      </c>
      <c r="B4418" s="166">
        <v>70.863291670455794</v>
      </c>
      <c r="D4418" s="39"/>
      <c r="E4418" s="39"/>
    </row>
    <row r="4419" spans="1:5" ht="15.6">
      <c r="A4419">
        <v>4364</v>
      </c>
      <c r="B4419" s="166">
        <v>91.016608568935354</v>
      </c>
      <c r="D4419" s="39"/>
      <c r="E4419" s="39"/>
    </row>
    <row r="4420" spans="1:5" ht="15.6">
      <c r="A4420">
        <v>4365</v>
      </c>
      <c r="B4420" s="166">
        <v>82.030898664751902</v>
      </c>
      <c r="D4420" s="39"/>
      <c r="E4420" s="39"/>
    </row>
    <row r="4421" spans="1:5" ht="15.6">
      <c r="A4421">
        <v>4366</v>
      </c>
      <c r="B4421" s="166">
        <v>124.2266106486575</v>
      </c>
      <c r="D4421" s="39"/>
      <c r="E4421" s="39"/>
    </row>
    <row r="4422" spans="1:5" ht="15.6">
      <c r="A4422">
        <v>4367</v>
      </c>
      <c r="B4422" s="166">
        <v>76.91804904702559</v>
      </c>
      <c r="D4422" s="39"/>
      <c r="E4422" s="39"/>
    </row>
    <row r="4423" spans="1:5" ht="15.6">
      <c r="A4423">
        <v>4368</v>
      </c>
      <c r="B4423" s="166">
        <v>129.49298917710107</v>
      </c>
      <c r="D4423" s="39"/>
      <c r="E4423" s="39"/>
    </row>
    <row r="4424" spans="1:5" ht="15.6">
      <c r="A4424">
        <v>4369</v>
      </c>
      <c r="B4424" s="166">
        <v>97.726254041462326</v>
      </c>
      <c r="D4424" s="39"/>
      <c r="E4424" s="39"/>
    </row>
    <row r="4425" spans="1:5" ht="15.6">
      <c r="A4425">
        <v>4370</v>
      </c>
      <c r="B4425" s="166">
        <v>113.90754188706083</v>
      </c>
      <c r="D4425" s="39"/>
      <c r="E4425" s="39"/>
    </row>
    <row r="4426" spans="1:5" ht="15.6">
      <c r="A4426">
        <v>4371</v>
      </c>
      <c r="B4426" s="166">
        <v>174.67794213470444</v>
      </c>
      <c r="D4426" s="39"/>
      <c r="E4426" s="39"/>
    </row>
    <row r="4427" spans="1:5" ht="15.6">
      <c r="A4427">
        <v>4372</v>
      </c>
      <c r="B4427" s="166">
        <v>87.337766827036091</v>
      </c>
      <c r="D4427" s="39"/>
      <c r="E4427" s="39"/>
    </row>
    <row r="4428" spans="1:5" ht="15.6">
      <c r="A4428">
        <v>4373</v>
      </c>
      <c r="B4428" s="166">
        <v>96.918055732384474</v>
      </c>
      <c r="D4428" s="39"/>
      <c r="E4428" s="39"/>
    </row>
    <row r="4429" spans="1:5" ht="15.6">
      <c r="A4429">
        <v>4374</v>
      </c>
      <c r="B4429" s="166">
        <v>106.22568903040082</v>
      </c>
      <c r="D4429" s="39"/>
      <c r="E4429" s="39"/>
    </row>
    <row r="4430" spans="1:5" ht="15.6">
      <c r="A4430">
        <v>4375</v>
      </c>
      <c r="B4430" s="166">
        <v>170.0846593950572</v>
      </c>
      <c r="D4430" s="39"/>
      <c r="E4430" s="39"/>
    </row>
    <row r="4431" spans="1:5" ht="15.6">
      <c r="A4431">
        <v>4376</v>
      </c>
      <c r="B4431" s="166">
        <v>164.27283898932859</v>
      </c>
      <c r="D4431" s="39"/>
      <c r="E4431" s="39"/>
    </row>
    <row r="4432" spans="1:5" ht="15.6">
      <c r="A4432">
        <v>4377</v>
      </c>
      <c r="B4432" s="166">
        <v>72.45031346141981</v>
      </c>
      <c r="D4432" s="39"/>
      <c r="E4432" s="39"/>
    </row>
    <row r="4433" spans="1:5" ht="15.6">
      <c r="A4433">
        <v>4378</v>
      </c>
      <c r="B4433" s="166">
        <v>67.394999161827371</v>
      </c>
      <c r="D4433" s="39"/>
      <c r="E4433" s="39"/>
    </row>
    <row r="4434" spans="1:5" ht="15.6">
      <c r="A4434">
        <v>4379</v>
      </c>
      <c r="B4434" s="166">
        <v>86.780769220023302</v>
      </c>
      <c r="D4434" s="39"/>
      <c r="E4434" s="39"/>
    </row>
    <row r="4435" spans="1:5" ht="15.6">
      <c r="A4435">
        <v>4380</v>
      </c>
      <c r="B4435" s="166">
        <v>81.942217198075767</v>
      </c>
      <c r="D4435" s="39"/>
      <c r="E4435" s="39"/>
    </row>
    <row r="4436" spans="1:5" ht="15.6">
      <c r="A4436">
        <v>4381</v>
      </c>
      <c r="B4436" s="166">
        <v>146.21290964374447</v>
      </c>
      <c r="D4436" s="39"/>
      <c r="E4436" s="39"/>
    </row>
    <row r="4437" spans="1:5" ht="15.6">
      <c r="A4437">
        <v>4382</v>
      </c>
      <c r="B4437" s="166">
        <v>63.677265414311435</v>
      </c>
      <c r="D4437" s="39"/>
      <c r="E4437" s="39"/>
    </row>
    <row r="4438" spans="1:5" ht="15.6">
      <c r="A4438">
        <v>4383</v>
      </c>
      <c r="B4438" s="166">
        <v>75.421127894396989</v>
      </c>
      <c r="D4438" s="39"/>
      <c r="E4438" s="39"/>
    </row>
    <row r="4439" spans="1:5" ht="15.6">
      <c r="A4439">
        <v>4384</v>
      </c>
      <c r="B4439" s="166">
        <v>62.810504303435216</v>
      </c>
      <c r="D4439" s="39"/>
      <c r="E4439" s="39"/>
    </row>
    <row r="4440" spans="1:5" ht="15.6">
      <c r="A4440">
        <v>4385</v>
      </c>
      <c r="B4440" s="166">
        <v>131.78472604544709</v>
      </c>
      <c r="D4440" s="39"/>
      <c r="E4440" s="39"/>
    </row>
    <row r="4441" spans="1:5" ht="15.6">
      <c r="A4441">
        <v>4386</v>
      </c>
      <c r="B4441" s="166">
        <v>61.616547375135575</v>
      </c>
      <c r="D4441" s="39"/>
      <c r="E4441" s="39"/>
    </row>
    <row r="4442" spans="1:5" ht="15.6">
      <c r="A4442">
        <v>4387</v>
      </c>
      <c r="B4442" s="166">
        <v>96.344391726489349</v>
      </c>
      <c r="D4442" s="39"/>
      <c r="E4442" s="39"/>
    </row>
    <row r="4443" spans="1:5" ht="15.6">
      <c r="A4443">
        <v>4388</v>
      </c>
      <c r="B4443" s="166">
        <v>135.99151544162467</v>
      </c>
      <c r="D4443" s="39"/>
      <c r="E4443" s="39"/>
    </row>
    <row r="4444" spans="1:5" ht="15.6">
      <c r="A4444">
        <v>4389</v>
      </c>
      <c r="B4444" s="166">
        <v>112.92456446498012</v>
      </c>
      <c r="D4444" s="39"/>
      <c r="E4444" s="39"/>
    </row>
    <row r="4445" spans="1:5" ht="15.6">
      <c r="A4445">
        <v>4390</v>
      </c>
      <c r="B4445" s="166">
        <v>87.551232233336009</v>
      </c>
      <c r="D4445" s="39"/>
      <c r="E4445" s="39"/>
    </row>
    <row r="4446" spans="1:5" ht="15.6">
      <c r="A4446">
        <v>4391</v>
      </c>
      <c r="B4446" s="166">
        <v>91.141918333729734</v>
      </c>
      <c r="D4446" s="39"/>
      <c r="E4446" s="39"/>
    </row>
    <row r="4447" spans="1:5" ht="15.6">
      <c r="A4447">
        <v>4392</v>
      </c>
      <c r="B4447" s="166">
        <v>104.32417096667929</v>
      </c>
      <c r="D4447" s="39"/>
      <c r="E4447" s="39"/>
    </row>
    <row r="4448" spans="1:5" ht="15.6">
      <c r="A4448">
        <v>4393</v>
      </c>
      <c r="B4448" s="166">
        <v>78.1211030290997</v>
      </c>
      <c r="D4448" s="39"/>
      <c r="E4448" s="39"/>
    </row>
    <row r="4449" spans="1:5" ht="15.6">
      <c r="A4449">
        <v>4394</v>
      </c>
      <c r="B4449" s="166">
        <v>189.57941536317963</v>
      </c>
      <c r="D4449" s="39"/>
      <c r="E4449" s="39"/>
    </row>
    <row r="4450" spans="1:5" ht="15.6">
      <c r="A4450">
        <v>4395</v>
      </c>
      <c r="B4450" s="166">
        <v>104.09233545839174</v>
      </c>
      <c r="D4450" s="39"/>
      <c r="E4450" s="39"/>
    </row>
    <row r="4451" spans="1:5" ht="15.6">
      <c r="A4451">
        <v>4396</v>
      </c>
      <c r="B4451" s="166">
        <v>111.29607368312303</v>
      </c>
      <c r="D4451" s="39"/>
      <c r="E4451" s="39"/>
    </row>
    <row r="4452" spans="1:5" ht="15.6">
      <c r="A4452">
        <v>4397</v>
      </c>
      <c r="B4452" s="166">
        <v>173.83304729299965</v>
      </c>
      <c r="D4452" s="39"/>
      <c r="E4452" s="39"/>
    </row>
    <row r="4453" spans="1:5" ht="15.6">
      <c r="A4453">
        <v>4398</v>
      </c>
      <c r="B4453" s="166">
        <v>58.454224177018652</v>
      </c>
      <c r="D4453" s="39"/>
      <c r="E4453" s="39"/>
    </row>
    <row r="4454" spans="1:5" ht="15.6">
      <c r="A4454">
        <v>4399</v>
      </c>
      <c r="B4454" s="166">
        <v>161.63355159381203</v>
      </c>
      <c r="D4454" s="39"/>
      <c r="E4454" s="39"/>
    </row>
    <row r="4455" spans="1:5" ht="15.6">
      <c r="A4455">
        <v>4400</v>
      </c>
      <c r="B4455" s="166">
        <v>183.89318631997432</v>
      </c>
      <c r="D4455" s="39"/>
      <c r="E4455" s="39"/>
    </row>
    <row r="4456" spans="1:5" ht="15.6">
      <c r="A4456">
        <v>4401</v>
      </c>
      <c r="B4456" s="166">
        <v>126.66817585875621</v>
      </c>
      <c r="D4456" s="39"/>
      <c r="E4456" s="39"/>
    </row>
    <row r="4457" spans="1:5" ht="15.6">
      <c r="A4457">
        <v>4402</v>
      </c>
      <c r="B4457" s="166">
        <v>236.1218103898139</v>
      </c>
      <c r="D4457" s="39"/>
      <c r="E4457" s="39"/>
    </row>
    <row r="4458" spans="1:5" ht="15.6">
      <c r="A4458">
        <v>4403</v>
      </c>
      <c r="B4458" s="166">
        <v>162.08882253705849</v>
      </c>
      <c r="D4458" s="39"/>
      <c r="E4458" s="39"/>
    </row>
    <row r="4459" spans="1:5" ht="15.6">
      <c r="A4459">
        <v>4404</v>
      </c>
      <c r="B4459" s="166">
        <v>260.12145780521348</v>
      </c>
      <c r="D4459" s="39"/>
      <c r="E4459" s="39"/>
    </row>
    <row r="4460" spans="1:5" ht="15.6">
      <c r="A4460">
        <v>4405</v>
      </c>
      <c r="B4460" s="166">
        <v>72.215463032212128</v>
      </c>
      <c r="D4460" s="39"/>
      <c r="E4460" s="39"/>
    </row>
    <row r="4461" spans="1:5" ht="15.6">
      <c r="A4461">
        <v>4406</v>
      </c>
      <c r="B4461" s="166">
        <v>78.64651470511329</v>
      </c>
      <c r="D4461" s="39"/>
      <c r="E4461" s="39"/>
    </row>
    <row r="4462" spans="1:5" ht="15.6">
      <c r="A4462">
        <v>4407</v>
      </c>
      <c r="B4462" s="166">
        <v>74.074299176485113</v>
      </c>
      <c r="D4462" s="39"/>
      <c r="E4462" s="39"/>
    </row>
    <row r="4463" spans="1:5" ht="15.6">
      <c r="A4463">
        <v>4408</v>
      </c>
      <c r="B4463" s="166">
        <v>167.54800737442793</v>
      </c>
      <c r="D4463" s="39"/>
      <c r="E4463" s="39"/>
    </row>
    <row r="4464" spans="1:5" ht="15.6">
      <c r="A4464">
        <v>4409</v>
      </c>
      <c r="B4464" s="166">
        <v>79.915425659482395</v>
      </c>
      <c r="D4464" s="39"/>
      <c r="E4464" s="39"/>
    </row>
    <row r="4465" spans="1:5" ht="15.6">
      <c r="A4465">
        <v>4410</v>
      </c>
      <c r="B4465" s="166">
        <v>109.05748316485449</v>
      </c>
      <c r="D4465" s="39"/>
      <c r="E4465" s="39"/>
    </row>
    <row r="4466" spans="1:5" ht="15.6">
      <c r="A4466">
        <v>4411</v>
      </c>
      <c r="B4466" s="166">
        <v>106.7286994089751</v>
      </c>
      <c r="D4466" s="39"/>
      <c r="E4466" s="39"/>
    </row>
    <row r="4467" spans="1:5" ht="15.6">
      <c r="A4467">
        <v>4412</v>
      </c>
      <c r="B4467" s="166">
        <v>81.887762020744475</v>
      </c>
      <c r="D4467" s="39"/>
      <c r="E4467" s="39"/>
    </row>
    <row r="4468" spans="1:5" ht="15.6">
      <c r="A4468">
        <v>4413</v>
      </c>
      <c r="B4468" s="166">
        <v>139.65156004204999</v>
      </c>
      <c r="D4468" s="39"/>
      <c r="E4468" s="39"/>
    </row>
    <row r="4469" spans="1:5" ht="15.6">
      <c r="A4469">
        <v>4414</v>
      </c>
      <c r="B4469" s="166">
        <v>65.120037332193789</v>
      </c>
      <c r="D4469" s="39"/>
      <c r="E4469" s="39"/>
    </row>
    <row r="4470" spans="1:5" ht="15.6">
      <c r="A4470">
        <v>4415</v>
      </c>
      <c r="B4470" s="166">
        <v>50.331754845351185</v>
      </c>
      <c r="D4470" s="39"/>
      <c r="E4470" s="39"/>
    </row>
    <row r="4471" spans="1:5" ht="15.6">
      <c r="A4471">
        <v>4416</v>
      </c>
      <c r="B4471" s="166">
        <v>141.58030256856139</v>
      </c>
      <c r="D4471" s="39"/>
      <c r="E4471" s="39"/>
    </row>
    <row r="4472" spans="1:5" ht="15.6">
      <c r="A4472">
        <v>4417</v>
      </c>
      <c r="B4472" s="166">
        <v>165.35195052001086</v>
      </c>
      <c r="D4472" s="39"/>
      <c r="E4472" s="39"/>
    </row>
    <row r="4473" spans="1:5" ht="15.6">
      <c r="A4473">
        <v>4418</v>
      </c>
      <c r="B4473" s="166">
        <v>126.59002015653323</v>
      </c>
      <c r="D4473" s="39"/>
      <c r="E4473" s="39"/>
    </row>
    <row r="4474" spans="1:5" ht="15.6">
      <c r="A4474">
        <v>4419</v>
      </c>
      <c r="B4474" s="166">
        <v>157.44753058747278</v>
      </c>
      <c r="D4474" s="39"/>
      <c r="E4474" s="39"/>
    </row>
    <row r="4475" spans="1:5" ht="15.6">
      <c r="A4475">
        <v>4420</v>
      </c>
      <c r="B4475" s="166">
        <v>95.416851123852041</v>
      </c>
      <c r="D4475" s="39"/>
      <c r="E4475" s="39"/>
    </row>
    <row r="4476" spans="1:5" ht="15.6">
      <c r="A4476">
        <v>4421</v>
      </c>
      <c r="B4476" s="166">
        <v>136.91472579208795</v>
      </c>
      <c r="D4476" s="39"/>
      <c r="E4476" s="39"/>
    </row>
    <row r="4477" spans="1:5" ht="15.6">
      <c r="A4477">
        <v>4422</v>
      </c>
      <c r="B4477" s="166">
        <v>89.126670721525699</v>
      </c>
      <c r="D4477" s="39"/>
      <c r="E4477" s="39"/>
    </row>
    <row r="4478" spans="1:5" ht="15.6">
      <c r="A4478">
        <v>4423</v>
      </c>
      <c r="B4478" s="166">
        <v>84.765812661242805</v>
      </c>
      <c r="D4478" s="39"/>
      <c r="E4478" s="39"/>
    </row>
    <row r="4479" spans="1:5" ht="15.6">
      <c r="A4479">
        <v>4424</v>
      </c>
      <c r="B4479" s="166">
        <v>104.09872344365131</v>
      </c>
      <c r="D4479" s="39"/>
      <c r="E4479" s="39"/>
    </row>
    <row r="4480" spans="1:5" ht="15.6">
      <c r="A4480">
        <v>4425</v>
      </c>
      <c r="B4480" s="166">
        <v>105.28444434565424</v>
      </c>
      <c r="D4480" s="39"/>
      <c r="E4480" s="39"/>
    </row>
    <row r="4481" spans="1:5" ht="15.6">
      <c r="A4481">
        <v>4426</v>
      </c>
      <c r="B4481" s="166">
        <v>69.765689405251734</v>
      </c>
      <c r="D4481" s="39"/>
      <c r="E4481" s="39"/>
    </row>
    <row r="4482" spans="1:5" ht="15.6">
      <c r="A4482">
        <v>4427</v>
      </c>
      <c r="B4482" s="166">
        <v>134.41507911116949</v>
      </c>
      <c r="D4482" s="39"/>
      <c r="E4482" s="39"/>
    </row>
    <row r="4483" spans="1:5" ht="15.6">
      <c r="A4483">
        <v>4428</v>
      </c>
      <c r="B4483" s="166">
        <v>162.58701097210411</v>
      </c>
      <c r="D4483" s="39"/>
      <c r="E4483" s="39"/>
    </row>
    <row r="4484" spans="1:5" ht="15.6">
      <c r="A4484">
        <v>4429</v>
      </c>
      <c r="B4484" s="166">
        <v>141.09584249195819</v>
      </c>
      <c r="D4484" s="39"/>
      <c r="E4484" s="39"/>
    </row>
    <row r="4485" spans="1:5" ht="15.6">
      <c r="A4485">
        <v>4430</v>
      </c>
      <c r="B4485" s="166">
        <v>185.42333052630619</v>
      </c>
      <c r="D4485" s="39"/>
      <c r="E4485" s="39"/>
    </row>
    <row r="4486" spans="1:5" ht="15.6">
      <c r="A4486">
        <v>4431</v>
      </c>
      <c r="B4486" s="166">
        <v>108.03825464421739</v>
      </c>
      <c r="D4486" s="39"/>
      <c r="E4486" s="39"/>
    </row>
    <row r="4487" spans="1:5" ht="15.6">
      <c r="A4487">
        <v>4432</v>
      </c>
      <c r="B4487" s="166">
        <v>223.66469617508017</v>
      </c>
      <c r="D4487" s="39"/>
      <c r="E4487" s="39"/>
    </row>
    <row r="4488" spans="1:5" ht="15.6">
      <c r="A4488">
        <v>4433</v>
      </c>
      <c r="B4488" s="166">
        <v>79.764741151142445</v>
      </c>
      <c r="D4488" s="39"/>
      <c r="E4488" s="39"/>
    </row>
    <row r="4489" spans="1:5" ht="15.6">
      <c r="A4489">
        <v>4434</v>
      </c>
      <c r="B4489" s="166">
        <v>83.66628137494034</v>
      </c>
      <c r="D4489" s="39"/>
      <c r="E4489" s="39"/>
    </row>
    <row r="4490" spans="1:5" ht="15.6">
      <c r="A4490">
        <v>4435</v>
      </c>
      <c r="B4490" s="166">
        <v>80.015822487190846</v>
      </c>
      <c r="D4490" s="39"/>
      <c r="E4490" s="39"/>
    </row>
    <row r="4491" spans="1:5" ht="15.6">
      <c r="A4491">
        <v>4436</v>
      </c>
      <c r="B4491" s="166">
        <v>78.234105992759865</v>
      </c>
      <c r="D4491" s="39"/>
      <c r="E4491" s="39"/>
    </row>
    <row r="4492" spans="1:5" ht="15.6">
      <c r="A4492">
        <v>4437</v>
      </c>
      <c r="B4492" s="166">
        <v>145.92596921385012</v>
      </c>
      <c r="D4492" s="39"/>
      <c r="E4492" s="39"/>
    </row>
    <row r="4493" spans="1:5" ht="15.6">
      <c r="A4493">
        <v>4438</v>
      </c>
      <c r="B4493" s="166">
        <v>140.17715915111197</v>
      </c>
      <c r="D4493" s="39"/>
      <c r="E4493" s="39"/>
    </row>
    <row r="4494" spans="1:5" ht="15.6">
      <c r="A4494">
        <v>4439</v>
      </c>
      <c r="B4494" s="166">
        <v>92.404062319043049</v>
      </c>
      <c r="D4494" s="39"/>
      <c r="E4494" s="39"/>
    </row>
    <row r="4495" spans="1:5" ht="15.6">
      <c r="A4495">
        <v>4440</v>
      </c>
      <c r="B4495" s="166">
        <v>146.8606249214337</v>
      </c>
      <c r="D4495" s="39"/>
      <c r="E4495" s="39"/>
    </row>
    <row r="4496" spans="1:5" ht="15.6">
      <c r="A4496">
        <v>4441</v>
      </c>
      <c r="B4496" s="166">
        <v>139.65558956289155</v>
      </c>
      <c r="D4496" s="39"/>
      <c r="E4496" s="39"/>
    </row>
    <row r="4497" spans="1:5" ht="15.6">
      <c r="A4497">
        <v>4442</v>
      </c>
      <c r="B4497" s="166">
        <v>126.31312014866651</v>
      </c>
      <c r="D4497" s="39"/>
      <c r="E4497" s="39"/>
    </row>
    <row r="4498" spans="1:5" ht="15.6">
      <c r="A4498">
        <v>4443</v>
      </c>
      <c r="B4498" s="166">
        <v>183.00480763517257</v>
      </c>
      <c r="D4498" s="39"/>
      <c r="E4498" s="39"/>
    </row>
    <row r="4499" spans="1:5" ht="15.6">
      <c r="A4499">
        <v>4444</v>
      </c>
      <c r="B4499" s="166">
        <v>124.62277599775942</v>
      </c>
      <c r="D4499" s="39"/>
      <c r="E4499" s="39"/>
    </row>
    <row r="4500" spans="1:5" ht="15.6">
      <c r="A4500">
        <v>4445</v>
      </c>
      <c r="B4500" s="166">
        <v>118.99430537609504</v>
      </c>
      <c r="D4500" s="39"/>
      <c r="E4500" s="39"/>
    </row>
    <row r="4501" spans="1:5" ht="15.6">
      <c r="A4501">
        <v>4446</v>
      </c>
      <c r="B4501" s="166">
        <v>79.033843763552099</v>
      </c>
      <c r="D4501" s="39"/>
      <c r="E4501" s="39"/>
    </row>
    <row r="4502" spans="1:5" ht="15.6">
      <c r="A4502">
        <v>4447</v>
      </c>
      <c r="B4502" s="166">
        <v>144.18925088893803</v>
      </c>
      <c r="D4502" s="39"/>
      <c r="E4502" s="39"/>
    </row>
    <row r="4503" spans="1:5" ht="15.6">
      <c r="A4503">
        <v>4448</v>
      </c>
      <c r="B4503" s="166">
        <v>103.31574719581997</v>
      </c>
      <c r="D4503" s="39"/>
      <c r="E4503" s="39"/>
    </row>
    <row r="4504" spans="1:5" ht="15.6">
      <c r="A4504">
        <v>4449</v>
      </c>
      <c r="B4504" s="166">
        <v>57.535746140435442</v>
      </c>
      <c r="D4504" s="39"/>
      <c r="E4504" s="39"/>
    </row>
    <row r="4505" spans="1:5" ht="15.6">
      <c r="A4505">
        <v>4450</v>
      </c>
      <c r="B4505" s="166">
        <v>81.590769692105738</v>
      </c>
      <c r="D4505" s="39"/>
      <c r="E4505" s="39"/>
    </row>
    <row r="4506" spans="1:5" ht="15.6">
      <c r="A4506">
        <v>4451</v>
      </c>
      <c r="B4506" s="166">
        <v>152.43620565701789</v>
      </c>
      <c r="D4506" s="39"/>
      <c r="E4506" s="39"/>
    </row>
    <row r="4507" spans="1:5" ht="15.6">
      <c r="A4507">
        <v>4452</v>
      </c>
      <c r="B4507" s="166">
        <v>115.59342027498417</v>
      </c>
      <c r="D4507" s="39"/>
      <c r="E4507" s="39"/>
    </row>
    <row r="4508" spans="1:5" ht="15.6">
      <c r="A4508">
        <v>4453</v>
      </c>
      <c r="B4508" s="166">
        <v>130.25639029240818</v>
      </c>
      <c r="D4508" s="39"/>
      <c r="E4508" s="39"/>
    </row>
    <row r="4509" spans="1:5" ht="15.6">
      <c r="A4509">
        <v>4454</v>
      </c>
      <c r="B4509" s="166">
        <v>139.18992691763683</v>
      </c>
      <c r="D4509" s="39"/>
      <c r="E4509" s="39"/>
    </row>
    <row r="4510" spans="1:5" ht="15.6">
      <c r="A4510">
        <v>4455</v>
      </c>
      <c r="B4510" s="166">
        <v>102.58322370434989</v>
      </c>
      <c r="D4510" s="39"/>
      <c r="E4510" s="39"/>
    </row>
    <row r="4511" spans="1:5" ht="15.6">
      <c r="A4511">
        <v>4456</v>
      </c>
      <c r="B4511" s="166">
        <v>97.665548308987624</v>
      </c>
      <c r="D4511" s="39"/>
      <c r="E4511" s="39"/>
    </row>
    <row r="4512" spans="1:5" ht="15.6">
      <c r="A4512">
        <v>4457</v>
      </c>
      <c r="B4512" s="166">
        <v>172.03502884253598</v>
      </c>
      <c r="D4512" s="39"/>
      <c r="E4512" s="39"/>
    </row>
    <row r="4513" spans="1:5" ht="15.6">
      <c r="A4513">
        <v>4458</v>
      </c>
      <c r="B4513" s="166">
        <v>97.712221617608577</v>
      </c>
      <c r="D4513" s="39"/>
      <c r="E4513" s="39"/>
    </row>
    <row r="4514" spans="1:5" ht="15.6">
      <c r="A4514">
        <v>4459</v>
      </c>
      <c r="B4514" s="166">
        <v>90.636720764230631</v>
      </c>
      <c r="D4514" s="39"/>
      <c r="E4514" s="39"/>
    </row>
    <row r="4515" spans="1:5" ht="15.6">
      <c r="A4515">
        <v>4460</v>
      </c>
      <c r="B4515" s="166">
        <v>236.06785042867051</v>
      </c>
      <c r="D4515" s="39"/>
      <c r="E4515" s="39"/>
    </row>
    <row r="4516" spans="1:5" ht="15.6">
      <c r="A4516">
        <v>4461</v>
      </c>
      <c r="B4516" s="166">
        <v>133.81749743850261</v>
      </c>
      <c r="D4516" s="39"/>
      <c r="E4516" s="39"/>
    </row>
    <row r="4517" spans="1:5" ht="15.6">
      <c r="A4517">
        <v>4462</v>
      </c>
      <c r="B4517" s="166">
        <v>88.719652378483389</v>
      </c>
      <c r="D4517" s="39"/>
      <c r="E4517" s="39"/>
    </row>
    <row r="4518" spans="1:5" ht="15.6">
      <c r="A4518">
        <v>4463</v>
      </c>
      <c r="B4518" s="166">
        <v>57.982089010831935</v>
      </c>
      <c r="D4518" s="39"/>
      <c r="E4518" s="39"/>
    </row>
    <row r="4519" spans="1:5" ht="15.6">
      <c r="A4519">
        <v>4464</v>
      </c>
      <c r="B4519" s="166">
        <v>127.19746877740161</v>
      </c>
      <c r="D4519" s="39"/>
      <c r="E4519" s="39"/>
    </row>
    <row r="4520" spans="1:5" ht="15.6">
      <c r="A4520">
        <v>4465</v>
      </c>
      <c r="B4520" s="166">
        <v>54.430476056856513</v>
      </c>
      <c r="D4520" s="39"/>
      <c r="E4520" s="39"/>
    </row>
    <row r="4521" spans="1:5" ht="15.6">
      <c r="A4521">
        <v>4466</v>
      </c>
      <c r="B4521" s="166">
        <v>67.653936172934408</v>
      </c>
      <c r="D4521" s="39"/>
      <c r="E4521" s="39"/>
    </row>
    <row r="4522" spans="1:5" ht="15.6">
      <c r="A4522">
        <v>4467</v>
      </c>
      <c r="B4522" s="166">
        <v>147.20235587731841</v>
      </c>
      <c r="D4522" s="39"/>
      <c r="E4522" s="39"/>
    </row>
    <row r="4523" spans="1:5" ht="15.6">
      <c r="A4523">
        <v>4468</v>
      </c>
      <c r="B4523" s="166">
        <v>116.94657679567086</v>
      </c>
      <c r="D4523" s="39"/>
      <c r="E4523" s="39"/>
    </row>
    <row r="4524" spans="1:5" ht="15.6">
      <c r="A4524">
        <v>4469</v>
      </c>
      <c r="B4524" s="166">
        <v>225.11412058643847</v>
      </c>
      <c r="D4524" s="39"/>
      <c r="E4524" s="39"/>
    </row>
    <row r="4525" spans="1:5" ht="15.6">
      <c r="A4525">
        <v>4470</v>
      </c>
      <c r="B4525" s="166">
        <v>165.59995019900398</v>
      </c>
      <c r="D4525" s="39"/>
      <c r="E4525" s="39"/>
    </row>
    <row r="4526" spans="1:5" ht="15.6">
      <c r="A4526">
        <v>4471</v>
      </c>
      <c r="B4526" s="166">
        <v>65.790281638607837</v>
      </c>
      <c r="D4526" s="39"/>
      <c r="E4526" s="39"/>
    </row>
    <row r="4527" spans="1:5" ht="15.6">
      <c r="A4527">
        <v>4472</v>
      </c>
      <c r="B4527" s="166">
        <v>123.26614115603996</v>
      </c>
      <c r="D4527" s="39"/>
      <c r="E4527" s="39"/>
    </row>
    <row r="4528" spans="1:5" ht="15.6">
      <c r="A4528">
        <v>4473</v>
      </c>
      <c r="B4528" s="166">
        <v>63.589816388504083</v>
      </c>
      <c r="D4528" s="39"/>
      <c r="E4528" s="39"/>
    </row>
    <row r="4529" spans="1:5" ht="15.6">
      <c r="A4529">
        <v>4474</v>
      </c>
      <c r="B4529" s="166">
        <v>160.75341641039694</v>
      </c>
      <c r="D4529" s="39"/>
      <c r="E4529" s="39"/>
    </row>
    <row r="4530" spans="1:5" ht="15.6">
      <c r="A4530">
        <v>4475</v>
      </c>
      <c r="B4530" s="166">
        <v>74.387726395595948</v>
      </c>
      <c r="D4530" s="39"/>
      <c r="E4530" s="39"/>
    </row>
    <row r="4531" spans="1:5" ht="15.6">
      <c r="A4531">
        <v>4476</v>
      </c>
      <c r="B4531" s="166">
        <v>108.1232875586624</v>
      </c>
      <c r="D4531" s="39"/>
      <c r="E4531" s="39"/>
    </row>
    <row r="4532" spans="1:5" ht="15.6">
      <c r="A4532">
        <v>4477</v>
      </c>
      <c r="B4532" s="166">
        <v>95.026226597791535</v>
      </c>
      <c r="D4532" s="39"/>
      <c r="E4532" s="39"/>
    </row>
    <row r="4533" spans="1:5" ht="15.6">
      <c r="A4533">
        <v>4478</v>
      </c>
      <c r="B4533" s="166">
        <v>106.27591968208725</v>
      </c>
      <c r="D4533" s="39"/>
      <c r="E4533" s="39"/>
    </row>
    <row r="4534" spans="1:5" ht="15.6">
      <c r="A4534">
        <v>4479</v>
      </c>
      <c r="B4534" s="166">
        <v>76.300756111862043</v>
      </c>
      <c r="D4534" s="39"/>
      <c r="E4534" s="39"/>
    </row>
    <row r="4535" spans="1:5" ht="15.6">
      <c r="A4535">
        <v>4480</v>
      </c>
      <c r="B4535" s="166">
        <v>78.445051847565395</v>
      </c>
      <c r="D4535" s="39"/>
      <c r="E4535" s="39"/>
    </row>
    <row r="4536" spans="1:5" ht="15.6">
      <c r="A4536">
        <v>4481</v>
      </c>
      <c r="B4536" s="166">
        <v>170.00530833970953</v>
      </c>
      <c r="D4536" s="39"/>
      <c r="E4536" s="39"/>
    </row>
    <row r="4537" spans="1:5" ht="15.6">
      <c r="A4537">
        <v>4482</v>
      </c>
      <c r="B4537" s="166">
        <v>104.55749874294366</v>
      </c>
      <c r="D4537" s="39"/>
      <c r="E4537" s="39"/>
    </row>
    <row r="4538" spans="1:5" ht="15.6">
      <c r="A4538">
        <v>4483</v>
      </c>
      <c r="B4538" s="166">
        <v>180.48663499083946</v>
      </c>
      <c r="D4538" s="39"/>
      <c r="E4538" s="39"/>
    </row>
    <row r="4539" spans="1:5" ht="15.6">
      <c r="A4539">
        <v>4484</v>
      </c>
      <c r="B4539" s="166">
        <v>89.666558977387751</v>
      </c>
      <c r="D4539" s="39"/>
      <c r="E4539" s="39"/>
    </row>
    <row r="4540" spans="1:5" ht="15.6">
      <c r="A4540">
        <v>4485</v>
      </c>
      <c r="B4540" s="166">
        <v>141.34741844881432</v>
      </c>
      <c r="D4540" s="39"/>
      <c r="E4540" s="39"/>
    </row>
    <row r="4541" spans="1:5" ht="15.6">
      <c r="A4541">
        <v>4486</v>
      </c>
      <c r="B4541" s="166">
        <v>149.4026363662075</v>
      </c>
      <c r="D4541" s="39"/>
      <c r="E4541" s="39"/>
    </row>
    <row r="4542" spans="1:5" ht="15.6">
      <c r="A4542">
        <v>4487</v>
      </c>
      <c r="B4542" s="166">
        <v>201.72542422300268</v>
      </c>
      <c r="D4542" s="39"/>
      <c r="E4542" s="39"/>
    </row>
    <row r="4543" spans="1:5" ht="15.6">
      <c r="A4543">
        <v>4488</v>
      </c>
      <c r="B4543" s="166">
        <v>115.55656761987444</v>
      </c>
      <c r="D4543" s="39"/>
      <c r="E4543" s="39"/>
    </row>
    <row r="4544" spans="1:5" ht="15.6">
      <c r="A4544">
        <v>4489</v>
      </c>
      <c r="B4544" s="166">
        <v>133.2278959108302</v>
      </c>
      <c r="D4544" s="39"/>
      <c r="E4544" s="39"/>
    </row>
    <row r="4545" spans="1:5" ht="15.6">
      <c r="A4545">
        <v>4490</v>
      </c>
      <c r="B4545" s="166">
        <v>61.905012636814725</v>
      </c>
      <c r="D4545" s="39"/>
      <c r="E4545" s="39"/>
    </row>
    <row r="4546" spans="1:5" ht="15.6">
      <c r="A4546">
        <v>4491</v>
      </c>
      <c r="B4546" s="166">
        <v>118.48147206498481</v>
      </c>
      <c r="D4546" s="39"/>
      <c r="E4546" s="39"/>
    </row>
    <row r="4547" spans="1:5" ht="15.6">
      <c r="A4547">
        <v>4492</v>
      </c>
      <c r="B4547" s="166">
        <v>75.140784568055764</v>
      </c>
      <c r="D4547" s="39"/>
      <c r="E4547" s="39"/>
    </row>
    <row r="4548" spans="1:5" ht="15.6">
      <c r="A4548">
        <v>4493</v>
      </c>
      <c r="B4548" s="166">
        <v>75.257283716867335</v>
      </c>
      <c r="D4548" s="39"/>
      <c r="E4548" s="39"/>
    </row>
    <row r="4549" spans="1:5" ht="15.6">
      <c r="A4549">
        <v>4494</v>
      </c>
      <c r="B4549" s="166">
        <v>158.96075150352746</v>
      </c>
      <c r="D4549" s="39"/>
      <c r="E4549" s="39"/>
    </row>
    <row r="4550" spans="1:5" ht="15.6">
      <c r="A4550">
        <v>4495</v>
      </c>
      <c r="B4550" s="166">
        <v>162.63942284044091</v>
      </c>
      <c r="D4550" s="39"/>
      <c r="E4550" s="39"/>
    </row>
    <row r="4551" spans="1:5" ht="15.6">
      <c r="A4551">
        <v>4496</v>
      </c>
      <c r="B4551" s="166">
        <v>244.81766684799396</v>
      </c>
      <c r="D4551" s="39"/>
      <c r="E4551" s="39"/>
    </row>
    <row r="4552" spans="1:5" ht="15.6">
      <c r="A4552">
        <v>4497</v>
      </c>
      <c r="B4552" s="166">
        <v>98.070534899383929</v>
      </c>
      <c r="D4552" s="39"/>
      <c r="E4552" s="39"/>
    </row>
    <row r="4553" spans="1:5" ht="15.6">
      <c r="A4553">
        <v>4498</v>
      </c>
      <c r="B4553" s="166">
        <v>86.543530702012532</v>
      </c>
      <c r="D4553" s="39"/>
      <c r="E4553" s="39"/>
    </row>
    <row r="4554" spans="1:5" ht="15.6">
      <c r="A4554">
        <v>4499</v>
      </c>
      <c r="B4554" s="166">
        <v>58.696862960938553</v>
      </c>
      <c r="D4554" s="39"/>
      <c r="E4554" s="39"/>
    </row>
    <row r="4555" spans="1:5" ht="15.6">
      <c r="A4555">
        <v>4500</v>
      </c>
      <c r="B4555" s="166">
        <v>115.46842262544678</v>
      </c>
      <c r="D4555" s="39"/>
      <c r="E4555" s="39"/>
    </row>
    <row r="4556" spans="1:5" ht="15.6">
      <c r="A4556">
        <v>4501</v>
      </c>
      <c r="B4556" s="166">
        <v>124.87847467535428</v>
      </c>
      <c r="D4556" s="39"/>
      <c r="E4556" s="39"/>
    </row>
    <row r="4557" spans="1:5" ht="15.6">
      <c r="A4557">
        <v>4502</v>
      </c>
      <c r="B4557" s="166">
        <v>51.597854870272826</v>
      </c>
      <c r="D4557" s="39"/>
      <c r="E4557" s="39"/>
    </row>
    <row r="4558" spans="1:5" ht="15.6">
      <c r="A4558">
        <v>4503</v>
      </c>
      <c r="B4558" s="166">
        <v>94.013474547924389</v>
      </c>
      <c r="D4558" s="39"/>
      <c r="E4558" s="39"/>
    </row>
    <row r="4559" spans="1:5" ht="15.6">
      <c r="A4559">
        <v>4504</v>
      </c>
      <c r="B4559" s="166">
        <v>118.66574661164184</v>
      </c>
      <c r="D4559" s="39"/>
      <c r="E4559" s="39"/>
    </row>
    <row r="4560" spans="1:5" ht="15.6">
      <c r="A4560">
        <v>4505</v>
      </c>
      <c r="B4560" s="166">
        <v>68.076329358225934</v>
      </c>
      <c r="D4560" s="39"/>
      <c r="E4560" s="39"/>
    </row>
    <row r="4561" spans="1:5" ht="15.6">
      <c r="A4561">
        <v>4506</v>
      </c>
      <c r="B4561" s="166">
        <v>71.559349956992975</v>
      </c>
      <c r="D4561" s="39"/>
      <c r="E4561" s="39"/>
    </row>
    <row r="4562" spans="1:5" ht="15.6">
      <c r="A4562">
        <v>4507</v>
      </c>
      <c r="B4562" s="166">
        <v>87.689207236646453</v>
      </c>
      <c r="D4562" s="39"/>
      <c r="E4562" s="39"/>
    </row>
    <row r="4563" spans="1:5" ht="15.6">
      <c r="A4563">
        <v>4508</v>
      </c>
      <c r="B4563" s="166">
        <v>77.318386548185202</v>
      </c>
      <c r="D4563" s="39"/>
      <c r="E4563" s="39"/>
    </row>
    <row r="4564" spans="1:5" ht="15.6">
      <c r="A4564">
        <v>4509</v>
      </c>
      <c r="B4564" s="166">
        <v>58.33924098167784</v>
      </c>
      <c r="D4564" s="39"/>
      <c r="E4564" s="39"/>
    </row>
    <row r="4565" spans="1:5" ht="15.6">
      <c r="A4565">
        <v>4510</v>
      </c>
      <c r="B4565" s="166">
        <v>99.440004722768293</v>
      </c>
      <c r="D4565" s="39"/>
      <c r="E4565" s="39"/>
    </row>
    <row r="4566" spans="1:5" ht="15.6">
      <c r="A4566">
        <v>4511</v>
      </c>
      <c r="B4566" s="166">
        <v>60.623069905300547</v>
      </c>
      <c r="D4566" s="39"/>
      <c r="E4566" s="39"/>
    </row>
    <row r="4567" spans="1:5" ht="15.6">
      <c r="A4567">
        <v>4512</v>
      </c>
      <c r="B4567" s="166">
        <v>77.291830027054957</v>
      </c>
      <c r="D4567" s="39"/>
      <c r="E4567" s="39"/>
    </row>
    <row r="4568" spans="1:5" ht="15.6">
      <c r="A4568">
        <v>4513</v>
      </c>
      <c r="B4568" s="166">
        <v>69.990678357188415</v>
      </c>
      <c r="D4568" s="39"/>
      <c r="E4568" s="39"/>
    </row>
    <row r="4569" spans="1:5" ht="15.6">
      <c r="A4569">
        <v>4514</v>
      </c>
      <c r="B4569" s="166">
        <v>79.000470326027738</v>
      </c>
      <c r="D4569" s="39"/>
      <c r="E4569" s="39"/>
    </row>
    <row r="4570" spans="1:5" ht="15.6">
      <c r="A4570">
        <v>4515</v>
      </c>
      <c r="B4570" s="166">
        <v>144.13256347189358</v>
      </c>
      <c r="D4570" s="39"/>
      <c r="E4570" s="39"/>
    </row>
    <row r="4571" spans="1:5" ht="15.6">
      <c r="A4571">
        <v>4516</v>
      </c>
      <c r="B4571" s="166">
        <v>94.002866699992836</v>
      </c>
      <c r="D4571" s="39"/>
      <c r="E4571" s="39"/>
    </row>
    <row r="4572" spans="1:5" ht="15.6">
      <c r="A4572">
        <v>4517</v>
      </c>
      <c r="B4572" s="166">
        <v>174.002911096627</v>
      </c>
      <c r="D4572" s="39"/>
      <c r="E4572" s="39"/>
    </row>
    <row r="4573" spans="1:5" ht="15.6">
      <c r="A4573">
        <v>4518</v>
      </c>
      <c r="B4573" s="166">
        <v>138.64382303528441</v>
      </c>
      <c r="D4573" s="39"/>
      <c r="E4573" s="39"/>
    </row>
    <row r="4574" spans="1:5" ht="15.6">
      <c r="A4574">
        <v>4519</v>
      </c>
      <c r="B4574" s="166">
        <v>136.24336067879921</v>
      </c>
      <c r="D4574" s="39"/>
      <c r="E4574" s="39"/>
    </row>
    <row r="4575" spans="1:5" ht="15.6">
      <c r="A4575">
        <v>4520</v>
      </c>
      <c r="B4575" s="166">
        <v>75.444781882951446</v>
      </c>
      <c r="D4575" s="39"/>
      <c r="E4575" s="39"/>
    </row>
    <row r="4576" spans="1:5" ht="15.6">
      <c r="A4576">
        <v>4521</v>
      </c>
      <c r="B4576" s="166">
        <v>51.436334144312937</v>
      </c>
      <c r="D4576" s="39"/>
      <c r="E4576" s="39"/>
    </row>
    <row r="4577" spans="1:5" ht="15.6">
      <c r="A4577">
        <v>4522</v>
      </c>
      <c r="B4577" s="166">
        <v>123.02674291091373</v>
      </c>
      <c r="D4577" s="39"/>
      <c r="E4577" s="39"/>
    </row>
    <row r="4578" spans="1:5" ht="15.6">
      <c r="A4578">
        <v>4523</v>
      </c>
      <c r="B4578" s="166">
        <v>121.60549619912435</v>
      </c>
      <c r="D4578" s="39"/>
      <c r="E4578" s="39"/>
    </row>
    <row r="4579" spans="1:5" ht="15.6">
      <c r="A4579">
        <v>4524</v>
      </c>
      <c r="B4579" s="166">
        <v>107.18517647962297</v>
      </c>
      <c r="D4579" s="39"/>
      <c r="E4579" s="39"/>
    </row>
    <row r="4580" spans="1:5" ht="15.6">
      <c r="A4580">
        <v>4525</v>
      </c>
      <c r="B4580" s="166">
        <v>94.172061277715216</v>
      </c>
      <c r="D4580" s="39"/>
      <c r="E4580" s="39"/>
    </row>
    <row r="4581" spans="1:5" ht="15.6">
      <c r="A4581">
        <v>4526</v>
      </c>
      <c r="B4581" s="166">
        <v>95.160419458868361</v>
      </c>
      <c r="D4581" s="39"/>
      <c r="E4581" s="39"/>
    </row>
    <row r="4582" spans="1:5" ht="15.6">
      <c r="A4582">
        <v>4527</v>
      </c>
      <c r="B4582" s="166">
        <v>77.663670727448476</v>
      </c>
      <c r="D4582" s="39"/>
      <c r="E4582" s="39"/>
    </row>
    <row r="4583" spans="1:5" ht="15.6">
      <c r="A4583">
        <v>4528</v>
      </c>
      <c r="B4583" s="166">
        <v>126.52266740011061</v>
      </c>
      <c r="D4583" s="39"/>
      <c r="E4583" s="39"/>
    </row>
    <row r="4584" spans="1:5" ht="15.6">
      <c r="A4584">
        <v>4529</v>
      </c>
      <c r="B4584" s="166">
        <v>191.03119724928675</v>
      </c>
      <c r="D4584" s="39"/>
      <c r="E4584" s="39"/>
    </row>
    <row r="4585" spans="1:5" ht="15.6">
      <c r="A4585">
        <v>4530</v>
      </c>
      <c r="B4585" s="166">
        <v>91.488249362372486</v>
      </c>
      <c r="D4585" s="39"/>
      <c r="E4585" s="39"/>
    </row>
    <row r="4586" spans="1:5" ht="15.6">
      <c r="A4586">
        <v>4531</v>
      </c>
      <c r="B4586" s="166">
        <v>95.010792979832146</v>
      </c>
      <c r="D4586" s="39"/>
      <c r="E4586" s="39"/>
    </row>
    <row r="4587" spans="1:5" ht="15.6">
      <c r="A4587">
        <v>4532</v>
      </c>
      <c r="B4587" s="166">
        <v>82.727673321968055</v>
      </c>
      <c r="D4587" s="39"/>
      <c r="E4587" s="39"/>
    </row>
    <row r="4588" spans="1:5" ht="15.6">
      <c r="A4588">
        <v>4533</v>
      </c>
      <c r="B4588" s="166">
        <v>133.75729551405124</v>
      </c>
      <c r="D4588" s="39"/>
      <c r="E4588" s="39"/>
    </row>
    <row r="4589" spans="1:5" ht="15.6">
      <c r="A4589">
        <v>4534</v>
      </c>
      <c r="B4589" s="166">
        <v>88.949904507691798</v>
      </c>
      <c r="D4589" s="39"/>
      <c r="E4589" s="39"/>
    </row>
    <row r="4590" spans="1:5" ht="15.6">
      <c r="A4590">
        <v>4535</v>
      </c>
      <c r="B4590" s="166">
        <v>129.38949175805993</v>
      </c>
      <c r="D4590" s="39"/>
      <c r="E4590" s="39"/>
    </row>
    <row r="4591" spans="1:5" ht="15.6">
      <c r="A4591">
        <v>4536</v>
      </c>
      <c r="B4591" s="166">
        <v>160.9665129046231</v>
      </c>
      <c r="D4591" s="39"/>
      <c r="E4591" s="39"/>
    </row>
    <row r="4592" spans="1:5" ht="15.6">
      <c r="A4592">
        <v>4537</v>
      </c>
      <c r="B4592" s="166">
        <v>107.70920142906118</v>
      </c>
      <c r="D4592" s="39"/>
      <c r="E4592" s="39"/>
    </row>
    <row r="4593" spans="1:5" ht="15.6">
      <c r="A4593">
        <v>4538</v>
      </c>
      <c r="B4593" s="166">
        <v>63.215096225154767</v>
      </c>
      <c r="D4593" s="39"/>
      <c r="E4593" s="39"/>
    </row>
    <row r="4594" spans="1:5" ht="15.6">
      <c r="A4594">
        <v>4539</v>
      </c>
      <c r="B4594" s="166">
        <v>82.049297116487139</v>
      </c>
      <c r="D4594" s="39"/>
      <c r="E4594" s="39"/>
    </row>
    <row r="4595" spans="1:5" ht="15.6">
      <c r="A4595">
        <v>4540</v>
      </c>
      <c r="B4595" s="166">
        <v>103.14013960524542</v>
      </c>
      <c r="D4595" s="39"/>
      <c r="E4595" s="39"/>
    </row>
    <row r="4596" spans="1:5" ht="15.6">
      <c r="A4596">
        <v>4541</v>
      </c>
      <c r="B4596" s="166">
        <v>119.13517173217092</v>
      </c>
      <c r="D4596" s="39"/>
      <c r="E4596" s="39"/>
    </row>
    <row r="4597" spans="1:5" ht="15.6">
      <c r="A4597">
        <v>4542</v>
      </c>
      <c r="B4597" s="166">
        <v>103.38063282036271</v>
      </c>
      <c r="D4597" s="39"/>
      <c r="E4597" s="39"/>
    </row>
    <row r="4598" spans="1:5" ht="15.6">
      <c r="A4598">
        <v>4543</v>
      </c>
      <c r="B4598" s="166">
        <v>137.45736992141821</v>
      </c>
      <c r="D4598" s="39"/>
      <c r="E4598" s="39"/>
    </row>
    <row r="4599" spans="1:5" ht="15.6">
      <c r="A4599">
        <v>4544</v>
      </c>
      <c r="B4599" s="166">
        <v>79.794966243988767</v>
      </c>
      <c r="D4599" s="39"/>
      <c r="E4599" s="39"/>
    </row>
    <row r="4600" spans="1:5" ht="15.6">
      <c r="A4600">
        <v>4545</v>
      </c>
      <c r="B4600" s="166">
        <v>96.918623044964974</v>
      </c>
      <c r="D4600" s="39"/>
      <c r="E4600" s="39"/>
    </row>
    <row r="4601" spans="1:5" ht="15.6">
      <c r="A4601">
        <v>4546</v>
      </c>
      <c r="B4601" s="166">
        <v>95.503227578567959</v>
      </c>
      <c r="D4601" s="39"/>
      <c r="E4601" s="39"/>
    </row>
    <row r="4602" spans="1:5" ht="15.6">
      <c r="A4602">
        <v>4547</v>
      </c>
      <c r="B4602" s="166">
        <v>122.67920477852445</v>
      </c>
      <c r="D4602" s="39"/>
      <c r="E4602" s="39"/>
    </row>
    <row r="4603" spans="1:5" ht="15.6">
      <c r="A4603">
        <v>4548</v>
      </c>
      <c r="B4603" s="166">
        <v>106.65426574786177</v>
      </c>
      <c r="D4603" s="39"/>
      <c r="E4603" s="39"/>
    </row>
    <row r="4604" spans="1:5" ht="15.6">
      <c r="A4604">
        <v>4549</v>
      </c>
      <c r="B4604" s="166">
        <v>85.688735499044952</v>
      </c>
      <c r="D4604" s="39"/>
      <c r="E4604" s="39"/>
    </row>
    <row r="4605" spans="1:5" ht="15.6">
      <c r="A4605">
        <v>4550</v>
      </c>
      <c r="B4605" s="166">
        <v>97.858733186833945</v>
      </c>
      <c r="D4605" s="39"/>
      <c r="E4605" s="39"/>
    </row>
    <row r="4606" spans="1:5" ht="15.6">
      <c r="A4606">
        <v>4551</v>
      </c>
      <c r="B4606" s="166">
        <v>123.16771630170243</v>
      </c>
      <c r="D4606" s="39"/>
      <c r="E4606" s="39"/>
    </row>
    <row r="4607" spans="1:5" ht="15.6">
      <c r="A4607">
        <v>4552</v>
      </c>
      <c r="B4607" s="166">
        <v>98.831996800071252</v>
      </c>
      <c r="D4607" s="39"/>
      <c r="E4607" s="39"/>
    </row>
    <row r="4608" spans="1:5" ht="15.6">
      <c r="A4608">
        <v>4553</v>
      </c>
      <c r="B4608" s="166">
        <v>212.33493021378968</v>
      </c>
      <c r="D4608" s="39"/>
      <c r="E4608" s="39"/>
    </row>
    <row r="4609" spans="1:5" ht="15.6">
      <c r="A4609">
        <v>4554</v>
      </c>
      <c r="B4609" s="166">
        <v>263.3921678243197</v>
      </c>
      <c r="D4609" s="39"/>
      <c r="E4609" s="39"/>
    </row>
    <row r="4610" spans="1:5" ht="15.6">
      <c r="A4610">
        <v>4555</v>
      </c>
      <c r="B4610" s="166">
        <v>149.36844843423995</v>
      </c>
      <c r="D4610" s="39"/>
      <c r="E4610" s="39"/>
    </row>
    <row r="4611" spans="1:5" ht="15.6">
      <c r="A4611">
        <v>4556</v>
      </c>
      <c r="B4611" s="166">
        <v>139.62996802478941</v>
      </c>
      <c r="D4611" s="39"/>
      <c r="E4611" s="39"/>
    </row>
    <row r="4612" spans="1:5" ht="15.6">
      <c r="A4612">
        <v>4557</v>
      </c>
      <c r="B4612" s="166">
        <v>149.36557941175118</v>
      </c>
      <c r="D4612" s="39"/>
      <c r="E4612" s="39"/>
    </row>
    <row r="4613" spans="1:5" ht="15.6">
      <c r="A4613">
        <v>4558</v>
      </c>
      <c r="B4613" s="166">
        <v>106.59317463628112</v>
      </c>
      <c r="D4613" s="39"/>
      <c r="E4613" s="39"/>
    </row>
    <row r="4614" spans="1:5" ht="15.6">
      <c r="A4614">
        <v>4559</v>
      </c>
      <c r="B4614" s="166">
        <v>144.24848397808788</v>
      </c>
      <c r="D4614" s="39"/>
      <c r="E4614" s="39"/>
    </row>
    <row r="4615" spans="1:5" ht="15.6">
      <c r="A4615">
        <v>4560</v>
      </c>
      <c r="B4615" s="166">
        <v>149.52448129435044</v>
      </c>
      <c r="D4615" s="39"/>
      <c r="E4615" s="39"/>
    </row>
    <row r="4616" spans="1:5" ht="15.6">
      <c r="A4616">
        <v>4561</v>
      </c>
      <c r="B4616" s="166">
        <v>70.187460806031552</v>
      </c>
      <c r="D4616" s="39"/>
      <c r="E4616" s="39"/>
    </row>
    <row r="4617" spans="1:5" ht="15.6">
      <c r="A4617">
        <v>4562</v>
      </c>
      <c r="B4617" s="166">
        <v>154.67048623226884</v>
      </c>
      <c r="D4617" s="39"/>
      <c r="E4617" s="39"/>
    </row>
    <row r="4618" spans="1:5" ht="15.6">
      <c r="A4618">
        <v>4563</v>
      </c>
      <c r="B4618" s="166">
        <v>105.89729950403381</v>
      </c>
      <c r="D4618" s="39"/>
      <c r="E4618" s="39"/>
    </row>
    <row r="4619" spans="1:5" ht="15.6">
      <c r="A4619">
        <v>4564</v>
      </c>
      <c r="B4619" s="166">
        <v>70.829815612455761</v>
      </c>
      <c r="D4619" s="39"/>
      <c r="E4619" s="39"/>
    </row>
    <row r="4620" spans="1:5" ht="15.6">
      <c r="A4620">
        <v>4565</v>
      </c>
      <c r="B4620" s="166">
        <v>85.251697067371481</v>
      </c>
      <c r="D4620" s="39"/>
      <c r="E4620" s="39"/>
    </row>
    <row r="4621" spans="1:5" ht="15.6">
      <c r="A4621">
        <v>4566</v>
      </c>
      <c r="B4621" s="166">
        <v>84.018676779988112</v>
      </c>
      <c r="D4621" s="39"/>
      <c r="E4621" s="39"/>
    </row>
    <row r="4622" spans="1:5" ht="15.6">
      <c r="A4622">
        <v>4567</v>
      </c>
      <c r="B4622" s="166">
        <v>106.00409616915985</v>
      </c>
      <c r="D4622" s="39"/>
      <c r="E4622" s="39"/>
    </row>
    <row r="4623" spans="1:5" ht="15.6">
      <c r="A4623">
        <v>4568</v>
      </c>
      <c r="B4623" s="166">
        <v>86.617360908223432</v>
      </c>
      <c r="D4623" s="39"/>
      <c r="E4623" s="39"/>
    </row>
    <row r="4624" spans="1:5" ht="15.6">
      <c r="A4624">
        <v>4569</v>
      </c>
      <c r="B4624" s="166">
        <v>69.586579597388834</v>
      </c>
      <c r="D4624" s="39"/>
      <c r="E4624" s="39"/>
    </row>
    <row r="4625" spans="1:5" ht="15.6">
      <c r="A4625">
        <v>4570</v>
      </c>
      <c r="B4625" s="166">
        <v>72.996506440899296</v>
      </c>
      <c r="D4625" s="39"/>
      <c r="E4625" s="39"/>
    </row>
    <row r="4626" spans="1:5" ht="15.6">
      <c r="A4626">
        <v>4571</v>
      </c>
      <c r="B4626" s="166">
        <v>92.266703206042934</v>
      </c>
      <c r="D4626" s="39"/>
      <c r="E4626" s="39"/>
    </row>
    <row r="4627" spans="1:5" ht="15.6">
      <c r="A4627">
        <v>4572</v>
      </c>
      <c r="B4627" s="166">
        <v>85.491485346533153</v>
      </c>
      <c r="D4627" s="39"/>
      <c r="E4627" s="39"/>
    </row>
    <row r="4628" spans="1:5" ht="15.6">
      <c r="A4628">
        <v>4573</v>
      </c>
      <c r="B4628" s="166">
        <v>66.491711022728268</v>
      </c>
      <c r="D4628" s="39"/>
      <c r="E4628" s="39"/>
    </row>
    <row r="4629" spans="1:5" ht="15.6">
      <c r="A4629">
        <v>4574</v>
      </c>
      <c r="B4629" s="166">
        <v>76.979200302316798</v>
      </c>
      <c r="D4629" s="39"/>
      <c r="E4629" s="39"/>
    </row>
    <row r="4630" spans="1:5" ht="15.6">
      <c r="A4630">
        <v>4575</v>
      </c>
      <c r="B4630" s="166">
        <v>127.97568046141329</v>
      </c>
      <c r="D4630" s="39"/>
      <c r="E4630" s="39"/>
    </row>
    <row r="4631" spans="1:5" ht="15.6">
      <c r="A4631">
        <v>4576</v>
      </c>
      <c r="B4631" s="166">
        <v>144.30764843547061</v>
      </c>
      <c r="D4631" s="39"/>
      <c r="E4631" s="39"/>
    </row>
    <row r="4632" spans="1:5" ht="15.6">
      <c r="A4632">
        <v>4577</v>
      </c>
      <c r="B4632" s="166">
        <v>121.13561139371123</v>
      </c>
      <c r="D4632" s="39"/>
      <c r="E4632" s="39"/>
    </row>
    <row r="4633" spans="1:5" ht="15.6">
      <c r="A4633">
        <v>4578</v>
      </c>
      <c r="B4633" s="166">
        <v>129.87808519167351</v>
      </c>
      <c r="D4633" s="39"/>
      <c r="E4633" s="39"/>
    </row>
    <row r="4634" spans="1:5" ht="15.6">
      <c r="A4634">
        <v>4579</v>
      </c>
      <c r="B4634" s="166">
        <v>123.768608831907</v>
      </c>
      <c r="D4634" s="39"/>
      <c r="E4634" s="39"/>
    </row>
    <row r="4635" spans="1:5" ht="15.6">
      <c r="A4635">
        <v>4580</v>
      </c>
      <c r="B4635" s="166">
        <v>130.19148046699331</v>
      </c>
      <c r="D4635" s="39"/>
      <c r="E4635" s="39"/>
    </row>
    <row r="4636" spans="1:5" ht="15.6">
      <c r="A4636">
        <v>4581</v>
      </c>
      <c r="B4636" s="166">
        <v>67.297395279043926</v>
      </c>
      <c r="D4636" s="39"/>
      <c r="E4636" s="39"/>
    </row>
    <row r="4637" spans="1:5" ht="15.6">
      <c r="A4637">
        <v>4582</v>
      </c>
      <c r="B4637" s="166">
        <v>196.9489358909031</v>
      </c>
      <c r="D4637" s="39"/>
      <c r="E4637" s="39"/>
    </row>
    <row r="4638" spans="1:5" ht="15.6">
      <c r="A4638">
        <v>4583</v>
      </c>
      <c r="B4638" s="166">
        <v>80.11762537032422</v>
      </c>
      <c r="D4638" s="39"/>
      <c r="E4638" s="39"/>
    </row>
    <row r="4639" spans="1:5" ht="15.6">
      <c r="A4639">
        <v>4584</v>
      </c>
      <c r="B4639" s="166">
        <v>61.323501918972795</v>
      </c>
      <c r="D4639" s="39"/>
      <c r="E4639" s="39"/>
    </row>
    <row r="4640" spans="1:5" ht="15.6">
      <c r="A4640">
        <v>4585</v>
      </c>
      <c r="B4640" s="166">
        <v>89.887674419376864</v>
      </c>
      <c r="D4640" s="39"/>
      <c r="E4640" s="39"/>
    </row>
    <row r="4641" spans="1:5" ht="15.6">
      <c r="A4641">
        <v>4586</v>
      </c>
      <c r="B4641" s="166">
        <v>92.848374515179259</v>
      </c>
      <c r="D4641" s="39"/>
      <c r="E4641" s="39"/>
    </row>
    <row r="4642" spans="1:5" ht="15.6">
      <c r="A4642">
        <v>4587</v>
      </c>
      <c r="B4642" s="166">
        <v>111.02945742560605</v>
      </c>
      <c r="D4642" s="39"/>
      <c r="E4642" s="39"/>
    </row>
    <row r="4643" spans="1:5" ht="15.6">
      <c r="A4643">
        <v>4588</v>
      </c>
      <c r="B4643" s="166">
        <v>99.347600491723284</v>
      </c>
      <c r="D4643" s="39"/>
      <c r="E4643" s="39"/>
    </row>
    <row r="4644" spans="1:5" ht="15.6">
      <c r="A4644">
        <v>4589</v>
      </c>
      <c r="B4644" s="166">
        <v>86.000437439652231</v>
      </c>
      <c r="D4644" s="39"/>
      <c r="E4644" s="39"/>
    </row>
    <row r="4645" spans="1:5" ht="15.6">
      <c r="A4645">
        <v>4590</v>
      </c>
      <c r="B4645" s="166">
        <v>70.512316991734394</v>
      </c>
      <c r="D4645" s="39"/>
      <c r="E4645" s="39"/>
    </row>
    <row r="4646" spans="1:5" ht="15.6">
      <c r="A4646">
        <v>4591</v>
      </c>
      <c r="B4646" s="166">
        <v>111.70270435037138</v>
      </c>
      <c r="D4646" s="39"/>
      <c r="E4646" s="39"/>
    </row>
    <row r="4647" spans="1:5" ht="15.6">
      <c r="A4647">
        <v>4592</v>
      </c>
      <c r="B4647" s="166">
        <v>85.594798218542977</v>
      </c>
      <c r="D4647" s="39"/>
      <c r="E4647" s="39"/>
    </row>
    <row r="4648" spans="1:5" ht="15.6">
      <c r="A4648">
        <v>4593</v>
      </c>
      <c r="B4648" s="166">
        <v>152.32855478954684</v>
      </c>
      <c r="D4648" s="39"/>
      <c r="E4648" s="39"/>
    </row>
    <row r="4649" spans="1:5" ht="15.6">
      <c r="A4649">
        <v>4594</v>
      </c>
      <c r="B4649" s="166">
        <v>164.23929573860858</v>
      </c>
      <c r="D4649" s="39"/>
      <c r="E4649" s="39"/>
    </row>
    <row r="4650" spans="1:5" ht="15.6">
      <c r="A4650">
        <v>4595</v>
      </c>
      <c r="B4650" s="166">
        <v>90.720339179613092</v>
      </c>
      <c r="D4650" s="39"/>
      <c r="E4650" s="39"/>
    </row>
    <row r="4651" spans="1:5" ht="15.6">
      <c r="A4651">
        <v>4596</v>
      </c>
      <c r="B4651" s="166">
        <v>130.12122977824319</v>
      </c>
      <c r="D4651" s="39"/>
      <c r="E4651" s="39"/>
    </row>
    <row r="4652" spans="1:5" ht="15.6">
      <c r="A4652">
        <v>4597</v>
      </c>
      <c r="B4652" s="166">
        <v>74.242367809372666</v>
      </c>
      <c r="D4652" s="39"/>
      <c r="E4652" s="39"/>
    </row>
    <row r="4653" spans="1:5" ht="15.6">
      <c r="A4653">
        <v>4598</v>
      </c>
      <c r="B4653" s="166">
        <v>167.2720874764936</v>
      </c>
      <c r="D4653" s="39"/>
      <c r="E4653" s="39"/>
    </row>
    <row r="4654" spans="1:5" ht="15.6">
      <c r="A4654">
        <v>4599</v>
      </c>
      <c r="B4654" s="166">
        <v>93.96135045040414</v>
      </c>
      <c r="D4654" s="39"/>
      <c r="E4654" s="39"/>
    </row>
    <row r="4655" spans="1:5" ht="15.6">
      <c r="A4655">
        <v>4600</v>
      </c>
      <c r="B4655" s="166">
        <v>85.789087594779701</v>
      </c>
      <c r="D4655" s="39"/>
      <c r="E4655" s="39"/>
    </row>
    <row r="4656" spans="1:5" ht="15.6">
      <c r="A4656">
        <v>4601</v>
      </c>
      <c r="B4656" s="166">
        <v>95.59160413698558</v>
      </c>
      <c r="D4656" s="39"/>
      <c r="E4656" s="39"/>
    </row>
    <row r="4657" spans="1:5" ht="15.6">
      <c r="A4657">
        <v>4602</v>
      </c>
      <c r="B4657" s="166">
        <v>168.5133576927422</v>
      </c>
      <c r="D4657" s="39"/>
      <c r="E4657" s="39"/>
    </row>
    <row r="4658" spans="1:5" ht="15.6">
      <c r="A4658">
        <v>4603</v>
      </c>
      <c r="B4658" s="166">
        <v>101.52203717978367</v>
      </c>
      <c r="D4658" s="39"/>
      <c r="E4658" s="39"/>
    </row>
    <row r="4659" spans="1:5" ht="15.6">
      <c r="A4659">
        <v>4604</v>
      </c>
      <c r="B4659" s="166">
        <v>151.98096226211746</v>
      </c>
      <c r="D4659" s="39"/>
      <c r="E4659" s="39"/>
    </row>
    <row r="4660" spans="1:5" ht="15.6">
      <c r="A4660">
        <v>4605</v>
      </c>
      <c r="B4660" s="166">
        <v>104.5283697128838</v>
      </c>
      <c r="D4660" s="39"/>
      <c r="E4660" s="39"/>
    </row>
    <row r="4661" spans="1:5" ht="15.6">
      <c r="A4661">
        <v>4606</v>
      </c>
      <c r="B4661" s="166">
        <v>136.60885311020729</v>
      </c>
      <c r="D4661" s="39"/>
      <c r="E4661" s="39"/>
    </row>
    <row r="4662" spans="1:5" ht="15.6">
      <c r="A4662">
        <v>4607</v>
      </c>
      <c r="B4662" s="166">
        <v>101.93892640085095</v>
      </c>
      <c r="D4662" s="39"/>
      <c r="E4662" s="39"/>
    </row>
    <row r="4663" spans="1:5" ht="15.6">
      <c r="A4663">
        <v>4608</v>
      </c>
      <c r="B4663" s="166">
        <v>114.39621872743641</v>
      </c>
      <c r="D4663" s="39"/>
      <c r="E4663" s="39"/>
    </row>
    <row r="4664" spans="1:5" ht="15.6">
      <c r="A4664">
        <v>4609</v>
      </c>
      <c r="B4664" s="166">
        <v>95.917576923140317</v>
      </c>
      <c r="D4664" s="39"/>
      <c r="E4664" s="39"/>
    </row>
    <row r="4665" spans="1:5" ht="15.6">
      <c r="A4665">
        <v>4610</v>
      </c>
      <c r="B4665" s="166">
        <v>120.53940635794963</v>
      </c>
      <c r="D4665" s="39"/>
      <c r="E4665" s="39"/>
    </row>
    <row r="4666" spans="1:5" ht="15.6">
      <c r="A4666">
        <v>4611</v>
      </c>
      <c r="B4666" s="166">
        <v>119.60448540503974</v>
      </c>
      <c r="D4666" s="39"/>
      <c r="E4666" s="39"/>
    </row>
    <row r="4667" spans="1:5" ht="15.6">
      <c r="A4667">
        <v>4612</v>
      </c>
      <c r="B4667" s="166">
        <v>54.816080678440507</v>
      </c>
      <c r="D4667" s="39"/>
      <c r="E4667" s="39"/>
    </row>
    <row r="4668" spans="1:5" ht="15.6">
      <c r="A4668">
        <v>4613</v>
      </c>
      <c r="B4668" s="166">
        <v>165.1562184003117</v>
      </c>
      <c r="D4668" s="39"/>
      <c r="E4668" s="39"/>
    </row>
    <row r="4669" spans="1:5" ht="15.6">
      <c r="A4669">
        <v>4614</v>
      </c>
      <c r="B4669" s="166">
        <v>120.38380045609726</v>
      </c>
      <c r="D4669" s="39"/>
      <c r="E4669" s="39"/>
    </row>
    <row r="4670" spans="1:5" ht="15.6">
      <c r="A4670">
        <v>4615</v>
      </c>
      <c r="B4670" s="166">
        <v>73.016190860467447</v>
      </c>
      <c r="D4670" s="39"/>
      <c r="E4670" s="39"/>
    </row>
    <row r="4671" spans="1:5" ht="15.6">
      <c r="A4671">
        <v>4616</v>
      </c>
      <c r="B4671" s="166">
        <v>103.01302607418788</v>
      </c>
      <c r="D4671" s="39"/>
      <c r="E4671" s="39"/>
    </row>
    <row r="4672" spans="1:5" ht="15.6">
      <c r="A4672">
        <v>4617</v>
      </c>
      <c r="B4672" s="166">
        <v>180.82040548490008</v>
      </c>
      <c r="D4672" s="39"/>
      <c r="E4672" s="39"/>
    </row>
    <row r="4673" spans="1:5" ht="15.6">
      <c r="A4673">
        <v>4618</v>
      </c>
      <c r="B4673" s="166">
        <v>145.13418924643412</v>
      </c>
      <c r="D4673" s="39"/>
      <c r="E4673" s="39"/>
    </row>
    <row r="4674" spans="1:5" ht="15.6">
      <c r="A4674">
        <v>4619</v>
      </c>
      <c r="B4674" s="166">
        <v>81.758849510971814</v>
      </c>
      <c r="D4674" s="39"/>
      <c r="E4674" s="39"/>
    </row>
    <row r="4675" spans="1:5" ht="15.6">
      <c r="A4675">
        <v>4620</v>
      </c>
      <c r="B4675" s="166">
        <v>86.557240929142822</v>
      </c>
      <c r="D4675" s="39"/>
      <c r="E4675" s="39"/>
    </row>
    <row r="4676" spans="1:5" ht="15.6">
      <c r="A4676">
        <v>4621</v>
      </c>
      <c r="B4676" s="166">
        <v>75.140669257115647</v>
      </c>
      <c r="D4676" s="39"/>
      <c r="E4676" s="39"/>
    </row>
    <row r="4677" spans="1:5" ht="15.6">
      <c r="A4677">
        <v>4622</v>
      </c>
      <c r="B4677" s="166">
        <v>167.91642739841723</v>
      </c>
      <c r="D4677" s="39"/>
      <c r="E4677" s="39"/>
    </row>
    <row r="4678" spans="1:5" ht="15.6">
      <c r="A4678">
        <v>4623</v>
      </c>
      <c r="B4678" s="166">
        <v>123.90936578576947</v>
      </c>
      <c r="D4678" s="39"/>
      <c r="E4678" s="39"/>
    </row>
    <row r="4679" spans="1:5" ht="15.6">
      <c r="A4679">
        <v>4624</v>
      </c>
      <c r="B4679" s="166">
        <v>79.953979283565062</v>
      </c>
      <c r="D4679" s="39"/>
      <c r="E4679" s="39"/>
    </row>
    <row r="4680" spans="1:5" ht="15.6">
      <c r="A4680">
        <v>4625</v>
      </c>
      <c r="B4680" s="166">
        <v>114.77961642602396</v>
      </c>
      <c r="D4680" s="39"/>
      <c r="E4680" s="39"/>
    </row>
    <row r="4681" spans="1:5" ht="15.6">
      <c r="A4681">
        <v>4626</v>
      </c>
      <c r="B4681" s="166">
        <v>123.06835808844916</v>
      </c>
      <c r="D4681" s="39"/>
      <c r="E4681" s="39"/>
    </row>
    <row r="4682" spans="1:5" ht="15.6">
      <c r="A4682">
        <v>4627</v>
      </c>
      <c r="B4682" s="166">
        <v>128.48698650947338</v>
      </c>
      <c r="D4682" s="39"/>
      <c r="E4682" s="39"/>
    </row>
    <row r="4683" spans="1:5" ht="15.6">
      <c r="A4683">
        <v>4628</v>
      </c>
      <c r="B4683" s="166">
        <v>147.9852327971706</v>
      </c>
      <c r="D4683" s="39"/>
      <c r="E4683" s="39"/>
    </row>
    <row r="4684" spans="1:5" ht="15.6">
      <c r="A4684">
        <v>4629</v>
      </c>
      <c r="B4684" s="166">
        <v>178.6558937431584</v>
      </c>
      <c r="D4684" s="39"/>
      <c r="E4684" s="39"/>
    </row>
    <row r="4685" spans="1:5" ht="15.6">
      <c r="A4685">
        <v>4630</v>
      </c>
      <c r="B4685" s="166">
        <v>59.483846319211544</v>
      </c>
      <c r="D4685" s="39"/>
      <c r="E4685" s="39"/>
    </row>
    <row r="4686" spans="1:5" ht="15.6">
      <c r="A4686">
        <v>4631</v>
      </c>
      <c r="B4686" s="166">
        <v>173.2688615320892</v>
      </c>
      <c r="D4686" s="39"/>
      <c r="E4686" s="39"/>
    </row>
    <row r="4687" spans="1:5" ht="15.6">
      <c r="A4687">
        <v>4632</v>
      </c>
      <c r="B4687" s="166">
        <v>160.60276881823262</v>
      </c>
      <c r="D4687" s="39"/>
      <c r="E4687" s="39"/>
    </row>
    <row r="4688" spans="1:5" ht="15.6">
      <c r="A4688">
        <v>4633</v>
      </c>
      <c r="B4688" s="166">
        <v>103.64302892936895</v>
      </c>
      <c r="D4688" s="39"/>
      <c r="E4688" s="39"/>
    </row>
    <row r="4689" spans="1:5" ht="15.6">
      <c r="A4689">
        <v>4634</v>
      </c>
      <c r="B4689" s="166">
        <v>95.344689763088411</v>
      </c>
      <c r="D4689" s="39"/>
      <c r="E4689" s="39"/>
    </row>
    <row r="4690" spans="1:5" ht="15.6">
      <c r="A4690">
        <v>4635</v>
      </c>
      <c r="B4690" s="166">
        <v>78.64023609201584</v>
      </c>
      <c r="D4690" s="39"/>
      <c r="E4690" s="39"/>
    </row>
    <row r="4691" spans="1:5" ht="15.6">
      <c r="A4691">
        <v>4636</v>
      </c>
      <c r="B4691" s="166">
        <v>123.29310418460905</v>
      </c>
      <c r="D4691" s="39"/>
      <c r="E4691" s="39"/>
    </row>
    <row r="4692" spans="1:5" ht="15.6">
      <c r="A4692">
        <v>4637</v>
      </c>
      <c r="B4692" s="166">
        <v>227.76096469027462</v>
      </c>
      <c r="D4692" s="39"/>
      <c r="E4692" s="39"/>
    </row>
    <row r="4693" spans="1:5" ht="15.6">
      <c r="A4693">
        <v>4638</v>
      </c>
      <c r="B4693" s="166">
        <v>77.809134795093883</v>
      </c>
      <c r="D4693" s="39"/>
      <c r="E4693" s="39"/>
    </row>
    <row r="4694" spans="1:5" ht="15.6">
      <c r="A4694">
        <v>4639</v>
      </c>
      <c r="B4694" s="166">
        <v>112.54760907736116</v>
      </c>
      <c r="D4694" s="39"/>
      <c r="E4694" s="39"/>
    </row>
    <row r="4695" spans="1:5" ht="15.6">
      <c r="A4695">
        <v>4640</v>
      </c>
      <c r="B4695" s="166">
        <v>93.427161692972149</v>
      </c>
      <c r="D4695" s="39"/>
      <c r="E4695" s="39"/>
    </row>
    <row r="4696" spans="1:5" ht="15.6">
      <c r="A4696">
        <v>4641</v>
      </c>
      <c r="B4696" s="166">
        <v>110.907508458273</v>
      </c>
      <c r="D4696" s="39"/>
      <c r="E4696" s="39"/>
    </row>
    <row r="4697" spans="1:5" ht="15.6">
      <c r="A4697">
        <v>4642</v>
      </c>
      <c r="B4697" s="166">
        <v>143.90257803821083</v>
      </c>
      <c r="D4697" s="39"/>
      <c r="E4697" s="39"/>
    </row>
    <row r="4698" spans="1:5" ht="15.6">
      <c r="A4698">
        <v>4643</v>
      </c>
      <c r="B4698" s="166">
        <v>75.176414706111331</v>
      </c>
      <c r="D4698" s="39"/>
      <c r="E4698" s="39"/>
    </row>
    <row r="4699" spans="1:5" ht="15.6">
      <c r="A4699">
        <v>4644</v>
      </c>
      <c r="B4699" s="166">
        <v>148.05962876211515</v>
      </c>
      <c r="D4699" s="39"/>
      <c r="E4699" s="39"/>
    </row>
    <row r="4700" spans="1:5" ht="15.6">
      <c r="A4700">
        <v>4645</v>
      </c>
      <c r="B4700" s="166">
        <v>104.96315147552454</v>
      </c>
      <c r="D4700" s="39"/>
      <c r="E4700" s="39"/>
    </row>
    <row r="4701" spans="1:5" ht="15.6">
      <c r="A4701">
        <v>4646</v>
      </c>
      <c r="B4701" s="166">
        <v>62.841879773783006</v>
      </c>
      <c r="D4701" s="39"/>
      <c r="E4701" s="39"/>
    </row>
    <row r="4702" spans="1:5" ht="15.6">
      <c r="A4702">
        <v>4647</v>
      </c>
      <c r="B4702" s="166">
        <v>97.272299508732203</v>
      </c>
      <c r="D4702" s="39"/>
      <c r="E4702" s="39"/>
    </row>
    <row r="4703" spans="1:5" ht="15.6">
      <c r="A4703">
        <v>4648</v>
      </c>
      <c r="B4703" s="166">
        <v>103.74876034086762</v>
      </c>
      <c r="D4703" s="39"/>
      <c r="E4703" s="39"/>
    </row>
    <row r="4704" spans="1:5" ht="15.6">
      <c r="A4704">
        <v>4649</v>
      </c>
      <c r="B4704" s="166">
        <v>114.17465796988358</v>
      </c>
      <c r="D4704" s="39"/>
      <c r="E4704" s="39"/>
    </row>
    <row r="4705" spans="1:5" ht="15.6">
      <c r="A4705">
        <v>4650</v>
      </c>
      <c r="B4705" s="166">
        <v>66.457015592984874</v>
      </c>
      <c r="D4705" s="39"/>
      <c r="E4705" s="39"/>
    </row>
    <row r="4706" spans="1:5" ht="15.6">
      <c r="A4706">
        <v>4651</v>
      </c>
      <c r="B4706" s="166">
        <v>113.66035451888673</v>
      </c>
      <c r="D4706" s="39"/>
      <c r="E4706" s="39"/>
    </row>
    <row r="4707" spans="1:5" ht="15.6">
      <c r="A4707">
        <v>4652</v>
      </c>
      <c r="B4707" s="166">
        <v>111.33783659079239</v>
      </c>
      <c r="D4707" s="39"/>
      <c r="E4707" s="39"/>
    </row>
    <row r="4708" spans="1:5" ht="15.6">
      <c r="A4708">
        <v>4653</v>
      </c>
      <c r="B4708" s="166">
        <v>98.091643192755441</v>
      </c>
      <c r="D4708" s="39"/>
      <c r="E4708" s="39"/>
    </row>
    <row r="4709" spans="1:5" ht="15.6">
      <c r="A4709">
        <v>4654</v>
      </c>
      <c r="B4709" s="166">
        <v>214.24028755877697</v>
      </c>
      <c r="D4709" s="39"/>
      <c r="E4709" s="39"/>
    </row>
    <row r="4710" spans="1:5" ht="15.6">
      <c r="A4710">
        <v>4655</v>
      </c>
      <c r="B4710" s="166">
        <v>77.142838564718659</v>
      </c>
      <c r="D4710" s="39"/>
      <c r="E4710" s="39"/>
    </row>
    <row r="4711" spans="1:5" ht="15.6">
      <c r="A4711">
        <v>4656</v>
      </c>
      <c r="B4711" s="166">
        <v>95.860523209735405</v>
      </c>
      <c r="D4711" s="39"/>
      <c r="E4711" s="39"/>
    </row>
    <row r="4712" spans="1:5" ht="15.6">
      <c r="A4712">
        <v>4657</v>
      </c>
      <c r="B4712" s="166">
        <v>138.63110634427935</v>
      </c>
      <c r="D4712" s="39"/>
      <c r="E4712" s="39"/>
    </row>
    <row r="4713" spans="1:5" ht="15.6">
      <c r="A4713">
        <v>4658</v>
      </c>
      <c r="B4713" s="166">
        <v>107.22302440121489</v>
      </c>
      <c r="D4713" s="39"/>
      <c r="E4713" s="39"/>
    </row>
    <row r="4714" spans="1:5" ht="15.6">
      <c r="A4714">
        <v>4659</v>
      </c>
      <c r="B4714" s="166">
        <v>88.250937956565096</v>
      </c>
      <c r="D4714" s="39"/>
      <c r="E4714" s="39"/>
    </row>
    <row r="4715" spans="1:5" ht="15.6">
      <c r="A4715">
        <v>4660</v>
      </c>
      <c r="B4715" s="166">
        <v>57.839112728795605</v>
      </c>
      <c r="D4715" s="39"/>
      <c r="E4715" s="39"/>
    </row>
    <row r="4716" spans="1:5" ht="15.6">
      <c r="A4716">
        <v>4661</v>
      </c>
      <c r="B4716" s="166">
        <v>97.0329759850448</v>
      </c>
      <c r="D4716" s="39"/>
      <c r="E4716" s="39"/>
    </row>
    <row r="4717" spans="1:5" ht="15.6">
      <c r="A4717">
        <v>4662</v>
      </c>
      <c r="B4717" s="166">
        <v>100.62604562554995</v>
      </c>
      <c r="D4717" s="39"/>
      <c r="E4717" s="39"/>
    </row>
    <row r="4718" spans="1:5" ht="15.6">
      <c r="A4718">
        <v>4663</v>
      </c>
      <c r="B4718" s="166">
        <v>146.80803246487483</v>
      </c>
      <c r="D4718" s="39"/>
      <c r="E4718" s="39"/>
    </row>
    <row r="4719" spans="1:5" ht="15.6">
      <c r="A4719">
        <v>4664</v>
      </c>
      <c r="B4719" s="166">
        <v>91.485508030981535</v>
      </c>
      <c r="D4719" s="39"/>
      <c r="E4719" s="39"/>
    </row>
    <row r="4720" spans="1:5" ht="15.6">
      <c r="A4720">
        <v>4665</v>
      </c>
      <c r="B4720" s="166">
        <v>330.63735295462874</v>
      </c>
      <c r="D4720" s="39"/>
      <c r="E4720" s="39"/>
    </row>
    <row r="4721" spans="1:5" ht="15.6">
      <c r="A4721">
        <v>4666</v>
      </c>
      <c r="B4721" s="166">
        <v>90.252992346513437</v>
      </c>
      <c r="D4721" s="39"/>
      <c r="E4721" s="39"/>
    </row>
    <row r="4722" spans="1:5" ht="15.6">
      <c r="A4722">
        <v>4667</v>
      </c>
      <c r="B4722" s="166">
        <v>63.029529036316305</v>
      </c>
      <c r="D4722" s="39"/>
      <c r="E4722" s="39"/>
    </row>
    <row r="4723" spans="1:5" ht="15.6">
      <c r="A4723">
        <v>4668</v>
      </c>
      <c r="B4723" s="166">
        <v>83.478751452939605</v>
      </c>
      <c r="D4723" s="39"/>
      <c r="E4723" s="39"/>
    </row>
    <row r="4724" spans="1:5" ht="15.6">
      <c r="A4724">
        <v>4669</v>
      </c>
      <c r="B4724" s="166">
        <v>119.43809445539323</v>
      </c>
      <c r="D4724" s="39"/>
      <c r="E4724" s="39"/>
    </row>
    <row r="4725" spans="1:5" ht="15.6">
      <c r="A4725">
        <v>4670</v>
      </c>
      <c r="B4725" s="166">
        <v>99.877191135244004</v>
      </c>
      <c r="D4725" s="39"/>
      <c r="E4725" s="39"/>
    </row>
    <row r="4726" spans="1:5" ht="15.6">
      <c r="A4726">
        <v>4671</v>
      </c>
      <c r="B4726" s="166">
        <v>116.41719313995625</v>
      </c>
      <c r="D4726" s="39"/>
      <c r="E4726" s="39"/>
    </row>
    <row r="4727" spans="1:5" ht="15.6">
      <c r="A4727">
        <v>4672</v>
      </c>
      <c r="B4727" s="166">
        <v>121.23344042601312</v>
      </c>
      <c r="D4727" s="39"/>
      <c r="E4727" s="39"/>
    </row>
    <row r="4728" spans="1:5" ht="15.6">
      <c r="A4728">
        <v>4673</v>
      </c>
      <c r="B4728" s="166">
        <v>114.99137501292627</v>
      </c>
      <c r="D4728" s="39"/>
      <c r="E4728" s="39"/>
    </row>
    <row r="4729" spans="1:5" ht="15.6">
      <c r="A4729">
        <v>4674</v>
      </c>
      <c r="B4729" s="166">
        <v>131.3206436481407</v>
      </c>
      <c r="D4729" s="39"/>
      <c r="E4729" s="39"/>
    </row>
    <row r="4730" spans="1:5" ht="15.6">
      <c r="A4730">
        <v>4675</v>
      </c>
      <c r="B4730" s="166">
        <v>244.05484225297712</v>
      </c>
      <c r="D4730" s="39"/>
      <c r="E4730" s="39"/>
    </row>
    <row r="4731" spans="1:5" ht="15.6">
      <c r="A4731">
        <v>4676</v>
      </c>
      <c r="B4731" s="166">
        <v>83.633730038887805</v>
      </c>
      <c r="D4731" s="39"/>
      <c r="E4731" s="39"/>
    </row>
    <row r="4732" spans="1:5" ht="15.6">
      <c r="A4732">
        <v>4677</v>
      </c>
      <c r="B4732" s="166">
        <v>96.864779165724372</v>
      </c>
      <c r="D4732" s="39"/>
      <c r="E4732" s="39"/>
    </row>
    <row r="4733" spans="1:5" ht="15.6">
      <c r="A4733">
        <v>4678</v>
      </c>
      <c r="B4733" s="166">
        <v>66.421685177264337</v>
      </c>
      <c r="D4733" s="39"/>
      <c r="E4733" s="39"/>
    </row>
    <row r="4734" spans="1:5" ht="15.6">
      <c r="A4734">
        <v>4679</v>
      </c>
      <c r="B4734" s="166">
        <v>79.823085220866645</v>
      </c>
      <c r="D4734" s="39"/>
      <c r="E4734" s="39"/>
    </row>
    <row r="4735" spans="1:5" ht="15.6">
      <c r="A4735">
        <v>4680</v>
      </c>
      <c r="B4735" s="166">
        <v>83.831863438602241</v>
      </c>
      <c r="D4735" s="39"/>
      <c r="E4735" s="39"/>
    </row>
    <row r="4736" spans="1:5" ht="15.6">
      <c r="A4736">
        <v>4681</v>
      </c>
      <c r="B4736" s="166">
        <v>58.448459521874888</v>
      </c>
      <c r="D4736" s="39"/>
      <c r="E4736" s="39"/>
    </row>
    <row r="4737" spans="1:5" ht="15.6">
      <c r="A4737">
        <v>4682</v>
      </c>
      <c r="B4737" s="166">
        <v>69.746420369388872</v>
      </c>
      <c r="D4737" s="39"/>
      <c r="E4737" s="39"/>
    </row>
    <row r="4738" spans="1:5" ht="15.6">
      <c r="A4738">
        <v>4683</v>
      </c>
      <c r="B4738" s="166">
        <v>205.11299516478485</v>
      </c>
      <c r="D4738" s="39"/>
      <c r="E4738" s="39"/>
    </row>
    <row r="4739" spans="1:5" ht="15.6">
      <c r="A4739">
        <v>4684</v>
      </c>
      <c r="B4739" s="166">
        <v>73.321063336085984</v>
      </c>
      <c r="D4739" s="39"/>
      <c r="E4739" s="39"/>
    </row>
    <row r="4740" spans="1:5" ht="15.6">
      <c r="A4740">
        <v>4685</v>
      </c>
      <c r="B4740" s="166">
        <v>167.67496657918261</v>
      </c>
      <c r="D4740" s="39"/>
      <c r="E4740" s="39"/>
    </row>
    <row r="4741" spans="1:5" ht="15.6">
      <c r="A4741">
        <v>4686</v>
      </c>
      <c r="B4741" s="166">
        <v>163.50064681668175</v>
      </c>
      <c r="D4741" s="39"/>
      <c r="E4741" s="39"/>
    </row>
    <row r="4742" spans="1:5" ht="15.6">
      <c r="A4742">
        <v>4687</v>
      </c>
      <c r="B4742" s="166">
        <v>77.588042094545756</v>
      </c>
      <c r="D4742" s="39"/>
      <c r="E4742" s="39"/>
    </row>
    <row r="4743" spans="1:5" ht="15.6">
      <c r="A4743">
        <v>4688</v>
      </c>
      <c r="B4743" s="166">
        <v>144.23383803880839</v>
      </c>
      <c r="D4743" s="39"/>
      <c r="E4743" s="39"/>
    </row>
    <row r="4744" spans="1:5" ht="15.6">
      <c r="A4744">
        <v>4689</v>
      </c>
      <c r="B4744" s="166">
        <v>123.89737064775869</v>
      </c>
      <c r="D4744" s="39"/>
      <c r="E4744" s="39"/>
    </row>
    <row r="4745" spans="1:5" ht="15.6">
      <c r="A4745">
        <v>4690</v>
      </c>
      <c r="B4745" s="166">
        <v>113.02972880681151</v>
      </c>
      <c r="D4745" s="39"/>
      <c r="E4745" s="39"/>
    </row>
    <row r="4746" spans="1:5" ht="15.6">
      <c r="A4746">
        <v>4691</v>
      </c>
      <c r="B4746" s="166">
        <v>206.77724341588791</v>
      </c>
      <c r="D4746" s="39"/>
      <c r="E4746" s="39"/>
    </row>
    <row r="4747" spans="1:5" ht="15.6">
      <c r="A4747">
        <v>4692</v>
      </c>
      <c r="B4747" s="166">
        <v>168.06245082097877</v>
      </c>
      <c r="D4747" s="39"/>
      <c r="E4747" s="39"/>
    </row>
    <row r="4748" spans="1:5" ht="15.6">
      <c r="A4748">
        <v>4693</v>
      </c>
      <c r="B4748" s="166">
        <v>64.118825856913006</v>
      </c>
      <c r="D4748" s="39"/>
      <c r="E4748" s="39"/>
    </row>
    <row r="4749" spans="1:5" ht="15.6">
      <c r="A4749">
        <v>4694</v>
      </c>
      <c r="B4749" s="166">
        <v>103.111382677222</v>
      </c>
      <c r="D4749" s="39"/>
      <c r="E4749" s="39"/>
    </row>
    <row r="4750" spans="1:5" ht="15.6">
      <c r="A4750">
        <v>4695</v>
      </c>
      <c r="B4750" s="166">
        <v>80.263037144782245</v>
      </c>
      <c r="D4750" s="39"/>
      <c r="E4750" s="39"/>
    </row>
    <row r="4751" spans="1:5" ht="15.6">
      <c r="A4751">
        <v>4696</v>
      </c>
      <c r="B4751" s="166">
        <v>205.79584315268659</v>
      </c>
      <c r="D4751" s="39"/>
      <c r="E4751" s="39"/>
    </row>
    <row r="4752" spans="1:5" ht="15.6">
      <c r="A4752">
        <v>4697</v>
      </c>
      <c r="B4752" s="166">
        <v>113.69870068093147</v>
      </c>
      <c r="D4752" s="39"/>
      <c r="E4752" s="39"/>
    </row>
    <row r="4753" spans="1:5" ht="15.6">
      <c r="A4753">
        <v>4698</v>
      </c>
      <c r="B4753" s="166">
        <v>70.977549740257331</v>
      </c>
      <c r="D4753" s="39"/>
      <c r="E4753" s="39"/>
    </row>
    <row r="4754" spans="1:5" ht="15.6">
      <c r="A4754">
        <v>4699</v>
      </c>
      <c r="B4754" s="166">
        <v>84.942487029727104</v>
      </c>
      <c r="D4754" s="39"/>
      <c r="E4754" s="39"/>
    </row>
    <row r="4755" spans="1:5" ht="15.6">
      <c r="A4755">
        <v>4700</v>
      </c>
      <c r="B4755" s="166">
        <v>225.5342456052166</v>
      </c>
      <c r="D4755" s="39"/>
      <c r="E4755" s="39"/>
    </row>
    <row r="4756" spans="1:5" ht="15.6">
      <c r="A4756">
        <v>4701</v>
      </c>
      <c r="B4756" s="166">
        <v>133.71828806216229</v>
      </c>
      <c r="D4756" s="39"/>
      <c r="E4756" s="39"/>
    </row>
    <row r="4757" spans="1:5" ht="15.6">
      <c r="A4757">
        <v>4702</v>
      </c>
      <c r="B4757" s="166">
        <v>66.155406807363249</v>
      </c>
      <c r="D4757" s="39"/>
      <c r="E4757" s="39"/>
    </row>
    <row r="4758" spans="1:5" ht="15.6">
      <c r="A4758">
        <v>4703</v>
      </c>
      <c r="B4758" s="166">
        <v>87.406819332601799</v>
      </c>
      <c r="D4758" s="39"/>
      <c r="E4758" s="39"/>
    </row>
    <row r="4759" spans="1:5" ht="15.6">
      <c r="A4759">
        <v>4704</v>
      </c>
      <c r="B4759" s="166">
        <v>125.10873062363729</v>
      </c>
      <c r="D4759" s="39"/>
      <c r="E4759" s="39"/>
    </row>
    <row r="4760" spans="1:5" ht="15.6">
      <c r="A4760">
        <v>4705</v>
      </c>
      <c r="B4760" s="166">
        <v>65.179173148465225</v>
      </c>
      <c r="D4760" s="39"/>
      <c r="E4760" s="39"/>
    </row>
    <row r="4761" spans="1:5" ht="15.6">
      <c r="A4761">
        <v>4706</v>
      </c>
      <c r="B4761" s="166">
        <v>83.81082601408518</v>
      </c>
      <c r="D4761" s="39"/>
      <c r="E4761" s="39"/>
    </row>
    <row r="4762" spans="1:5" ht="15.6">
      <c r="A4762">
        <v>4707</v>
      </c>
      <c r="B4762" s="166">
        <v>179.27838085178513</v>
      </c>
      <c r="D4762" s="39"/>
      <c r="E4762" s="39"/>
    </row>
    <row r="4763" spans="1:5" ht="15.6">
      <c r="A4763">
        <v>4708</v>
      </c>
      <c r="B4763" s="166">
        <v>129.19897445074909</v>
      </c>
      <c r="D4763" s="39"/>
      <c r="E4763" s="39"/>
    </row>
    <row r="4764" spans="1:5" ht="15.6">
      <c r="A4764">
        <v>4709</v>
      </c>
      <c r="B4764" s="166">
        <v>98.941699507520056</v>
      </c>
      <c r="D4764" s="39"/>
      <c r="E4764" s="39"/>
    </row>
    <row r="4765" spans="1:5" ht="15.6">
      <c r="A4765">
        <v>4710</v>
      </c>
      <c r="B4765" s="166">
        <v>119.20598760720456</v>
      </c>
      <c r="D4765" s="39"/>
      <c r="E4765" s="39"/>
    </row>
    <row r="4766" spans="1:5" ht="15.6">
      <c r="A4766">
        <v>4711</v>
      </c>
      <c r="B4766" s="166">
        <v>72.007654558516109</v>
      </c>
      <c r="D4766" s="39"/>
      <c r="E4766" s="39"/>
    </row>
    <row r="4767" spans="1:5" ht="15.6">
      <c r="A4767">
        <v>4712</v>
      </c>
      <c r="B4767" s="166">
        <v>155.63109252603229</v>
      </c>
      <c r="D4767" s="39"/>
      <c r="E4767" s="39"/>
    </row>
    <row r="4768" spans="1:5" ht="15.6">
      <c r="A4768">
        <v>4713</v>
      </c>
      <c r="B4768" s="166">
        <v>102.91771354708511</v>
      </c>
      <c r="D4768" s="39"/>
      <c r="E4768" s="39"/>
    </row>
    <row r="4769" spans="1:5" ht="15.6">
      <c r="A4769">
        <v>4714</v>
      </c>
      <c r="B4769" s="166">
        <v>91.62424000198979</v>
      </c>
      <c r="D4769" s="39"/>
      <c r="E4769" s="39"/>
    </row>
    <row r="4770" spans="1:5" ht="15.6">
      <c r="A4770">
        <v>4715</v>
      </c>
      <c r="B4770" s="166">
        <v>90.575347217563731</v>
      </c>
      <c r="D4770" s="39"/>
      <c r="E4770" s="39"/>
    </row>
    <row r="4771" spans="1:5" ht="15.6">
      <c r="A4771">
        <v>4716</v>
      </c>
      <c r="B4771" s="166">
        <v>113.89572718751879</v>
      </c>
      <c r="D4771" s="39"/>
      <c r="E4771" s="39"/>
    </row>
    <row r="4772" spans="1:5" ht="15.6">
      <c r="A4772">
        <v>4717</v>
      </c>
      <c r="B4772" s="166">
        <v>93.438828262010446</v>
      </c>
      <c r="D4772" s="39"/>
      <c r="E4772" s="39"/>
    </row>
    <row r="4773" spans="1:5" ht="15.6">
      <c r="A4773">
        <v>4718</v>
      </c>
      <c r="B4773" s="166">
        <v>69.423116597344432</v>
      </c>
      <c r="D4773" s="39"/>
      <c r="E4773" s="39"/>
    </row>
    <row r="4774" spans="1:5" ht="15.6">
      <c r="A4774">
        <v>4719</v>
      </c>
      <c r="B4774" s="166">
        <v>76.391082827982558</v>
      </c>
      <c r="D4774" s="39"/>
      <c r="E4774" s="39"/>
    </row>
    <row r="4775" spans="1:5" ht="15.6">
      <c r="A4775">
        <v>4720</v>
      </c>
      <c r="B4775" s="166">
        <v>150.38703059764225</v>
      </c>
      <c r="D4775" s="39"/>
      <c r="E4775" s="39"/>
    </row>
    <row r="4776" spans="1:5" ht="15.6">
      <c r="A4776">
        <v>4721</v>
      </c>
      <c r="B4776" s="166">
        <v>139.79069180488895</v>
      </c>
      <c r="D4776" s="39"/>
      <c r="E4776" s="39"/>
    </row>
    <row r="4777" spans="1:5" ht="15.6">
      <c r="A4777">
        <v>4722</v>
      </c>
      <c r="B4777" s="166">
        <v>193.18921999700711</v>
      </c>
      <c r="D4777" s="39"/>
      <c r="E4777" s="39"/>
    </row>
    <row r="4778" spans="1:5" ht="15.6">
      <c r="A4778">
        <v>4723</v>
      </c>
      <c r="B4778" s="166">
        <v>88.485047150226734</v>
      </c>
      <c r="D4778" s="39"/>
      <c r="E4778" s="39"/>
    </row>
    <row r="4779" spans="1:5" ht="15.6">
      <c r="A4779">
        <v>4724</v>
      </c>
      <c r="B4779" s="166">
        <v>123.40232798263372</v>
      </c>
      <c r="D4779" s="39"/>
      <c r="E4779" s="39"/>
    </row>
    <row r="4780" spans="1:5" ht="15.6">
      <c r="A4780">
        <v>4725</v>
      </c>
      <c r="B4780" s="166">
        <v>76.112757678667847</v>
      </c>
      <c r="D4780" s="39"/>
      <c r="E4780" s="39"/>
    </row>
    <row r="4781" spans="1:5" ht="15.6">
      <c r="A4781">
        <v>4726</v>
      </c>
      <c r="B4781" s="166">
        <v>139.50591818451704</v>
      </c>
      <c r="D4781" s="39"/>
      <c r="E4781" s="39"/>
    </row>
    <row r="4782" spans="1:5" ht="15.6">
      <c r="A4782">
        <v>4727</v>
      </c>
      <c r="B4782" s="166">
        <v>76.284621965481364</v>
      </c>
      <c r="D4782" s="39"/>
      <c r="E4782" s="39"/>
    </row>
    <row r="4783" spans="1:5" ht="15.6">
      <c r="A4783">
        <v>4728</v>
      </c>
      <c r="B4783" s="166">
        <v>87.014276669166136</v>
      </c>
      <c r="D4783" s="39"/>
      <c r="E4783" s="39"/>
    </row>
    <row r="4784" spans="1:5" ht="15.6">
      <c r="A4784">
        <v>4729</v>
      </c>
      <c r="B4784" s="166">
        <v>104.89166482061977</v>
      </c>
      <c r="D4784" s="39"/>
      <c r="E4784" s="39"/>
    </row>
    <row r="4785" spans="1:5" ht="15.6">
      <c r="A4785">
        <v>4730</v>
      </c>
      <c r="B4785" s="166">
        <v>198.92606637420778</v>
      </c>
      <c r="D4785" s="39"/>
      <c r="E4785" s="39"/>
    </row>
    <row r="4786" spans="1:5" ht="15.6">
      <c r="A4786">
        <v>4731</v>
      </c>
      <c r="B4786" s="166">
        <v>107.53533239551071</v>
      </c>
      <c r="D4786" s="39"/>
      <c r="E4786" s="39"/>
    </row>
    <row r="4787" spans="1:5" ht="15.6">
      <c r="A4787">
        <v>4732</v>
      </c>
      <c r="B4787" s="166">
        <v>140.67085220120779</v>
      </c>
      <c r="D4787" s="39"/>
      <c r="E4787" s="39"/>
    </row>
    <row r="4788" spans="1:5" ht="15.6">
      <c r="A4788">
        <v>4733</v>
      </c>
      <c r="B4788" s="166">
        <v>158.69345097257778</v>
      </c>
      <c r="D4788" s="39"/>
      <c r="E4788" s="39"/>
    </row>
    <row r="4789" spans="1:5" ht="15.6">
      <c r="A4789">
        <v>4734</v>
      </c>
      <c r="B4789" s="166">
        <v>68.368119446575449</v>
      </c>
      <c r="D4789" s="39"/>
      <c r="E4789" s="39"/>
    </row>
    <row r="4790" spans="1:5" ht="15.6">
      <c r="A4790">
        <v>4735</v>
      </c>
      <c r="B4790" s="166">
        <v>111.3861355708906</v>
      </c>
      <c r="D4790" s="39"/>
      <c r="E4790" s="39"/>
    </row>
    <row r="4791" spans="1:5" ht="15.6">
      <c r="A4791">
        <v>4736</v>
      </c>
      <c r="B4791" s="166">
        <v>98.069895563314077</v>
      </c>
      <c r="D4791" s="39"/>
      <c r="E4791" s="39"/>
    </row>
    <row r="4792" spans="1:5" ht="15.6">
      <c r="A4792">
        <v>4737</v>
      </c>
      <c r="B4792" s="166">
        <v>108.40359890503078</v>
      </c>
      <c r="D4792" s="39"/>
      <c r="E4792" s="39"/>
    </row>
    <row r="4793" spans="1:5" ht="15.6">
      <c r="A4793">
        <v>4738</v>
      </c>
      <c r="B4793" s="166">
        <v>62.546768698466131</v>
      </c>
      <c r="D4793" s="39"/>
      <c r="E4793" s="39"/>
    </row>
    <row r="4794" spans="1:5" ht="15.6">
      <c r="A4794">
        <v>4739</v>
      </c>
      <c r="B4794" s="166">
        <v>160.74298321041098</v>
      </c>
      <c r="D4794" s="39"/>
      <c r="E4794" s="39"/>
    </row>
    <row r="4795" spans="1:5" ht="15.6">
      <c r="A4795">
        <v>4740</v>
      </c>
      <c r="B4795" s="166">
        <v>108.69194183777493</v>
      </c>
      <c r="D4795" s="39"/>
      <c r="E4795" s="39"/>
    </row>
    <row r="4796" spans="1:5" ht="15.6">
      <c r="A4796">
        <v>4741</v>
      </c>
      <c r="B4796" s="166">
        <v>123.4737137140512</v>
      </c>
      <c r="D4796" s="39"/>
      <c r="E4796" s="39"/>
    </row>
    <row r="4797" spans="1:5" ht="15.6">
      <c r="A4797">
        <v>4742</v>
      </c>
      <c r="B4797" s="166">
        <v>81.20009941057269</v>
      </c>
      <c r="D4797" s="39"/>
      <c r="E4797" s="39"/>
    </row>
    <row r="4798" spans="1:5" ht="15.6">
      <c r="A4798">
        <v>4743</v>
      </c>
      <c r="B4798" s="166">
        <v>123.6326978940251</v>
      </c>
      <c r="D4798" s="39"/>
      <c r="E4798" s="39"/>
    </row>
    <row r="4799" spans="1:5" ht="15.6">
      <c r="A4799">
        <v>4744</v>
      </c>
      <c r="B4799" s="166">
        <v>105.6926681224252</v>
      </c>
      <c r="D4799" s="39"/>
      <c r="E4799" s="39"/>
    </row>
    <row r="4800" spans="1:5" ht="15.6">
      <c r="A4800">
        <v>4745</v>
      </c>
      <c r="B4800" s="166">
        <v>112.28093385413342</v>
      </c>
      <c r="D4800" s="39"/>
      <c r="E4800" s="39"/>
    </row>
    <row r="4801" spans="1:5" ht="15.6">
      <c r="A4801">
        <v>4746</v>
      </c>
      <c r="B4801" s="166">
        <v>74.19956760153454</v>
      </c>
      <c r="D4801" s="39"/>
      <c r="E4801" s="39"/>
    </row>
    <row r="4802" spans="1:5" ht="15.6">
      <c r="A4802">
        <v>4747</v>
      </c>
      <c r="B4802" s="166">
        <v>115.76592824017015</v>
      </c>
      <c r="D4802" s="39"/>
      <c r="E4802" s="39"/>
    </row>
    <row r="4803" spans="1:5" ht="15.6">
      <c r="A4803">
        <v>4748</v>
      </c>
      <c r="B4803" s="166">
        <v>68.624789875764037</v>
      </c>
      <c r="D4803" s="39"/>
      <c r="E4803" s="39"/>
    </row>
    <row r="4804" spans="1:5" ht="15.6">
      <c r="A4804">
        <v>4749</v>
      </c>
      <c r="B4804" s="166">
        <v>122.39994703064835</v>
      </c>
      <c r="D4804" s="39"/>
      <c r="E4804" s="39"/>
    </row>
    <row r="4805" spans="1:5" ht="15.6">
      <c r="A4805">
        <v>4750</v>
      </c>
      <c r="B4805" s="166">
        <v>111.67357129848381</v>
      </c>
      <c r="D4805" s="39"/>
      <c r="E4805" s="39"/>
    </row>
    <row r="4806" spans="1:5" ht="15.6">
      <c r="A4806">
        <v>4751</v>
      </c>
      <c r="B4806" s="166">
        <v>101.37314204859206</v>
      </c>
      <c r="D4806" s="39"/>
      <c r="E4806" s="39"/>
    </row>
    <row r="4807" spans="1:5" ht="15.6">
      <c r="A4807">
        <v>4752</v>
      </c>
      <c r="B4807" s="166">
        <v>139.6504138308301</v>
      </c>
      <c r="D4807" s="39"/>
      <c r="E4807" s="39"/>
    </row>
    <row r="4808" spans="1:5" ht="15.6">
      <c r="A4808">
        <v>4753</v>
      </c>
      <c r="B4808" s="166">
        <v>201.06192119446371</v>
      </c>
      <c r="D4808" s="39"/>
      <c r="E4808" s="39"/>
    </row>
    <row r="4809" spans="1:5" ht="15.6">
      <c r="A4809">
        <v>4754</v>
      </c>
      <c r="B4809" s="166">
        <v>76.707428443811608</v>
      </c>
      <c r="D4809" s="39"/>
      <c r="E4809" s="39"/>
    </row>
    <row r="4810" spans="1:5" ht="15.6">
      <c r="A4810">
        <v>4755</v>
      </c>
      <c r="B4810" s="166">
        <v>72.741913175720498</v>
      </c>
      <c r="D4810" s="39"/>
      <c r="E4810" s="39"/>
    </row>
    <row r="4811" spans="1:5" ht="15.6">
      <c r="A4811">
        <v>4756</v>
      </c>
      <c r="B4811" s="166">
        <v>144.74738480812479</v>
      </c>
      <c r="D4811" s="39"/>
      <c r="E4811" s="39"/>
    </row>
    <row r="4812" spans="1:5" ht="15.6">
      <c r="A4812">
        <v>4757</v>
      </c>
      <c r="B4812" s="166">
        <v>118.47201755413963</v>
      </c>
      <c r="D4812" s="39"/>
      <c r="E4812" s="39"/>
    </row>
    <row r="4813" spans="1:5" ht="15.6">
      <c r="A4813">
        <v>4758</v>
      </c>
      <c r="B4813" s="166">
        <v>89.155207194826772</v>
      </c>
      <c r="D4813" s="39"/>
      <c r="E4813" s="39"/>
    </row>
    <row r="4814" spans="1:5" ht="15.6">
      <c r="A4814">
        <v>4759</v>
      </c>
      <c r="B4814" s="166">
        <v>62.1987127008653</v>
      </c>
      <c r="D4814" s="39"/>
      <c r="E4814" s="39"/>
    </row>
    <row r="4815" spans="1:5" ht="15.6">
      <c r="A4815">
        <v>4760</v>
      </c>
      <c r="B4815" s="166">
        <v>128.29493548289619</v>
      </c>
      <c r="D4815" s="39"/>
      <c r="E4815" s="39"/>
    </row>
    <row r="4816" spans="1:5" ht="15.6">
      <c r="A4816">
        <v>4761</v>
      </c>
      <c r="B4816" s="166">
        <v>125.73026406348238</v>
      </c>
      <c r="D4816" s="39"/>
      <c r="E4816" s="39"/>
    </row>
    <row r="4817" spans="1:5" ht="15.6">
      <c r="A4817">
        <v>4762</v>
      </c>
      <c r="B4817" s="166">
        <v>70.571043806034979</v>
      </c>
      <c r="D4817" s="39"/>
      <c r="E4817" s="39"/>
    </row>
    <row r="4818" spans="1:5" ht="15.6">
      <c r="A4818">
        <v>4763</v>
      </c>
      <c r="B4818" s="166">
        <v>72.349158988759697</v>
      </c>
      <c r="D4818" s="39"/>
      <c r="E4818" s="39"/>
    </row>
    <row r="4819" spans="1:5" ht="15.6">
      <c r="A4819">
        <v>4764</v>
      </c>
      <c r="B4819" s="166">
        <v>150.08336005386136</v>
      </c>
      <c r="D4819" s="39"/>
      <c r="E4819" s="39"/>
    </row>
    <row r="4820" spans="1:5" ht="15.6">
      <c r="A4820">
        <v>4765</v>
      </c>
      <c r="B4820" s="166">
        <v>58.918568273955081</v>
      </c>
      <c r="D4820" s="39"/>
      <c r="E4820" s="39"/>
    </row>
    <row r="4821" spans="1:5" ht="15.6">
      <c r="A4821">
        <v>4766</v>
      </c>
      <c r="B4821" s="166">
        <v>63.009544816943134</v>
      </c>
      <c r="D4821" s="39"/>
      <c r="E4821" s="39"/>
    </row>
    <row r="4822" spans="1:5" ht="15.6">
      <c r="A4822">
        <v>4767</v>
      </c>
      <c r="B4822" s="166">
        <v>145.00367972100688</v>
      </c>
      <c r="D4822" s="39"/>
      <c r="E4822" s="39"/>
    </row>
    <row r="4823" spans="1:5" ht="15.6">
      <c r="A4823">
        <v>4768</v>
      </c>
      <c r="B4823" s="166">
        <v>98.564371277783266</v>
      </c>
      <c r="D4823" s="39"/>
      <c r="E4823" s="39"/>
    </row>
    <row r="4824" spans="1:5" ht="15.6">
      <c r="A4824">
        <v>4769</v>
      </c>
      <c r="B4824" s="166">
        <v>82.529333056846411</v>
      </c>
      <c r="D4824" s="39"/>
      <c r="E4824" s="39"/>
    </row>
    <row r="4825" spans="1:5" ht="15.6">
      <c r="A4825">
        <v>4770</v>
      </c>
      <c r="B4825" s="166">
        <v>77.100041904794836</v>
      </c>
      <c r="D4825" s="39"/>
      <c r="E4825" s="39"/>
    </row>
    <row r="4826" spans="1:5" ht="15.6">
      <c r="A4826">
        <v>4771</v>
      </c>
      <c r="B4826" s="166">
        <v>91.127493694339506</v>
      </c>
      <c r="D4826" s="39"/>
      <c r="E4826" s="39"/>
    </row>
    <row r="4827" spans="1:5" ht="15.6">
      <c r="A4827">
        <v>4772</v>
      </c>
      <c r="B4827" s="166">
        <v>130.21157887178961</v>
      </c>
      <c r="D4827" s="39"/>
      <c r="E4827" s="39"/>
    </row>
    <row r="4828" spans="1:5" ht="15.6">
      <c r="A4828">
        <v>4773</v>
      </c>
      <c r="B4828" s="166">
        <v>69.880042581860764</v>
      </c>
      <c r="D4828" s="39"/>
      <c r="E4828" s="39"/>
    </row>
    <row r="4829" spans="1:5" ht="15.6">
      <c r="A4829">
        <v>4774</v>
      </c>
      <c r="B4829" s="166">
        <v>129.57014745833382</v>
      </c>
      <c r="D4829" s="39"/>
      <c r="E4829" s="39"/>
    </row>
    <row r="4830" spans="1:5" ht="15.6">
      <c r="A4830">
        <v>4775</v>
      </c>
      <c r="B4830" s="166">
        <v>108.39222480902592</v>
      </c>
      <c r="D4830" s="39"/>
      <c r="E4830" s="39"/>
    </row>
    <row r="4831" spans="1:5" ht="15.6">
      <c r="A4831">
        <v>4776</v>
      </c>
      <c r="B4831" s="166">
        <v>160.34767943678733</v>
      </c>
      <c r="D4831" s="39"/>
      <c r="E4831" s="39"/>
    </row>
    <row r="4832" spans="1:5" ht="15.6">
      <c r="A4832">
        <v>4777</v>
      </c>
      <c r="B4832" s="166">
        <v>79.185151506234078</v>
      </c>
      <c r="D4832" s="39"/>
      <c r="E4832" s="39"/>
    </row>
    <row r="4833" spans="1:5" ht="15.6">
      <c r="A4833">
        <v>4778</v>
      </c>
      <c r="B4833" s="166">
        <v>100.7958689513467</v>
      </c>
      <c r="D4833" s="39"/>
      <c r="E4833" s="39"/>
    </row>
    <row r="4834" spans="1:5" ht="15.6">
      <c r="A4834">
        <v>4779</v>
      </c>
      <c r="B4834" s="166">
        <v>143.00463401815622</v>
      </c>
      <c r="D4834" s="39"/>
      <c r="E4834" s="39"/>
    </row>
    <row r="4835" spans="1:5" ht="15.6">
      <c r="A4835">
        <v>4780</v>
      </c>
      <c r="B4835" s="166">
        <v>94.386911635960018</v>
      </c>
      <c r="D4835" s="39"/>
      <c r="E4835" s="39"/>
    </row>
    <row r="4836" spans="1:5" ht="15.6">
      <c r="A4836">
        <v>4781</v>
      </c>
      <c r="B4836" s="166">
        <v>73.316886788350885</v>
      </c>
      <c r="D4836" s="39"/>
      <c r="E4836" s="39"/>
    </row>
    <row r="4837" spans="1:5" ht="15.6">
      <c r="A4837">
        <v>4782</v>
      </c>
      <c r="B4837" s="166">
        <v>88.544179145581836</v>
      </c>
      <c r="D4837" s="39"/>
      <c r="E4837" s="39"/>
    </row>
    <row r="4838" spans="1:5" ht="15.6">
      <c r="A4838">
        <v>4783</v>
      </c>
      <c r="B4838" s="166">
        <v>181.73431999332848</v>
      </c>
      <c r="D4838" s="39"/>
      <c r="E4838" s="39"/>
    </row>
    <row r="4839" spans="1:5" ht="15.6">
      <c r="A4839">
        <v>4784</v>
      </c>
      <c r="B4839" s="166">
        <v>94.746615651052039</v>
      </c>
      <c r="D4839" s="39"/>
      <c r="E4839" s="39"/>
    </row>
    <row r="4840" spans="1:5" ht="15.6">
      <c r="A4840">
        <v>4785</v>
      </c>
      <c r="B4840" s="166">
        <v>108.04140465098125</v>
      </c>
      <c r="D4840" s="39"/>
      <c r="E4840" s="39"/>
    </row>
    <row r="4841" spans="1:5" ht="15.6">
      <c r="A4841">
        <v>4786</v>
      </c>
      <c r="B4841" s="166">
        <v>162.37873279856686</v>
      </c>
      <c r="D4841" s="39"/>
      <c r="E4841" s="39"/>
    </row>
    <row r="4842" spans="1:5" ht="15.6">
      <c r="A4842">
        <v>4787</v>
      </c>
      <c r="B4842" s="166">
        <v>83.184138506805709</v>
      </c>
      <c r="D4842" s="39"/>
      <c r="E4842" s="39"/>
    </row>
    <row r="4843" spans="1:5" ht="15.6">
      <c r="A4843">
        <v>4788</v>
      </c>
      <c r="B4843" s="166">
        <v>84.678030659479688</v>
      </c>
      <c r="D4843" s="39"/>
      <c r="E4843" s="39"/>
    </row>
    <row r="4844" spans="1:5" ht="15.6">
      <c r="A4844">
        <v>4789</v>
      </c>
      <c r="B4844" s="166">
        <v>72.482087026936568</v>
      </c>
      <c r="D4844" s="39"/>
      <c r="E4844" s="39"/>
    </row>
    <row r="4845" spans="1:5" ht="15.6">
      <c r="A4845">
        <v>4790</v>
      </c>
      <c r="B4845" s="166">
        <v>83.136217826342943</v>
      </c>
      <c r="D4845" s="39"/>
      <c r="E4845" s="39"/>
    </row>
    <row r="4846" spans="1:5" ht="15.6">
      <c r="A4846">
        <v>4791</v>
      </c>
      <c r="B4846" s="166">
        <v>84.131052022225845</v>
      </c>
      <c r="D4846" s="39"/>
      <c r="E4846" s="39"/>
    </row>
    <row r="4847" spans="1:5" ht="15.6">
      <c r="A4847">
        <v>4792</v>
      </c>
      <c r="B4847" s="166">
        <v>85.229463000030776</v>
      </c>
      <c r="D4847" s="39"/>
      <c r="E4847" s="39"/>
    </row>
    <row r="4848" spans="1:5" ht="15.6">
      <c r="A4848">
        <v>4793</v>
      </c>
      <c r="B4848" s="166">
        <v>100.8895036488787</v>
      </c>
      <c r="D4848" s="39"/>
      <c r="E4848" s="39"/>
    </row>
    <row r="4849" spans="1:5" ht="15.6">
      <c r="A4849">
        <v>4794</v>
      </c>
      <c r="B4849" s="166">
        <v>90.154217857487836</v>
      </c>
      <c r="D4849" s="39"/>
      <c r="E4849" s="39"/>
    </row>
    <row r="4850" spans="1:5" ht="15.6">
      <c r="A4850">
        <v>4795</v>
      </c>
      <c r="B4850" s="166">
        <v>69.189562010649638</v>
      </c>
      <c r="D4850" s="39"/>
      <c r="E4850" s="39"/>
    </row>
    <row r="4851" spans="1:5" ht="15.6">
      <c r="A4851">
        <v>4796</v>
      </c>
      <c r="B4851" s="166">
        <v>70.473005902714945</v>
      </c>
      <c r="D4851" s="39"/>
      <c r="E4851" s="39"/>
    </row>
    <row r="4852" spans="1:5" ht="15.6">
      <c r="A4852">
        <v>4797</v>
      </c>
      <c r="B4852" s="166">
        <v>61.831039406264303</v>
      </c>
      <c r="D4852" s="39"/>
      <c r="E4852" s="39"/>
    </row>
    <row r="4853" spans="1:5" ht="15.6">
      <c r="A4853">
        <v>4798</v>
      </c>
      <c r="B4853" s="166">
        <v>107.29188944120533</v>
      </c>
      <c r="D4853" s="39"/>
      <c r="E4853" s="39"/>
    </row>
    <row r="4854" spans="1:5" ht="15.6">
      <c r="A4854">
        <v>4799</v>
      </c>
      <c r="B4854" s="166">
        <v>198.90723342559326</v>
      </c>
      <c r="D4854" s="39"/>
      <c r="E4854" s="39"/>
    </row>
    <row r="4855" spans="1:5" ht="15.6">
      <c r="A4855">
        <v>4800</v>
      </c>
      <c r="B4855" s="166">
        <v>110.19099461960506</v>
      </c>
      <c r="D4855" s="39"/>
      <c r="E4855" s="39"/>
    </row>
    <row r="4856" spans="1:5" ht="15.6">
      <c r="A4856">
        <v>4801</v>
      </c>
      <c r="B4856" s="166">
        <v>120.85076257075748</v>
      </c>
      <c r="D4856" s="39"/>
      <c r="E4856" s="39"/>
    </row>
    <row r="4857" spans="1:5" ht="15.6">
      <c r="A4857">
        <v>4802</v>
      </c>
      <c r="B4857" s="166">
        <v>62.879991207415969</v>
      </c>
      <c r="D4857" s="39"/>
      <c r="E4857" s="39"/>
    </row>
    <row r="4858" spans="1:5" ht="15.6">
      <c r="A4858">
        <v>4803</v>
      </c>
      <c r="B4858" s="166">
        <v>75.785744289050982</v>
      </c>
      <c r="D4858" s="39"/>
      <c r="E4858" s="39"/>
    </row>
    <row r="4859" spans="1:5" ht="15.6">
      <c r="A4859">
        <v>4804</v>
      </c>
      <c r="B4859" s="166">
        <v>110.49932991748643</v>
      </c>
      <c r="D4859" s="39"/>
      <c r="E4859" s="39"/>
    </row>
    <row r="4860" spans="1:5" ht="15.6">
      <c r="A4860">
        <v>4805</v>
      </c>
      <c r="B4860" s="166">
        <v>78.572029223801081</v>
      </c>
      <c r="D4860" s="39"/>
      <c r="E4860" s="39"/>
    </row>
    <row r="4861" spans="1:5" ht="15.6">
      <c r="A4861">
        <v>4806</v>
      </c>
      <c r="B4861" s="166">
        <v>133.5383472446467</v>
      </c>
      <c r="D4861" s="39"/>
      <c r="E4861" s="39"/>
    </row>
    <row r="4862" spans="1:5" ht="15.6">
      <c r="A4862">
        <v>4807</v>
      </c>
      <c r="B4862" s="166">
        <v>124.54980089082267</v>
      </c>
      <c r="D4862" s="39"/>
      <c r="E4862" s="39"/>
    </row>
    <row r="4863" spans="1:5" ht="15.6">
      <c r="A4863">
        <v>4808</v>
      </c>
      <c r="B4863" s="166">
        <v>140.90197132149072</v>
      </c>
      <c r="D4863" s="39"/>
      <c r="E4863" s="39"/>
    </row>
    <row r="4864" spans="1:5" ht="15.6">
      <c r="A4864">
        <v>4809</v>
      </c>
      <c r="B4864" s="166">
        <v>50.134952335289121</v>
      </c>
      <c r="D4864" s="39"/>
      <c r="E4864" s="39"/>
    </row>
    <row r="4865" spans="1:5" ht="15.6">
      <c r="A4865">
        <v>4810</v>
      </c>
      <c r="B4865" s="166">
        <v>65.153491671603248</v>
      </c>
      <c r="D4865" s="39"/>
      <c r="E4865" s="39"/>
    </row>
    <row r="4866" spans="1:5" ht="15.6">
      <c r="A4866">
        <v>4811</v>
      </c>
      <c r="B4866" s="166">
        <v>48.44797846465049</v>
      </c>
      <c r="D4866" s="39"/>
      <c r="E4866" s="39"/>
    </row>
    <row r="4867" spans="1:5" ht="15.6">
      <c r="A4867">
        <v>4812</v>
      </c>
      <c r="B4867" s="166">
        <v>205.04270128442698</v>
      </c>
      <c r="D4867" s="39"/>
      <c r="E4867" s="39"/>
    </row>
    <row r="4868" spans="1:5" ht="15.6">
      <c r="A4868">
        <v>4813</v>
      </c>
      <c r="B4868" s="166">
        <v>116.60896572690071</v>
      </c>
      <c r="D4868" s="39"/>
      <c r="E4868" s="39"/>
    </row>
    <row r="4869" spans="1:5" ht="15.6">
      <c r="A4869">
        <v>4814</v>
      </c>
      <c r="B4869" s="166">
        <v>88.246479788022882</v>
      </c>
      <c r="D4869" s="39"/>
      <c r="E4869" s="39"/>
    </row>
    <row r="4870" spans="1:5" ht="15.6">
      <c r="A4870">
        <v>4815</v>
      </c>
      <c r="B4870" s="166">
        <v>87.379596662890179</v>
      </c>
      <c r="D4870" s="39"/>
      <c r="E4870" s="39"/>
    </row>
    <row r="4871" spans="1:5" ht="15.6">
      <c r="A4871">
        <v>4816</v>
      </c>
      <c r="B4871" s="166">
        <v>84.150986153268946</v>
      </c>
      <c r="D4871" s="39"/>
      <c r="E4871" s="39"/>
    </row>
    <row r="4872" spans="1:5" ht="15.6">
      <c r="A4872">
        <v>4817</v>
      </c>
      <c r="B4872" s="166">
        <v>113.78327154894369</v>
      </c>
      <c r="D4872" s="39"/>
      <c r="E4872" s="39"/>
    </row>
    <row r="4873" spans="1:5" ht="15.6">
      <c r="A4873">
        <v>4818</v>
      </c>
      <c r="B4873" s="166">
        <v>132.62787379422994</v>
      </c>
      <c r="D4873" s="39"/>
      <c r="E4873" s="39"/>
    </row>
    <row r="4874" spans="1:5" ht="15.6">
      <c r="A4874">
        <v>4819</v>
      </c>
      <c r="B4874" s="166">
        <v>70.175614485975032</v>
      </c>
      <c r="D4874" s="39"/>
      <c r="E4874" s="39"/>
    </row>
    <row r="4875" spans="1:5" ht="15.6">
      <c r="A4875">
        <v>4820</v>
      </c>
      <c r="B4875" s="166">
        <v>86.48736072783467</v>
      </c>
      <c r="D4875" s="39"/>
      <c r="E4875" s="39"/>
    </row>
    <row r="4876" spans="1:5" ht="15.6">
      <c r="A4876">
        <v>4821</v>
      </c>
      <c r="B4876" s="166">
        <v>70.59466653883112</v>
      </c>
      <c r="D4876" s="39"/>
      <c r="E4876" s="39"/>
    </row>
    <row r="4877" spans="1:5" ht="15.6">
      <c r="A4877">
        <v>4822</v>
      </c>
      <c r="B4877" s="166">
        <v>79.254210715036194</v>
      </c>
      <c r="D4877" s="39"/>
      <c r="E4877" s="39"/>
    </row>
    <row r="4878" spans="1:5" ht="15.6">
      <c r="A4878">
        <v>4823</v>
      </c>
      <c r="B4878" s="166">
        <v>78.589216883033899</v>
      </c>
      <c r="D4878" s="39"/>
      <c r="E4878" s="39"/>
    </row>
    <row r="4879" spans="1:5" ht="15.6">
      <c r="A4879">
        <v>4824</v>
      </c>
      <c r="B4879" s="166">
        <v>120.59106403387644</v>
      </c>
      <c r="D4879" s="39"/>
      <c r="E4879" s="39"/>
    </row>
    <row r="4880" spans="1:5" ht="15.6">
      <c r="A4880">
        <v>4825</v>
      </c>
      <c r="B4880" s="166">
        <v>181.60797537397184</v>
      </c>
      <c r="D4880" s="39"/>
      <c r="E4880" s="39"/>
    </row>
    <row r="4881" spans="1:5" ht="15.6">
      <c r="A4881">
        <v>4826</v>
      </c>
      <c r="B4881" s="166">
        <v>119.17944408749585</v>
      </c>
      <c r="D4881" s="39"/>
      <c r="E4881" s="39"/>
    </row>
    <row r="4882" spans="1:5" ht="15.6">
      <c r="A4882">
        <v>4827</v>
      </c>
      <c r="B4882" s="166">
        <v>66.96002500014869</v>
      </c>
      <c r="D4882" s="39"/>
      <c r="E4882" s="39"/>
    </row>
    <row r="4883" spans="1:5" ht="15.6">
      <c r="A4883">
        <v>4828</v>
      </c>
      <c r="B4883" s="166">
        <v>165.78945595397613</v>
      </c>
      <c r="D4883" s="39"/>
      <c r="E4883" s="39"/>
    </row>
    <row r="4884" spans="1:5" ht="15.6">
      <c r="A4884">
        <v>4829</v>
      </c>
      <c r="B4884" s="166">
        <v>106.55795006533246</v>
      </c>
      <c r="D4884" s="39"/>
      <c r="E4884" s="39"/>
    </row>
    <row r="4885" spans="1:5" ht="15.6">
      <c r="A4885">
        <v>4830</v>
      </c>
      <c r="B4885" s="166">
        <v>108.91445768687757</v>
      </c>
      <c r="D4885" s="39"/>
      <c r="E4885" s="39"/>
    </row>
    <row r="4886" spans="1:5" ht="15.6">
      <c r="A4886">
        <v>4831</v>
      </c>
      <c r="B4886" s="166">
        <v>77.072769915635305</v>
      </c>
      <c r="D4886" s="39"/>
      <c r="E4886" s="39"/>
    </row>
    <row r="4887" spans="1:5" ht="15.6">
      <c r="A4887">
        <v>4832</v>
      </c>
      <c r="B4887" s="166">
        <v>109.67799419297538</v>
      </c>
      <c r="D4887" s="39"/>
      <c r="E4887" s="39"/>
    </row>
    <row r="4888" spans="1:5" ht="15.6">
      <c r="A4888">
        <v>4833</v>
      </c>
      <c r="B4888" s="166">
        <v>130.00294786406349</v>
      </c>
      <c r="D4888" s="39"/>
      <c r="E4888" s="39"/>
    </row>
    <row r="4889" spans="1:5" ht="15.6">
      <c r="A4889">
        <v>4834</v>
      </c>
      <c r="B4889" s="166">
        <v>73.72356618833912</v>
      </c>
      <c r="D4889" s="39"/>
      <c r="E4889" s="39"/>
    </row>
    <row r="4890" spans="1:5" ht="15.6">
      <c r="A4890">
        <v>4835</v>
      </c>
      <c r="B4890" s="166">
        <v>135.79628394920252</v>
      </c>
      <c r="D4890" s="39"/>
      <c r="E4890" s="39"/>
    </row>
    <row r="4891" spans="1:5" ht="15.6">
      <c r="A4891">
        <v>4836</v>
      </c>
      <c r="B4891" s="166">
        <v>96.07780801333378</v>
      </c>
      <c r="D4891" s="39"/>
      <c r="E4891" s="39"/>
    </row>
    <row r="4892" spans="1:5" ht="15.6">
      <c r="A4892">
        <v>4837</v>
      </c>
      <c r="B4892" s="166">
        <v>137.67554468020697</v>
      </c>
      <c r="D4892" s="39"/>
      <c r="E4892" s="39"/>
    </row>
    <row r="4893" spans="1:5" ht="15.6">
      <c r="A4893">
        <v>4838</v>
      </c>
      <c r="B4893" s="166">
        <v>135.08349670993309</v>
      </c>
      <c r="D4893" s="39"/>
      <c r="E4893" s="39"/>
    </row>
    <row r="4894" spans="1:5" ht="15.6">
      <c r="A4894">
        <v>4839</v>
      </c>
      <c r="B4894" s="166">
        <v>144.57340791303508</v>
      </c>
      <c r="D4894" s="39"/>
      <c r="E4894" s="39"/>
    </row>
    <row r="4895" spans="1:5" ht="15.6">
      <c r="A4895">
        <v>4840</v>
      </c>
      <c r="B4895" s="166">
        <v>52.512225428989325</v>
      </c>
      <c r="D4895" s="39"/>
      <c r="E4895" s="39"/>
    </row>
    <row r="4896" spans="1:5" ht="15.6">
      <c r="A4896">
        <v>4841</v>
      </c>
      <c r="B4896" s="166">
        <v>105.34197737749557</v>
      </c>
      <c r="D4896" s="39"/>
      <c r="E4896" s="39"/>
    </row>
    <row r="4897" spans="1:5" ht="15.6">
      <c r="A4897">
        <v>4842</v>
      </c>
      <c r="B4897" s="166">
        <v>179.59555335872108</v>
      </c>
      <c r="D4897" s="39"/>
      <c r="E4897" s="39"/>
    </row>
    <row r="4898" spans="1:5" ht="15.6">
      <c r="A4898">
        <v>4843</v>
      </c>
      <c r="B4898" s="166">
        <v>60.44445536648427</v>
      </c>
      <c r="D4898" s="39"/>
      <c r="E4898" s="39"/>
    </row>
    <row r="4899" spans="1:5" ht="15.6">
      <c r="A4899">
        <v>4844</v>
      </c>
      <c r="B4899" s="166">
        <v>88.665821153145188</v>
      </c>
      <c r="D4899" s="39"/>
      <c r="E4899" s="39"/>
    </row>
    <row r="4900" spans="1:5" ht="15.6">
      <c r="A4900">
        <v>4845</v>
      </c>
      <c r="B4900" s="166">
        <v>245.56985992284785</v>
      </c>
      <c r="D4900" s="39"/>
      <c r="E4900" s="39"/>
    </row>
    <row r="4901" spans="1:5" ht="15.6">
      <c r="A4901">
        <v>4846</v>
      </c>
      <c r="B4901" s="166">
        <v>111.08538446617433</v>
      </c>
      <c r="D4901" s="39"/>
      <c r="E4901" s="39"/>
    </row>
    <row r="4902" spans="1:5" ht="15.6">
      <c r="A4902">
        <v>4847</v>
      </c>
      <c r="B4902" s="166">
        <v>117.74531504747593</v>
      </c>
      <c r="D4902" s="39"/>
      <c r="E4902" s="39"/>
    </row>
    <row r="4903" spans="1:5" ht="15.6">
      <c r="A4903">
        <v>4848</v>
      </c>
      <c r="B4903" s="166">
        <v>71.351658018310104</v>
      </c>
      <c r="D4903" s="39"/>
      <c r="E4903" s="39"/>
    </row>
    <row r="4904" spans="1:5" ht="15.6">
      <c r="A4904">
        <v>4849</v>
      </c>
      <c r="B4904" s="166">
        <v>99.970659470052581</v>
      </c>
      <c r="D4904" s="39"/>
      <c r="E4904" s="39"/>
    </row>
    <row r="4905" spans="1:5" ht="15.6">
      <c r="A4905">
        <v>4850</v>
      </c>
      <c r="B4905" s="166">
        <v>75.895413590379789</v>
      </c>
      <c r="D4905" s="39"/>
      <c r="E4905" s="39"/>
    </row>
    <row r="4906" spans="1:5" ht="15.6">
      <c r="A4906">
        <v>4851</v>
      </c>
      <c r="B4906" s="166">
        <v>61.562890911585349</v>
      </c>
      <c r="D4906" s="39"/>
      <c r="E4906" s="39"/>
    </row>
    <row r="4907" spans="1:5" ht="15.6">
      <c r="A4907">
        <v>4852</v>
      </c>
      <c r="B4907" s="166">
        <v>111.69786677881804</v>
      </c>
      <c r="D4907" s="39"/>
      <c r="E4907" s="39"/>
    </row>
    <row r="4908" spans="1:5" ht="15.6">
      <c r="A4908">
        <v>4853</v>
      </c>
      <c r="B4908" s="166">
        <v>105.35278796509492</v>
      </c>
      <c r="D4908" s="39"/>
      <c r="E4908" s="39"/>
    </row>
    <row r="4909" spans="1:5" ht="15.6">
      <c r="A4909">
        <v>4854</v>
      </c>
      <c r="B4909" s="166">
        <v>86.26462237425703</v>
      </c>
      <c r="D4909" s="39"/>
      <c r="E4909" s="39"/>
    </row>
    <row r="4910" spans="1:5" ht="15.6">
      <c r="A4910">
        <v>4855</v>
      </c>
      <c r="B4910" s="166">
        <v>80.073720900973782</v>
      </c>
      <c r="D4910" s="39"/>
      <c r="E4910" s="39"/>
    </row>
    <row r="4911" spans="1:5" ht="15.6">
      <c r="A4911">
        <v>4856</v>
      </c>
      <c r="B4911" s="166">
        <v>101.03938349289332</v>
      </c>
      <c r="D4911" s="39"/>
      <c r="E4911" s="39"/>
    </row>
    <row r="4912" spans="1:5" ht="15.6">
      <c r="A4912">
        <v>4857</v>
      </c>
      <c r="B4912" s="166">
        <v>87.317094456333251</v>
      </c>
      <c r="D4912" s="39"/>
      <c r="E4912" s="39"/>
    </row>
    <row r="4913" spans="1:5" ht="15.6">
      <c r="A4913">
        <v>4858</v>
      </c>
      <c r="B4913" s="166">
        <v>172.05198813636153</v>
      </c>
      <c r="D4913" s="39"/>
      <c r="E4913" s="39"/>
    </row>
    <row r="4914" spans="1:5" ht="15.6">
      <c r="A4914">
        <v>4859</v>
      </c>
      <c r="B4914" s="166">
        <v>116.65782173741957</v>
      </c>
      <c r="D4914" s="39"/>
      <c r="E4914" s="39"/>
    </row>
    <row r="4915" spans="1:5" ht="15.6">
      <c r="A4915">
        <v>4860</v>
      </c>
      <c r="B4915" s="166">
        <v>65.874625425729889</v>
      </c>
      <c r="D4915" s="39"/>
      <c r="E4915" s="39"/>
    </row>
    <row r="4916" spans="1:5" ht="15.6">
      <c r="A4916">
        <v>4861</v>
      </c>
      <c r="B4916" s="166">
        <v>65.512269965568365</v>
      </c>
      <c r="D4916" s="39"/>
      <c r="E4916" s="39"/>
    </row>
    <row r="4917" spans="1:5" ht="15.6">
      <c r="A4917">
        <v>4862</v>
      </c>
      <c r="B4917" s="166">
        <v>82.924269956607532</v>
      </c>
      <c r="D4917" s="39"/>
      <c r="E4917" s="39"/>
    </row>
    <row r="4918" spans="1:5" ht="15.6">
      <c r="A4918">
        <v>4863</v>
      </c>
      <c r="B4918" s="166">
        <v>172.05535521159686</v>
      </c>
      <c r="D4918" s="39"/>
      <c r="E4918" s="39"/>
    </row>
    <row r="4919" spans="1:5" ht="15.6">
      <c r="A4919">
        <v>4864</v>
      </c>
      <c r="B4919" s="166">
        <v>176.50194455988481</v>
      </c>
      <c r="D4919" s="39"/>
      <c r="E4919" s="39"/>
    </row>
    <row r="4920" spans="1:5" ht="15.6">
      <c r="A4920">
        <v>4865</v>
      </c>
      <c r="B4920" s="166">
        <v>102.88274335370539</v>
      </c>
      <c r="D4920" s="39"/>
      <c r="E4920" s="39"/>
    </row>
    <row r="4921" spans="1:5" ht="15.6">
      <c r="A4921">
        <v>4866</v>
      </c>
      <c r="B4921" s="166">
        <v>71.974025422509072</v>
      </c>
      <c r="D4921" s="39"/>
      <c r="E4921" s="39"/>
    </row>
    <row r="4922" spans="1:5" ht="15.6">
      <c r="A4922">
        <v>4867</v>
      </c>
      <c r="B4922" s="166">
        <v>192.03456582194997</v>
      </c>
      <c r="D4922" s="39"/>
      <c r="E4922" s="39"/>
    </row>
    <row r="4923" spans="1:5" ht="15.6">
      <c r="A4923">
        <v>4868</v>
      </c>
      <c r="B4923" s="166">
        <v>86.127628254102476</v>
      </c>
      <c r="D4923" s="39"/>
      <c r="E4923" s="39"/>
    </row>
    <row r="4924" spans="1:5" ht="15.6">
      <c r="A4924">
        <v>4869</v>
      </c>
      <c r="B4924" s="166">
        <v>132.73628133034913</v>
      </c>
      <c r="D4924" s="39"/>
      <c r="E4924" s="39"/>
    </row>
    <row r="4925" spans="1:5" ht="15.6">
      <c r="A4925">
        <v>4870</v>
      </c>
      <c r="B4925" s="166">
        <v>70.51517642400357</v>
      </c>
      <c r="D4925" s="39"/>
      <c r="E4925" s="39"/>
    </row>
    <row r="4926" spans="1:5" ht="15.6">
      <c r="A4926">
        <v>4871</v>
      </c>
      <c r="B4926" s="166">
        <v>196.6426115607521</v>
      </c>
      <c r="D4926" s="39"/>
      <c r="E4926" s="39"/>
    </row>
    <row r="4927" spans="1:5" ht="15.6">
      <c r="A4927">
        <v>4872</v>
      </c>
      <c r="B4927" s="166">
        <v>68.742129710655135</v>
      </c>
      <c r="D4927" s="39"/>
      <c r="E4927" s="39"/>
    </row>
    <row r="4928" spans="1:5" ht="15.6">
      <c r="A4928">
        <v>4873</v>
      </c>
      <c r="B4928" s="166">
        <v>100.02045731559865</v>
      </c>
      <c r="D4928" s="39"/>
      <c r="E4928" s="39"/>
    </row>
    <row r="4929" spans="1:5" ht="15.6">
      <c r="A4929">
        <v>4874</v>
      </c>
      <c r="B4929" s="166">
        <v>149.46391981336836</v>
      </c>
      <c r="D4929" s="39"/>
      <c r="E4929" s="39"/>
    </row>
    <row r="4930" spans="1:5" ht="15.6">
      <c r="A4930">
        <v>4875</v>
      </c>
      <c r="B4930" s="166">
        <v>144.73928035347953</v>
      </c>
      <c r="D4930" s="39"/>
      <c r="E4930" s="39"/>
    </row>
    <row r="4931" spans="1:5" ht="15.6">
      <c r="A4931">
        <v>4876</v>
      </c>
      <c r="B4931" s="166">
        <v>58.601441843681926</v>
      </c>
      <c r="D4931" s="39"/>
      <c r="E4931" s="39"/>
    </row>
    <row r="4932" spans="1:5" ht="15.6">
      <c r="A4932">
        <v>4877</v>
      </c>
      <c r="B4932" s="166">
        <v>121.93127384060182</v>
      </c>
      <c r="D4932" s="39"/>
      <c r="E4932" s="39"/>
    </row>
    <row r="4933" spans="1:5" ht="15.6">
      <c r="A4933">
        <v>4878</v>
      </c>
      <c r="B4933" s="166">
        <v>160.01281687533108</v>
      </c>
      <c r="D4933" s="39"/>
      <c r="E4933" s="39"/>
    </row>
    <row r="4934" spans="1:5" ht="15.6">
      <c r="A4934">
        <v>4879</v>
      </c>
      <c r="B4934" s="166">
        <v>159.91541152001562</v>
      </c>
      <c r="D4934" s="39"/>
      <c r="E4934" s="39"/>
    </row>
    <row r="4935" spans="1:5" ht="15.6">
      <c r="A4935">
        <v>4880</v>
      </c>
      <c r="B4935" s="166">
        <v>56.476490995234407</v>
      </c>
      <c r="D4935" s="39"/>
      <c r="E4935" s="39"/>
    </row>
    <row r="4936" spans="1:5" ht="15.6">
      <c r="A4936">
        <v>4881</v>
      </c>
      <c r="B4936" s="166">
        <v>89.39667794354844</v>
      </c>
      <c r="D4936" s="39"/>
      <c r="E4936" s="39"/>
    </row>
    <row r="4937" spans="1:5" ht="15.6">
      <c r="A4937">
        <v>4882</v>
      </c>
      <c r="B4937" s="166">
        <v>132.2467517396953</v>
      </c>
      <c r="D4937" s="39"/>
      <c r="E4937" s="39"/>
    </row>
    <row r="4938" spans="1:5" ht="15.6">
      <c r="A4938">
        <v>4883</v>
      </c>
      <c r="B4938" s="166">
        <v>152.50243764025214</v>
      </c>
      <c r="D4938" s="39"/>
      <c r="E4938" s="39"/>
    </row>
    <row r="4939" spans="1:5" ht="15.6">
      <c r="A4939">
        <v>4884</v>
      </c>
      <c r="B4939" s="166">
        <v>94.165976148816398</v>
      </c>
      <c r="D4939" s="39"/>
      <c r="E4939" s="39"/>
    </row>
    <row r="4940" spans="1:5" ht="15.6">
      <c r="A4940">
        <v>4885</v>
      </c>
      <c r="B4940" s="166">
        <v>157.57025472264414</v>
      </c>
      <c r="D4940" s="39"/>
      <c r="E4940" s="39"/>
    </row>
    <row r="4941" spans="1:5" ht="15.6">
      <c r="A4941">
        <v>4886</v>
      </c>
      <c r="B4941" s="166">
        <v>147.57837830325465</v>
      </c>
      <c r="D4941" s="39"/>
      <c r="E4941" s="39"/>
    </row>
    <row r="4942" spans="1:5" ht="15.6">
      <c r="A4942">
        <v>4887</v>
      </c>
      <c r="B4942" s="166">
        <v>93.390961780463996</v>
      </c>
      <c r="D4942" s="39"/>
      <c r="E4942" s="39"/>
    </row>
    <row r="4943" spans="1:5" ht="15.6">
      <c r="A4943">
        <v>4888</v>
      </c>
      <c r="B4943" s="166">
        <v>72.119954348762505</v>
      </c>
      <c r="D4943" s="39"/>
      <c r="E4943" s="39"/>
    </row>
    <row r="4944" spans="1:5" ht="15.6">
      <c r="A4944">
        <v>4889</v>
      </c>
      <c r="B4944" s="166">
        <v>64.129447261320124</v>
      </c>
      <c r="D4944" s="39"/>
      <c r="E4944" s="39"/>
    </row>
    <row r="4945" spans="1:5" ht="15.6">
      <c r="A4945">
        <v>4890</v>
      </c>
      <c r="B4945" s="166">
        <v>74.069901181175553</v>
      </c>
      <c r="D4945" s="39"/>
      <c r="E4945" s="39"/>
    </row>
    <row r="4946" spans="1:5" ht="15.6">
      <c r="A4946">
        <v>4891</v>
      </c>
      <c r="B4946" s="166">
        <v>203.37355741098372</v>
      </c>
      <c r="D4946" s="39"/>
      <c r="E4946" s="39"/>
    </row>
    <row r="4947" spans="1:5" ht="15.6">
      <c r="A4947">
        <v>4892</v>
      </c>
      <c r="B4947" s="166">
        <v>88.010635315205363</v>
      </c>
      <c r="D4947" s="39"/>
      <c r="E4947" s="39"/>
    </row>
    <row r="4948" spans="1:5" ht="15.6">
      <c r="A4948">
        <v>4893</v>
      </c>
      <c r="B4948" s="166">
        <v>215.15425389510042</v>
      </c>
      <c r="D4948" s="39"/>
      <c r="E4948" s="39"/>
    </row>
    <row r="4949" spans="1:5" ht="15.6">
      <c r="A4949">
        <v>4894</v>
      </c>
      <c r="B4949" s="166">
        <v>95.027748460161021</v>
      </c>
      <c r="D4949" s="39"/>
      <c r="E4949" s="39"/>
    </row>
    <row r="4950" spans="1:5" ht="15.6">
      <c r="A4950">
        <v>4895</v>
      </c>
      <c r="B4950" s="166">
        <v>136.45265427609451</v>
      </c>
      <c r="D4950" s="39"/>
      <c r="E4950" s="39"/>
    </row>
    <row r="4951" spans="1:5" ht="15.6">
      <c r="A4951">
        <v>4896</v>
      </c>
      <c r="B4951" s="166">
        <v>88.652805977952482</v>
      </c>
      <c r="D4951" s="39"/>
      <c r="E4951" s="39"/>
    </row>
    <row r="4952" spans="1:5" ht="15.6">
      <c r="A4952">
        <v>4897</v>
      </c>
      <c r="B4952" s="166">
        <v>120.48976778904587</v>
      </c>
      <c r="D4952" s="39"/>
      <c r="E4952" s="39"/>
    </row>
    <row r="4953" spans="1:5" ht="15.6">
      <c r="A4953">
        <v>4898</v>
      </c>
      <c r="B4953" s="166">
        <v>140.82999530772287</v>
      </c>
      <c r="D4953" s="39"/>
      <c r="E4953" s="39"/>
    </row>
    <row r="4954" spans="1:5" ht="15.6">
      <c r="A4954">
        <v>4899</v>
      </c>
      <c r="B4954" s="166">
        <v>137.19918341668432</v>
      </c>
      <c r="D4954" s="39"/>
      <c r="E4954" s="39"/>
    </row>
    <row r="4955" spans="1:5" ht="15.6">
      <c r="A4955">
        <v>4900</v>
      </c>
      <c r="B4955" s="166">
        <v>107.18235130670847</v>
      </c>
      <c r="D4955" s="39"/>
      <c r="E4955" s="39"/>
    </row>
    <row r="4956" spans="1:5" ht="15.6">
      <c r="A4956">
        <v>4901</v>
      </c>
      <c r="B4956" s="166">
        <v>148.03886974154199</v>
      </c>
      <c r="D4956" s="39"/>
      <c r="E4956" s="39"/>
    </row>
    <row r="4957" spans="1:5" ht="15.6">
      <c r="A4957">
        <v>4902</v>
      </c>
      <c r="B4957" s="166">
        <v>146.07741815648637</v>
      </c>
      <c r="D4957" s="39"/>
      <c r="E4957" s="39"/>
    </row>
    <row r="4958" spans="1:5" ht="15.6">
      <c r="A4958">
        <v>4903</v>
      </c>
      <c r="B4958" s="166">
        <v>60.624261364163075</v>
      </c>
      <c r="D4958" s="39"/>
      <c r="E4958" s="39"/>
    </row>
    <row r="4959" spans="1:5" ht="15.6">
      <c r="A4959">
        <v>4904</v>
      </c>
      <c r="B4959" s="166">
        <v>151.22477721018274</v>
      </c>
      <c r="D4959" s="39"/>
      <c r="E4959" s="39"/>
    </row>
    <row r="4960" spans="1:5" ht="15.6">
      <c r="A4960">
        <v>4905</v>
      </c>
      <c r="B4960" s="166">
        <v>63.276620568976533</v>
      </c>
      <c r="D4960" s="39"/>
      <c r="E4960" s="39"/>
    </row>
    <row r="4961" spans="1:5" ht="15.6">
      <c r="A4961">
        <v>4906</v>
      </c>
      <c r="B4961" s="166">
        <v>107.23387339805268</v>
      </c>
      <c r="D4961" s="39"/>
      <c r="E4961" s="39"/>
    </row>
    <row r="4962" spans="1:5" ht="15.6">
      <c r="A4962">
        <v>4907</v>
      </c>
      <c r="B4962" s="166">
        <v>91.648947118704172</v>
      </c>
      <c r="D4962" s="39"/>
      <c r="E4962" s="39"/>
    </row>
    <row r="4963" spans="1:5" ht="15.6">
      <c r="A4963">
        <v>4908</v>
      </c>
      <c r="B4963" s="166">
        <v>78.388511819838158</v>
      </c>
      <c r="D4963" s="39"/>
      <c r="E4963" s="39"/>
    </row>
    <row r="4964" spans="1:5" ht="15.6">
      <c r="A4964">
        <v>4909</v>
      </c>
      <c r="B4964" s="166">
        <v>100.44676567056723</v>
      </c>
      <c r="D4964" s="39"/>
      <c r="E4964" s="39"/>
    </row>
    <row r="4965" spans="1:5" ht="15.6">
      <c r="A4965">
        <v>4910</v>
      </c>
      <c r="B4965" s="166">
        <v>87.103467479648941</v>
      </c>
      <c r="D4965" s="39"/>
      <c r="E4965" s="39"/>
    </row>
    <row r="4966" spans="1:5" ht="15.6">
      <c r="A4966">
        <v>4911</v>
      </c>
      <c r="B4966" s="166">
        <v>189.4599366129921</v>
      </c>
      <c r="D4966" s="39"/>
      <c r="E4966" s="39"/>
    </row>
    <row r="4967" spans="1:5" ht="15.6">
      <c r="A4967">
        <v>4912</v>
      </c>
      <c r="B4967" s="166">
        <v>228.49356893840095</v>
      </c>
      <c r="D4967" s="39"/>
      <c r="E4967" s="39"/>
    </row>
    <row r="4968" spans="1:5" ht="15.6">
      <c r="A4968">
        <v>4913</v>
      </c>
      <c r="B4968" s="166">
        <v>119.69829229134139</v>
      </c>
      <c r="D4968" s="39"/>
      <c r="E4968" s="39"/>
    </row>
    <row r="4969" spans="1:5" ht="15.6">
      <c r="A4969">
        <v>4914</v>
      </c>
      <c r="B4969" s="166">
        <v>177.26770287589414</v>
      </c>
      <c r="D4969" s="39"/>
      <c r="E4969" s="39"/>
    </row>
    <row r="4970" spans="1:5" ht="15.6">
      <c r="A4970">
        <v>4915</v>
      </c>
      <c r="B4970" s="166">
        <v>99.62227618535934</v>
      </c>
      <c r="D4970" s="39"/>
      <c r="E4970" s="39"/>
    </row>
    <row r="4971" spans="1:5" ht="15.6">
      <c r="A4971">
        <v>4916</v>
      </c>
      <c r="B4971" s="166">
        <v>121.46936032442582</v>
      </c>
      <c r="D4971" s="39"/>
      <c r="E4971" s="39"/>
    </row>
    <row r="4972" spans="1:5" ht="15.6">
      <c r="A4972">
        <v>4917</v>
      </c>
      <c r="B4972" s="166">
        <v>107.74357103876058</v>
      </c>
      <c r="D4972" s="39"/>
      <c r="E4972" s="39"/>
    </row>
    <row r="4973" spans="1:5" ht="15.6">
      <c r="A4973">
        <v>4918</v>
      </c>
      <c r="B4973" s="166">
        <v>68.522458839855503</v>
      </c>
      <c r="D4973" s="39"/>
      <c r="E4973" s="39"/>
    </row>
    <row r="4974" spans="1:5" ht="15.6">
      <c r="A4974">
        <v>4919</v>
      </c>
      <c r="B4974" s="166">
        <v>105.33505068820671</v>
      </c>
      <c r="D4974" s="39"/>
      <c r="E4974" s="39"/>
    </row>
    <row r="4975" spans="1:5" ht="15.6">
      <c r="A4975">
        <v>4920</v>
      </c>
      <c r="B4975" s="166">
        <v>128.11201326813406</v>
      </c>
      <c r="D4975" s="39"/>
      <c r="E4975" s="39"/>
    </row>
    <row r="4976" spans="1:5" ht="15.6">
      <c r="A4976">
        <v>4921</v>
      </c>
      <c r="B4976" s="166">
        <v>140.60636150806477</v>
      </c>
      <c r="D4976" s="39"/>
      <c r="E4976" s="39"/>
    </row>
    <row r="4977" spans="1:5" ht="15.6">
      <c r="A4977">
        <v>4922</v>
      </c>
      <c r="B4977" s="166">
        <v>70.771513494191197</v>
      </c>
      <c r="D4977" s="39"/>
      <c r="E4977" s="39"/>
    </row>
    <row r="4978" spans="1:5" ht="15.6">
      <c r="A4978">
        <v>4923</v>
      </c>
      <c r="B4978" s="166">
        <v>97.483117308330634</v>
      </c>
      <c r="D4978" s="39"/>
      <c r="E4978" s="39"/>
    </row>
    <row r="4979" spans="1:5" ht="15.6">
      <c r="A4979">
        <v>4924</v>
      </c>
      <c r="B4979" s="166">
        <v>105.42449869431081</v>
      </c>
      <c r="D4979" s="39"/>
      <c r="E4979" s="39"/>
    </row>
    <row r="4980" spans="1:5" ht="15.6">
      <c r="A4980">
        <v>4925</v>
      </c>
      <c r="B4980" s="166">
        <v>91.000528072873294</v>
      </c>
      <c r="D4980" s="39"/>
      <c r="E4980" s="39"/>
    </row>
    <row r="4981" spans="1:5" ht="15.6">
      <c r="A4981">
        <v>4926</v>
      </c>
      <c r="B4981" s="166">
        <v>139.01233751357293</v>
      </c>
      <c r="D4981" s="39"/>
      <c r="E4981" s="39"/>
    </row>
    <row r="4982" spans="1:5" ht="15.6">
      <c r="A4982">
        <v>4927</v>
      </c>
      <c r="B4982" s="166">
        <v>63.691574252289023</v>
      </c>
      <c r="D4982" s="39"/>
      <c r="E4982" s="39"/>
    </row>
    <row r="4983" spans="1:5" ht="15.6">
      <c r="A4983">
        <v>4928</v>
      </c>
      <c r="B4983" s="166">
        <v>141.51463844397375</v>
      </c>
      <c r="D4983" s="39"/>
      <c r="E4983" s="39"/>
    </row>
    <row r="4984" spans="1:5" ht="15.6">
      <c r="A4984">
        <v>4929</v>
      </c>
      <c r="B4984" s="166">
        <v>194.51686801994447</v>
      </c>
      <c r="D4984" s="39"/>
      <c r="E4984" s="39"/>
    </row>
    <row r="4985" spans="1:5" ht="15.6">
      <c r="A4985">
        <v>4930</v>
      </c>
      <c r="B4985" s="166">
        <v>55.500649772163626</v>
      </c>
      <c r="D4985" s="39"/>
      <c r="E4985" s="39"/>
    </row>
    <row r="4986" spans="1:5" ht="15.6">
      <c r="A4986">
        <v>4931</v>
      </c>
      <c r="B4986" s="166">
        <v>98.367059391818742</v>
      </c>
      <c r="D4986" s="39"/>
      <c r="E4986" s="39"/>
    </row>
    <row r="4987" spans="1:5" ht="15.6">
      <c r="A4987">
        <v>4932</v>
      </c>
      <c r="B4987" s="166">
        <v>58.231180086615694</v>
      </c>
      <c r="D4987" s="39"/>
      <c r="E4987" s="39"/>
    </row>
    <row r="4988" spans="1:5" ht="15.6">
      <c r="A4988">
        <v>4933</v>
      </c>
      <c r="B4988" s="166">
        <v>78.660233100627224</v>
      </c>
      <c r="D4988" s="39"/>
      <c r="E4988" s="39"/>
    </row>
    <row r="4989" spans="1:5" ht="15.6">
      <c r="A4989">
        <v>4934</v>
      </c>
      <c r="B4989" s="166">
        <v>93.963711487429052</v>
      </c>
      <c r="D4989" s="39"/>
      <c r="E4989" s="39"/>
    </row>
    <row r="4990" spans="1:5" ht="15.6">
      <c r="A4990">
        <v>4935</v>
      </c>
      <c r="B4990" s="166">
        <v>188.19495601654179</v>
      </c>
      <c r="D4990" s="39"/>
      <c r="E4990" s="39"/>
    </row>
    <row r="4991" spans="1:5" ht="15.6">
      <c r="A4991">
        <v>4936</v>
      </c>
      <c r="B4991" s="166">
        <v>128.03948216384944</v>
      </c>
      <c r="D4991" s="39"/>
      <c r="E4991" s="39"/>
    </row>
    <row r="4992" spans="1:5" ht="15.6">
      <c r="A4992">
        <v>4937</v>
      </c>
      <c r="B4992" s="166">
        <v>103.81325524053558</v>
      </c>
      <c r="D4992" s="39"/>
      <c r="E4992" s="39"/>
    </row>
    <row r="4993" spans="1:5" ht="15.6">
      <c r="A4993">
        <v>4938</v>
      </c>
      <c r="B4993" s="166">
        <v>104.12769379514496</v>
      </c>
      <c r="D4993" s="39"/>
      <c r="E4993" s="39"/>
    </row>
    <row r="4994" spans="1:5" ht="15.6">
      <c r="A4994">
        <v>4939</v>
      </c>
      <c r="B4994" s="166">
        <v>150.34036311705256</v>
      </c>
      <c r="D4994" s="39"/>
      <c r="E4994" s="39"/>
    </row>
    <row r="4995" spans="1:5" ht="15.6">
      <c r="A4995">
        <v>4940</v>
      </c>
      <c r="B4995" s="166">
        <v>181.40953175895373</v>
      </c>
      <c r="D4995" s="39"/>
      <c r="E4995" s="39"/>
    </row>
    <row r="4996" spans="1:5" ht="15.6">
      <c r="A4996">
        <v>4941</v>
      </c>
      <c r="B4996" s="166">
        <v>149.46520854740129</v>
      </c>
      <c r="D4996" s="39"/>
      <c r="E4996" s="39"/>
    </row>
    <row r="4997" spans="1:5" ht="15.6">
      <c r="A4997">
        <v>4942</v>
      </c>
      <c r="B4997" s="166">
        <v>81.192586355112113</v>
      </c>
      <c r="D4997" s="39"/>
      <c r="E4997" s="39"/>
    </row>
    <row r="4998" spans="1:5" ht="15.6">
      <c r="A4998">
        <v>4943</v>
      </c>
      <c r="B4998" s="166">
        <v>160.84314706105857</v>
      </c>
      <c r="D4998" s="39"/>
      <c r="E4998" s="39"/>
    </row>
    <row r="4999" spans="1:5" ht="15.6">
      <c r="A4999">
        <v>4944</v>
      </c>
      <c r="B4999" s="166">
        <v>59.865216157324113</v>
      </c>
      <c r="D4999" s="39"/>
      <c r="E4999" s="39"/>
    </row>
    <row r="5000" spans="1:5" ht="15.6">
      <c r="A5000">
        <v>4945</v>
      </c>
      <c r="B5000" s="166">
        <v>129.29518452693162</v>
      </c>
      <c r="D5000" s="39"/>
      <c r="E5000" s="39"/>
    </row>
    <row r="5001" spans="1:5" ht="15.6">
      <c r="A5001">
        <v>4946</v>
      </c>
      <c r="B5001" s="166">
        <v>183.11786558793779</v>
      </c>
      <c r="D5001" s="39"/>
      <c r="E5001" s="39"/>
    </row>
    <row r="5002" spans="1:5" ht="15.6">
      <c r="A5002">
        <v>4947</v>
      </c>
      <c r="B5002" s="166">
        <v>94.765330206196978</v>
      </c>
      <c r="D5002" s="39"/>
      <c r="E5002" s="39"/>
    </row>
    <row r="5003" spans="1:5" ht="15.6">
      <c r="A5003">
        <v>4948</v>
      </c>
      <c r="B5003" s="166">
        <v>145.9011425601069</v>
      </c>
      <c r="D5003" s="39"/>
      <c r="E5003" s="39"/>
    </row>
    <row r="5004" spans="1:5" ht="15.6">
      <c r="A5004">
        <v>4949</v>
      </c>
      <c r="B5004" s="166">
        <v>76.821448164499486</v>
      </c>
      <c r="D5004" s="39"/>
      <c r="E5004" s="39"/>
    </row>
    <row r="5005" spans="1:5" ht="15.6">
      <c r="A5005">
        <v>4950</v>
      </c>
      <c r="B5005" s="166">
        <v>152.93444308564202</v>
      </c>
      <c r="D5005" s="39"/>
      <c r="E5005" s="39"/>
    </row>
    <row r="5006" spans="1:5" ht="15.6">
      <c r="A5006">
        <v>4951</v>
      </c>
      <c r="B5006" s="166">
        <v>101.64354421642632</v>
      </c>
      <c r="D5006" s="39"/>
      <c r="E5006" s="39"/>
    </row>
    <row r="5007" spans="1:5" ht="15.6">
      <c r="A5007">
        <v>4952</v>
      </c>
      <c r="B5007" s="166">
        <v>56.792620875161994</v>
      </c>
      <c r="D5007" s="39"/>
      <c r="E5007" s="39"/>
    </row>
    <row r="5008" spans="1:5" ht="15.6">
      <c r="A5008">
        <v>4953</v>
      </c>
      <c r="B5008" s="166">
        <v>124.34914557904499</v>
      </c>
      <c r="D5008" s="39"/>
      <c r="E5008" s="39"/>
    </row>
    <row r="5009" spans="1:5" ht="15.6">
      <c r="A5009">
        <v>4954</v>
      </c>
      <c r="B5009" s="166">
        <v>119.73594931662304</v>
      </c>
      <c r="D5009" s="39"/>
      <c r="E5009" s="39"/>
    </row>
    <row r="5010" spans="1:5" ht="15.6">
      <c r="A5010">
        <v>4955</v>
      </c>
      <c r="B5010" s="166">
        <v>73.855647965734889</v>
      </c>
      <c r="D5010" s="39"/>
      <c r="E5010" s="39"/>
    </row>
    <row r="5011" spans="1:5" ht="15.6">
      <c r="A5011">
        <v>4956</v>
      </c>
      <c r="B5011" s="166">
        <v>111.99444441183171</v>
      </c>
      <c r="D5011" s="39"/>
      <c r="E5011" s="39"/>
    </row>
    <row r="5012" spans="1:5" ht="15.6">
      <c r="A5012">
        <v>4957</v>
      </c>
      <c r="B5012" s="166">
        <v>102.99524206146903</v>
      </c>
      <c r="D5012" s="39"/>
      <c r="E5012" s="39"/>
    </row>
    <row r="5013" spans="1:5" ht="15.6">
      <c r="A5013">
        <v>4958</v>
      </c>
      <c r="B5013" s="166">
        <v>78.081754267780497</v>
      </c>
      <c r="D5013" s="39"/>
      <c r="E5013" s="39"/>
    </row>
    <row r="5014" spans="1:5" ht="15.6">
      <c r="A5014">
        <v>4959</v>
      </c>
      <c r="B5014" s="166">
        <v>257.7338843915947</v>
      </c>
      <c r="D5014" s="39"/>
      <c r="E5014" s="39"/>
    </row>
    <row r="5015" spans="1:5" ht="15.6">
      <c r="A5015">
        <v>4960</v>
      </c>
      <c r="B5015" s="166">
        <v>102.09893266132858</v>
      </c>
      <c r="D5015" s="39"/>
      <c r="E5015" s="39"/>
    </row>
    <row r="5016" spans="1:5" ht="15.6">
      <c r="A5016">
        <v>4961</v>
      </c>
      <c r="B5016" s="166">
        <v>83.56451284125265</v>
      </c>
      <c r="D5016" s="39"/>
      <c r="E5016" s="39"/>
    </row>
    <row r="5017" spans="1:5" ht="15.6">
      <c r="A5017">
        <v>4962</v>
      </c>
      <c r="B5017" s="166">
        <v>54.043217619499437</v>
      </c>
      <c r="D5017" s="39"/>
      <c r="E5017" s="39"/>
    </row>
    <row r="5018" spans="1:5" ht="15.6">
      <c r="A5018">
        <v>4963</v>
      </c>
      <c r="B5018" s="166">
        <v>115.44569855040103</v>
      </c>
      <c r="D5018" s="39"/>
      <c r="E5018" s="39"/>
    </row>
    <row r="5019" spans="1:5" ht="15.6">
      <c r="A5019">
        <v>4964</v>
      </c>
      <c r="B5019" s="166">
        <v>67.893722731651735</v>
      </c>
      <c r="D5019" s="39"/>
      <c r="E5019" s="39"/>
    </row>
    <row r="5020" spans="1:5" ht="15.6">
      <c r="A5020">
        <v>4965</v>
      </c>
      <c r="B5020" s="166">
        <v>128.46363232591011</v>
      </c>
      <c r="D5020" s="39"/>
      <c r="E5020" s="39"/>
    </row>
    <row r="5021" spans="1:5" ht="15.6">
      <c r="A5021">
        <v>4966</v>
      </c>
      <c r="B5021" s="166">
        <v>51.939535450138493</v>
      </c>
      <c r="D5021" s="39"/>
      <c r="E5021" s="39"/>
    </row>
    <row r="5022" spans="1:5" ht="15.6">
      <c r="A5022">
        <v>4967</v>
      </c>
      <c r="B5022" s="166">
        <v>100.0768826177913</v>
      </c>
      <c r="D5022" s="39"/>
      <c r="E5022" s="39"/>
    </row>
    <row r="5023" spans="1:5" ht="15.6">
      <c r="A5023">
        <v>4968</v>
      </c>
      <c r="B5023" s="166">
        <v>162.06067002123694</v>
      </c>
      <c r="D5023" s="39"/>
      <c r="E5023" s="39"/>
    </row>
    <row r="5024" spans="1:5" ht="15.6">
      <c r="A5024">
        <v>4969</v>
      </c>
      <c r="B5024" s="166">
        <v>66.897437958654095</v>
      </c>
      <c r="D5024" s="39"/>
      <c r="E5024" s="39"/>
    </row>
    <row r="5025" spans="1:5" ht="15.6">
      <c r="A5025">
        <v>4970</v>
      </c>
      <c r="B5025" s="166">
        <v>104.14657101815217</v>
      </c>
      <c r="D5025" s="39"/>
      <c r="E5025" s="39"/>
    </row>
    <row r="5026" spans="1:5" ht="15.6">
      <c r="A5026">
        <v>4971</v>
      </c>
      <c r="B5026" s="166">
        <v>110.61790002774538</v>
      </c>
      <c r="D5026" s="39"/>
      <c r="E5026" s="39"/>
    </row>
    <row r="5027" spans="1:5" ht="15.6">
      <c r="A5027">
        <v>4972</v>
      </c>
      <c r="B5027" s="166">
        <v>68.609793076110293</v>
      </c>
      <c r="D5027" s="39"/>
      <c r="E5027" s="39"/>
    </row>
    <row r="5028" spans="1:5" ht="15.6">
      <c r="A5028">
        <v>4973</v>
      </c>
      <c r="B5028" s="166">
        <v>141.43544004966205</v>
      </c>
      <c r="D5028" s="39"/>
      <c r="E5028" s="39"/>
    </row>
    <row r="5029" spans="1:5" ht="15.6">
      <c r="A5029">
        <v>4974</v>
      </c>
      <c r="B5029" s="166">
        <v>95.227901620627534</v>
      </c>
      <c r="D5029" s="39"/>
      <c r="E5029" s="39"/>
    </row>
    <row r="5030" spans="1:5" ht="15.6">
      <c r="A5030">
        <v>4975</v>
      </c>
      <c r="B5030" s="166">
        <v>70.791843050818215</v>
      </c>
      <c r="D5030" s="39"/>
      <c r="E5030" s="39"/>
    </row>
    <row r="5031" spans="1:5" ht="15.6">
      <c r="A5031">
        <v>4976</v>
      </c>
      <c r="B5031" s="166">
        <v>54.675206581736951</v>
      </c>
      <c r="D5031" s="39"/>
      <c r="E5031" s="39"/>
    </row>
    <row r="5032" spans="1:5" ht="15.6">
      <c r="A5032">
        <v>4977</v>
      </c>
      <c r="B5032" s="166">
        <v>138.32326778359541</v>
      </c>
      <c r="D5032" s="39"/>
      <c r="E5032" s="39"/>
    </row>
    <row r="5033" spans="1:5" ht="15.6">
      <c r="A5033">
        <v>4978</v>
      </c>
      <c r="B5033" s="166">
        <v>141.89741251223131</v>
      </c>
      <c r="D5033" s="39"/>
      <c r="E5033" s="39"/>
    </row>
    <row r="5034" spans="1:5" ht="15.6">
      <c r="A5034">
        <v>4979</v>
      </c>
      <c r="B5034" s="166">
        <v>158.59865172097463</v>
      </c>
      <c r="D5034" s="39"/>
      <c r="E5034" s="39"/>
    </row>
    <row r="5035" spans="1:5" ht="15.6">
      <c r="A5035">
        <v>4980</v>
      </c>
      <c r="B5035" s="166">
        <v>88.092811168358551</v>
      </c>
      <c r="D5035" s="39"/>
      <c r="E5035" s="39"/>
    </row>
    <row r="5036" spans="1:5" ht="15.6">
      <c r="A5036">
        <v>4981</v>
      </c>
      <c r="B5036" s="166">
        <v>113.73399786365007</v>
      </c>
      <c r="D5036" s="39"/>
      <c r="E5036" s="39"/>
    </row>
    <row r="5037" spans="1:5" ht="15.6">
      <c r="A5037">
        <v>4982</v>
      </c>
      <c r="B5037" s="166">
        <v>166.73119063508545</v>
      </c>
      <c r="D5037" s="39"/>
      <c r="E5037" s="39"/>
    </row>
    <row r="5038" spans="1:5" ht="15.6">
      <c r="A5038">
        <v>4983</v>
      </c>
      <c r="B5038" s="166">
        <v>200.04906949964061</v>
      </c>
      <c r="D5038" s="39"/>
      <c r="E5038" s="39"/>
    </row>
    <row r="5039" spans="1:5" ht="15.6">
      <c r="A5039">
        <v>4984</v>
      </c>
      <c r="B5039" s="166">
        <v>82.215724355590169</v>
      </c>
      <c r="D5039" s="39"/>
      <c r="E5039" s="39"/>
    </row>
    <row r="5040" spans="1:5" ht="15.6">
      <c r="A5040">
        <v>4985</v>
      </c>
      <c r="B5040" s="166">
        <v>80.149765853349081</v>
      </c>
      <c r="D5040" s="39"/>
      <c r="E5040" s="39"/>
    </row>
    <row r="5041" spans="1:5" ht="15.6">
      <c r="A5041">
        <v>4986</v>
      </c>
      <c r="B5041" s="166">
        <v>169.54846027729235</v>
      </c>
      <c r="D5041" s="39"/>
      <c r="E5041" s="39"/>
    </row>
    <row r="5042" spans="1:5" ht="15.6">
      <c r="A5042">
        <v>4987</v>
      </c>
      <c r="B5042" s="166">
        <v>87.489932192145162</v>
      </c>
      <c r="D5042" s="39"/>
      <c r="E5042" s="39"/>
    </row>
    <row r="5043" spans="1:5" ht="15.6">
      <c r="A5043">
        <v>4988</v>
      </c>
      <c r="B5043" s="166">
        <v>73.03877540677</v>
      </c>
      <c r="D5043" s="39"/>
      <c r="E5043" s="39"/>
    </row>
    <row r="5044" spans="1:5" ht="15.6">
      <c r="A5044">
        <v>4989</v>
      </c>
      <c r="B5044" s="166">
        <v>102.35816837723721</v>
      </c>
      <c r="D5044" s="39"/>
      <c r="E5044" s="39"/>
    </row>
    <row r="5045" spans="1:5" ht="15.6">
      <c r="A5045">
        <v>4990</v>
      </c>
      <c r="B5045" s="166">
        <v>141.42945763117339</v>
      </c>
      <c r="D5045" s="39"/>
      <c r="E5045" s="39"/>
    </row>
    <row r="5046" spans="1:5" ht="15.6">
      <c r="A5046">
        <v>4991</v>
      </c>
      <c r="B5046" s="166">
        <v>78.882315839277808</v>
      </c>
      <c r="D5046" s="39"/>
      <c r="E5046" s="39"/>
    </row>
    <row r="5047" spans="1:5" ht="15.6">
      <c r="A5047">
        <v>4992</v>
      </c>
      <c r="B5047" s="166">
        <v>122.96308698823199</v>
      </c>
      <c r="D5047" s="39"/>
      <c r="E5047" s="39"/>
    </row>
    <row r="5048" spans="1:5" ht="15.6">
      <c r="A5048">
        <v>4993</v>
      </c>
      <c r="B5048" s="166">
        <v>107.64661850369492</v>
      </c>
      <c r="D5048" s="39"/>
      <c r="E5048" s="39"/>
    </row>
    <row r="5049" spans="1:5" ht="15.6">
      <c r="A5049">
        <v>4994</v>
      </c>
      <c r="B5049" s="166">
        <v>103.47505614257632</v>
      </c>
      <c r="D5049" s="39"/>
      <c r="E5049" s="39"/>
    </row>
    <row r="5050" spans="1:5" ht="15.6">
      <c r="A5050">
        <v>4995</v>
      </c>
      <c r="B5050" s="166">
        <v>73.832121646553261</v>
      </c>
      <c r="D5050" s="39"/>
      <c r="E5050" s="39"/>
    </row>
    <row r="5051" spans="1:5" ht="15.6">
      <c r="A5051">
        <v>4996</v>
      </c>
      <c r="B5051" s="166">
        <v>158.33392487311272</v>
      </c>
      <c r="D5051" s="39"/>
      <c r="E5051" s="39"/>
    </row>
    <row r="5052" spans="1:5" ht="15.6">
      <c r="A5052">
        <v>4997</v>
      </c>
      <c r="B5052" s="166">
        <v>84.731158941762686</v>
      </c>
      <c r="D5052" s="39"/>
      <c r="E5052" s="39"/>
    </row>
    <row r="5053" spans="1:5" ht="15.6">
      <c r="A5053">
        <v>4998</v>
      </c>
      <c r="B5053" s="166">
        <v>101.62763303904539</v>
      </c>
      <c r="D5053" s="39"/>
      <c r="E5053" s="39"/>
    </row>
    <row r="5054" spans="1:5" ht="15.6">
      <c r="A5054">
        <v>4999</v>
      </c>
      <c r="B5054" s="166">
        <v>114.25439076618957</v>
      </c>
      <c r="D5054" s="39"/>
      <c r="E5054" s="39"/>
    </row>
    <row r="5055" spans="1:5" ht="15.6">
      <c r="A5055">
        <v>5000</v>
      </c>
      <c r="B5055" s="166">
        <v>111.71980128573074</v>
      </c>
      <c r="D5055" s="39"/>
      <c r="E5055" s="39"/>
    </row>
    <row r="5056" spans="1:5" ht="15.6">
      <c r="A5056">
        <v>5001</v>
      </c>
      <c r="B5056" s="166">
        <v>54.906873475680726</v>
      </c>
      <c r="D5056" s="39"/>
      <c r="E5056" s="39"/>
    </row>
    <row r="5057" spans="1:5" ht="15.6">
      <c r="A5057">
        <v>5002</v>
      </c>
      <c r="B5057" s="166">
        <v>85.195524184501622</v>
      </c>
      <c r="D5057" s="39"/>
      <c r="E5057" s="39"/>
    </row>
    <row r="5058" spans="1:5" ht="15.6">
      <c r="A5058">
        <v>5003</v>
      </c>
      <c r="B5058" s="166">
        <v>136.88037662966661</v>
      </c>
      <c r="D5058" s="39"/>
      <c r="E5058" s="39"/>
    </row>
    <row r="5059" spans="1:5" ht="15.6">
      <c r="A5059">
        <v>5004</v>
      </c>
      <c r="B5059" s="166">
        <v>201.84556140653604</v>
      </c>
      <c r="D5059" s="39"/>
      <c r="E5059" s="39"/>
    </row>
    <row r="5060" spans="1:5" ht="15.6">
      <c r="A5060">
        <v>5005</v>
      </c>
      <c r="B5060" s="166">
        <v>75.274091607058097</v>
      </c>
      <c r="D5060" s="39"/>
      <c r="E5060" s="39"/>
    </row>
    <row r="5061" spans="1:5" ht="15.6">
      <c r="A5061">
        <v>5006</v>
      </c>
      <c r="B5061" s="166">
        <v>101.88055432877414</v>
      </c>
      <c r="D5061" s="39"/>
      <c r="E5061" s="39"/>
    </row>
    <row r="5062" spans="1:5" ht="15.6">
      <c r="A5062">
        <v>5007</v>
      </c>
      <c r="B5062" s="166">
        <v>121.35146955814167</v>
      </c>
      <c r="D5062" s="39"/>
      <c r="E5062" s="39"/>
    </row>
    <row r="5063" spans="1:5" ht="15.6">
      <c r="A5063">
        <v>5008</v>
      </c>
      <c r="B5063" s="166">
        <v>69.982766534253017</v>
      </c>
      <c r="D5063" s="39"/>
      <c r="E5063" s="39"/>
    </row>
    <row r="5064" spans="1:5" ht="15.6">
      <c r="A5064">
        <v>5009</v>
      </c>
      <c r="B5064" s="166">
        <v>142.87846758411712</v>
      </c>
      <c r="D5064" s="39"/>
      <c r="E5064" s="39"/>
    </row>
    <row r="5065" spans="1:5" ht="15.6">
      <c r="A5065">
        <v>5010</v>
      </c>
      <c r="B5065" s="166">
        <v>84.678565599091641</v>
      </c>
      <c r="D5065" s="39"/>
      <c r="E5065" s="39"/>
    </row>
    <row r="5066" spans="1:5" ht="15.6">
      <c r="A5066">
        <v>5011</v>
      </c>
      <c r="B5066" s="166">
        <v>99.320257413380531</v>
      </c>
      <c r="D5066" s="39"/>
      <c r="E5066" s="39"/>
    </row>
    <row r="5067" spans="1:5" ht="15.6">
      <c r="A5067">
        <v>5012</v>
      </c>
      <c r="B5067" s="166">
        <v>94.186275990825791</v>
      </c>
      <c r="D5067" s="39"/>
      <c r="E5067" s="39"/>
    </row>
    <row r="5068" spans="1:5" ht="15.6">
      <c r="A5068">
        <v>5013</v>
      </c>
      <c r="B5068" s="166">
        <v>127.94961914906924</v>
      </c>
      <c r="D5068" s="39"/>
      <c r="E5068" s="39"/>
    </row>
    <row r="5069" spans="1:5" ht="15.6">
      <c r="A5069">
        <v>5014</v>
      </c>
      <c r="B5069" s="166">
        <v>128.19824020748405</v>
      </c>
      <c r="D5069" s="39"/>
      <c r="E5069" s="39"/>
    </row>
    <row r="5070" spans="1:5" ht="15.6">
      <c r="A5070">
        <v>5015</v>
      </c>
      <c r="B5070" s="166">
        <v>121.74039292417893</v>
      </c>
      <c r="D5070" s="39"/>
      <c r="E5070" s="39"/>
    </row>
    <row r="5071" spans="1:5" ht="15.6">
      <c r="A5071">
        <v>5016</v>
      </c>
      <c r="B5071" s="166">
        <v>142.94997801546634</v>
      </c>
      <c r="D5071" s="39"/>
      <c r="E5071" s="39"/>
    </row>
    <row r="5072" spans="1:5" ht="15.6">
      <c r="A5072">
        <v>5017</v>
      </c>
      <c r="B5072" s="166">
        <v>149.41808775039027</v>
      </c>
      <c r="D5072" s="39"/>
      <c r="E5072" s="39"/>
    </row>
    <row r="5073" spans="1:5" ht="15.6">
      <c r="A5073">
        <v>5018</v>
      </c>
      <c r="B5073" s="166">
        <v>122.83568433336488</v>
      </c>
      <c r="D5073" s="39"/>
      <c r="E5073" s="39"/>
    </row>
    <row r="5074" spans="1:5" ht="15.6">
      <c r="A5074">
        <v>5019</v>
      </c>
      <c r="B5074" s="166">
        <v>193.1854301550182</v>
      </c>
      <c r="D5074" s="39"/>
      <c r="E5074" s="39"/>
    </row>
    <row r="5075" spans="1:5" ht="15.6">
      <c r="A5075">
        <v>5020</v>
      </c>
      <c r="B5075" s="166">
        <v>57.091791163112127</v>
      </c>
      <c r="D5075" s="39"/>
      <c r="E5075" s="39"/>
    </row>
    <row r="5076" spans="1:5" ht="15.6">
      <c r="A5076">
        <v>5021</v>
      </c>
      <c r="B5076" s="166">
        <v>98.454098085742174</v>
      </c>
      <c r="D5076" s="39"/>
      <c r="E5076" s="39"/>
    </row>
    <row r="5077" spans="1:5" ht="15.6">
      <c r="A5077">
        <v>5022</v>
      </c>
      <c r="B5077" s="166">
        <v>101.12747756079843</v>
      </c>
      <c r="D5077" s="39"/>
      <c r="E5077" s="39"/>
    </row>
    <row r="5078" spans="1:5" ht="15.6">
      <c r="A5078">
        <v>5023</v>
      </c>
      <c r="B5078" s="166">
        <v>117.71553700283808</v>
      </c>
      <c r="D5078" s="39"/>
      <c r="E5078" s="39"/>
    </row>
    <row r="5079" spans="1:5" ht="15.6">
      <c r="A5079">
        <v>5024</v>
      </c>
      <c r="B5079" s="166">
        <v>96.66230797544921</v>
      </c>
      <c r="D5079" s="39"/>
      <c r="E5079" s="39"/>
    </row>
    <row r="5080" spans="1:5" ht="15.6">
      <c r="A5080">
        <v>5025</v>
      </c>
      <c r="B5080" s="166">
        <v>73.745091978477802</v>
      </c>
      <c r="D5080" s="39"/>
      <c r="E5080" s="39"/>
    </row>
    <row r="5081" spans="1:5" ht="15.6">
      <c r="A5081">
        <v>5026</v>
      </c>
      <c r="B5081" s="166">
        <v>174.25312761821669</v>
      </c>
      <c r="D5081" s="39"/>
      <c r="E5081" s="39"/>
    </row>
    <row r="5082" spans="1:5" ht="15.6">
      <c r="A5082">
        <v>5027</v>
      </c>
      <c r="B5082" s="166">
        <v>85.074592737024176</v>
      </c>
      <c r="D5082" s="39"/>
      <c r="E5082" s="39"/>
    </row>
    <row r="5083" spans="1:5" ht="15.6">
      <c r="A5083">
        <v>5028</v>
      </c>
      <c r="B5083" s="166">
        <v>65.346839608999517</v>
      </c>
      <c r="D5083" s="39"/>
      <c r="E5083" s="39"/>
    </row>
    <row r="5084" spans="1:5" ht="15.6">
      <c r="A5084">
        <v>5029</v>
      </c>
      <c r="B5084" s="166">
        <v>75.040251373930687</v>
      </c>
      <c r="D5084" s="39"/>
      <c r="E5084" s="39"/>
    </row>
    <row r="5085" spans="1:5" ht="15.6">
      <c r="A5085">
        <v>5030</v>
      </c>
      <c r="B5085" s="166">
        <v>173.16998528188927</v>
      </c>
      <c r="D5085" s="39"/>
      <c r="E5085" s="39"/>
    </row>
    <row r="5086" spans="1:5" ht="15.6">
      <c r="A5086">
        <v>5031</v>
      </c>
      <c r="B5086" s="166">
        <v>151.56781973377812</v>
      </c>
      <c r="D5086" s="39"/>
      <c r="E5086" s="39"/>
    </row>
    <row r="5087" spans="1:5" ht="15.6">
      <c r="A5087">
        <v>5032</v>
      </c>
      <c r="B5087" s="166">
        <v>100.76804347716507</v>
      </c>
      <c r="D5087" s="39"/>
      <c r="E5087" s="39"/>
    </row>
    <row r="5088" spans="1:5" ht="15.6">
      <c r="A5088">
        <v>5033</v>
      </c>
      <c r="B5088" s="166">
        <v>173.34714616511238</v>
      </c>
      <c r="D5088" s="39"/>
      <c r="E5088" s="39"/>
    </row>
    <row r="5089" spans="1:5" ht="15.6">
      <c r="A5089">
        <v>5034</v>
      </c>
      <c r="B5089" s="166">
        <v>90.822192002856823</v>
      </c>
      <c r="D5089" s="39"/>
      <c r="E5089" s="39"/>
    </row>
    <row r="5090" spans="1:5" ht="15.6">
      <c r="A5090">
        <v>5035</v>
      </c>
      <c r="B5090" s="166">
        <v>71.410074105348613</v>
      </c>
      <c r="D5090" s="39"/>
      <c r="E5090" s="39"/>
    </row>
    <row r="5091" spans="1:5" ht="15.6">
      <c r="A5091">
        <v>5036</v>
      </c>
      <c r="B5091" s="166">
        <v>122.03485772464934</v>
      </c>
      <c r="D5091" s="39"/>
      <c r="E5091" s="39"/>
    </row>
    <row r="5092" spans="1:5" ht="15.6">
      <c r="A5092">
        <v>5037</v>
      </c>
      <c r="B5092" s="166">
        <v>170.59288638754143</v>
      </c>
      <c r="D5092" s="39"/>
      <c r="E5092" s="39"/>
    </row>
    <row r="5093" spans="1:5" ht="15.6">
      <c r="A5093">
        <v>5038</v>
      </c>
      <c r="B5093" s="166">
        <v>132.59114690873946</v>
      </c>
      <c r="D5093" s="39"/>
      <c r="E5093" s="39"/>
    </row>
    <row r="5094" spans="1:5" ht="15.6">
      <c r="A5094">
        <v>5039</v>
      </c>
      <c r="B5094" s="166">
        <v>121.60831857436314</v>
      </c>
      <c r="D5094" s="39"/>
      <c r="E5094" s="39"/>
    </row>
    <row r="5095" spans="1:5" ht="15.6">
      <c r="A5095">
        <v>5040</v>
      </c>
      <c r="B5095" s="166">
        <v>102.31933424446748</v>
      </c>
      <c r="D5095" s="39"/>
      <c r="E5095" s="39"/>
    </row>
    <row r="5096" spans="1:5" ht="15.6">
      <c r="A5096">
        <v>5041</v>
      </c>
      <c r="B5096" s="166">
        <v>71.549502331236354</v>
      </c>
      <c r="D5096" s="39"/>
      <c r="E5096" s="39"/>
    </row>
    <row r="5097" spans="1:5" ht="15.6">
      <c r="A5097">
        <v>5042</v>
      </c>
      <c r="B5097" s="166">
        <v>83.776201364933016</v>
      </c>
      <c r="D5097" s="39"/>
      <c r="E5097" s="39"/>
    </row>
    <row r="5098" spans="1:5" ht="15.6">
      <c r="A5098">
        <v>5043</v>
      </c>
      <c r="B5098" s="166">
        <v>107.67360862683057</v>
      </c>
      <c r="D5098" s="39"/>
      <c r="E5098" s="39"/>
    </row>
    <row r="5099" spans="1:5" ht="15.6">
      <c r="A5099">
        <v>5044</v>
      </c>
      <c r="B5099" s="166">
        <v>66.549452480394834</v>
      </c>
      <c r="D5099" s="39"/>
      <c r="E5099" s="39"/>
    </row>
    <row r="5100" spans="1:5" ht="15.6">
      <c r="A5100">
        <v>5045</v>
      </c>
      <c r="B5100" s="166">
        <v>98.047190388362722</v>
      </c>
      <c r="D5100" s="39"/>
      <c r="E5100" s="39"/>
    </row>
    <row r="5101" spans="1:5" ht="15.6">
      <c r="A5101">
        <v>5046</v>
      </c>
      <c r="B5101" s="166">
        <v>68.450141686718737</v>
      </c>
      <c r="D5101" s="39"/>
      <c r="E5101" s="39"/>
    </row>
    <row r="5102" spans="1:5" ht="15.6">
      <c r="A5102">
        <v>5047</v>
      </c>
      <c r="B5102" s="166">
        <v>83.301126430357016</v>
      </c>
      <c r="D5102" s="39"/>
      <c r="E5102" s="39"/>
    </row>
    <row r="5103" spans="1:5" ht="15.6">
      <c r="A5103">
        <v>5048</v>
      </c>
      <c r="B5103" s="166">
        <v>92.282019475084539</v>
      </c>
      <c r="D5103" s="39"/>
      <c r="E5103" s="39"/>
    </row>
    <row r="5104" spans="1:5" ht="15.6">
      <c r="A5104">
        <v>5049</v>
      </c>
      <c r="B5104" s="166">
        <v>75.949121692211619</v>
      </c>
      <c r="D5104" s="39"/>
      <c r="E5104" s="39"/>
    </row>
    <row r="5105" spans="1:5" ht="15.6">
      <c r="A5105">
        <v>5050</v>
      </c>
      <c r="B5105" s="166">
        <v>116.47634082409715</v>
      </c>
      <c r="D5105" s="39"/>
      <c r="E5105" s="39"/>
    </row>
    <row r="5106" spans="1:5" ht="15.6">
      <c r="A5106">
        <v>5051</v>
      </c>
      <c r="B5106" s="166">
        <v>177.92503948758792</v>
      </c>
      <c r="D5106" s="39"/>
      <c r="E5106" s="39"/>
    </row>
    <row r="5107" spans="1:5" ht="15.6">
      <c r="A5107">
        <v>5052</v>
      </c>
      <c r="B5107" s="166">
        <v>134.55211883198413</v>
      </c>
      <c r="D5107" s="39"/>
      <c r="E5107" s="39"/>
    </row>
    <row r="5108" spans="1:5" ht="15.6">
      <c r="A5108">
        <v>5053</v>
      </c>
      <c r="B5108" s="166">
        <v>186.21750232238693</v>
      </c>
      <c r="D5108" s="39"/>
      <c r="E5108" s="39"/>
    </row>
    <row r="5109" spans="1:5" ht="15.6">
      <c r="A5109">
        <v>5054</v>
      </c>
      <c r="B5109" s="166">
        <v>200.63130756399792</v>
      </c>
      <c r="D5109" s="39"/>
      <c r="E5109" s="39"/>
    </row>
    <row r="5110" spans="1:5" ht="15.6">
      <c r="A5110">
        <v>5055</v>
      </c>
      <c r="B5110" s="166">
        <v>135.56100490130501</v>
      </c>
      <c r="D5110" s="39"/>
      <c r="E5110" s="39"/>
    </row>
    <row r="5111" spans="1:5" ht="15.6">
      <c r="A5111">
        <v>5056</v>
      </c>
      <c r="B5111" s="166">
        <v>157.24552426112356</v>
      </c>
      <c r="D5111" s="39"/>
      <c r="E5111" s="39"/>
    </row>
    <row r="5112" spans="1:5" ht="15.6">
      <c r="A5112">
        <v>5057</v>
      </c>
      <c r="B5112" s="166">
        <v>176.68386337175423</v>
      </c>
      <c r="D5112" s="39"/>
      <c r="E5112" s="39"/>
    </row>
    <row r="5113" spans="1:5" ht="15.6">
      <c r="A5113">
        <v>5058</v>
      </c>
      <c r="B5113" s="166">
        <v>64.715297603227867</v>
      </c>
      <c r="D5113" s="39"/>
      <c r="E5113" s="39"/>
    </row>
    <row r="5114" spans="1:5" ht="15.6">
      <c r="A5114">
        <v>5059</v>
      </c>
      <c r="B5114" s="166">
        <v>87.406544172600192</v>
      </c>
      <c r="D5114" s="39"/>
      <c r="E5114" s="39"/>
    </row>
    <row r="5115" spans="1:5" ht="15.6">
      <c r="A5115">
        <v>5060</v>
      </c>
      <c r="B5115" s="166">
        <v>137.95626132937431</v>
      </c>
      <c r="D5115" s="39"/>
      <c r="E5115" s="39"/>
    </row>
    <row r="5116" spans="1:5" ht="15.6">
      <c r="A5116">
        <v>5061</v>
      </c>
      <c r="B5116" s="166">
        <v>97.514981625869524</v>
      </c>
      <c r="D5116" s="39"/>
      <c r="E5116" s="39"/>
    </row>
    <row r="5117" spans="1:5" ht="15.6">
      <c r="A5117">
        <v>5062</v>
      </c>
      <c r="B5117" s="166">
        <v>108.13195062099248</v>
      </c>
      <c r="D5117" s="39"/>
      <c r="E5117" s="39"/>
    </row>
    <row r="5118" spans="1:5" ht="15.6">
      <c r="A5118">
        <v>5063</v>
      </c>
      <c r="B5118" s="166">
        <v>108.5989053205215</v>
      </c>
      <c r="D5118" s="39"/>
      <c r="E5118" s="39"/>
    </row>
    <row r="5119" spans="1:5" ht="15.6">
      <c r="A5119">
        <v>5064</v>
      </c>
      <c r="B5119" s="166">
        <v>112.30954825757064</v>
      </c>
      <c r="D5119" s="39"/>
      <c r="E5119" s="39"/>
    </row>
    <row r="5120" spans="1:5" ht="15.6">
      <c r="A5120">
        <v>5065</v>
      </c>
      <c r="B5120" s="166">
        <v>77.128093313382223</v>
      </c>
      <c r="D5120" s="39"/>
      <c r="E5120" s="39"/>
    </row>
    <row r="5121" spans="1:5" ht="15.6">
      <c r="A5121">
        <v>5066</v>
      </c>
      <c r="B5121" s="166">
        <v>76.057883543161594</v>
      </c>
      <c r="D5121" s="39"/>
      <c r="E5121" s="39"/>
    </row>
    <row r="5122" spans="1:5" ht="15.6">
      <c r="A5122">
        <v>5067</v>
      </c>
      <c r="B5122" s="166">
        <v>99.619489565719149</v>
      </c>
      <c r="D5122" s="39"/>
      <c r="E5122" s="39"/>
    </row>
    <row r="5123" spans="1:5" ht="15.6">
      <c r="A5123">
        <v>5068</v>
      </c>
      <c r="B5123" s="166">
        <v>83.950701922483773</v>
      </c>
      <c r="D5123" s="39"/>
      <c r="E5123" s="39"/>
    </row>
    <row r="5124" spans="1:5" ht="15.6">
      <c r="A5124">
        <v>5069</v>
      </c>
      <c r="B5124" s="166">
        <v>69.49320948570157</v>
      </c>
      <c r="D5124" s="39"/>
      <c r="E5124" s="39"/>
    </row>
    <row r="5125" spans="1:5" ht="15.6">
      <c r="A5125">
        <v>5070</v>
      </c>
      <c r="B5125" s="166">
        <v>84.931818842742871</v>
      </c>
      <c r="D5125" s="39"/>
      <c r="E5125" s="39"/>
    </row>
    <row r="5126" spans="1:5" ht="15.6">
      <c r="A5126">
        <v>5071</v>
      </c>
      <c r="B5126" s="166">
        <v>125.04992504336165</v>
      </c>
      <c r="D5126" s="39"/>
      <c r="E5126" s="39"/>
    </row>
    <row r="5127" spans="1:5" ht="15.6">
      <c r="A5127">
        <v>5072</v>
      </c>
      <c r="B5127" s="166">
        <v>141.14854469422323</v>
      </c>
      <c r="D5127" s="39"/>
      <c r="E5127" s="39"/>
    </row>
    <row r="5128" spans="1:5" ht="15.6">
      <c r="A5128">
        <v>5073</v>
      </c>
      <c r="B5128" s="166">
        <v>167.11813003712876</v>
      </c>
      <c r="D5128" s="39"/>
      <c r="E5128" s="39"/>
    </row>
    <row r="5129" spans="1:5" ht="15.6">
      <c r="A5129">
        <v>5074</v>
      </c>
      <c r="B5129" s="166">
        <v>110.352408506787</v>
      </c>
      <c r="D5129" s="39"/>
      <c r="E5129" s="39"/>
    </row>
    <row r="5130" spans="1:5" ht="15.6">
      <c r="A5130">
        <v>5075</v>
      </c>
      <c r="B5130" s="166">
        <v>78.360596251431019</v>
      </c>
      <c r="D5130" s="39"/>
      <c r="E5130" s="39"/>
    </row>
    <row r="5131" spans="1:5" ht="15.6">
      <c r="A5131">
        <v>5076</v>
      </c>
      <c r="B5131" s="166">
        <v>118.41249646361116</v>
      </c>
      <c r="D5131" s="39"/>
      <c r="E5131" s="39"/>
    </row>
    <row r="5132" spans="1:5" ht="15.6">
      <c r="A5132">
        <v>5077</v>
      </c>
      <c r="B5132" s="166">
        <v>42.161342872862235</v>
      </c>
      <c r="D5132" s="39"/>
      <c r="E5132" s="39"/>
    </row>
    <row r="5133" spans="1:5" ht="15.6">
      <c r="A5133">
        <v>5078</v>
      </c>
      <c r="B5133" s="166">
        <v>68.941839125844439</v>
      </c>
      <c r="D5133" s="39"/>
      <c r="E5133" s="39"/>
    </row>
    <row r="5134" spans="1:5" ht="15.6">
      <c r="A5134">
        <v>5079</v>
      </c>
      <c r="B5134" s="166">
        <v>134.64476314953731</v>
      </c>
      <c r="D5134" s="39"/>
      <c r="E5134" s="39"/>
    </row>
    <row r="5135" spans="1:5" ht="15.6">
      <c r="A5135">
        <v>5080</v>
      </c>
      <c r="B5135" s="166">
        <v>97.887861994181492</v>
      </c>
      <c r="D5135" s="39"/>
      <c r="E5135" s="39"/>
    </row>
    <row r="5136" spans="1:5" ht="15.6">
      <c r="A5136">
        <v>5081</v>
      </c>
      <c r="B5136" s="166">
        <v>106.44064246928231</v>
      </c>
      <c r="D5136" s="39"/>
      <c r="E5136" s="39"/>
    </row>
    <row r="5137" spans="1:5" ht="15.6">
      <c r="A5137">
        <v>5082</v>
      </c>
      <c r="B5137" s="166">
        <v>93.099632697389225</v>
      </c>
      <c r="D5137" s="39"/>
      <c r="E5137" s="39"/>
    </row>
    <row r="5138" spans="1:5" ht="15.6">
      <c r="A5138">
        <v>5083</v>
      </c>
      <c r="B5138" s="166">
        <v>149.95984904444612</v>
      </c>
      <c r="D5138" s="39"/>
      <c r="E5138" s="39"/>
    </row>
    <row r="5139" spans="1:5" ht="15.6">
      <c r="A5139">
        <v>5084</v>
      </c>
      <c r="B5139" s="166">
        <v>122.96852650615111</v>
      </c>
      <c r="D5139" s="39"/>
      <c r="E5139" s="39"/>
    </row>
    <row r="5140" spans="1:5" ht="15.6">
      <c r="A5140">
        <v>5085</v>
      </c>
      <c r="B5140" s="166">
        <v>52.906033902003102</v>
      </c>
      <c r="D5140" s="39"/>
      <c r="E5140" s="39"/>
    </row>
    <row r="5141" spans="1:5" ht="15.6">
      <c r="A5141">
        <v>5086</v>
      </c>
      <c r="B5141" s="166">
        <v>168.39035950660411</v>
      </c>
      <c r="D5141" s="39"/>
      <c r="E5141" s="39"/>
    </row>
    <row r="5142" spans="1:5" ht="15.6">
      <c r="A5142">
        <v>5087</v>
      </c>
      <c r="B5142" s="166">
        <v>91.829196303595126</v>
      </c>
      <c r="D5142" s="39"/>
      <c r="E5142" s="39"/>
    </row>
    <row r="5143" spans="1:5" ht="15.6">
      <c r="A5143">
        <v>5088</v>
      </c>
      <c r="B5143" s="166">
        <v>76.66842736773944</v>
      </c>
      <c r="D5143" s="39"/>
      <c r="E5143" s="39"/>
    </row>
    <row r="5144" spans="1:5" ht="15.6">
      <c r="A5144">
        <v>5089</v>
      </c>
      <c r="B5144" s="166">
        <v>73.572713505929826</v>
      </c>
      <c r="D5144" s="39"/>
      <c r="E5144" s="39"/>
    </row>
    <row r="5145" spans="1:5" ht="15.6">
      <c r="A5145">
        <v>5090</v>
      </c>
      <c r="B5145" s="166">
        <v>55.954185178891123</v>
      </c>
      <c r="D5145" s="39"/>
      <c r="E5145" s="39"/>
    </row>
    <row r="5146" spans="1:5" ht="15.6">
      <c r="A5146">
        <v>5091</v>
      </c>
      <c r="B5146" s="166">
        <v>125.47758149568634</v>
      </c>
      <c r="D5146" s="39"/>
      <c r="E5146" s="39"/>
    </row>
    <row r="5147" spans="1:5" ht="15.6">
      <c r="A5147">
        <v>5092</v>
      </c>
      <c r="B5147" s="166">
        <v>122.98152042307967</v>
      </c>
      <c r="D5147" s="39"/>
      <c r="E5147" s="39"/>
    </row>
    <row r="5148" spans="1:5" ht="15.6">
      <c r="A5148">
        <v>5093</v>
      </c>
      <c r="B5148" s="166">
        <v>158.2158183658556</v>
      </c>
      <c r="D5148" s="39"/>
      <c r="E5148" s="39"/>
    </row>
    <row r="5149" spans="1:5" ht="15.6">
      <c r="A5149">
        <v>5094</v>
      </c>
      <c r="B5149" s="166">
        <v>106.75770891542385</v>
      </c>
      <c r="D5149" s="39"/>
      <c r="E5149" s="39"/>
    </row>
    <row r="5150" spans="1:5" ht="15.6">
      <c r="A5150">
        <v>5095</v>
      </c>
      <c r="B5150" s="166">
        <v>109.42455028550505</v>
      </c>
      <c r="D5150" s="39"/>
      <c r="E5150" s="39"/>
    </row>
    <row r="5151" spans="1:5" ht="15.6">
      <c r="A5151">
        <v>5096</v>
      </c>
      <c r="B5151" s="166">
        <v>120.14463961227521</v>
      </c>
      <c r="D5151" s="39"/>
      <c r="E5151" s="39"/>
    </row>
    <row r="5152" spans="1:5" ht="15.6">
      <c r="A5152">
        <v>5097</v>
      </c>
      <c r="B5152" s="166">
        <v>82.196806591393795</v>
      </c>
      <c r="D5152" s="39"/>
      <c r="E5152" s="39"/>
    </row>
    <row r="5153" spans="1:5" ht="15.6">
      <c r="A5153">
        <v>5098</v>
      </c>
      <c r="B5153" s="166">
        <v>121.19097624551047</v>
      </c>
      <c r="D5153" s="39"/>
      <c r="E5153" s="39"/>
    </row>
    <row r="5154" spans="1:5" ht="15.6">
      <c r="A5154">
        <v>5099</v>
      </c>
      <c r="B5154" s="166">
        <v>101.89984457995911</v>
      </c>
      <c r="D5154" s="39"/>
      <c r="E5154" s="39"/>
    </row>
    <row r="5155" spans="1:5" ht="15.6">
      <c r="A5155">
        <v>5100</v>
      </c>
      <c r="B5155" s="166">
        <v>89.939287991336641</v>
      </c>
      <c r="D5155" s="39"/>
      <c r="E5155" s="39"/>
    </row>
    <row r="5156" spans="1:5" ht="15.6">
      <c r="A5156">
        <v>5101</v>
      </c>
      <c r="B5156" s="166">
        <v>103.59223080229758</v>
      </c>
      <c r="D5156" s="39"/>
      <c r="E5156" s="39"/>
    </row>
    <row r="5157" spans="1:5" ht="15.6">
      <c r="A5157">
        <v>5102</v>
      </c>
      <c r="B5157" s="166">
        <v>134.32960948031459</v>
      </c>
      <c r="D5157" s="39"/>
      <c r="E5157" s="39"/>
    </row>
    <row r="5158" spans="1:5" ht="15.6">
      <c r="A5158">
        <v>5103</v>
      </c>
      <c r="B5158" s="166">
        <v>128.62880569037324</v>
      </c>
      <c r="D5158" s="39"/>
      <c r="E5158" s="39"/>
    </row>
    <row r="5159" spans="1:5" ht="15.6">
      <c r="A5159">
        <v>5104</v>
      </c>
      <c r="B5159" s="166">
        <v>71.934464593945322</v>
      </c>
      <c r="D5159" s="39"/>
      <c r="E5159" s="39"/>
    </row>
    <row r="5160" spans="1:5" ht="15.6">
      <c r="A5160">
        <v>5105</v>
      </c>
      <c r="B5160" s="166">
        <v>163.75966389780265</v>
      </c>
      <c r="D5160" s="39"/>
      <c r="E5160" s="39"/>
    </row>
    <row r="5161" spans="1:5" ht="15.6">
      <c r="A5161">
        <v>5106</v>
      </c>
      <c r="B5161" s="166">
        <v>110.99561091082316</v>
      </c>
      <c r="D5161" s="39"/>
      <c r="E5161" s="39"/>
    </row>
    <row r="5162" spans="1:5" ht="15.6">
      <c r="A5162">
        <v>5107</v>
      </c>
      <c r="B5162" s="166">
        <v>102.85767871108986</v>
      </c>
      <c r="D5162" s="39"/>
      <c r="E5162" s="39"/>
    </row>
    <row r="5163" spans="1:5" ht="15.6">
      <c r="A5163">
        <v>5108</v>
      </c>
      <c r="B5163" s="166">
        <v>81.265567766780464</v>
      </c>
      <c r="D5163" s="39"/>
      <c r="E5163" s="39"/>
    </row>
    <row r="5164" spans="1:5" ht="15.6">
      <c r="A5164">
        <v>5109</v>
      </c>
      <c r="B5164" s="166">
        <v>128.41967501761823</v>
      </c>
      <c r="D5164" s="39"/>
      <c r="E5164" s="39"/>
    </row>
    <row r="5165" spans="1:5" ht="15.6">
      <c r="A5165">
        <v>5110</v>
      </c>
      <c r="B5165" s="166">
        <v>64.920688056562355</v>
      </c>
      <c r="D5165" s="39"/>
      <c r="E5165" s="39"/>
    </row>
    <row r="5166" spans="1:5" ht="15.6">
      <c r="A5166">
        <v>5111</v>
      </c>
      <c r="B5166" s="166">
        <v>111.90128925628026</v>
      </c>
      <c r="D5166" s="39"/>
      <c r="E5166" s="39"/>
    </row>
    <row r="5167" spans="1:5" ht="15.6">
      <c r="A5167">
        <v>5112</v>
      </c>
      <c r="B5167" s="166">
        <v>135.38181294997176</v>
      </c>
      <c r="D5167" s="39"/>
      <c r="E5167" s="39"/>
    </row>
    <row r="5168" spans="1:5" ht="15.6">
      <c r="A5168">
        <v>5113</v>
      </c>
      <c r="B5168" s="166">
        <v>98.43130392523662</v>
      </c>
      <c r="D5168" s="39"/>
      <c r="E5168" s="39"/>
    </row>
    <row r="5169" spans="1:5" ht="15.6">
      <c r="A5169">
        <v>5114</v>
      </c>
      <c r="B5169" s="166">
        <v>64.477300943219063</v>
      </c>
      <c r="D5169" s="39"/>
      <c r="E5169" s="39"/>
    </row>
    <row r="5170" spans="1:5" ht="15.6">
      <c r="A5170">
        <v>5115</v>
      </c>
      <c r="B5170" s="166">
        <v>172.18066129502208</v>
      </c>
      <c r="D5170" s="39"/>
      <c r="E5170" s="39"/>
    </row>
    <row r="5171" spans="1:5" ht="15.6">
      <c r="A5171">
        <v>5116</v>
      </c>
      <c r="B5171" s="166">
        <v>97.876516750646886</v>
      </c>
      <c r="D5171" s="39"/>
      <c r="E5171" s="39"/>
    </row>
    <row r="5172" spans="1:5" ht="15.6">
      <c r="A5172">
        <v>5117</v>
      </c>
      <c r="B5172" s="166">
        <v>58.956518540668526</v>
      </c>
      <c r="D5172" s="39"/>
      <c r="E5172" s="39"/>
    </row>
    <row r="5173" spans="1:5" ht="15.6">
      <c r="A5173">
        <v>5118</v>
      </c>
      <c r="B5173" s="166">
        <v>94.794087566594229</v>
      </c>
      <c r="D5173" s="39"/>
      <c r="E5173" s="39"/>
    </row>
    <row r="5174" spans="1:5" ht="15.6">
      <c r="A5174">
        <v>5119</v>
      </c>
      <c r="B5174" s="166">
        <v>97.778932259590107</v>
      </c>
      <c r="D5174" s="39"/>
      <c r="E5174" s="39"/>
    </row>
    <row r="5175" spans="1:5" ht="15.6">
      <c r="A5175">
        <v>5120</v>
      </c>
      <c r="B5175" s="166">
        <v>98.111303038348481</v>
      </c>
      <c r="D5175" s="39"/>
      <c r="E5175" s="39"/>
    </row>
    <row r="5176" spans="1:5" ht="15.6">
      <c r="A5176">
        <v>5121</v>
      </c>
      <c r="B5176" s="166">
        <v>80.332200787995106</v>
      </c>
      <c r="D5176" s="39"/>
      <c r="E5176" s="39"/>
    </row>
    <row r="5177" spans="1:5" ht="15.6">
      <c r="A5177">
        <v>5122</v>
      </c>
      <c r="B5177" s="166">
        <v>133.76954048856257</v>
      </c>
      <c r="D5177" s="39"/>
      <c r="E5177" s="39"/>
    </row>
    <row r="5178" spans="1:5" ht="15.6">
      <c r="A5178">
        <v>5123</v>
      </c>
      <c r="B5178" s="166">
        <v>186.05708930392126</v>
      </c>
      <c r="D5178" s="39"/>
      <c r="E5178" s="39"/>
    </row>
    <row r="5179" spans="1:5" ht="15.6">
      <c r="A5179">
        <v>5124</v>
      </c>
      <c r="B5179" s="166">
        <v>96.462412779837067</v>
      </c>
      <c r="D5179" s="39"/>
      <c r="E5179" s="39"/>
    </row>
    <row r="5180" spans="1:5" ht="15.6">
      <c r="A5180">
        <v>5125</v>
      </c>
      <c r="B5180" s="166">
        <v>71.36554945065636</v>
      </c>
      <c r="D5180" s="39"/>
      <c r="E5180" s="39"/>
    </row>
    <row r="5181" spans="1:5" ht="15.6">
      <c r="A5181">
        <v>5126</v>
      </c>
      <c r="B5181" s="166">
        <v>135.06864971532548</v>
      </c>
      <c r="D5181" s="39"/>
      <c r="E5181" s="39"/>
    </row>
    <row r="5182" spans="1:5" ht="15.6">
      <c r="A5182">
        <v>5127</v>
      </c>
      <c r="B5182" s="166">
        <v>111.50657231666057</v>
      </c>
      <c r="D5182" s="39"/>
      <c r="E5182" s="39"/>
    </row>
    <row r="5183" spans="1:5" ht="15.6">
      <c r="A5183">
        <v>5128</v>
      </c>
      <c r="B5183" s="166">
        <v>258.51575195872437</v>
      </c>
      <c r="D5183" s="39"/>
      <c r="E5183" s="39"/>
    </row>
    <row r="5184" spans="1:5" ht="15.6">
      <c r="A5184">
        <v>5129</v>
      </c>
      <c r="B5184" s="166">
        <v>65.424456946784403</v>
      </c>
      <c r="D5184" s="39"/>
      <c r="E5184" s="39"/>
    </row>
    <row r="5185" spans="1:5" ht="15.6">
      <c r="A5185">
        <v>5130</v>
      </c>
      <c r="B5185" s="166">
        <v>185.57587632996035</v>
      </c>
      <c r="D5185" s="39"/>
      <c r="E5185" s="39"/>
    </row>
    <row r="5186" spans="1:5" ht="15.6">
      <c r="A5186">
        <v>5131</v>
      </c>
      <c r="B5186" s="166">
        <v>117.44834797181458</v>
      </c>
      <c r="D5186" s="39"/>
      <c r="E5186" s="39"/>
    </row>
    <row r="5187" spans="1:5" ht="15.6">
      <c r="A5187">
        <v>5132</v>
      </c>
      <c r="B5187" s="166">
        <v>113.8507647358372</v>
      </c>
      <c r="D5187" s="39"/>
      <c r="E5187" s="39"/>
    </row>
    <row r="5188" spans="1:5" ht="15.6">
      <c r="A5188">
        <v>5133</v>
      </c>
      <c r="B5188" s="166">
        <v>62.345076266796788</v>
      </c>
      <c r="D5188" s="39"/>
      <c r="E5188" s="39"/>
    </row>
    <row r="5189" spans="1:5" ht="15.6">
      <c r="A5189">
        <v>5134</v>
      </c>
      <c r="B5189" s="166">
        <v>81.630882603552735</v>
      </c>
      <c r="D5189" s="39"/>
      <c r="E5189" s="39"/>
    </row>
    <row r="5190" spans="1:5" ht="15.6">
      <c r="A5190">
        <v>5135</v>
      </c>
      <c r="B5190" s="166">
        <v>161.74014077937917</v>
      </c>
      <c r="D5190" s="39"/>
      <c r="E5190" s="39"/>
    </row>
    <row r="5191" spans="1:5" ht="15.6">
      <c r="A5191">
        <v>5136</v>
      </c>
      <c r="B5191" s="166">
        <v>67.004852849917327</v>
      </c>
      <c r="D5191" s="39"/>
      <c r="E5191" s="39"/>
    </row>
    <row r="5192" spans="1:5" ht="15.6">
      <c r="A5192">
        <v>5137</v>
      </c>
      <c r="B5192" s="166">
        <v>161.10898325282176</v>
      </c>
      <c r="D5192" s="39"/>
      <c r="E5192" s="39"/>
    </row>
    <row r="5193" spans="1:5" ht="15.6">
      <c r="A5193">
        <v>5138</v>
      </c>
      <c r="B5193" s="166">
        <v>115.18580856241817</v>
      </c>
      <c r="D5193" s="39"/>
      <c r="E5193" s="39"/>
    </row>
    <row r="5194" spans="1:5" ht="15.6">
      <c r="A5194">
        <v>5139</v>
      </c>
      <c r="B5194" s="166">
        <v>162.60628222202115</v>
      </c>
      <c r="D5194" s="39"/>
      <c r="E5194" s="39"/>
    </row>
    <row r="5195" spans="1:5" ht="15.6">
      <c r="A5195">
        <v>5140</v>
      </c>
      <c r="B5195" s="166">
        <v>130.03566752799267</v>
      </c>
      <c r="D5195" s="39"/>
      <c r="E5195" s="39"/>
    </row>
    <row r="5196" spans="1:5" ht="15.6">
      <c r="A5196">
        <v>5141</v>
      </c>
      <c r="B5196" s="166">
        <v>59.138480432758136</v>
      </c>
      <c r="D5196" s="39"/>
      <c r="E5196" s="39"/>
    </row>
    <row r="5197" spans="1:5" ht="15.6">
      <c r="A5197">
        <v>5142</v>
      </c>
      <c r="B5197" s="166">
        <v>64.193123430238415</v>
      </c>
      <c r="D5197" s="39"/>
      <c r="E5197" s="39"/>
    </row>
    <row r="5198" spans="1:5" ht="15.6">
      <c r="A5198">
        <v>5143</v>
      </c>
      <c r="B5198" s="166">
        <v>79.677495343374758</v>
      </c>
      <c r="D5198" s="39"/>
      <c r="E5198" s="39"/>
    </row>
    <row r="5199" spans="1:5" ht="15.6">
      <c r="A5199">
        <v>5144</v>
      </c>
      <c r="B5199" s="166">
        <v>89.180025897569863</v>
      </c>
      <c r="D5199" s="39"/>
      <c r="E5199" s="39"/>
    </row>
    <row r="5200" spans="1:5" ht="15.6">
      <c r="A5200">
        <v>5145</v>
      </c>
      <c r="B5200" s="166">
        <v>132.87594946807343</v>
      </c>
      <c r="D5200" s="39"/>
      <c r="E5200" s="39"/>
    </row>
    <row r="5201" spans="1:5" ht="15.6">
      <c r="A5201">
        <v>5146</v>
      </c>
      <c r="B5201" s="166">
        <v>99.116064215230452</v>
      </c>
      <c r="D5201" s="39"/>
      <c r="E5201" s="39"/>
    </row>
    <row r="5202" spans="1:5" ht="15.6">
      <c r="A5202">
        <v>5147</v>
      </c>
      <c r="B5202" s="166">
        <v>112.77522553221854</v>
      </c>
      <c r="D5202" s="39"/>
      <c r="E5202" s="39"/>
    </row>
    <row r="5203" spans="1:5" ht="15.6">
      <c r="A5203">
        <v>5148</v>
      </c>
      <c r="B5203" s="166">
        <v>127.29664008783999</v>
      </c>
      <c r="D5203" s="39"/>
      <c r="E5203" s="39"/>
    </row>
    <row r="5204" spans="1:5" ht="15.6">
      <c r="A5204">
        <v>5149</v>
      </c>
      <c r="B5204" s="166">
        <v>159.95636141234897</v>
      </c>
      <c r="D5204" s="39"/>
      <c r="E5204" s="39"/>
    </row>
    <row r="5205" spans="1:5" ht="15.6">
      <c r="A5205">
        <v>5150</v>
      </c>
      <c r="B5205" s="166">
        <v>138.70380974549832</v>
      </c>
      <c r="D5205" s="39"/>
      <c r="E5205" s="39"/>
    </row>
    <row r="5206" spans="1:5" ht="15.6">
      <c r="A5206">
        <v>5151</v>
      </c>
      <c r="B5206" s="166">
        <v>103.15072404538068</v>
      </c>
      <c r="D5206" s="39"/>
      <c r="E5206" s="39"/>
    </row>
    <row r="5207" spans="1:5" ht="15.6">
      <c r="A5207">
        <v>5152</v>
      </c>
      <c r="B5207" s="166">
        <v>152.62929109736223</v>
      </c>
      <c r="D5207" s="39"/>
      <c r="E5207" s="39"/>
    </row>
    <row r="5208" spans="1:5" ht="15.6">
      <c r="A5208">
        <v>5153</v>
      </c>
      <c r="B5208" s="166">
        <v>118.79616915585309</v>
      </c>
      <c r="D5208" s="39"/>
      <c r="E5208" s="39"/>
    </row>
    <row r="5209" spans="1:5" ht="15.6">
      <c r="A5209">
        <v>5154</v>
      </c>
      <c r="B5209" s="166">
        <v>197.63227569544324</v>
      </c>
      <c r="D5209" s="39"/>
      <c r="E5209" s="39"/>
    </row>
    <row r="5210" spans="1:5" ht="15.6">
      <c r="A5210">
        <v>5155</v>
      </c>
      <c r="B5210" s="166">
        <v>125.66371687290575</v>
      </c>
      <c r="D5210" s="39"/>
      <c r="E5210" s="39"/>
    </row>
    <row r="5211" spans="1:5" ht="15.6">
      <c r="A5211">
        <v>5156</v>
      </c>
      <c r="B5211" s="166">
        <v>65.779542172544311</v>
      </c>
      <c r="D5211" s="39"/>
      <c r="E5211" s="39"/>
    </row>
    <row r="5212" spans="1:5" ht="15.6">
      <c r="A5212">
        <v>5157</v>
      </c>
      <c r="B5212" s="166">
        <v>121.79109767452398</v>
      </c>
      <c r="D5212" s="39"/>
      <c r="E5212" s="39"/>
    </row>
    <row r="5213" spans="1:5" ht="15.6">
      <c r="A5213">
        <v>5158</v>
      </c>
      <c r="B5213" s="166">
        <v>90.179030122836878</v>
      </c>
      <c r="D5213" s="39"/>
      <c r="E5213" s="39"/>
    </row>
    <row r="5214" spans="1:5" ht="15.6">
      <c r="A5214">
        <v>5159</v>
      </c>
      <c r="B5214" s="166">
        <v>115.04717736409972</v>
      </c>
      <c r="D5214" s="39"/>
      <c r="E5214" s="39"/>
    </row>
    <row r="5215" spans="1:5" ht="15.6">
      <c r="A5215">
        <v>5160</v>
      </c>
      <c r="B5215" s="166">
        <v>102.98689744979632</v>
      </c>
      <c r="D5215" s="39"/>
      <c r="E5215" s="39"/>
    </row>
    <row r="5216" spans="1:5" ht="15.6">
      <c r="A5216">
        <v>5161</v>
      </c>
      <c r="B5216" s="166">
        <v>75.00253857744714</v>
      </c>
      <c r="D5216" s="39"/>
      <c r="E5216" s="39"/>
    </row>
    <row r="5217" spans="1:5" ht="15.6">
      <c r="A5217">
        <v>5162</v>
      </c>
      <c r="B5217" s="166">
        <v>77.757765524328377</v>
      </c>
      <c r="D5217" s="39"/>
      <c r="E5217" s="39"/>
    </row>
    <row r="5218" spans="1:5" ht="15.6">
      <c r="A5218">
        <v>5163</v>
      </c>
      <c r="B5218" s="166">
        <v>75.185985344789415</v>
      </c>
      <c r="D5218" s="39"/>
      <c r="E5218" s="39"/>
    </row>
    <row r="5219" spans="1:5" ht="15.6">
      <c r="A5219">
        <v>5164</v>
      </c>
      <c r="B5219" s="166">
        <v>141.57521088846727</v>
      </c>
      <c r="D5219" s="39"/>
      <c r="E5219" s="39"/>
    </row>
    <row r="5220" spans="1:5" ht="15.6">
      <c r="A5220">
        <v>5165</v>
      </c>
      <c r="B5220" s="166">
        <v>112.06520761493972</v>
      </c>
      <c r="D5220" s="39"/>
      <c r="E5220" s="39"/>
    </row>
    <row r="5221" spans="1:5" ht="15.6">
      <c r="A5221">
        <v>5166</v>
      </c>
      <c r="B5221" s="166">
        <v>83.164296344793883</v>
      </c>
      <c r="D5221" s="39"/>
      <c r="E5221" s="39"/>
    </row>
    <row r="5222" spans="1:5" ht="15.6">
      <c r="A5222">
        <v>5167</v>
      </c>
      <c r="B5222" s="166">
        <v>108.28112149994361</v>
      </c>
      <c r="D5222" s="39"/>
      <c r="E5222" s="39"/>
    </row>
    <row r="5223" spans="1:5" ht="15.6">
      <c r="A5223">
        <v>5168</v>
      </c>
      <c r="B5223" s="166">
        <v>104.16320458035548</v>
      </c>
      <c r="D5223" s="39"/>
      <c r="E5223" s="39"/>
    </row>
    <row r="5224" spans="1:5" ht="15.6">
      <c r="A5224">
        <v>5169</v>
      </c>
      <c r="B5224" s="166">
        <v>115.32513497185137</v>
      </c>
      <c r="D5224" s="39"/>
      <c r="E5224" s="39"/>
    </row>
    <row r="5225" spans="1:5" ht="15.6">
      <c r="A5225">
        <v>5170</v>
      </c>
      <c r="B5225" s="166">
        <v>161.24114890810887</v>
      </c>
      <c r="D5225" s="39"/>
      <c r="E5225" s="39"/>
    </row>
    <row r="5226" spans="1:5" ht="15.6">
      <c r="A5226">
        <v>5171</v>
      </c>
      <c r="B5226" s="166">
        <v>77.575291968263983</v>
      </c>
      <c r="D5226" s="39"/>
      <c r="E5226" s="39"/>
    </row>
    <row r="5227" spans="1:5" ht="15.6">
      <c r="A5227">
        <v>5172</v>
      </c>
      <c r="B5227" s="166">
        <v>104.37611344740228</v>
      </c>
      <c r="D5227" s="39"/>
      <c r="E5227" s="39"/>
    </row>
    <row r="5228" spans="1:5" ht="15.6">
      <c r="A5228">
        <v>5173</v>
      </c>
      <c r="B5228" s="166">
        <v>201.22449317205758</v>
      </c>
      <c r="D5228" s="39"/>
      <c r="E5228" s="39"/>
    </row>
    <row r="5229" spans="1:5" ht="15.6">
      <c r="A5229">
        <v>5174</v>
      </c>
      <c r="B5229" s="166">
        <v>156.32353116391988</v>
      </c>
      <c r="D5229" s="39"/>
      <c r="E5229" s="39"/>
    </row>
    <row r="5230" spans="1:5" ht="15.6">
      <c r="A5230">
        <v>5175</v>
      </c>
      <c r="B5230" s="166">
        <v>90.397623105180884</v>
      </c>
      <c r="D5230" s="39"/>
      <c r="E5230" s="39"/>
    </row>
    <row r="5231" spans="1:5" ht="15.6">
      <c r="A5231">
        <v>5176</v>
      </c>
      <c r="B5231" s="166">
        <v>105.93508424919631</v>
      </c>
      <c r="D5231" s="39"/>
      <c r="E5231" s="39"/>
    </row>
    <row r="5232" spans="1:5" ht="15.6">
      <c r="A5232">
        <v>5177</v>
      </c>
      <c r="B5232" s="166">
        <v>125.83290206277924</v>
      </c>
      <c r="D5232" s="39"/>
      <c r="E5232" s="39"/>
    </row>
    <row r="5233" spans="1:5" ht="15.6">
      <c r="A5233">
        <v>5178</v>
      </c>
      <c r="B5233" s="166">
        <v>67.054335219728983</v>
      </c>
      <c r="D5233" s="39"/>
      <c r="E5233" s="39"/>
    </row>
    <row r="5234" spans="1:5" ht="15.6">
      <c r="A5234">
        <v>5179</v>
      </c>
      <c r="B5234" s="166">
        <v>91.770076719575016</v>
      </c>
      <c r="D5234" s="39"/>
      <c r="E5234" s="39"/>
    </row>
    <row r="5235" spans="1:5" ht="15.6">
      <c r="A5235">
        <v>5180</v>
      </c>
      <c r="B5235" s="166">
        <v>105.10913110396909</v>
      </c>
      <c r="D5235" s="39"/>
      <c r="E5235" s="39"/>
    </row>
    <row r="5236" spans="1:5" ht="15.6">
      <c r="A5236">
        <v>5181</v>
      </c>
      <c r="B5236" s="166">
        <v>165.98782804651995</v>
      </c>
      <c r="D5236" s="39"/>
      <c r="E5236" s="39"/>
    </row>
    <row r="5237" spans="1:5" ht="15.6">
      <c r="A5237">
        <v>5182</v>
      </c>
      <c r="B5237" s="166">
        <v>274.22581902764659</v>
      </c>
      <c r="D5237" s="39"/>
      <c r="E5237" s="39"/>
    </row>
    <row r="5238" spans="1:5" ht="15.6">
      <c r="A5238">
        <v>5183</v>
      </c>
      <c r="B5238" s="166">
        <v>59.01491522360979</v>
      </c>
      <c r="D5238" s="39"/>
      <c r="E5238" s="39"/>
    </row>
    <row r="5239" spans="1:5" ht="15.6">
      <c r="A5239">
        <v>5184</v>
      </c>
      <c r="B5239" s="166">
        <v>101.31976851214718</v>
      </c>
      <c r="D5239" s="39"/>
      <c r="E5239" s="39"/>
    </row>
    <row r="5240" spans="1:5" ht="15.6">
      <c r="A5240">
        <v>5185</v>
      </c>
      <c r="B5240" s="166">
        <v>56.238160745569886</v>
      </c>
      <c r="D5240" s="39"/>
      <c r="E5240" s="39"/>
    </row>
    <row r="5241" spans="1:5" ht="15.6">
      <c r="A5241">
        <v>5186</v>
      </c>
      <c r="B5241" s="166">
        <v>97.998297631695664</v>
      </c>
      <c r="D5241" s="39"/>
      <c r="E5241" s="39"/>
    </row>
    <row r="5242" spans="1:5" ht="15.6">
      <c r="A5242">
        <v>5187</v>
      </c>
      <c r="B5242" s="166">
        <v>107.24907786961187</v>
      </c>
      <c r="D5242" s="39"/>
      <c r="E5242" s="39"/>
    </row>
    <row r="5243" spans="1:5" ht="15.6">
      <c r="A5243">
        <v>5188</v>
      </c>
      <c r="B5243" s="166">
        <v>80.199336834252904</v>
      </c>
      <c r="D5243" s="39"/>
      <c r="E5243" s="39"/>
    </row>
    <row r="5244" spans="1:5" ht="15.6">
      <c r="A5244">
        <v>5189</v>
      </c>
      <c r="B5244" s="166">
        <v>88.884266520178087</v>
      </c>
      <c r="D5244" s="39"/>
      <c r="E5244" s="39"/>
    </row>
    <row r="5245" spans="1:5" ht="15.6">
      <c r="A5245">
        <v>5190</v>
      </c>
      <c r="B5245" s="166">
        <v>194.63162392839098</v>
      </c>
      <c r="D5245" s="39"/>
      <c r="E5245" s="39"/>
    </row>
    <row r="5246" spans="1:5" ht="15.6">
      <c r="A5246">
        <v>5191</v>
      </c>
      <c r="B5246" s="166">
        <v>157.04719161420519</v>
      </c>
      <c r="D5246" s="39"/>
      <c r="E5246" s="39"/>
    </row>
    <row r="5247" spans="1:5" ht="15.6">
      <c r="A5247">
        <v>5192</v>
      </c>
      <c r="B5247" s="166">
        <v>70.455605735325065</v>
      </c>
      <c r="D5247" s="39"/>
      <c r="E5247" s="39"/>
    </row>
    <row r="5248" spans="1:5" ht="15.6">
      <c r="A5248">
        <v>5193</v>
      </c>
      <c r="B5248" s="166">
        <v>87.359561792083994</v>
      </c>
      <c r="D5248" s="39"/>
      <c r="E5248" s="39"/>
    </row>
    <row r="5249" spans="1:5" ht="15.6">
      <c r="A5249">
        <v>5194</v>
      </c>
      <c r="B5249" s="166">
        <v>103.11301999493072</v>
      </c>
      <c r="D5249" s="39"/>
      <c r="E5249" s="39"/>
    </row>
    <row r="5250" spans="1:5" ht="15.6">
      <c r="A5250">
        <v>5195</v>
      </c>
      <c r="B5250" s="166">
        <v>188.75798718283775</v>
      </c>
      <c r="D5250" s="39"/>
      <c r="E5250" s="39"/>
    </row>
    <row r="5251" spans="1:5" ht="15.6">
      <c r="A5251">
        <v>5196</v>
      </c>
      <c r="B5251" s="166">
        <v>110.98886997561871</v>
      </c>
      <c r="D5251" s="39"/>
      <c r="E5251" s="39"/>
    </row>
    <row r="5252" spans="1:5" ht="15.6">
      <c r="A5252">
        <v>5197</v>
      </c>
      <c r="B5252" s="166">
        <v>83.05578752705334</v>
      </c>
      <c r="D5252" s="39"/>
      <c r="E5252" s="39"/>
    </row>
    <row r="5253" spans="1:5" ht="15.6">
      <c r="A5253">
        <v>5198</v>
      </c>
      <c r="B5253" s="166">
        <v>127.85584871820473</v>
      </c>
      <c r="D5253" s="39"/>
      <c r="E5253" s="39"/>
    </row>
    <row r="5254" spans="1:5" ht="15.6">
      <c r="A5254">
        <v>5199</v>
      </c>
      <c r="B5254" s="166">
        <v>86.445406882530321</v>
      </c>
      <c r="D5254" s="39"/>
      <c r="E5254" s="39"/>
    </row>
    <row r="5255" spans="1:5" ht="15.6">
      <c r="A5255">
        <v>5200</v>
      </c>
      <c r="B5255" s="166">
        <v>107.68851964756563</v>
      </c>
      <c r="D5255" s="39"/>
      <c r="E5255" s="39"/>
    </row>
    <row r="5256" spans="1:5" ht="15.6">
      <c r="A5256">
        <v>5201</v>
      </c>
      <c r="B5256" s="166">
        <v>144.74822970819261</v>
      </c>
      <c r="D5256" s="39"/>
      <c r="E5256" s="39"/>
    </row>
    <row r="5257" spans="1:5" ht="15.6">
      <c r="A5257">
        <v>5202</v>
      </c>
      <c r="B5257" s="166">
        <v>64.314184791250341</v>
      </c>
      <c r="D5257" s="39"/>
      <c r="E5257" s="39"/>
    </row>
    <row r="5258" spans="1:5" ht="15.6">
      <c r="A5258">
        <v>5203</v>
      </c>
      <c r="B5258" s="166">
        <v>86.665194977395842</v>
      </c>
      <c r="D5258" s="39"/>
      <c r="E5258" s="39"/>
    </row>
    <row r="5259" spans="1:5" ht="15.6">
      <c r="A5259">
        <v>5204</v>
      </c>
      <c r="B5259" s="166">
        <v>78.737522872073413</v>
      </c>
      <c r="D5259" s="39"/>
      <c r="E5259" s="39"/>
    </row>
    <row r="5260" spans="1:5" ht="15.6">
      <c r="A5260">
        <v>5205</v>
      </c>
      <c r="B5260" s="166">
        <v>176.482258705569</v>
      </c>
      <c r="D5260" s="39"/>
      <c r="E5260" s="39"/>
    </row>
    <row r="5261" spans="1:5" ht="15.6">
      <c r="A5261">
        <v>5206</v>
      </c>
      <c r="B5261" s="166">
        <v>68.565271281557358</v>
      </c>
      <c r="D5261" s="39"/>
      <c r="E5261" s="39"/>
    </row>
    <row r="5262" spans="1:5" ht="15.6">
      <c r="A5262">
        <v>5207</v>
      </c>
      <c r="B5262" s="166">
        <v>126.57365058229217</v>
      </c>
      <c r="D5262" s="39"/>
      <c r="E5262" s="39"/>
    </row>
    <row r="5263" spans="1:5" ht="15.6">
      <c r="A5263">
        <v>5208</v>
      </c>
      <c r="B5263" s="166">
        <v>83.062548859659046</v>
      </c>
      <c r="D5263" s="39"/>
      <c r="E5263" s="39"/>
    </row>
    <row r="5264" spans="1:5" ht="15.6">
      <c r="A5264">
        <v>5209</v>
      </c>
      <c r="B5264" s="166">
        <v>71.419996040040161</v>
      </c>
      <c r="D5264" s="39"/>
      <c r="E5264" s="39"/>
    </row>
    <row r="5265" spans="1:5" ht="15.6">
      <c r="A5265">
        <v>5210</v>
      </c>
      <c r="B5265" s="166">
        <v>113.46670010100036</v>
      </c>
      <c r="D5265" s="39"/>
      <c r="E5265" s="39"/>
    </row>
    <row r="5266" spans="1:5" ht="15.6">
      <c r="A5266">
        <v>5211</v>
      </c>
      <c r="B5266" s="166">
        <v>163.39308335927183</v>
      </c>
      <c r="D5266" s="39"/>
      <c r="E5266" s="39"/>
    </row>
    <row r="5267" spans="1:5" ht="15.6">
      <c r="A5267">
        <v>5212</v>
      </c>
      <c r="B5267" s="166">
        <v>131.01729680780636</v>
      </c>
      <c r="D5267" s="39"/>
      <c r="E5267" s="39"/>
    </row>
    <row r="5268" spans="1:5" ht="15.6">
      <c r="A5268">
        <v>5213</v>
      </c>
      <c r="B5268" s="166">
        <v>126.42111095572022</v>
      </c>
      <c r="D5268" s="39"/>
      <c r="E5268" s="39"/>
    </row>
    <row r="5269" spans="1:5" ht="15.6">
      <c r="A5269">
        <v>5214</v>
      </c>
      <c r="B5269" s="166">
        <v>103.31694206918631</v>
      </c>
      <c r="D5269" s="39"/>
      <c r="E5269" s="39"/>
    </row>
    <row r="5270" spans="1:5" ht="15.6">
      <c r="A5270">
        <v>5215</v>
      </c>
      <c r="B5270" s="166">
        <v>149.3546697325524</v>
      </c>
      <c r="D5270" s="39"/>
      <c r="E5270" s="39"/>
    </row>
    <row r="5271" spans="1:5" ht="15.6">
      <c r="A5271">
        <v>5216</v>
      </c>
      <c r="B5271" s="166">
        <v>186.0335266625213</v>
      </c>
      <c r="D5271" s="39"/>
      <c r="E5271" s="39"/>
    </row>
    <row r="5272" spans="1:5" ht="15.6">
      <c r="A5272">
        <v>5217</v>
      </c>
      <c r="B5272" s="166">
        <v>103.19936526382604</v>
      </c>
      <c r="D5272" s="39"/>
      <c r="E5272" s="39"/>
    </row>
    <row r="5273" spans="1:5" ht="15.6">
      <c r="A5273">
        <v>5218</v>
      </c>
      <c r="B5273" s="166">
        <v>201.11675488756705</v>
      </c>
      <c r="D5273" s="39"/>
      <c r="E5273" s="39"/>
    </row>
    <row r="5274" spans="1:5" ht="15.6">
      <c r="A5274">
        <v>5219</v>
      </c>
      <c r="B5274" s="166">
        <v>73.014375168488542</v>
      </c>
      <c r="D5274" s="39"/>
      <c r="E5274" s="39"/>
    </row>
    <row r="5275" spans="1:5" ht="15.6">
      <c r="A5275">
        <v>5220</v>
      </c>
      <c r="B5275" s="166">
        <v>98.14112987516441</v>
      </c>
      <c r="D5275" s="39"/>
      <c r="E5275" s="39"/>
    </row>
    <row r="5276" spans="1:5" ht="15.6">
      <c r="A5276">
        <v>5221</v>
      </c>
      <c r="B5276" s="166">
        <v>79.630014479908809</v>
      </c>
      <c r="D5276" s="39"/>
      <c r="E5276" s="39"/>
    </row>
    <row r="5277" spans="1:5" ht="15.6">
      <c r="A5277">
        <v>5222</v>
      </c>
      <c r="B5277" s="166">
        <v>80.036024274352513</v>
      </c>
      <c r="D5277" s="39"/>
      <c r="E5277" s="39"/>
    </row>
    <row r="5278" spans="1:5" ht="15.6">
      <c r="A5278">
        <v>5223</v>
      </c>
      <c r="B5278" s="166">
        <v>103.28508776676388</v>
      </c>
      <c r="D5278" s="39"/>
      <c r="E5278" s="39"/>
    </row>
    <row r="5279" spans="1:5" ht="15.6">
      <c r="A5279">
        <v>5224</v>
      </c>
      <c r="B5279" s="166">
        <v>140.84662901852883</v>
      </c>
      <c r="D5279" s="39"/>
      <c r="E5279" s="39"/>
    </row>
    <row r="5280" spans="1:5" ht="15.6">
      <c r="A5280">
        <v>5225</v>
      </c>
      <c r="B5280" s="166">
        <v>73.080047776591769</v>
      </c>
      <c r="D5280" s="39"/>
      <c r="E5280" s="39"/>
    </row>
    <row r="5281" spans="1:5" ht="15.6">
      <c r="A5281">
        <v>5226</v>
      </c>
      <c r="B5281" s="166">
        <v>66.716459045105836</v>
      </c>
      <c r="D5281" s="39"/>
      <c r="E5281" s="39"/>
    </row>
    <row r="5282" spans="1:5" ht="15.6">
      <c r="A5282">
        <v>5227</v>
      </c>
      <c r="B5282" s="166">
        <v>83.941649909562429</v>
      </c>
      <c r="D5282" s="39"/>
      <c r="E5282" s="39"/>
    </row>
    <row r="5283" spans="1:5" ht="15.6">
      <c r="A5283">
        <v>5228</v>
      </c>
      <c r="B5283" s="166">
        <v>117.34194700403104</v>
      </c>
      <c r="D5283" s="39"/>
      <c r="E5283" s="39"/>
    </row>
    <row r="5284" spans="1:5" ht="15.6">
      <c r="A5284">
        <v>5229</v>
      </c>
      <c r="B5284" s="166">
        <v>93.747388642215697</v>
      </c>
      <c r="D5284" s="39"/>
      <c r="E5284" s="39"/>
    </row>
    <row r="5285" spans="1:5" ht="15.6">
      <c r="A5285">
        <v>5230</v>
      </c>
      <c r="B5285" s="166">
        <v>113.15303189808776</v>
      </c>
      <c r="D5285" s="39"/>
      <c r="E5285" s="39"/>
    </row>
    <row r="5286" spans="1:5" ht="15.6">
      <c r="A5286">
        <v>5231</v>
      </c>
      <c r="B5286" s="166">
        <v>179.75459667783434</v>
      </c>
      <c r="D5286" s="39"/>
      <c r="E5286" s="39"/>
    </row>
    <row r="5287" spans="1:5" ht="15.6">
      <c r="A5287">
        <v>5232</v>
      </c>
      <c r="B5287" s="166">
        <v>119.95035392733222</v>
      </c>
      <c r="D5287" s="39"/>
      <c r="E5287" s="39"/>
    </row>
    <row r="5288" spans="1:5" ht="15.6">
      <c r="A5288">
        <v>5233</v>
      </c>
      <c r="B5288" s="166">
        <v>160.05027836367179</v>
      </c>
      <c r="D5288" s="39"/>
      <c r="E5288" s="39"/>
    </row>
    <row r="5289" spans="1:5" ht="15.6">
      <c r="A5289">
        <v>5234</v>
      </c>
      <c r="B5289" s="166">
        <v>86.688519502916563</v>
      </c>
      <c r="D5289" s="39"/>
      <c r="E5289" s="39"/>
    </row>
    <row r="5290" spans="1:5" ht="15.6">
      <c r="A5290">
        <v>5235</v>
      </c>
      <c r="B5290" s="166">
        <v>122.58824262690842</v>
      </c>
      <c r="D5290" s="39"/>
      <c r="E5290" s="39"/>
    </row>
    <row r="5291" spans="1:5" ht="15.6">
      <c r="A5291">
        <v>5236</v>
      </c>
      <c r="B5291" s="166">
        <v>157.1581479338063</v>
      </c>
      <c r="D5291" s="39"/>
      <c r="E5291" s="39"/>
    </row>
    <row r="5292" spans="1:5" ht="15.6">
      <c r="A5292">
        <v>5237</v>
      </c>
      <c r="B5292" s="166">
        <v>117.12584434687854</v>
      </c>
      <c r="D5292" s="39"/>
      <c r="E5292" s="39"/>
    </row>
    <row r="5293" spans="1:5" ht="15.6">
      <c r="A5293">
        <v>5238</v>
      </c>
      <c r="B5293" s="166">
        <v>131.34223317666346</v>
      </c>
      <c r="D5293" s="39"/>
      <c r="E5293" s="39"/>
    </row>
    <row r="5294" spans="1:5" ht="15.6">
      <c r="A5294">
        <v>5239</v>
      </c>
      <c r="B5294" s="166">
        <v>97.570521785695362</v>
      </c>
      <c r="D5294" s="39"/>
      <c r="E5294" s="39"/>
    </row>
    <row r="5295" spans="1:5" ht="15.6">
      <c r="A5295">
        <v>5240</v>
      </c>
      <c r="B5295" s="166">
        <v>101.23602545425034</v>
      </c>
      <c r="D5295" s="39"/>
      <c r="E5295" s="39"/>
    </row>
    <row r="5296" spans="1:5" ht="15.6">
      <c r="A5296">
        <v>5241</v>
      </c>
      <c r="B5296" s="166">
        <v>63.928016522080448</v>
      </c>
      <c r="D5296" s="39"/>
      <c r="E5296" s="39"/>
    </row>
    <row r="5297" spans="1:5" ht="15.6">
      <c r="A5297">
        <v>5242</v>
      </c>
      <c r="B5297" s="166">
        <v>169.32659144982898</v>
      </c>
      <c r="D5297" s="39"/>
      <c r="E5297" s="39"/>
    </row>
    <row r="5298" spans="1:5" ht="15.6">
      <c r="A5298">
        <v>5243</v>
      </c>
      <c r="B5298" s="166">
        <v>52.009049034762654</v>
      </c>
      <c r="D5298" s="39"/>
      <c r="E5298" s="39"/>
    </row>
    <row r="5299" spans="1:5" ht="15.6">
      <c r="A5299">
        <v>5244</v>
      </c>
      <c r="B5299" s="166">
        <v>49.900441438468782</v>
      </c>
      <c r="D5299" s="39"/>
      <c r="E5299" s="39"/>
    </row>
    <row r="5300" spans="1:5" ht="15.6">
      <c r="A5300">
        <v>5245</v>
      </c>
      <c r="B5300" s="166">
        <v>82.662028798802211</v>
      </c>
      <c r="D5300" s="39"/>
      <c r="E5300" s="39"/>
    </row>
    <row r="5301" spans="1:5" ht="15.6">
      <c r="A5301">
        <v>5246</v>
      </c>
      <c r="B5301" s="166">
        <v>145.47025846644095</v>
      </c>
      <c r="D5301" s="39"/>
      <c r="E5301" s="39"/>
    </row>
    <row r="5302" spans="1:5" ht="15.6">
      <c r="A5302">
        <v>5247</v>
      </c>
      <c r="B5302" s="166">
        <v>114.66844600869622</v>
      </c>
      <c r="D5302" s="39"/>
      <c r="E5302" s="39"/>
    </row>
    <row r="5303" spans="1:5" ht="15.6">
      <c r="A5303">
        <v>5248</v>
      </c>
      <c r="B5303" s="166">
        <v>169.31356338635561</v>
      </c>
      <c r="D5303" s="39"/>
      <c r="E5303" s="39"/>
    </row>
    <row r="5304" spans="1:5" ht="15.6">
      <c r="A5304">
        <v>5249</v>
      </c>
      <c r="B5304" s="166">
        <v>101.4518320531466</v>
      </c>
      <c r="D5304" s="39"/>
      <c r="E5304" s="39"/>
    </row>
    <row r="5305" spans="1:5" ht="15.6">
      <c r="A5305">
        <v>5250</v>
      </c>
      <c r="B5305" s="166">
        <v>65.911440791836924</v>
      </c>
      <c r="D5305" s="39"/>
      <c r="E5305" s="39"/>
    </row>
    <row r="5306" spans="1:5" ht="15.6">
      <c r="A5306">
        <v>5251</v>
      </c>
      <c r="B5306" s="166">
        <v>62.707965919360774</v>
      </c>
      <c r="D5306" s="39"/>
      <c r="E5306" s="39"/>
    </row>
    <row r="5307" spans="1:5" ht="15.6">
      <c r="A5307">
        <v>5252</v>
      </c>
      <c r="B5307" s="166">
        <v>77.244375975455029</v>
      </c>
      <c r="D5307" s="39"/>
      <c r="E5307" s="39"/>
    </row>
    <row r="5308" spans="1:5" ht="15.6">
      <c r="A5308">
        <v>5253</v>
      </c>
      <c r="B5308" s="166">
        <v>237.15808471626684</v>
      </c>
      <c r="D5308" s="39"/>
      <c r="E5308" s="39"/>
    </row>
    <row r="5309" spans="1:5" ht="15.6">
      <c r="A5309">
        <v>5254</v>
      </c>
      <c r="B5309" s="166">
        <v>102.0127406646675</v>
      </c>
      <c r="D5309" s="39"/>
      <c r="E5309" s="39"/>
    </row>
    <row r="5310" spans="1:5" ht="15.6">
      <c r="A5310">
        <v>5255</v>
      </c>
      <c r="B5310" s="166">
        <v>99.43256439459303</v>
      </c>
      <c r="D5310" s="39"/>
      <c r="E5310" s="39"/>
    </row>
    <row r="5311" spans="1:5" ht="15.6">
      <c r="A5311">
        <v>5256</v>
      </c>
      <c r="B5311" s="166">
        <v>105.79547718484267</v>
      </c>
      <c r="D5311" s="39"/>
      <c r="E5311" s="39"/>
    </row>
    <row r="5312" spans="1:5" ht="15.6">
      <c r="A5312">
        <v>5257</v>
      </c>
      <c r="B5312" s="166">
        <v>88.910499430897389</v>
      </c>
      <c r="D5312" s="39"/>
      <c r="E5312" s="39"/>
    </row>
    <row r="5313" spans="1:5" ht="15.6">
      <c r="A5313">
        <v>5258</v>
      </c>
      <c r="B5313" s="166">
        <v>120.48204774325549</v>
      </c>
      <c r="D5313" s="39"/>
      <c r="E5313" s="39"/>
    </row>
    <row r="5314" spans="1:5" ht="15.6">
      <c r="A5314">
        <v>5259</v>
      </c>
      <c r="B5314" s="166">
        <v>239.96024055961868</v>
      </c>
      <c r="D5314" s="39"/>
      <c r="E5314" s="39"/>
    </row>
    <row r="5315" spans="1:5" ht="15.6">
      <c r="A5315">
        <v>5260</v>
      </c>
      <c r="B5315" s="166">
        <v>90.807087385492025</v>
      </c>
      <c r="D5315" s="39"/>
      <c r="E5315" s="39"/>
    </row>
    <row r="5316" spans="1:5" ht="15.6">
      <c r="A5316">
        <v>5261</v>
      </c>
      <c r="B5316" s="166">
        <v>137.76802494912849</v>
      </c>
      <c r="D5316" s="39"/>
      <c r="E5316" s="39"/>
    </row>
    <row r="5317" spans="1:5" ht="15.6">
      <c r="A5317">
        <v>5262</v>
      </c>
      <c r="B5317" s="166">
        <v>89.652334098097697</v>
      </c>
      <c r="D5317" s="39"/>
      <c r="E5317" s="39"/>
    </row>
    <row r="5318" spans="1:5" ht="15.6">
      <c r="A5318">
        <v>5263</v>
      </c>
      <c r="B5318" s="166">
        <v>169.13303143841259</v>
      </c>
      <c r="D5318" s="39"/>
      <c r="E5318" s="39"/>
    </row>
    <row r="5319" spans="1:5" ht="15.6">
      <c r="A5319">
        <v>5264</v>
      </c>
      <c r="B5319" s="166">
        <v>192.47651065214163</v>
      </c>
      <c r="D5319" s="39"/>
      <c r="E5319" s="39"/>
    </row>
    <row r="5320" spans="1:5" ht="15.6">
      <c r="A5320">
        <v>5265</v>
      </c>
      <c r="B5320" s="166">
        <v>141.72887156959058</v>
      </c>
      <c r="D5320" s="39"/>
      <c r="E5320" s="39"/>
    </row>
    <row r="5321" spans="1:5" ht="15.6">
      <c r="A5321">
        <v>5266</v>
      </c>
      <c r="B5321" s="166">
        <v>77.087484285154176</v>
      </c>
      <c r="D5321" s="39"/>
      <c r="E5321" s="39"/>
    </row>
    <row r="5322" spans="1:5" ht="15.6">
      <c r="A5322">
        <v>5267</v>
      </c>
      <c r="B5322" s="166">
        <v>184.26792149770645</v>
      </c>
      <c r="D5322" s="39"/>
      <c r="E5322" s="39"/>
    </row>
    <row r="5323" spans="1:5" ht="15.6">
      <c r="A5323">
        <v>5268</v>
      </c>
      <c r="B5323" s="166">
        <v>125.95655350593253</v>
      </c>
      <c r="D5323" s="39"/>
      <c r="E5323" s="39"/>
    </row>
    <row r="5324" spans="1:5" ht="15.6">
      <c r="A5324">
        <v>5269</v>
      </c>
      <c r="B5324" s="166">
        <v>116.38674841592051</v>
      </c>
      <c r="D5324" s="39"/>
      <c r="E5324" s="39"/>
    </row>
    <row r="5325" spans="1:5" ht="15.6">
      <c r="A5325">
        <v>5270</v>
      </c>
      <c r="B5325" s="166">
        <v>94.065133087476241</v>
      </c>
      <c r="D5325" s="39"/>
      <c r="E5325" s="39"/>
    </row>
    <row r="5326" spans="1:5" ht="15.6">
      <c r="A5326">
        <v>5271</v>
      </c>
      <c r="B5326" s="166">
        <v>103.61409589427304</v>
      </c>
      <c r="D5326" s="39"/>
      <c r="E5326" s="39"/>
    </row>
    <row r="5327" spans="1:5" ht="15.6">
      <c r="A5327">
        <v>5272</v>
      </c>
      <c r="B5327" s="166">
        <v>163.5879584931979</v>
      </c>
      <c r="D5327" s="39"/>
      <c r="E5327" s="39"/>
    </row>
    <row r="5328" spans="1:5" ht="15.6">
      <c r="A5328">
        <v>5273</v>
      </c>
      <c r="B5328" s="166">
        <v>118.35589115100517</v>
      </c>
      <c r="D5328" s="39"/>
      <c r="E5328" s="39"/>
    </row>
    <row r="5329" spans="1:5" ht="15.6">
      <c r="A5329">
        <v>5274</v>
      </c>
      <c r="B5329" s="166">
        <v>70.142844140853171</v>
      </c>
      <c r="D5329" s="39"/>
      <c r="E5329" s="39"/>
    </row>
    <row r="5330" spans="1:5" ht="15.6">
      <c r="A5330">
        <v>5275</v>
      </c>
      <c r="B5330" s="166">
        <v>99.812154145072014</v>
      </c>
      <c r="D5330" s="39"/>
      <c r="E5330" s="39"/>
    </row>
    <row r="5331" spans="1:5" ht="15.6">
      <c r="A5331">
        <v>5276</v>
      </c>
      <c r="B5331" s="166">
        <v>183.02626243384546</v>
      </c>
      <c r="D5331" s="39"/>
      <c r="E5331" s="39"/>
    </row>
    <row r="5332" spans="1:5" ht="15.6">
      <c r="A5332">
        <v>5277</v>
      </c>
      <c r="B5332" s="166">
        <v>86.501769893844411</v>
      </c>
      <c r="D5332" s="39"/>
      <c r="E5332" s="39"/>
    </row>
    <row r="5333" spans="1:5" ht="15.6">
      <c r="A5333">
        <v>5278</v>
      </c>
      <c r="B5333" s="166">
        <v>81.77992953587848</v>
      </c>
      <c r="D5333" s="39"/>
      <c r="E5333" s="39"/>
    </row>
    <row r="5334" spans="1:5" ht="15.6">
      <c r="A5334">
        <v>5279</v>
      </c>
      <c r="B5334" s="166">
        <v>58.738223191195353</v>
      </c>
      <c r="D5334" s="39"/>
      <c r="E5334" s="39"/>
    </row>
    <row r="5335" spans="1:5" ht="15.6">
      <c r="A5335">
        <v>5280</v>
      </c>
      <c r="B5335" s="166">
        <v>112.21361618433262</v>
      </c>
      <c r="D5335" s="39"/>
      <c r="E5335" s="39"/>
    </row>
    <row r="5336" spans="1:5" ht="15.6">
      <c r="A5336">
        <v>5281</v>
      </c>
      <c r="B5336" s="166">
        <v>82.133826368560591</v>
      </c>
      <c r="D5336" s="39"/>
      <c r="E5336" s="39"/>
    </row>
    <row r="5337" spans="1:5" ht="15.6">
      <c r="A5337">
        <v>5282</v>
      </c>
      <c r="B5337" s="166">
        <v>55.738646154260138</v>
      </c>
      <c r="D5337" s="39"/>
      <c r="E5337" s="39"/>
    </row>
    <row r="5338" spans="1:5" ht="15.6">
      <c r="A5338">
        <v>5283</v>
      </c>
      <c r="B5338" s="166">
        <v>70.307787464676693</v>
      </c>
      <c r="D5338" s="39"/>
      <c r="E5338" s="39"/>
    </row>
    <row r="5339" spans="1:5" ht="15.6">
      <c r="A5339">
        <v>5284</v>
      </c>
      <c r="B5339" s="166">
        <v>94.515001204277979</v>
      </c>
      <c r="D5339" s="39"/>
      <c r="E5339" s="39"/>
    </row>
    <row r="5340" spans="1:5" ht="15.6">
      <c r="A5340">
        <v>5285</v>
      </c>
      <c r="B5340" s="166">
        <v>60.354207782685279</v>
      </c>
      <c r="D5340" s="39"/>
      <c r="E5340" s="39"/>
    </row>
    <row r="5341" spans="1:5" ht="15.6">
      <c r="A5341">
        <v>5286</v>
      </c>
      <c r="B5341" s="166">
        <v>54.5696056596841</v>
      </c>
      <c r="D5341" s="39"/>
      <c r="E5341" s="39"/>
    </row>
    <row r="5342" spans="1:5" ht="15.6">
      <c r="A5342">
        <v>5287</v>
      </c>
      <c r="B5342" s="166">
        <v>89.270307181546485</v>
      </c>
      <c r="D5342" s="39"/>
      <c r="E5342" s="39"/>
    </row>
    <row r="5343" spans="1:5" ht="15.6">
      <c r="A5343">
        <v>5288</v>
      </c>
      <c r="B5343" s="166">
        <v>81.72906062790139</v>
      </c>
      <c r="D5343" s="39"/>
      <c r="E5343" s="39"/>
    </row>
    <row r="5344" spans="1:5" ht="15.6">
      <c r="A5344">
        <v>5289</v>
      </c>
      <c r="B5344" s="166">
        <v>71.199520441495281</v>
      </c>
      <c r="D5344" s="39"/>
      <c r="E5344" s="39"/>
    </row>
    <row r="5345" spans="1:5" ht="15.6">
      <c r="A5345">
        <v>5290</v>
      </c>
      <c r="B5345" s="166">
        <v>154.04574158979551</v>
      </c>
      <c r="D5345" s="39"/>
      <c r="E5345" s="39"/>
    </row>
    <row r="5346" spans="1:5" ht="15.6">
      <c r="A5346">
        <v>5291</v>
      </c>
      <c r="B5346" s="166">
        <v>84.383494866103518</v>
      </c>
      <c r="D5346" s="39"/>
      <c r="E5346" s="39"/>
    </row>
    <row r="5347" spans="1:5" ht="15.6">
      <c r="A5347">
        <v>5292</v>
      </c>
      <c r="B5347" s="166">
        <v>91.499129963838143</v>
      </c>
      <c r="D5347" s="39"/>
      <c r="E5347" s="39"/>
    </row>
    <row r="5348" spans="1:5" ht="15.6">
      <c r="A5348">
        <v>5293</v>
      </c>
      <c r="B5348" s="166">
        <v>99.599092457822479</v>
      </c>
      <c r="D5348" s="39"/>
      <c r="E5348" s="39"/>
    </row>
    <row r="5349" spans="1:5" ht="15.6">
      <c r="A5349">
        <v>5294</v>
      </c>
      <c r="B5349" s="166">
        <v>131.84941908030041</v>
      </c>
      <c r="D5349" s="39"/>
      <c r="E5349" s="39"/>
    </row>
    <row r="5350" spans="1:5" ht="15.6">
      <c r="A5350">
        <v>5295</v>
      </c>
      <c r="B5350" s="166">
        <v>108.84201397597154</v>
      </c>
      <c r="D5350" s="39"/>
      <c r="E5350" s="39"/>
    </row>
    <row r="5351" spans="1:5" ht="15.6">
      <c r="A5351">
        <v>5296</v>
      </c>
      <c r="B5351" s="166">
        <v>150.26980060980952</v>
      </c>
      <c r="D5351" s="39"/>
      <c r="E5351" s="39"/>
    </row>
    <row r="5352" spans="1:5" ht="15.6">
      <c r="A5352">
        <v>5297</v>
      </c>
      <c r="B5352" s="166">
        <v>163.2321507082591</v>
      </c>
      <c r="D5352" s="39"/>
      <c r="E5352" s="39"/>
    </row>
    <row r="5353" spans="1:5" ht="15.6">
      <c r="A5353">
        <v>5298</v>
      </c>
      <c r="B5353" s="166">
        <v>92.246269184361779</v>
      </c>
      <c r="D5353" s="39"/>
      <c r="E5353" s="39"/>
    </row>
    <row r="5354" spans="1:5" ht="15.6">
      <c r="A5354">
        <v>5299</v>
      </c>
      <c r="B5354" s="166">
        <v>74.737721991919443</v>
      </c>
      <c r="D5354" s="39"/>
      <c r="E5354" s="39"/>
    </row>
    <row r="5355" spans="1:5" ht="15.6">
      <c r="A5355">
        <v>5300</v>
      </c>
      <c r="B5355" s="166">
        <v>82.733225831129801</v>
      </c>
      <c r="D5355" s="39"/>
      <c r="E5355" s="39"/>
    </row>
    <row r="5356" spans="1:5" ht="15.6">
      <c r="A5356">
        <v>5301</v>
      </c>
      <c r="B5356" s="166">
        <v>99.052642475517118</v>
      </c>
      <c r="D5356" s="39"/>
      <c r="E5356" s="39"/>
    </row>
    <row r="5357" spans="1:5" ht="15.6">
      <c r="A5357">
        <v>5302</v>
      </c>
      <c r="B5357" s="166">
        <v>97.95834761623388</v>
      </c>
      <c r="D5357" s="39"/>
      <c r="E5357" s="39"/>
    </row>
    <row r="5358" spans="1:5" ht="15.6">
      <c r="A5358">
        <v>5303</v>
      </c>
      <c r="B5358" s="166">
        <v>112.58583364690632</v>
      </c>
      <c r="D5358" s="39"/>
      <c r="E5358" s="39"/>
    </row>
    <row r="5359" spans="1:5" ht="15.6">
      <c r="A5359">
        <v>5304</v>
      </c>
      <c r="B5359" s="166">
        <v>83.412721904881906</v>
      </c>
      <c r="D5359" s="39"/>
      <c r="E5359" s="39"/>
    </row>
    <row r="5360" spans="1:5" ht="15.6">
      <c r="A5360">
        <v>5305</v>
      </c>
      <c r="B5360" s="166">
        <v>94.406418297239043</v>
      </c>
      <c r="D5360" s="39"/>
      <c r="E5360" s="39"/>
    </row>
    <row r="5361" spans="1:5" ht="15.6">
      <c r="A5361">
        <v>5306</v>
      </c>
      <c r="B5361" s="166">
        <v>98.995419533423274</v>
      </c>
      <c r="D5361" s="39"/>
      <c r="E5361" s="39"/>
    </row>
    <row r="5362" spans="1:5" ht="15.6">
      <c r="A5362">
        <v>5307</v>
      </c>
      <c r="B5362" s="166">
        <v>148.10856572329499</v>
      </c>
      <c r="D5362" s="39"/>
      <c r="E5362" s="39"/>
    </row>
    <row r="5363" spans="1:5" ht="15.6">
      <c r="A5363">
        <v>5308</v>
      </c>
      <c r="B5363" s="166">
        <v>75.654016868106183</v>
      </c>
      <c r="D5363" s="39"/>
      <c r="E5363" s="39"/>
    </row>
    <row r="5364" spans="1:5" ht="15.6">
      <c r="A5364">
        <v>5309</v>
      </c>
      <c r="B5364" s="166">
        <v>136.26648490753291</v>
      </c>
      <c r="D5364" s="39"/>
      <c r="E5364" s="39"/>
    </row>
    <row r="5365" spans="1:5" ht="15.6">
      <c r="A5365">
        <v>5310</v>
      </c>
      <c r="B5365" s="166">
        <v>94.884325273143276</v>
      </c>
      <c r="D5365" s="39"/>
      <c r="E5365" s="39"/>
    </row>
    <row r="5366" spans="1:5" ht="15.6">
      <c r="A5366">
        <v>5311</v>
      </c>
      <c r="B5366" s="166">
        <v>126.22468986658603</v>
      </c>
      <c r="D5366" s="39"/>
      <c r="E5366" s="39"/>
    </row>
    <row r="5367" spans="1:5" ht="15.6">
      <c r="A5367">
        <v>5312</v>
      </c>
      <c r="B5367" s="166">
        <v>118.45153943380092</v>
      </c>
      <c r="D5367" s="39"/>
      <c r="E5367" s="39"/>
    </row>
    <row r="5368" spans="1:5" ht="15.6">
      <c r="A5368">
        <v>5313</v>
      </c>
      <c r="B5368" s="166">
        <v>79.872544332423857</v>
      </c>
      <c r="D5368" s="39"/>
      <c r="E5368" s="39"/>
    </row>
    <row r="5369" spans="1:5" ht="15.6">
      <c r="A5369">
        <v>5314</v>
      </c>
      <c r="B5369" s="166">
        <v>169.17895884070188</v>
      </c>
      <c r="D5369" s="39"/>
      <c r="E5369" s="39"/>
    </row>
    <row r="5370" spans="1:5" ht="15.6">
      <c r="A5370">
        <v>5315</v>
      </c>
      <c r="B5370" s="166">
        <v>76.710970272325113</v>
      </c>
      <c r="D5370" s="39"/>
      <c r="E5370" s="39"/>
    </row>
    <row r="5371" spans="1:5" ht="15.6">
      <c r="A5371">
        <v>5316</v>
      </c>
      <c r="B5371" s="166">
        <v>49.144160206237501</v>
      </c>
      <c r="D5371" s="39"/>
      <c r="E5371" s="39"/>
    </row>
    <row r="5372" spans="1:5" ht="15.6">
      <c r="A5372">
        <v>5317</v>
      </c>
      <c r="B5372" s="166">
        <v>133.76360838842632</v>
      </c>
      <c r="D5372" s="39"/>
      <c r="E5372" s="39"/>
    </row>
    <row r="5373" spans="1:5" ht="15.6">
      <c r="A5373">
        <v>5318</v>
      </c>
      <c r="B5373" s="166">
        <v>97.27941311862763</v>
      </c>
      <c r="D5373" s="39"/>
      <c r="E5373" s="39"/>
    </row>
    <row r="5374" spans="1:5" ht="15.6">
      <c r="A5374">
        <v>5319</v>
      </c>
      <c r="B5374" s="166">
        <v>146.70456924726895</v>
      </c>
      <c r="D5374" s="39"/>
      <c r="E5374" s="39"/>
    </row>
    <row r="5375" spans="1:5" ht="15.6">
      <c r="A5375">
        <v>5320</v>
      </c>
      <c r="B5375" s="166">
        <v>147.46805245560725</v>
      </c>
      <c r="D5375" s="39"/>
      <c r="E5375" s="39"/>
    </row>
    <row r="5376" spans="1:5" ht="15.6">
      <c r="A5376">
        <v>5321</v>
      </c>
      <c r="B5376" s="166">
        <v>146.13781584478735</v>
      </c>
      <c r="D5376" s="39"/>
      <c r="E5376" s="39"/>
    </row>
    <row r="5377" spans="1:5" ht="15.6">
      <c r="A5377">
        <v>5322</v>
      </c>
      <c r="B5377" s="166">
        <v>115.54933563544397</v>
      </c>
      <c r="D5377" s="39"/>
      <c r="E5377" s="39"/>
    </row>
    <row r="5378" spans="1:5" ht="15.6">
      <c r="A5378">
        <v>5323</v>
      </c>
      <c r="B5378" s="166">
        <v>65.437825889887037</v>
      </c>
      <c r="D5378" s="39"/>
      <c r="E5378" s="39"/>
    </row>
    <row r="5379" spans="1:5" ht="15.6">
      <c r="A5379">
        <v>5324</v>
      </c>
      <c r="B5379" s="166">
        <v>134.55146138905079</v>
      </c>
      <c r="D5379" s="39"/>
      <c r="E5379" s="39"/>
    </row>
    <row r="5380" spans="1:5" ht="15.6">
      <c r="A5380">
        <v>5325</v>
      </c>
      <c r="B5380" s="166">
        <v>114.84114233146153</v>
      </c>
      <c r="D5380" s="39"/>
      <c r="E5380" s="39"/>
    </row>
    <row r="5381" spans="1:5" ht="15.6">
      <c r="A5381">
        <v>5326</v>
      </c>
      <c r="B5381" s="166">
        <v>127.93814014278796</v>
      </c>
      <c r="D5381" s="39"/>
      <c r="E5381" s="39"/>
    </row>
    <row r="5382" spans="1:5" ht="15.6">
      <c r="A5382">
        <v>5327</v>
      </c>
      <c r="B5382" s="166">
        <v>96.221238651159325</v>
      </c>
      <c r="D5382" s="39"/>
      <c r="E5382" s="39"/>
    </row>
    <row r="5383" spans="1:5" ht="15.6">
      <c r="A5383">
        <v>5328</v>
      </c>
      <c r="B5383" s="166">
        <v>176.08837393012757</v>
      </c>
      <c r="D5383" s="39"/>
      <c r="E5383" s="39"/>
    </row>
    <row r="5384" spans="1:5" ht="15.6">
      <c r="A5384">
        <v>5329</v>
      </c>
      <c r="B5384" s="166">
        <v>107.68480322006459</v>
      </c>
      <c r="D5384" s="39"/>
      <c r="E5384" s="39"/>
    </row>
    <row r="5385" spans="1:5" ht="15.6">
      <c r="A5385">
        <v>5330</v>
      </c>
      <c r="B5385" s="166">
        <v>102.15915451733602</v>
      </c>
      <c r="D5385" s="39"/>
      <c r="E5385" s="39"/>
    </row>
    <row r="5386" spans="1:5" ht="15.6">
      <c r="A5386">
        <v>5331</v>
      </c>
      <c r="B5386" s="166">
        <v>120.79796326640366</v>
      </c>
      <c r="D5386" s="39"/>
      <c r="E5386" s="39"/>
    </row>
    <row r="5387" spans="1:5" ht="15.6">
      <c r="A5387">
        <v>5332</v>
      </c>
      <c r="B5387" s="166">
        <v>121.24884987268787</v>
      </c>
      <c r="D5387" s="39"/>
      <c r="E5387" s="39"/>
    </row>
    <row r="5388" spans="1:5" ht="15.6">
      <c r="A5388">
        <v>5333</v>
      </c>
      <c r="B5388" s="166">
        <v>167.25328267544748</v>
      </c>
      <c r="D5388" s="39"/>
      <c r="E5388" s="39"/>
    </row>
    <row r="5389" spans="1:5" ht="15.6">
      <c r="A5389">
        <v>5334</v>
      </c>
      <c r="B5389" s="166">
        <v>83.784155614888931</v>
      </c>
      <c r="D5389" s="39"/>
      <c r="E5389" s="39"/>
    </row>
    <row r="5390" spans="1:5" ht="15.6">
      <c r="A5390">
        <v>5335</v>
      </c>
      <c r="B5390" s="166">
        <v>70.463144082230414</v>
      </c>
      <c r="D5390" s="39"/>
      <c r="E5390" s="39"/>
    </row>
    <row r="5391" spans="1:5" ht="15.6">
      <c r="A5391">
        <v>5336</v>
      </c>
      <c r="B5391" s="166">
        <v>77.132612247842758</v>
      </c>
      <c r="D5391" s="39"/>
      <c r="E5391" s="39"/>
    </row>
    <row r="5392" spans="1:5" ht="15.6">
      <c r="A5392">
        <v>5337</v>
      </c>
      <c r="B5392" s="166">
        <v>70.092450021929494</v>
      </c>
      <c r="D5392" s="39"/>
      <c r="E5392" s="39"/>
    </row>
    <row r="5393" spans="1:5" ht="15.6">
      <c r="A5393">
        <v>5338</v>
      </c>
      <c r="B5393" s="166">
        <v>154.71038834017301</v>
      </c>
      <c r="D5393" s="39"/>
      <c r="E5393" s="39"/>
    </row>
    <row r="5394" spans="1:5" ht="15.6">
      <c r="A5394">
        <v>5339</v>
      </c>
      <c r="B5394" s="166">
        <v>64.142170086186169</v>
      </c>
      <c r="D5394" s="39"/>
      <c r="E5394" s="39"/>
    </row>
    <row r="5395" spans="1:5" ht="15.6">
      <c r="A5395">
        <v>5340</v>
      </c>
      <c r="B5395" s="166">
        <v>153.97872734908978</v>
      </c>
      <c r="D5395" s="39"/>
      <c r="E5395" s="39"/>
    </row>
    <row r="5396" spans="1:5" ht="15.6">
      <c r="A5396">
        <v>5341</v>
      </c>
      <c r="B5396" s="166">
        <v>86.14107236526938</v>
      </c>
      <c r="D5396" s="39"/>
      <c r="E5396" s="39"/>
    </row>
    <row r="5397" spans="1:5" ht="15.6">
      <c r="A5397">
        <v>5342</v>
      </c>
      <c r="B5397" s="166">
        <v>90.477999108416952</v>
      </c>
      <c r="D5397" s="39"/>
      <c r="E5397" s="39"/>
    </row>
    <row r="5398" spans="1:5" ht="15.6">
      <c r="A5398">
        <v>5343</v>
      </c>
      <c r="B5398" s="166">
        <v>83.647834599122447</v>
      </c>
      <c r="D5398" s="39"/>
      <c r="E5398" s="39"/>
    </row>
    <row r="5399" spans="1:5" ht="15.6">
      <c r="A5399">
        <v>5344</v>
      </c>
      <c r="B5399" s="166">
        <v>65.127899765745838</v>
      </c>
      <c r="D5399" s="39"/>
      <c r="E5399" s="39"/>
    </row>
    <row r="5400" spans="1:5" ht="15.6">
      <c r="A5400">
        <v>5345</v>
      </c>
      <c r="B5400" s="166">
        <v>82.14598312525284</v>
      </c>
      <c r="D5400" s="39"/>
      <c r="E5400" s="39"/>
    </row>
    <row r="5401" spans="1:5" ht="15.6">
      <c r="A5401">
        <v>5346</v>
      </c>
      <c r="B5401" s="166">
        <v>82.285500990454153</v>
      </c>
      <c r="D5401" s="39"/>
      <c r="E5401" s="39"/>
    </row>
    <row r="5402" spans="1:5" ht="15.6">
      <c r="A5402">
        <v>5347</v>
      </c>
      <c r="B5402" s="166">
        <v>104.03264256694962</v>
      </c>
      <c r="D5402" s="39"/>
      <c r="E5402" s="39"/>
    </row>
    <row r="5403" spans="1:5" ht="15.6">
      <c r="A5403">
        <v>5348</v>
      </c>
      <c r="B5403" s="166">
        <v>71.312566206861035</v>
      </c>
      <c r="D5403" s="39"/>
      <c r="E5403" s="39"/>
    </row>
    <row r="5404" spans="1:5" ht="15.6">
      <c r="A5404">
        <v>5349</v>
      </c>
      <c r="B5404" s="166">
        <v>66.346478072434167</v>
      </c>
      <c r="D5404" s="39"/>
      <c r="E5404" s="39"/>
    </row>
    <row r="5405" spans="1:5" ht="15.6">
      <c r="A5405">
        <v>5350</v>
      </c>
      <c r="B5405" s="166">
        <v>75.737036704220486</v>
      </c>
      <c r="D5405" s="39"/>
      <c r="E5405" s="39"/>
    </row>
    <row r="5406" spans="1:5" ht="15.6">
      <c r="A5406">
        <v>5351</v>
      </c>
      <c r="B5406" s="166">
        <v>135.80360088286159</v>
      </c>
      <c r="D5406" s="39"/>
      <c r="E5406" s="39"/>
    </row>
    <row r="5407" spans="1:5" ht="15.6">
      <c r="A5407">
        <v>5352</v>
      </c>
      <c r="B5407" s="166">
        <v>111.23446407726051</v>
      </c>
      <c r="D5407" s="39"/>
      <c r="E5407" s="39"/>
    </row>
    <row r="5408" spans="1:5" ht="15.6">
      <c r="A5408">
        <v>5353</v>
      </c>
      <c r="B5408" s="166">
        <v>59.014061093474965</v>
      </c>
      <c r="D5408" s="39"/>
      <c r="E5408" s="39"/>
    </row>
    <row r="5409" spans="1:5" ht="15.6">
      <c r="A5409">
        <v>5354</v>
      </c>
      <c r="B5409" s="166">
        <v>124.5588798705203</v>
      </c>
      <c r="D5409" s="39"/>
      <c r="E5409" s="39"/>
    </row>
    <row r="5410" spans="1:5" ht="15.6">
      <c r="A5410">
        <v>5355</v>
      </c>
      <c r="B5410" s="166">
        <v>69.939649654318984</v>
      </c>
      <c r="D5410" s="39"/>
      <c r="E5410" s="39"/>
    </row>
    <row r="5411" spans="1:5" ht="15.6">
      <c r="A5411">
        <v>5356</v>
      </c>
      <c r="B5411" s="166">
        <v>167.12667721930853</v>
      </c>
      <c r="D5411" s="39"/>
      <c r="E5411" s="39"/>
    </row>
    <row r="5412" spans="1:5" ht="15.6">
      <c r="A5412">
        <v>5357</v>
      </c>
      <c r="B5412" s="166">
        <v>112.16766187745924</v>
      </c>
      <c r="D5412" s="39"/>
      <c r="E5412" s="39"/>
    </row>
    <row r="5413" spans="1:5" ht="15.6">
      <c r="A5413">
        <v>5358</v>
      </c>
      <c r="B5413" s="166">
        <v>75.223637007207259</v>
      </c>
      <c r="D5413" s="39"/>
      <c r="E5413" s="39"/>
    </row>
    <row r="5414" spans="1:5" ht="15.6">
      <c r="A5414">
        <v>5359</v>
      </c>
      <c r="B5414" s="166">
        <v>160.47423955147943</v>
      </c>
      <c r="D5414" s="39"/>
      <c r="E5414" s="39"/>
    </row>
    <row r="5415" spans="1:5" ht="15.6">
      <c r="A5415">
        <v>5360</v>
      </c>
      <c r="B5415" s="166">
        <v>65.930887594908313</v>
      </c>
      <c r="D5415" s="39"/>
      <c r="E5415" s="39"/>
    </row>
    <row r="5416" spans="1:5" ht="15.6">
      <c r="A5416">
        <v>5361</v>
      </c>
      <c r="B5416" s="166">
        <v>136.12690676785257</v>
      </c>
      <c r="D5416" s="39"/>
      <c r="E5416" s="39"/>
    </row>
    <row r="5417" spans="1:5" ht="15.6">
      <c r="A5417">
        <v>5362</v>
      </c>
      <c r="B5417" s="166">
        <v>81.568548423036859</v>
      </c>
      <c r="D5417" s="39"/>
      <c r="E5417" s="39"/>
    </row>
    <row r="5418" spans="1:5" ht="15.6">
      <c r="A5418">
        <v>5363</v>
      </c>
      <c r="B5418" s="166">
        <v>55.000929787747317</v>
      </c>
      <c r="D5418" s="39"/>
      <c r="E5418" s="39"/>
    </row>
    <row r="5419" spans="1:5" ht="15.6">
      <c r="A5419">
        <v>5364</v>
      </c>
      <c r="B5419" s="166">
        <v>94.037830640001346</v>
      </c>
      <c r="D5419" s="39"/>
      <c r="E5419" s="39"/>
    </row>
    <row r="5420" spans="1:5" ht="15.6">
      <c r="A5420">
        <v>5365</v>
      </c>
      <c r="B5420" s="166">
        <v>128.92077618178155</v>
      </c>
      <c r="D5420" s="39"/>
      <c r="E5420" s="39"/>
    </row>
    <row r="5421" spans="1:5" ht="15.6">
      <c r="A5421">
        <v>5366</v>
      </c>
      <c r="B5421" s="166">
        <v>178.69004748190218</v>
      </c>
      <c r="D5421" s="39"/>
      <c r="E5421" s="39"/>
    </row>
    <row r="5422" spans="1:5" ht="15.6">
      <c r="A5422">
        <v>5367</v>
      </c>
      <c r="B5422" s="166">
        <v>176.68650485466617</v>
      </c>
      <c r="D5422" s="39"/>
      <c r="E5422" s="39"/>
    </row>
    <row r="5423" spans="1:5" ht="15.6">
      <c r="A5423">
        <v>5368</v>
      </c>
      <c r="B5423" s="166">
        <v>108.2260379646391</v>
      </c>
      <c r="D5423" s="39"/>
      <c r="E5423" s="39"/>
    </row>
    <row r="5424" spans="1:5" ht="15.6">
      <c r="A5424">
        <v>5369</v>
      </c>
      <c r="B5424" s="166">
        <v>51.905328875684596</v>
      </c>
      <c r="D5424" s="39"/>
      <c r="E5424" s="39"/>
    </row>
    <row r="5425" spans="1:5" ht="15.6">
      <c r="A5425">
        <v>5370</v>
      </c>
      <c r="B5425" s="166">
        <v>114.0245227785466</v>
      </c>
      <c r="D5425" s="39"/>
      <c r="E5425" s="39"/>
    </row>
    <row r="5426" spans="1:5" ht="15.6">
      <c r="A5426">
        <v>5371</v>
      </c>
      <c r="B5426" s="166">
        <v>66.462759749260016</v>
      </c>
      <c r="D5426" s="39"/>
      <c r="E5426" s="39"/>
    </row>
    <row r="5427" spans="1:5" ht="15.6">
      <c r="A5427">
        <v>5372</v>
      </c>
      <c r="B5427" s="166">
        <v>117.25933251116436</v>
      </c>
      <c r="D5427" s="39"/>
      <c r="E5427" s="39"/>
    </row>
    <row r="5428" spans="1:5" ht="15.6">
      <c r="A5428">
        <v>5373</v>
      </c>
      <c r="B5428" s="166">
        <v>98.958953828536323</v>
      </c>
      <c r="D5428" s="39"/>
      <c r="E5428" s="39"/>
    </row>
    <row r="5429" spans="1:5" ht="15.6">
      <c r="A5429">
        <v>5374</v>
      </c>
      <c r="B5429" s="166">
        <v>89.953159247514392</v>
      </c>
      <c r="D5429" s="39"/>
      <c r="E5429" s="39"/>
    </row>
    <row r="5430" spans="1:5" ht="15.6">
      <c r="A5430">
        <v>5375</v>
      </c>
      <c r="B5430" s="166">
        <v>119.41571438259918</v>
      </c>
      <c r="D5430" s="39"/>
      <c r="E5430" s="39"/>
    </row>
    <row r="5431" spans="1:5" ht="15.6">
      <c r="A5431">
        <v>5376</v>
      </c>
      <c r="B5431" s="166">
        <v>156.16797298584376</v>
      </c>
      <c r="D5431" s="39"/>
      <c r="E5431" s="39"/>
    </row>
    <row r="5432" spans="1:5" ht="15.6">
      <c r="A5432">
        <v>5377</v>
      </c>
      <c r="B5432" s="166">
        <v>184.87712546293398</v>
      </c>
      <c r="D5432" s="39"/>
      <c r="E5432" s="39"/>
    </row>
    <row r="5433" spans="1:5" ht="15.6">
      <c r="A5433">
        <v>5378</v>
      </c>
      <c r="B5433" s="166">
        <v>103.32032017210803</v>
      </c>
      <c r="D5433" s="39"/>
      <c r="E5433" s="39"/>
    </row>
    <row r="5434" spans="1:5" ht="15.6">
      <c r="A5434">
        <v>5379</v>
      </c>
      <c r="B5434" s="166">
        <v>121.24342672954181</v>
      </c>
      <c r="D5434" s="39"/>
      <c r="E5434" s="39"/>
    </row>
    <row r="5435" spans="1:5" ht="15.6">
      <c r="A5435">
        <v>5380</v>
      </c>
      <c r="B5435" s="166">
        <v>56.723256015444321</v>
      </c>
      <c r="D5435" s="39"/>
      <c r="E5435" s="39"/>
    </row>
    <row r="5436" spans="1:5" ht="15.6">
      <c r="A5436">
        <v>5381</v>
      </c>
      <c r="B5436" s="166">
        <v>132.82477674467424</v>
      </c>
      <c r="D5436" s="39"/>
      <c r="E5436" s="39"/>
    </row>
    <row r="5437" spans="1:5" ht="15.6">
      <c r="A5437">
        <v>5382</v>
      </c>
      <c r="B5437" s="166">
        <v>64.929665808918969</v>
      </c>
      <c r="D5437" s="39"/>
      <c r="E5437" s="39"/>
    </row>
    <row r="5438" spans="1:5" ht="15.6">
      <c r="A5438">
        <v>5383</v>
      </c>
      <c r="B5438" s="166">
        <v>124.56950657812685</v>
      </c>
      <c r="D5438" s="39"/>
      <c r="E5438" s="39"/>
    </row>
    <row r="5439" spans="1:5" ht="15.6">
      <c r="A5439">
        <v>5384</v>
      </c>
      <c r="B5439" s="166">
        <v>132.8263505899443</v>
      </c>
      <c r="D5439" s="39"/>
      <c r="E5439" s="39"/>
    </row>
    <row r="5440" spans="1:5" ht="15.6">
      <c r="A5440">
        <v>5385</v>
      </c>
      <c r="B5440" s="166">
        <v>63.622044846450422</v>
      </c>
      <c r="D5440" s="39"/>
      <c r="E5440" s="39"/>
    </row>
    <row r="5441" spans="1:5" ht="15.6">
      <c r="A5441">
        <v>5386</v>
      </c>
      <c r="B5441" s="166">
        <v>126.65968722472944</v>
      </c>
      <c r="D5441" s="39"/>
      <c r="E5441" s="39"/>
    </row>
    <row r="5442" spans="1:5" ht="15.6">
      <c r="A5442">
        <v>5387</v>
      </c>
      <c r="B5442" s="166">
        <v>102.03287480980697</v>
      </c>
      <c r="D5442" s="39"/>
      <c r="E5442" s="39"/>
    </row>
    <row r="5443" spans="1:5" ht="15.6">
      <c r="A5443">
        <v>5388</v>
      </c>
      <c r="B5443" s="166">
        <v>147.47028149419089</v>
      </c>
      <c r="D5443" s="39"/>
      <c r="E5443" s="39"/>
    </row>
    <row r="5444" spans="1:5" ht="15.6">
      <c r="A5444">
        <v>5389</v>
      </c>
      <c r="B5444" s="166">
        <v>109.18400232311129</v>
      </c>
      <c r="D5444" s="39"/>
      <c r="E5444" s="39"/>
    </row>
    <row r="5445" spans="1:5" ht="15.6">
      <c r="A5445">
        <v>5390</v>
      </c>
      <c r="B5445" s="166">
        <v>64.79121772877329</v>
      </c>
      <c r="D5445" s="39"/>
      <c r="E5445" s="39"/>
    </row>
    <row r="5446" spans="1:5" ht="15.6">
      <c r="A5446">
        <v>5391</v>
      </c>
      <c r="B5446" s="166">
        <v>106.40271085345448</v>
      </c>
      <c r="D5446" s="39"/>
      <c r="E5446" s="39"/>
    </row>
    <row r="5447" spans="1:5" ht="15.6">
      <c r="A5447">
        <v>5392</v>
      </c>
      <c r="B5447" s="166">
        <v>168.69541761746714</v>
      </c>
      <c r="D5447" s="39"/>
      <c r="E5447" s="39"/>
    </row>
    <row r="5448" spans="1:5" ht="15.6">
      <c r="A5448">
        <v>5393</v>
      </c>
      <c r="B5448" s="166">
        <v>75.7057903258587</v>
      </c>
      <c r="D5448" s="39"/>
      <c r="E5448" s="39"/>
    </row>
    <row r="5449" spans="1:5" ht="15.6">
      <c r="A5449">
        <v>5394</v>
      </c>
      <c r="B5449" s="166">
        <v>134.44414254604234</v>
      </c>
      <c r="D5449" s="39"/>
      <c r="E5449" s="39"/>
    </row>
    <row r="5450" spans="1:5" ht="15.6">
      <c r="A5450">
        <v>5395</v>
      </c>
      <c r="B5450" s="166">
        <v>76.850293911868874</v>
      </c>
      <c r="D5450" s="39"/>
      <c r="E5450" s="39"/>
    </row>
    <row r="5451" spans="1:5" ht="15.6">
      <c r="A5451">
        <v>5396</v>
      </c>
      <c r="B5451" s="166">
        <v>91.351554534651996</v>
      </c>
      <c r="D5451" s="39"/>
      <c r="E5451" s="39"/>
    </row>
    <row r="5452" spans="1:5" ht="15.6">
      <c r="A5452">
        <v>5397</v>
      </c>
      <c r="B5452" s="166">
        <v>141.07920209363783</v>
      </c>
      <c r="D5452" s="39"/>
      <c r="E5452" s="39"/>
    </row>
    <row r="5453" spans="1:5" ht="15.6">
      <c r="A5453">
        <v>5398</v>
      </c>
      <c r="B5453" s="166">
        <v>97.882729405938704</v>
      </c>
      <c r="D5453" s="39"/>
      <c r="E5453" s="39"/>
    </row>
    <row r="5454" spans="1:5" ht="15.6">
      <c r="A5454">
        <v>5399</v>
      </c>
      <c r="B5454" s="166">
        <v>97.581779164351545</v>
      </c>
      <c r="D5454" s="39"/>
      <c r="E5454" s="39"/>
    </row>
    <row r="5455" spans="1:5" ht="15.6">
      <c r="A5455">
        <v>5400</v>
      </c>
      <c r="B5455" s="166">
        <v>113.20284210418183</v>
      </c>
      <c r="D5455" s="39"/>
      <c r="E5455" s="39"/>
    </row>
    <row r="5456" spans="1:5" ht="15.6">
      <c r="A5456">
        <v>5401</v>
      </c>
      <c r="B5456" s="166">
        <v>68.050074693687037</v>
      </c>
      <c r="D5456" s="39"/>
      <c r="E5456" s="39"/>
    </row>
    <row r="5457" spans="1:5" ht="15.6">
      <c r="A5457">
        <v>5402</v>
      </c>
      <c r="B5457" s="166">
        <v>81.41776075012956</v>
      </c>
      <c r="D5457" s="39"/>
      <c r="E5457" s="39"/>
    </row>
    <row r="5458" spans="1:5" ht="15.6">
      <c r="A5458">
        <v>5403</v>
      </c>
      <c r="B5458" s="166">
        <v>133.40039316106532</v>
      </c>
      <c r="D5458" s="39"/>
      <c r="E5458" s="39"/>
    </row>
    <row r="5459" spans="1:5" ht="15.6">
      <c r="A5459">
        <v>5404</v>
      </c>
      <c r="B5459" s="166">
        <v>145.49474073768604</v>
      </c>
      <c r="D5459" s="39"/>
      <c r="E5459" s="39"/>
    </row>
    <row r="5460" spans="1:5" ht="15.6">
      <c r="A5460">
        <v>5405</v>
      </c>
      <c r="B5460" s="166">
        <v>128.84838867622005</v>
      </c>
      <c r="D5460" s="39"/>
      <c r="E5460" s="39"/>
    </row>
    <row r="5461" spans="1:5" ht="15.6">
      <c r="A5461">
        <v>5406</v>
      </c>
      <c r="B5461" s="166">
        <v>126.0583063362709</v>
      </c>
      <c r="D5461" s="39"/>
      <c r="E5461" s="39"/>
    </row>
    <row r="5462" spans="1:5" ht="15.6">
      <c r="A5462">
        <v>5407</v>
      </c>
      <c r="B5462" s="166">
        <v>93.418711533371408</v>
      </c>
      <c r="D5462" s="39"/>
      <c r="E5462" s="39"/>
    </row>
    <row r="5463" spans="1:5" ht="15.6">
      <c r="A5463">
        <v>5408</v>
      </c>
      <c r="B5463" s="166">
        <v>69.88487004586753</v>
      </c>
      <c r="D5463" s="39"/>
      <c r="E5463" s="39"/>
    </row>
    <row r="5464" spans="1:5" ht="15.6">
      <c r="A5464">
        <v>5409</v>
      </c>
      <c r="B5464" s="166">
        <v>84.053384035094396</v>
      </c>
      <c r="D5464" s="39"/>
      <c r="E5464" s="39"/>
    </row>
    <row r="5465" spans="1:5" ht="15.6">
      <c r="A5465">
        <v>5410</v>
      </c>
      <c r="B5465" s="166">
        <v>161.61147858804824</v>
      </c>
      <c r="D5465" s="39"/>
      <c r="E5465" s="39"/>
    </row>
    <row r="5466" spans="1:5" ht="15.6">
      <c r="A5466">
        <v>5411</v>
      </c>
      <c r="B5466" s="166">
        <v>136.26600944771559</v>
      </c>
      <c r="D5466" s="39"/>
      <c r="E5466" s="39"/>
    </row>
    <row r="5467" spans="1:5" ht="15.6">
      <c r="A5467">
        <v>5412</v>
      </c>
      <c r="B5467" s="166">
        <v>105.51815617047707</v>
      </c>
      <c r="D5467" s="39"/>
      <c r="E5467" s="39"/>
    </row>
    <row r="5468" spans="1:5" ht="15.6">
      <c r="A5468">
        <v>5413</v>
      </c>
      <c r="B5468" s="166">
        <v>92.850227466939103</v>
      </c>
      <c r="D5468" s="39"/>
      <c r="E5468" s="39"/>
    </row>
    <row r="5469" spans="1:5" ht="15.6">
      <c r="A5469">
        <v>5414</v>
      </c>
      <c r="B5469" s="166">
        <v>165.03176190136688</v>
      </c>
      <c r="D5469" s="39"/>
      <c r="E5469" s="39"/>
    </row>
    <row r="5470" spans="1:5" ht="15.6">
      <c r="A5470">
        <v>5415</v>
      </c>
      <c r="B5470" s="166">
        <v>103.40048284497011</v>
      </c>
      <c r="D5470" s="39"/>
      <c r="E5470" s="39"/>
    </row>
    <row r="5471" spans="1:5" ht="15.6">
      <c r="A5471">
        <v>5416</v>
      </c>
      <c r="B5471" s="166">
        <v>124.3587342014343</v>
      </c>
      <c r="D5471" s="39"/>
      <c r="E5471" s="39"/>
    </row>
    <row r="5472" spans="1:5" ht="15.6">
      <c r="A5472">
        <v>5417</v>
      </c>
      <c r="B5472" s="166">
        <v>98.778163613258343</v>
      </c>
      <c r="D5472" s="39"/>
      <c r="E5472" s="39"/>
    </row>
    <row r="5473" spans="1:5" ht="15.6">
      <c r="A5473">
        <v>5418</v>
      </c>
      <c r="B5473" s="166">
        <v>110.62610095252101</v>
      </c>
      <c r="D5473" s="39"/>
      <c r="E5473" s="39"/>
    </row>
    <row r="5474" spans="1:5" ht="15.6">
      <c r="A5474">
        <v>5419</v>
      </c>
      <c r="B5474" s="166">
        <v>110.734865683159</v>
      </c>
      <c r="D5474" s="39"/>
      <c r="E5474" s="39"/>
    </row>
    <row r="5475" spans="1:5" ht="15.6">
      <c r="A5475">
        <v>5420</v>
      </c>
      <c r="B5475" s="166">
        <v>90.497062253786453</v>
      </c>
      <c r="D5475" s="39"/>
      <c r="E5475" s="39"/>
    </row>
    <row r="5476" spans="1:5" ht="15.6">
      <c r="A5476">
        <v>5421</v>
      </c>
      <c r="B5476" s="166">
        <v>118.85763706215246</v>
      </c>
      <c r="D5476" s="39"/>
      <c r="E5476" s="39"/>
    </row>
    <row r="5477" spans="1:5" ht="15.6">
      <c r="A5477">
        <v>5422</v>
      </c>
      <c r="B5477" s="166">
        <v>138.73074489715805</v>
      </c>
      <c r="D5477" s="39"/>
      <c r="E5477" s="39"/>
    </row>
    <row r="5478" spans="1:5" ht="15.6">
      <c r="A5478">
        <v>5423</v>
      </c>
      <c r="B5478" s="166">
        <v>134.72517568261148</v>
      </c>
      <c r="D5478" s="39"/>
      <c r="E5478" s="39"/>
    </row>
    <row r="5479" spans="1:5" ht="15.6">
      <c r="A5479">
        <v>5424</v>
      </c>
      <c r="B5479" s="166">
        <v>108.90591408142664</v>
      </c>
      <c r="D5479" s="39"/>
      <c r="E5479" s="39"/>
    </row>
    <row r="5480" spans="1:5" ht="15.6">
      <c r="A5480">
        <v>5425</v>
      </c>
      <c r="B5480" s="166">
        <v>127.37498337095681</v>
      </c>
      <c r="D5480" s="39"/>
      <c r="E5480" s="39"/>
    </row>
    <row r="5481" spans="1:5" ht="15.6">
      <c r="A5481">
        <v>5426</v>
      </c>
      <c r="B5481" s="166">
        <v>82.852216927717905</v>
      </c>
      <c r="D5481" s="39"/>
      <c r="E5481" s="39"/>
    </row>
    <row r="5482" spans="1:5" ht="15.6">
      <c r="A5482">
        <v>5427</v>
      </c>
      <c r="B5482" s="166">
        <v>110.20055178075708</v>
      </c>
      <c r="D5482" s="39"/>
      <c r="E5482" s="39"/>
    </row>
    <row r="5483" spans="1:5" ht="15.6">
      <c r="A5483">
        <v>5428</v>
      </c>
      <c r="B5483" s="166">
        <v>85.796142339285197</v>
      </c>
      <c r="D5483" s="39"/>
      <c r="E5483" s="39"/>
    </row>
    <row r="5484" spans="1:5" ht="15.6">
      <c r="A5484">
        <v>5429</v>
      </c>
      <c r="B5484" s="166">
        <v>248.56472738992139</v>
      </c>
      <c r="D5484" s="39"/>
      <c r="E5484" s="39"/>
    </row>
    <row r="5485" spans="1:5" ht="15.6">
      <c r="A5485">
        <v>5430</v>
      </c>
      <c r="B5485" s="166">
        <v>162.63011518736977</v>
      </c>
      <c r="D5485" s="39"/>
      <c r="E5485" s="39"/>
    </row>
    <row r="5486" spans="1:5" ht="15.6">
      <c r="A5486">
        <v>5431</v>
      </c>
      <c r="B5486" s="166">
        <v>62.216896286896436</v>
      </c>
      <c r="D5486" s="39"/>
      <c r="E5486" s="39"/>
    </row>
    <row r="5487" spans="1:5" ht="15.6">
      <c r="A5487">
        <v>5432</v>
      </c>
      <c r="B5487" s="166">
        <v>82.703397552225169</v>
      </c>
      <c r="D5487" s="39"/>
      <c r="E5487" s="39"/>
    </row>
    <row r="5488" spans="1:5" ht="15.6">
      <c r="A5488">
        <v>5433</v>
      </c>
      <c r="B5488" s="166">
        <v>53.329926758575922</v>
      </c>
      <c r="D5488" s="39"/>
      <c r="E5488" s="39"/>
    </row>
    <row r="5489" spans="1:5" ht="15.6">
      <c r="A5489">
        <v>5434</v>
      </c>
      <c r="B5489" s="166">
        <v>122.626861481828</v>
      </c>
      <c r="D5489" s="39"/>
      <c r="E5489" s="39"/>
    </row>
    <row r="5490" spans="1:5" ht="15.6">
      <c r="A5490">
        <v>5435</v>
      </c>
      <c r="B5490" s="166">
        <v>78.679290446597008</v>
      </c>
      <c r="D5490" s="39"/>
      <c r="E5490" s="39"/>
    </row>
    <row r="5491" spans="1:5" ht="15.6">
      <c r="A5491">
        <v>5436</v>
      </c>
      <c r="B5491" s="166">
        <v>142.47692384413233</v>
      </c>
      <c r="D5491" s="39"/>
      <c r="E5491" s="39"/>
    </row>
    <row r="5492" spans="1:5" ht="15.6">
      <c r="A5492">
        <v>5437</v>
      </c>
      <c r="B5492" s="166">
        <v>74.236801672628843</v>
      </c>
      <c r="D5492" s="39"/>
      <c r="E5492" s="39"/>
    </row>
    <row r="5493" spans="1:5" ht="15.6">
      <c r="A5493">
        <v>5438</v>
      </c>
      <c r="B5493" s="166">
        <v>65.667830371990519</v>
      </c>
      <c r="D5493" s="39"/>
      <c r="E5493" s="39"/>
    </row>
    <row r="5494" spans="1:5" ht="15.6">
      <c r="A5494">
        <v>5439</v>
      </c>
      <c r="B5494" s="166">
        <v>71.186420187235342</v>
      </c>
      <c r="D5494" s="39"/>
      <c r="E5494" s="39"/>
    </row>
    <row r="5495" spans="1:5" ht="15.6">
      <c r="A5495">
        <v>5440</v>
      </c>
      <c r="B5495" s="166">
        <v>80.87635031179623</v>
      </c>
      <c r="D5495" s="39"/>
      <c r="E5495" s="39"/>
    </row>
    <row r="5496" spans="1:5" ht="15.6">
      <c r="A5496">
        <v>5441</v>
      </c>
      <c r="B5496" s="166">
        <v>130.64915591900939</v>
      </c>
      <c r="D5496" s="39"/>
      <c r="E5496" s="39"/>
    </row>
    <row r="5497" spans="1:5" ht="15.6">
      <c r="A5497">
        <v>5442</v>
      </c>
      <c r="B5497" s="166">
        <v>125.39556997429503</v>
      </c>
      <c r="D5497" s="39"/>
      <c r="E5497" s="39"/>
    </row>
    <row r="5498" spans="1:5" ht="15.6">
      <c r="A5498">
        <v>5443</v>
      </c>
      <c r="B5498" s="166">
        <v>56.384124159698885</v>
      </c>
      <c r="D5498" s="39"/>
      <c r="E5498" s="39"/>
    </row>
    <row r="5499" spans="1:5" ht="15.6">
      <c r="A5499">
        <v>5444</v>
      </c>
      <c r="B5499" s="166">
        <v>106.37974837906741</v>
      </c>
      <c r="D5499" s="39"/>
      <c r="E5499" s="39"/>
    </row>
    <row r="5500" spans="1:5" ht="15.6">
      <c r="A5500">
        <v>5445</v>
      </c>
      <c r="B5500" s="166">
        <v>116.92112914318209</v>
      </c>
      <c r="D5500" s="39"/>
      <c r="E5500" s="39"/>
    </row>
    <row r="5501" spans="1:5" ht="15.6">
      <c r="A5501">
        <v>5446</v>
      </c>
      <c r="B5501" s="166">
        <v>131.01711167369959</v>
      </c>
      <c r="D5501" s="39"/>
      <c r="E5501" s="39"/>
    </row>
    <row r="5502" spans="1:5" ht="15.6">
      <c r="A5502">
        <v>5447</v>
      </c>
      <c r="B5502" s="166">
        <v>81.798374159907368</v>
      </c>
      <c r="D5502" s="39"/>
      <c r="E5502" s="39"/>
    </row>
    <row r="5503" spans="1:5" ht="15.6">
      <c r="A5503">
        <v>5448</v>
      </c>
      <c r="B5503" s="166">
        <v>90.051902251118975</v>
      </c>
      <c r="D5503" s="39"/>
      <c r="E5503" s="39"/>
    </row>
    <row r="5504" spans="1:5" ht="15.6">
      <c r="A5504">
        <v>5449</v>
      </c>
      <c r="B5504" s="166">
        <v>101.32422110556627</v>
      </c>
      <c r="D5504" s="39"/>
      <c r="E5504" s="39"/>
    </row>
    <row r="5505" spans="1:5" ht="15.6">
      <c r="A5505">
        <v>5450</v>
      </c>
      <c r="B5505" s="166">
        <v>65.276727477202314</v>
      </c>
      <c r="D5505" s="39"/>
      <c r="E5505" s="39"/>
    </row>
    <row r="5506" spans="1:5" ht="15.6">
      <c r="A5506">
        <v>5451</v>
      </c>
      <c r="B5506" s="166">
        <v>87.417556787618253</v>
      </c>
      <c r="D5506" s="39"/>
      <c r="E5506" s="39"/>
    </row>
    <row r="5507" spans="1:5" ht="15.6">
      <c r="A5507">
        <v>5452</v>
      </c>
      <c r="B5507" s="166">
        <v>142.15541820703788</v>
      </c>
      <c r="D5507" s="39"/>
      <c r="E5507" s="39"/>
    </row>
    <row r="5508" spans="1:5" ht="15.6">
      <c r="A5508">
        <v>5453</v>
      </c>
      <c r="B5508" s="166">
        <v>162.24319130626446</v>
      </c>
      <c r="D5508" s="39"/>
      <c r="E5508" s="39"/>
    </row>
    <row r="5509" spans="1:5" ht="15.6">
      <c r="A5509">
        <v>5454</v>
      </c>
      <c r="B5509" s="166">
        <v>154.27419477135626</v>
      </c>
      <c r="D5509" s="39"/>
      <c r="E5509" s="39"/>
    </row>
    <row r="5510" spans="1:5" ht="15.6">
      <c r="A5510">
        <v>5455</v>
      </c>
      <c r="B5510" s="166">
        <v>115.8422521092573</v>
      </c>
      <c r="D5510" s="39"/>
      <c r="E5510" s="39"/>
    </row>
    <row r="5511" spans="1:5" ht="15.6">
      <c r="A5511">
        <v>5456</v>
      </c>
      <c r="B5511" s="166">
        <v>93.711812871034695</v>
      </c>
      <c r="D5511" s="39"/>
      <c r="E5511" s="39"/>
    </row>
    <row r="5512" spans="1:5" ht="15.6">
      <c r="A5512">
        <v>5457</v>
      </c>
      <c r="B5512" s="166">
        <v>108.54180108446988</v>
      </c>
      <c r="D5512" s="39"/>
      <c r="E5512" s="39"/>
    </row>
    <row r="5513" spans="1:5" ht="15.6">
      <c r="A5513">
        <v>5458</v>
      </c>
      <c r="B5513" s="166">
        <v>210.68374124496495</v>
      </c>
      <c r="D5513" s="39"/>
      <c r="E5513" s="39"/>
    </row>
    <row r="5514" spans="1:5" ht="15.6">
      <c r="A5514">
        <v>5459</v>
      </c>
      <c r="B5514" s="166">
        <v>103.68230572658261</v>
      </c>
      <c r="D5514" s="39"/>
      <c r="E5514" s="39"/>
    </row>
    <row r="5515" spans="1:5" ht="15.6">
      <c r="A5515">
        <v>5460</v>
      </c>
      <c r="B5515" s="166">
        <v>80.71529515278884</v>
      </c>
      <c r="D5515" s="39"/>
      <c r="E5515" s="39"/>
    </row>
    <row r="5516" spans="1:5" ht="15.6">
      <c r="A5516">
        <v>5461</v>
      </c>
      <c r="B5516" s="166">
        <v>165.81192006052666</v>
      </c>
      <c r="D5516" s="39"/>
      <c r="E5516" s="39"/>
    </row>
    <row r="5517" spans="1:5" ht="15.6">
      <c r="A5517">
        <v>5462</v>
      </c>
      <c r="B5517" s="166">
        <v>100.42684664771126</v>
      </c>
      <c r="D5517" s="39"/>
      <c r="E5517" s="39"/>
    </row>
    <row r="5518" spans="1:5" ht="15.6">
      <c r="A5518">
        <v>5463</v>
      </c>
      <c r="B5518" s="166">
        <v>79.256793683019225</v>
      </c>
      <c r="D5518" s="39"/>
      <c r="E5518" s="39"/>
    </row>
    <row r="5519" spans="1:5" ht="15.6">
      <c r="A5519">
        <v>5464</v>
      </c>
      <c r="B5519" s="166">
        <v>105.80824488138695</v>
      </c>
      <c r="D5519" s="39"/>
      <c r="E5519" s="39"/>
    </row>
    <row r="5520" spans="1:5" ht="15.6">
      <c r="A5520">
        <v>5465</v>
      </c>
      <c r="B5520" s="166">
        <v>80.017134620698911</v>
      </c>
      <c r="D5520" s="39"/>
      <c r="E5520" s="39"/>
    </row>
    <row r="5521" spans="1:5" ht="15.6">
      <c r="A5521">
        <v>5466</v>
      </c>
      <c r="B5521" s="166">
        <v>95.346401356985666</v>
      </c>
      <c r="D5521" s="39"/>
      <c r="E5521" s="39"/>
    </row>
    <row r="5522" spans="1:5" ht="15.6">
      <c r="A5522">
        <v>5467</v>
      </c>
      <c r="B5522" s="166">
        <v>125.67467433900633</v>
      </c>
      <c r="D5522" s="39"/>
      <c r="E5522" s="39"/>
    </row>
    <row r="5523" spans="1:5" ht="15.6">
      <c r="A5523">
        <v>5468</v>
      </c>
      <c r="B5523" s="166">
        <v>100.87599758095234</v>
      </c>
      <c r="D5523" s="39"/>
      <c r="E5523" s="39"/>
    </row>
    <row r="5524" spans="1:5" ht="15.6">
      <c r="A5524">
        <v>5469</v>
      </c>
      <c r="B5524" s="166">
        <v>80.6182539509918</v>
      </c>
      <c r="D5524" s="39"/>
      <c r="E5524" s="39"/>
    </row>
    <row r="5525" spans="1:5" ht="15.6">
      <c r="A5525">
        <v>5470</v>
      </c>
      <c r="B5525" s="166">
        <v>180.65095503799267</v>
      </c>
      <c r="D5525" s="39"/>
      <c r="E5525" s="39"/>
    </row>
    <row r="5526" spans="1:5" ht="15.6">
      <c r="A5526">
        <v>5471</v>
      </c>
      <c r="B5526" s="166">
        <v>130.38037181356191</v>
      </c>
      <c r="D5526" s="39"/>
      <c r="E5526" s="39"/>
    </row>
    <row r="5527" spans="1:5" ht="15.6">
      <c r="A5527">
        <v>5472</v>
      </c>
      <c r="B5527" s="166">
        <v>121.22964347441676</v>
      </c>
      <c r="D5527" s="39"/>
      <c r="E5527" s="39"/>
    </row>
    <row r="5528" spans="1:5" ht="15.6">
      <c r="A5528">
        <v>5473</v>
      </c>
      <c r="B5528" s="166">
        <v>90.8180508839136</v>
      </c>
      <c r="D5528" s="39"/>
      <c r="E5528" s="39"/>
    </row>
    <row r="5529" spans="1:5" ht="15.6">
      <c r="A5529">
        <v>5474</v>
      </c>
      <c r="B5529" s="166">
        <v>138.9851808124001</v>
      </c>
      <c r="D5529" s="39"/>
      <c r="E5529" s="39"/>
    </row>
    <row r="5530" spans="1:5" ht="15.6">
      <c r="A5530">
        <v>5475</v>
      </c>
      <c r="B5530" s="166">
        <v>97.148412587528412</v>
      </c>
      <c r="D5530" s="39"/>
      <c r="E5530" s="39"/>
    </row>
    <row r="5531" spans="1:5" ht="15.6">
      <c r="A5531">
        <v>5476</v>
      </c>
      <c r="B5531" s="166">
        <v>141.5197973502425</v>
      </c>
      <c r="D5531" s="39"/>
      <c r="E5531" s="39"/>
    </row>
    <row r="5532" spans="1:5" ht="15.6">
      <c r="A5532">
        <v>5477</v>
      </c>
      <c r="B5532" s="166">
        <v>64.747071401149299</v>
      </c>
      <c r="D5532" s="39"/>
      <c r="E5532" s="39"/>
    </row>
    <row r="5533" spans="1:5" ht="15.6">
      <c r="A5533">
        <v>5478</v>
      </c>
      <c r="B5533" s="166">
        <v>166.21742494215653</v>
      </c>
      <c r="D5533" s="39"/>
      <c r="E5533" s="39"/>
    </row>
    <row r="5534" spans="1:5" ht="15.6">
      <c r="A5534">
        <v>5479</v>
      </c>
      <c r="B5534" s="166">
        <v>74.077749285858502</v>
      </c>
      <c r="D5534" s="39"/>
      <c r="E5534" s="39"/>
    </row>
    <row r="5535" spans="1:5" ht="15.6">
      <c r="A5535">
        <v>5480</v>
      </c>
      <c r="B5535" s="166">
        <v>165.18863649204508</v>
      </c>
      <c r="D5535" s="39"/>
      <c r="E5535" s="39"/>
    </row>
    <row r="5536" spans="1:5" ht="15.6">
      <c r="A5536">
        <v>5481</v>
      </c>
      <c r="B5536" s="166">
        <v>250.21672996738835</v>
      </c>
      <c r="D5536" s="39"/>
      <c r="E5536" s="39"/>
    </row>
    <row r="5537" spans="1:5" ht="15.6">
      <c r="A5537">
        <v>5482</v>
      </c>
      <c r="B5537" s="166">
        <v>163.02465207881036</v>
      </c>
      <c r="D5537" s="39"/>
      <c r="E5537" s="39"/>
    </row>
    <row r="5538" spans="1:5" ht="15.6">
      <c r="A5538">
        <v>5483</v>
      </c>
      <c r="B5538" s="166">
        <v>85.766627013331799</v>
      </c>
      <c r="D5538" s="39"/>
      <c r="E5538" s="39"/>
    </row>
    <row r="5539" spans="1:5" ht="15.6">
      <c r="A5539">
        <v>5484</v>
      </c>
      <c r="B5539" s="166">
        <v>57.002597629543807</v>
      </c>
      <c r="D5539" s="39"/>
      <c r="E5539" s="39"/>
    </row>
    <row r="5540" spans="1:5" ht="15.6">
      <c r="A5540">
        <v>5485</v>
      </c>
      <c r="B5540" s="166">
        <v>111.88349125771816</v>
      </c>
      <c r="D5540" s="39"/>
      <c r="E5540" s="39"/>
    </row>
    <row r="5541" spans="1:5" ht="15.6">
      <c r="A5541">
        <v>5486</v>
      </c>
      <c r="B5541" s="166">
        <v>78.62141644078541</v>
      </c>
      <c r="D5541" s="39"/>
      <c r="E5541" s="39"/>
    </row>
    <row r="5542" spans="1:5" ht="15.6">
      <c r="A5542">
        <v>5487</v>
      </c>
      <c r="B5542" s="166">
        <v>163.05914065744969</v>
      </c>
      <c r="D5542" s="39"/>
      <c r="E5542" s="39"/>
    </row>
    <row r="5543" spans="1:5" ht="15.6">
      <c r="A5543">
        <v>5488</v>
      </c>
      <c r="B5543" s="166">
        <v>142.53030916733894</v>
      </c>
      <c r="D5543" s="39"/>
      <c r="E5543" s="39"/>
    </row>
    <row r="5544" spans="1:5" ht="15.6">
      <c r="A5544">
        <v>5489</v>
      </c>
      <c r="B5544" s="166">
        <v>100.2500603808885</v>
      </c>
      <c r="D5544" s="39"/>
      <c r="E5544" s="39"/>
    </row>
    <row r="5545" spans="1:5" ht="15.6">
      <c r="A5545">
        <v>5490</v>
      </c>
      <c r="B5545" s="166">
        <v>100.55026227160127</v>
      </c>
      <c r="D5545" s="39"/>
      <c r="E5545" s="39"/>
    </row>
    <row r="5546" spans="1:5" ht="15.6">
      <c r="A5546">
        <v>5491</v>
      </c>
      <c r="B5546" s="166">
        <v>83.110582000129668</v>
      </c>
      <c r="D5546" s="39"/>
      <c r="E5546" s="39"/>
    </row>
    <row r="5547" spans="1:5" ht="15.6">
      <c r="A5547">
        <v>5492</v>
      </c>
      <c r="B5547" s="166">
        <v>87.521888177521774</v>
      </c>
      <c r="D5547" s="39"/>
      <c r="E5547" s="39"/>
    </row>
    <row r="5548" spans="1:5" ht="15.6">
      <c r="A5548">
        <v>5493</v>
      </c>
      <c r="B5548" s="166">
        <v>111.10694255807995</v>
      </c>
      <c r="D5548" s="39"/>
      <c r="E5548" s="39"/>
    </row>
    <row r="5549" spans="1:5" ht="15.6">
      <c r="A5549">
        <v>5494</v>
      </c>
      <c r="B5549" s="166">
        <v>96.877163997972545</v>
      </c>
      <c r="D5549" s="39"/>
      <c r="E5549" s="39"/>
    </row>
    <row r="5550" spans="1:5" ht="15.6">
      <c r="A5550">
        <v>5495</v>
      </c>
      <c r="B5550" s="166">
        <v>170.58526670755387</v>
      </c>
      <c r="D5550" s="39"/>
      <c r="E5550" s="39"/>
    </row>
    <row r="5551" spans="1:5" ht="15.6">
      <c r="A5551">
        <v>5496</v>
      </c>
      <c r="B5551" s="166">
        <v>153.07553072556334</v>
      </c>
      <c r="D5551" s="39"/>
      <c r="E5551" s="39"/>
    </row>
    <row r="5552" spans="1:5" ht="15.6">
      <c r="A5552">
        <v>5497</v>
      </c>
      <c r="B5552" s="166">
        <v>105.29001785210993</v>
      </c>
      <c r="D5552" s="39"/>
      <c r="E5552" s="39"/>
    </row>
    <row r="5553" spans="1:5" ht="15.6">
      <c r="A5553">
        <v>5498</v>
      </c>
      <c r="B5553" s="166">
        <v>138.9217647197442</v>
      </c>
      <c r="D5553" s="39"/>
      <c r="E5553" s="39"/>
    </row>
    <row r="5554" spans="1:5" ht="15.6">
      <c r="A5554">
        <v>5499</v>
      </c>
      <c r="B5554" s="166">
        <v>66.363799295650722</v>
      </c>
      <c r="D5554" s="39"/>
      <c r="E5554" s="39"/>
    </row>
    <row r="5555" spans="1:5" ht="15.6">
      <c r="A5555">
        <v>5500</v>
      </c>
      <c r="B5555" s="166">
        <v>99.900744055756107</v>
      </c>
      <c r="D5555" s="39"/>
      <c r="E5555" s="39"/>
    </row>
    <row r="5556" spans="1:5" ht="15.6">
      <c r="A5556">
        <v>5501</v>
      </c>
      <c r="B5556" s="166">
        <v>86.23140953751205</v>
      </c>
      <c r="D5556" s="39"/>
      <c r="E5556" s="39"/>
    </row>
    <row r="5557" spans="1:5" ht="15.6">
      <c r="A5557">
        <v>5502</v>
      </c>
      <c r="B5557" s="166">
        <v>119.39228263570794</v>
      </c>
      <c r="D5557" s="39"/>
      <c r="E5557" s="39"/>
    </row>
    <row r="5558" spans="1:5" ht="15.6">
      <c r="A5558">
        <v>5503</v>
      </c>
      <c r="B5558" s="166">
        <v>134.8505743243642</v>
      </c>
      <c r="D5558" s="39"/>
      <c r="E5558" s="39"/>
    </row>
    <row r="5559" spans="1:5" ht="15.6">
      <c r="A5559">
        <v>5504</v>
      </c>
      <c r="B5559" s="166">
        <v>118.55410412758833</v>
      </c>
      <c r="D5559" s="39"/>
      <c r="E5559" s="39"/>
    </row>
    <row r="5560" spans="1:5" ht="15.6">
      <c r="A5560">
        <v>5505</v>
      </c>
      <c r="B5560" s="166">
        <v>77.686236793745081</v>
      </c>
      <c r="D5560" s="39"/>
      <c r="E5560" s="39"/>
    </row>
    <row r="5561" spans="1:5" ht="15.6">
      <c r="A5561">
        <v>5506</v>
      </c>
      <c r="B5561" s="166">
        <v>163.24404134940863</v>
      </c>
      <c r="D5561" s="39"/>
      <c r="E5561" s="39"/>
    </row>
    <row r="5562" spans="1:5" ht="15.6">
      <c r="A5562">
        <v>5507</v>
      </c>
      <c r="B5562" s="166">
        <v>123.12676893184707</v>
      </c>
      <c r="D5562" s="39"/>
      <c r="E5562" s="39"/>
    </row>
    <row r="5563" spans="1:5" ht="15.6">
      <c r="A5563">
        <v>5508</v>
      </c>
      <c r="B5563" s="166">
        <v>105.28783912582186</v>
      </c>
      <c r="D5563" s="39"/>
      <c r="E5563" s="39"/>
    </row>
    <row r="5564" spans="1:5" ht="15.6">
      <c r="A5564">
        <v>5509</v>
      </c>
      <c r="B5564" s="166">
        <v>63.499936265685001</v>
      </c>
      <c r="D5564" s="39"/>
      <c r="E5564" s="39"/>
    </row>
    <row r="5565" spans="1:5" ht="15.6">
      <c r="A5565">
        <v>5510</v>
      </c>
      <c r="B5565" s="166">
        <v>126.05888052759595</v>
      </c>
      <c r="D5565" s="39"/>
      <c r="E5565" s="39"/>
    </row>
    <row r="5566" spans="1:5" ht="15.6">
      <c r="A5566">
        <v>5511</v>
      </c>
      <c r="B5566" s="166">
        <v>90.256298955927392</v>
      </c>
      <c r="D5566" s="39"/>
      <c r="E5566" s="39"/>
    </row>
    <row r="5567" spans="1:5" ht="15.6">
      <c r="A5567">
        <v>5512</v>
      </c>
      <c r="B5567" s="166">
        <v>93.268307271081895</v>
      </c>
      <c r="D5567" s="39"/>
      <c r="E5567" s="39"/>
    </row>
    <row r="5568" spans="1:5" ht="15.6">
      <c r="A5568">
        <v>5513</v>
      </c>
      <c r="B5568" s="166">
        <v>124.84632728245091</v>
      </c>
      <c r="D5568" s="39"/>
      <c r="E5568" s="39"/>
    </row>
    <row r="5569" spans="1:5" ht="15.6">
      <c r="A5569">
        <v>5514</v>
      </c>
      <c r="B5569" s="166">
        <v>96.824719745132626</v>
      </c>
      <c r="D5569" s="39"/>
      <c r="E5569" s="39"/>
    </row>
    <row r="5570" spans="1:5" ht="15.6">
      <c r="A5570">
        <v>5515</v>
      </c>
      <c r="B5570" s="166">
        <v>115.15287605295455</v>
      </c>
      <c r="D5570" s="39"/>
      <c r="E5570" s="39"/>
    </row>
    <row r="5571" spans="1:5" ht="15.6">
      <c r="A5571">
        <v>5516</v>
      </c>
      <c r="B5571" s="166">
        <v>83.603636384768564</v>
      </c>
      <c r="D5571" s="39"/>
      <c r="E5571" s="39"/>
    </row>
    <row r="5572" spans="1:5" ht="15.6">
      <c r="A5572">
        <v>5517</v>
      </c>
      <c r="B5572" s="166">
        <v>125.87438695310426</v>
      </c>
      <c r="D5572" s="39"/>
      <c r="E5572" s="39"/>
    </row>
    <row r="5573" spans="1:5" ht="15.6">
      <c r="A5573">
        <v>5518</v>
      </c>
      <c r="B5573" s="166">
        <v>172.98044304930087</v>
      </c>
      <c r="D5573" s="39"/>
      <c r="E5573" s="39"/>
    </row>
    <row r="5574" spans="1:5" ht="15.6">
      <c r="A5574">
        <v>5519</v>
      </c>
      <c r="B5574" s="166">
        <v>76.525628594845756</v>
      </c>
      <c r="D5574" s="39"/>
      <c r="E5574" s="39"/>
    </row>
    <row r="5575" spans="1:5" ht="15.6">
      <c r="A5575">
        <v>5520</v>
      </c>
      <c r="B5575" s="166">
        <v>74.513019659604737</v>
      </c>
      <c r="D5575" s="39"/>
      <c r="E5575" s="39"/>
    </row>
    <row r="5576" spans="1:5" ht="15.6">
      <c r="A5576">
        <v>5521</v>
      </c>
      <c r="B5576" s="166">
        <v>92.427953960321389</v>
      </c>
      <c r="D5576" s="39"/>
      <c r="E5576" s="39"/>
    </row>
    <row r="5577" spans="1:5" ht="15.6">
      <c r="A5577">
        <v>5522</v>
      </c>
      <c r="B5577" s="166">
        <v>111.08597093782643</v>
      </c>
      <c r="D5577" s="39"/>
      <c r="E5577" s="39"/>
    </row>
    <row r="5578" spans="1:5" ht="15.6">
      <c r="A5578">
        <v>5523</v>
      </c>
      <c r="B5578" s="166">
        <v>92.814493442237406</v>
      </c>
      <c r="D5578" s="39"/>
      <c r="E5578" s="39"/>
    </row>
    <row r="5579" spans="1:5" ht="15.6">
      <c r="A5579">
        <v>5524</v>
      </c>
      <c r="B5579" s="166">
        <v>180.23898976701315</v>
      </c>
      <c r="D5579" s="39"/>
      <c r="E5579" s="39"/>
    </row>
    <row r="5580" spans="1:5" ht="15.6">
      <c r="A5580">
        <v>5525</v>
      </c>
      <c r="B5580" s="166">
        <v>91.964918467349619</v>
      </c>
      <c r="D5580" s="39"/>
      <c r="E5580" s="39"/>
    </row>
    <row r="5581" spans="1:5" ht="15.6">
      <c r="A5581">
        <v>5526</v>
      </c>
      <c r="B5581" s="166">
        <v>69.051172611781453</v>
      </c>
      <c r="D5581" s="39"/>
      <c r="E5581" s="39"/>
    </row>
    <row r="5582" spans="1:5" ht="15.6">
      <c r="A5582">
        <v>5527</v>
      </c>
      <c r="B5582" s="166">
        <v>194.77412244381244</v>
      </c>
      <c r="D5582" s="39"/>
      <c r="E5582" s="39"/>
    </row>
    <row r="5583" spans="1:5" ht="15.6">
      <c r="A5583">
        <v>5528</v>
      </c>
      <c r="B5583" s="166">
        <v>124.65584054626699</v>
      </c>
      <c r="D5583" s="39"/>
      <c r="E5583" s="39"/>
    </row>
    <row r="5584" spans="1:5" ht="15.6">
      <c r="A5584">
        <v>5529</v>
      </c>
      <c r="B5584" s="166">
        <v>105.46990253225761</v>
      </c>
      <c r="D5584" s="39"/>
      <c r="E5584" s="39"/>
    </row>
    <row r="5585" spans="1:5" ht="15.6">
      <c r="A5585">
        <v>5530</v>
      </c>
      <c r="B5585" s="166">
        <v>56.639522490239102</v>
      </c>
      <c r="D5585" s="39"/>
      <c r="E5585" s="39"/>
    </row>
    <row r="5586" spans="1:5" ht="15.6">
      <c r="A5586">
        <v>5531</v>
      </c>
      <c r="B5586" s="166">
        <v>111.24774525538086</v>
      </c>
      <c r="D5586" s="39"/>
      <c r="E5586" s="39"/>
    </row>
    <row r="5587" spans="1:5" ht="15.6">
      <c r="A5587">
        <v>5532</v>
      </c>
      <c r="B5587" s="166">
        <v>174.79700950610626</v>
      </c>
      <c r="D5587" s="39"/>
      <c r="E5587" s="39"/>
    </row>
    <row r="5588" spans="1:5" ht="15.6">
      <c r="A5588">
        <v>5533</v>
      </c>
      <c r="B5588" s="166">
        <v>108.52675783779232</v>
      </c>
      <c r="D5588" s="39"/>
      <c r="E5588" s="39"/>
    </row>
    <row r="5589" spans="1:5" ht="15.6">
      <c r="A5589">
        <v>5534</v>
      </c>
      <c r="B5589" s="166">
        <v>100.79209464472962</v>
      </c>
      <c r="D5589" s="39"/>
      <c r="E5589" s="39"/>
    </row>
    <row r="5590" spans="1:5" ht="15.6">
      <c r="A5590">
        <v>5535</v>
      </c>
      <c r="B5590" s="166">
        <v>92.187085022659588</v>
      </c>
      <c r="D5590" s="39"/>
      <c r="E5590" s="39"/>
    </row>
    <row r="5591" spans="1:5" ht="15.6">
      <c r="A5591">
        <v>5536</v>
      </c>
      <c r="B5591" s="166">
        <v>60.802188493877622</v>
      </c>
      <c r="D5591" s="39"/>
      <c r="E5591" s="39"/>
    </row>
    <row r="5592" spans="1:5" ht="15.6">
      <c r="A5592">
        <v>5537</v>
      </c>
      <c r="B5592" s="166">
        <v>99.746787501834632</v>
      </c>
      <c r="D5592" s="39"/>
      <c r="E5592" s="39"/>
    </row>
    <row r="5593" spans="1:5" ht="15.6">
      <c r="A5593">
        <v>5538</v>
      </c>
      <c r="B5593" s="166">
        <v>91.755543127143056</v>
      </c>
      <c r="D5593" s="39"/>
      <c r="E5593" s="39"/>
    </row>
    <row r="5594" spans="1:5" ht="15.6">
      <c r="A5594">
        <v>5539</v>
      </c>
      <c r="B5594" s="166">
        <v>231.51686007800916</v>
      </c>
      <c r="D5594" s="39"/>
      <c r="E5594" s="39"/>
    </row>
    <row r="5595" spans="1:5" ht="15.6">
      <c r="A5595">
        <v>5540</v>
      </c>
      <c r="B5595" s="166">
        <v>51.24657240941626</v>
      </c>
      <c r="D5595" s="39"/>
      <c r="E5595" s="39"/>
    </row>
    <row r="5596" spans="1:5" ht="15.6">
      <c r="A5596">
        <v>5541</v>
      </c>
      <c r="B5596" s="166">
        <v>114.04824139344474</v>
      </c>
      <c r="D5596" s="39"/>
      <c r="E5596" s="39"/>
    </row>
    <row r="5597" spans="1:5" ht="15.6">
      <c r="A5597">
        <v>5542</v>
      </c>
      <c r="B5597" s="166">
        <v>79.294369107827322</v>
      </c>
      <c r="D5597" s="39"/>
      <c r="E5597" s="39"/>
    </row>
    <row r="5598" spans="1:5" ht="15.6">
      <c r="A5598">
        <v>5543</v>
      </c>
      <c r="B5598" s="166">
        <v>132.55932413054578</v>
      </c>
      <c r="D5598" s="39"/>
      <c r="E5598" s="39"/>
    </row>
    <row r="5599" spans="1:5" ht="15.6">
      <c r="A5599">
        <v>5544</v>
      </c>
      <c r="B5599" s="166">
        <v>89.716762953092569</v>
      </c>
      <c r="D5599" s="39"/>
      <c r="E5599" s="39"/>
    </row>
    <row r="5600" spans="1:5" ht="15.6">
      <c r="A5600">
        <v>5545</v>
      </c>
      <c r="B5600" s="166">
        <v>124.35834403026132</v>
      </c>
      <c r="D5600" s="39"/>
      <c r="E5600" s="39"/>
    </row>
    <row r="5601" spans="1:5" ht="15.6">
      <c r="A5601">
        <v>5546</v>
      </c>
      <c r="B5601" s="166">
        <v>65.832303996128218</v>
      </c>
      <c r="D5601" s="39"/>
      <c r="E5601" s="39"/>
    </row>
    <row r="5602" spans="1:5" ht="15.6">
      <c r="A5602">
        <v>5547</v>
      </c>
      <c r="B5602" s="166">
        <v>124.24771257794062</v>
      </c>
      <c r="D5602" s="39"/>
      <c r="E5602" s="39"/>
    </row>
    <row r="5603" spans="1:5" ht="15.6">
      <c r="A5603">
        <v>5548</v>
      </c>
      <c r="B5603" s="166">
        <v>115.61179165405829</v>
      </c>
      <c r="D5603" s="39"/>
      <c r="E5603" s="39"/>
    </row>
    <row r="5604" spans="1:5" ht="15.6">
      <c r="A5604">
        <v>5549</v>
      </c>
      <c r="B5604" s="166">
        <v>103.87561988365617</v>
      </c>
      <c r="D5604" s="39"/>
      <c r="E5604" s="39"/>
    </row>
    <row r="5605" spans="1:5" ht="15.6">
      <c r="A5605">
        <v>5550</v>
      </c>
      <c r="B5605" s="166">
        <v>84.512571117962722</v>
      </c>
      <c r="D5605" s="39"/>
      <c r="E5605" s="39"/>
    </row>
    <row r="5606" spans="1:5" ht="15.6">
      <c r="A5606">
        <v>5551</v>
      </c>
      <c r="B5606" s="166">
        <v>90.345080834813984</v>
      </c>
      <c r="D5606" s="39"/>
      <c r="E5606" s="39"/>
    </row>
    <row r="5607" spans="1:5" ht="15.6">
      <c r="A5607">
        <v>5552</v>
      </c>
      <c r="B5607" s="166">
        <v>89.261662074041325</v>
      </c>
      <c r="D5607" s="39"/>
      <c r="E5607" s="39"/>
    </row>
    <row r="5608" spans="1:5" ht="15.6">
      <c r="A5608">
        <v>5553</v>
      </c>
      <c r="B5608" s="166">
        <v>130.46644903178867</v>
      </c>
      <c r="D5608" s="39"/>
      <c r="E5608" s="39"/>
    </row>
    <row r="5609" spans="1:5" ht="15.6">
      <c r="A5609">
        <v>5554</v>
      </c>
      <c r="B5609" s="166">
        <v>75.65393994271642</v>
      </c>
      <c r="D5609" s="39"/>
      <c r="E5609" s="39"/>
    </row>
    <row r="5610" spans="1:5" ht="15.6">
      <c r="A5610">
        <v>5555</v>
      </c>
      <c r="B5610" s="166">
        <v>113.61398326370224</v>
      </c>
      <c r="D5610" s="39"/>
      <c r="E5610" s="39"/>
    </row>
    <row r="5611" spans="1:5" ht="15.6">
      <c r="A5611">
        <v>5556</v>
      </c>
      <c r="B5611" s="166">
        <v>70.972290759780989</v>
      </c>
      <c r="D5611" s="39"/>
      <c r="E5611" s="39"/>
    </row>
    <row r="5612" spans="1:5" ht="15.6">
      <c r="A5612">
        <v>5557</v>
      </c>
      <c r="B5612" s="166">
        <v>85.832463017776902</v>
      </c>
      <c r="D5612" s="39"/>
      <c r="E5612" s="39"/>
    </row>
    <row r="5613" spans="1:5" ht="15.6">
      <c r="A5613">
        <v>5558</v>
      </c>
      <c r="B5613" s="166">
        <v>115.41080553803954</v>
      </c>
      <c r="D5613" s="39"/>
      <c r="E5613" s="39"/>
    </row>
    <row r="5614" spans="1:5" ht="15.6">
      <c r="A5614">
        <v>5559</v>
      </c>
      <c r="B5614" s="166">
        <v>138.03825504403423</v>
      </c>
      <c r="D5614" s="39"/>
      <c r="E5614" s="39"/>
    </row>
    <row r="5615" spans="1:5" ht="15.6">
      <c r="A5615">
        <v>5560</v>
      </c>
      <c r="B5615" s="166">
        <v>58.145627056460036</v>
      </c>
      <c r="D5615" s="39"/>
      <c r="E5615" s="39"/>
    </row>
    <row r="5616" spans="1:5" ht="15.6">
      <c r="A5616">
        <v>5561</v>
      </c>
      <c r="B5616" s="166">
        <v>145.4225703360743</v>
      </c>
      <c r="D5616" s="39"/>
      <c r="E5616" s="39"/>
    </row>
    <row r="5617" spans="1:5" ht="15.6">
      <c r="A5617">
        <v>5562</v>
      </c>
      <c r="B5617" s="166">
        <v>81.39338535380044</v>
      </c>
      <c r="D5617" s="39"/>
      <c r="E5617" s="39"/>
    </row>
    <row r="5618" spans="1:5" ht="15.6">
      <c r="A5618">
        <v>5563</v>
      </c>
      <c r="B5618" s="166">
        <v>169.17594651277952</v>
      </c>
      <c r="D5618" s="39"/>
      <c r="E5618" s="39"/>
    </row>
    <row r="5619" spans="1:5" ht="15.6">
      <c r="A5619">
        <v>5564</v>
      </c>
      <c r="B5619" s="166">
        <v>115.67973673574177</v>
      </c>
      <c r="D5619" s="39"/>
      <c r="E5619" s="39"/>
    </row>
    <row r="5620" spans="1:5" ht="15.6">
      <c r="A5620">
        <v>5565</v>
      </c>
      <c r="B5620" s="166">
        <v>112.05259213965495</v>
      </c>
      <c r="D5620" s="39"/>
      <c r="E5620" s="39"/>
    </row>
    <row r="5621" spans="1:5" ht="15.6">
      <c r="A5621">
        <v>5566</v>
      </c>
      <c r="B5621" s="166">
        <v>81.767090595585344</v>
      </c>
      <c r="D5621" s="39"/>
      <c r="E5621" s="39"/>
    </row>
    <row r="5622" spans="1:5" ht="15.6">
      <c r="A5622">
        <v>5567</v>
      </c>
      <c r="B5622" s="166">
        <v>89.133234801099121</v>
      </c>
      <c r="D5622" s="39"/>
      <c r="E5622" s="39"/>
    </row>
    <row r="5623" spans="1:5" ht="15.6">
      <c r="A5623">
        <v>5568</v>
      </c>
      <c r="B5623" s="166">
        <v>127.23266305379293</v>
      </c>
      <c r="D5623" s="39"/>
      <c r="E5623" s="39"/>
    </row>
    <row r="5624" spans="1:5" ht="15.6">
      <c r="A5624">
        <v>5569</v>
      </c>
      <c r="B5624" s="166">
        <v>78.332002561569723</v>
      </c>
      <c r="D5624" s="39"/>
      <c r="E5624" s="39"/>
    </row>
    <row r="5625" spans="1:5" ht="15.6">
      <c r="A5625">
        <v>5570</v>
      </c>
      <c r="B5625" s="166">
        <v>103.35730951069179</v>
      </c>
      <c r="D5625" s="39"/>
      <c r="E5625" s="39"/>
    </row>
    <row r="5626" spans="1:5" ht="15.6">
      <c r="A5626">
        <v>5571</v>
      </c>
      <c r="B5626" s="166">
        <v>63.724402828368902</v>
      </c>
      <c r="D5626" s="39"/>
      <c r="E5626" s="39"/>
    </row>
    <row r="5627" spans="1:5" ht="15.6">
      <c r="A5627">
        <v>5572</v>
      </c>
      <c r="B5627" s="166">
        <v>71.947250862541495</v>
      </c>
      <c r="D5627" s="39"/>
      <c r="E5627" s="39"/>
    </row>
    <row r="5628" spans="1:5" ht="15.6">
      <c r="A5628">
        <v>5573</v>
      </c>
      <c r="B5628" s="166">
        <v>85.288073663232865</v>
      </c>
      <c r="D5628" s="39"/>
      <c r="E5628" s="39"/>
    </row>
    <row r="5629" spans="1:5" ht="15.6">
      <c r="A5629">
        <v>5574</v>
      </c>
      <c r="B5629" s="166">
        <v>89.941410219915298</v>
      </c>
      <c r="D5629" s="39"/>
      <c r="E5629" s="39"/>
    </row>
    <row r="5630" spans="1:5" ht="15.6">
      <c r="A5630">
        <v>5575</v>
      </c>
      <c r="B5630" s="166">
        <v>84.280320938734405</v>
      </c>
      <c r="D5630" s="39"/>
      <c r="E5630" s="39"/>
    </row>
    <row r="5631" spans="1:5" ht="15.6">
      <c r="A5631">
        <v>5576</v>
      </c>
      <c r="B5631" s="166">
        <v>151.93784568358063</v>
      </c>
      <c r="D5631" s="39"/>
      <c r="E5631" s="39"/>
    </row>
    <row r="5632" spans="1:5" ht="15.6">
      <c r="A5632">
        <v>5577</v>
      </c>
      <c r="B5632" s="166">
        <v>157.71922559188428</v>
      </c>
      <c r="D5632" s="39"/>
      <c r="E5632" s="39"/>
    </row>
    <row r="5633" spans="1:5" ht="15.6">
      <c r="A5633">
        <v>5578</v>
      </c>
      <c r="B5633" s="166">
        <v>68.519745787213068</v>
      </c>
      <c r="D5633" s="39"/>
      <c r="E5633" s="39"/>
    </row>
    <row r="5634" spans="1:5" ht="15.6">
      <c r="A5634">
        <v>5579</v>
      </c>
      <c r="B5634" s="166">
        <v>118.29364434644751</v>
      </c>
      <c r="D5634" s="39"/>
      <c r="E5634" s="39"/>
    </row>
    <row r="5635" spans="1:5" ht="15.6">
      <c r="A5635">
        <v>5580</v>
      </c>
      <c r="B5635" s="166">
        <v>86.283282774643666</v>
      </c>
      <c r="D5635" s="39"/>
      <c r="E5635" s="39"/>
    </row>
    <row r="5636" spans="1:5" ht="15.6">
      <c r="A5636">
        <v>5581</v>
      </c>
      <c r="B5636" s="166">
        <v>102.3645140481906</v>
      </c>
      <c r="D5636" s="39"/>
      <c r="E5636" s="39"/>
    </row>
    <row r="5637" spans="1:5" ht="15.6">
      <c r="A5637">
        <v>5582</v>
      </c>
      <c r="B5637" s="166">
        <v>60.737518840569209</v>
      </c>
      <c r="D5637" s="39"/>
      <c r="E5637" s="39"/>
    </row>
    <row r="5638" spans="1:5" ht="15.6">
      <c r="A5638">
        <v>5583</v>
      </c>
      <c r="B5638" s="166">
        <v>106.17861651690882</v>
      </c>
      <c r="D5638" s="39"/>
      <c r="E5638" s="39"/>
    </row>
    <row r="5639" spans="1:5" ht="15.6">
      <c r="A5639">
        <v>5584</v>
      </c>
      <c r="B5639" s="166">
        <v>84.129724146181488</v>
      </c>
      <c r="D5639" s="39"/>
      <c r="E5639" s="39"/>
    </row>
    <row r="5640" spans="1:5" ht="15.6">
      <c r="A5640">
        <v>5585</v>
      </c>
      <c r="B5640" s="166">
        <v>98.652296930495993</v>
      </c>
      <c r="D5640" s="39"/>
      <c r="E5640" s="39"/>
    </row>
    <row r="5641" spans="1:5" ht="15.6">
      <c r="A5641">
        <v>5586</v>
      </c>
      <c r="B5641" s="166">
        <v>85.690387418770413</v>
      </c>
      <c r="D5641" s="39"/>
      <c r="E5641" s="39"/>
    </row>
    <row r="5642" spans="1:5" ht="15.6">
      <c r="A5642">
        <v>5587</v>
      </c>
      <c r="B5642" s="166">
        <v>70.016374888618913</v>
      </c>
      <c r="D5642" s="39"/>
      <c r="E5642" s="39"/>
    </row>
    <row r="5643" spans="1:5" ht="15.6">
      <c r="A5643">
        <v>5588</v>
      </c>
      <c r="B5643" s="166">
        <v>129.25053940479057</v>
      </c>
      <c r="D5643" s="39"/>
      <c r="E5643" s="39"/>
    </row>
    <row r="5644" spans="1:5" ht="15.6">
      <c r="A5644">
        <v>5589</v>
      </c>
      <c r="B5644" s="166">
        <v>171.9333768987114</v>
      </c>
      <c r="D5644" s="39"/>
      <c r="E5644" s="39"/>
    </row>
    <row r="5645" spans="1:5" ht="15.6">
      <c r="A5645">
        <v>5590</v>
      </c>
      <c r="B5645" s="166">
        <v>79.127962538317973</v>
      </c>
      <c r="D5645" s="39"/>
      <c r="E5645" s="39"/>
    </row>
    <row r="5646" spans="1:5" ht="15.6">
      <c r="A5646">
        <v>5591</v>
      </c>
      <c r="B5646" s="166">
        <v>71.070827059754308</v>
      </c>
      <c r="D5646" s="39"/>
      <c r="E5646" s="39"/>
    </row>
    <row r="5647" spans="1:5" ht="15.6">
      <c r="A5647">
        <v>5592</v>
      </c>
      <c r="B5647" s="166">
        <v>89.573495437647253</v>
      </c>
      <c r="D5647" s="39"/>
      <c r="E5647" s="39"/>
    </row>
    <row r="5648" spans="1:5" ht="15.6">
      <c r="A5648">
        <v>5593</v>
      </c>
      <c r="B5648" s="166">
        <v>123.40982980568049</v>
      </c>
      <c r="D5648" s="39"/>
      <c r="E5648" s="39"/>
    </row>
    <row r="5649" spans="1:5" ht="15.6">
      <c r="A5649">
        <v>5594</v>
      </c>
      <c r="B5649" s="166">
        <v>66.642597080587009</v>
      </c>
      <c r="D5649" s="39"/>
      <c r="E5649" s="39"/>
    </row>
    <row r="5650" spans="1:5" ht="15.6">
      <c r="A5650">
        <v>5595</v>
      </c>
      <c r="B5650" s="166">
        <v>157.91383962575765</v>
      </c>
      <c r="D5650" s="39"/>
      <c r="E5650" s="39"/>
    </row>
    <row r="5651" spans="1:5" ht="15.6">
      <c r="A5651">
        <v>5596</v>
      </c>
      <c r="B5651" s="166">
        <v>128.13338898488604</v>
      </c>
      <c r="D5651" s="39"/>
      <c r="E5651" s="39"/>
    </row>
    <row r="5652" spans="1:5" ht="15.6">
      <c r="A5652">
        <v>5597</v>
      </c>
      <c r="B5652" s="166">
        <v>79.65858145042057</v>
      </c>
      <c r="D5652" s="39"/>
      <c r="E5652" s="39"/>
    </row>
    <row r="5653" spans="1:5" ht="15.6">
      <c r="A5653">
        <v>5598</v>
      </c>
      <c r="B5653" s="166">
        <v>58.125075253031589</v>
      </c>
      <c r="D5653" s="39"/>
      <c r="E5653" s="39"/>
    </row>
    <row r="5654" spans="1:5" ht="15.6">
      <c r="A5654">
        <v>5599</v>
      </c>
      <c r="B5654" s="166">
        <v>134.44119519238347</v>
      </c>
      <c r="D5654" s="39"/>
      <c r="E5654" s="39"/>
    </row>
    <row r="5655" spans="1:5" ht="15.6">
      <c r="A5655">
        <v>5600</v>
      </c>
      <c r="B5655" s="166">
        <v>100.1285608262957</v>
      </c>
      <c r="D5655" s="39"/>
      <c r="E5655" s="39"/>
    </row>
    <row r="5656" spans="1:5" ht="15.6">
      <c r="A5656">
        <v>5601</v>
      </c>
      <c r="B5656" s="166">
        <v>64.961060404820671</v>
      </c>
      <c r="D5656" s="39"/>
      <c r="E5656" s="39"/>
    </row>
    <row r="5657" spans="1:5" ht="15.6">
      <c r="A5657">
        <v>5602</v>
      </c>
      <c r="B5657" s="166">
        <v>58.961066649382254</v>
      </c>
      <c r="D5657" s="39"/>
      <c r="E5657" s="39"/>
    </row>
    <row r="5658" spans="1:5" ht="15.6">
      <c r="A5658">
        <v>5603</v>
      </c>
      <c r="B5658" s="166">
        <v>103.90884377632817</v>
      </c>
      <c r="D5658" s="39"/>
      <c r="E5658" s="39"/>
    </row>
    <row r="5659" spans="1:5" ht="15.6">
      <c r="A5659">
        <v>5604</v>
      </c>
      <c r="B5659" s="166">
        <v>87.525470395147096</v>
      </c>
      <c r="D5659" s="39"/>
      <c r="E5659" s="39"/>
    </row>
    <row r="5660" spans="1:5" ht="15.6">
      <c r="A5660">
        <v>5605</v>
      </c>
      <c r="B5660" s="166">
        <v>79.493794967826304</v>
      </c>
      <c r="D5660" s="39"/>
      <c r="E5660" s="39"/>
    </row>
    <row r="5661" spans="1:5" ht="15.6">
      <c r="A5661">
        <v>5606</v>
      </c>
      <c r="B5661" s="166">
        <v>61.038200273292681</v>
      </c>
      <c r="D5661" s="39"/>
      <c r="E5661" s="39"/>
    </row>
    <row r="5662" spans="1:5" ht="15.6">
      <c r="A5662">
        <v>5607</v>
      </c>
      <c r="B5662" s="166">
        <v>134.84972410785315</v>
      </c>
      <c r="D5662" s="39"/>
      <c r="E5662" s="39"/>
    </row>
    <row r="5663" spans="1:5" ht="15.6">
      <c r="A5663">
        <v>5608</v>
      </c>
      <c r="B5663" s="166">
        <v>120.80173173819929</v>
      </c>
      <c r="D5663" s="39"/>
      <c r="E5663" s="39"/>
    </row>
    <row r="5664" spans="1:5" ht="15.6">
      <c r="A5664">
        <v>5609</v>
      </c>
      <c r="B5664" s="166">
        <v>69.267474529710071</v>
      </c>
      <c r="D5664" s="39"/>
      <c r="E5664" s="39"/>
    </row>
    <row r="5665" spans="1:5" ht="15.6">
      <c r="A5665">
        <v>5610</v>
      </c>
      <c r="B5665" s="166">
        <v>177.87131831242183</v>
      </c>
      <c r="D5665" s="39"/>
      <c r="E5665" s="39"/>
    </row>
    <row r="5666" spans="1:5" ht="15.6">
      <c r="A5666">
        <v>5611</v>
      </c>
      <c r="B5666" s="166">
        <v>109.1617280183799</v>
      </c>
      <c r="D5666" s="39"/>
      <c r="E5666" s="39"/>
    </row>
    <row r="5667" spans="1:5" ht="15.6">
      <c r="A5667">
        <v>5612</v>
      </c>
      <c r="B5667" s="166">
        <v>145.14270386677441</v>
      </c>
      <c r="D5667" s="39"/>
      <c r="E5667" s="39"/>
    </row>
    <row r="5668" spans="1:5" ht="15.6">
      <c r="A5668">
        <v>5613</v>
      </c>
      <c r="B5668" s="166">
        <v>112.47751286498648</v>
      </c>
      <c r="D5668" s="39"/>
      <c r="E5668" s="39"/>
    </row>
    <row r="5669" spans="1:5" ht="15.6">
      <c r="A5669">
        <v>5614</v>
      </c>
      <c r="B5669" s="166">
        <v>137.50752843731962</v>
      </c>
      <c r="D5669" s="39"/>
      <c r="E5669" s="39"/>
    </row>
    <row r="5670" spans="1:5" ht="15.6">
      <c r="A5670">
        <v>5615</v>
      </c>
      <c r="B5670" s="166">
        <v>103.12929669316681</v>
      </c>
      <c r="D5670" s="39"/>
      <c r="E5670" s="39"/>
    </row>
    <row r="5671" spans="1:5" ht="15.6">
      <c r="A5671">
        <v>5616</v>
      </c>
      <c r="B5671" s="166">
        <v>82.330901315707436</v>
      </c>
      <c r="D5671" s="39"/>
      <c r="E5671" s="39"/>
    </row>
    <row r="5672" spans="1:5" ht="15.6">
      <c r="A5672">
        <v>5617</v>
      </c>
      <c r="B5672" s="166">
        <v>121.79291658583315</v>
      </c>
      <c r="D5672" s="39"/>
      <c r="E5672" s="39"/>
    </row>
    <row r="5673" spans="1:5" ht="15.6">
      <c r="A5673">
        <v>5618</v>
      </c>
      <c r="B5673" s="166">
        <v>123.98030873482811</v>
      </c>
      <c r="D5673" s="39"/>
      <c r="E5673" s="39"/>
    </row>
    <row r="5674" spans="1:5" ht="15.6">
      <c r="A5674">
        <v>5619</v>
      </c>
      <c r="B5674" s="166">
        <v>106.60528140022807</v>
      </c>
      <c r="D5674" s="39"/>
      <c r="E5674" s="39"/>
    </row>
    <row r="5675" spans="1:5" ht="15.6">
      <c r="A5675">
        <v>5620</v>
      </c>
      <c r="B5675" s="166">
        <v>141.49758141992319</v>
      </c>
      <c r="D5675" s="39"/>
      <c r="E5675" s="39"/>
    </row>
    <row r="5676" spans="1:5" ht="15.6">
      <c r="A5676">
        <v>5621</v>
      </c>
      <c r="B5676" s="166">
        <v>106.22342265457354</v>
      </c>
      <c r="D5676" s="39"/>
      <c r="E5676" s="39"/>
    </row>
    <row r="5677" spans="1:5" ht="15.6">
      <c r="A5677">
        <v>5622</v>
      </c>
      <c r="B5677" s="166">
        <v>68.158717759604343</v>
      </c>
      <c r="D5677" s="39"/>
      <c r="E5677" s="39"/>
    </row>
    <row r="5678" spans="1:5" ht="15.6">
      <c r="A5678">
        <v>5623</v>
      </c>
      <c r="B5678" s="166">
        <v>74.422492132494909</v>
      </c>
      <c r="D5678" s="39"/>
      <c r="E5678" s="39"/>
    </row>
    <row r="5679" spans="1:5" ht="15.6">
      <c r="A5679">
        <v>5624</v>
      </c>
      <c r="B5679" s="166">
        <v>108.67334194327717</v>
      </c>
      <c r="D5679" s="39"/>
      <c r="E5679" s="39"/>
    </row>
    <row r="5680" spans="1:5" ht="15.6">
      <c r="A5680">
        <v>5625</v>
      </c>
      <c r="B5680" s="166">
        <v>127.30137832031949</v>
      </c>
      <c r="D5680" s="39"/>
      <c r="E5680" s="39"/>
    </row>
    <row r="5681" spans="1:5" ht="15.6">
      <c r="A5681">
        <v>5626</v>
      </c>
      <c r="B5681" s="166">
        <v>63.652159579327652</v>
      </c>
      <c r="D5681" s="39"/>
      <c r="E5681" s="39"/>
    </row>
    <row r="5682" spans="1:5" ht="15.6">
      <c r="A5682">
        <v>5627</v>
      </c>
      <c r="B5682" s="166">
        <v>112.04998440203364</v>
      </c>
      <c r="D5682" s="39"/>
      <c r="E5682" s="39"/>
    </row>
    <row r="5683" spans="1:5" ht="15.6">
      <c r="A5683">
        <v>5628</v>
      </c>
      <c r="B5683" s="166">
        <v>84.750360099987773</v>
      </c>
      <c r="D5683" s="39"/>
      <c r="E5683" s="39"/>
    </row>
    <row r="5684" spans="1:5" ht="15.6">
      <c r="A5684">
        <v>5629</v>
      </c>
      <c r="B5684" s="166">
        <v>113.43057913870251</v>
      </c>
      <c r="D5684" s="39"/>
      <c r="E5684" s="39"/>
    </row>
    <row r="5685" spans="1:5" ht="15.6">
      <c r="A5685">
        <v>5630</v>
      </c>
      <c r="B5685" s="166">
        <v>98.758273991427629</v>
      </c>
      <c r="D5685" s="39"/>
      <c r="E5685" s="39"/>
    </row>
    <row r="5686" spans="1:5" ht="15.6">
      <c r="A5686">
        <v>5631</v>
      </c>
      <c r="B5686" s="166">
        <v>151.10256686758095</v>
      </c>
      <c r="D5686" s="39"/>
      <c r="E5686" s="39"/>
    </row>
    <row r="5687" spans="1:5" ht="15.6">
      <c r="A5687">
        <v>5632</v>
      </c>
      <c r="B5687" s="166">
        <v>133.8029471643766</v>
      </c>
      <c r="D5687" s="39"/>
      <c r="E5687" s="39"/>
    </row>
    <row r="5688" spans="1:5" ht="15.6">
      <c r="A5688">
        <v>5633</v>
      </c>
      <c r="B5688" s="166">
        <v>75.177935580343942</v>
      </c>
      <c r="D5688" s="39"/>
      <c r="E5688" s="39"/>
    </row>
    <row r="5689" spans="1:5" ht="15.6">
      <c r="A5689">
        <v>5634</v>
      </c>
      <c r="B5689" s="166">
        <v>120.0583496900382</v>
      </c>
      <c r="D5689" s="39"/>
      <c r="E5689" s="39"/>
    </row>
    <row r="5690" spans="1:5" ht="15.6">
      <c r="A5690">
        <v>5635</v>
      </c>
      <c r="B5690" s="166">
        <v>111.03655028963416</v>
      </c>
      <c r="D5690" s="39"/>
      <c r="E5690" s="39"/>
    </row>
    <row r="5691" spans="1:5" ht="15.6">
      <c r="A5691">
        <v>5636</v>
      </c>
      <c r="B5691" s="166">
        <v>97.375338588832761</v>
      </c>
      <c r="D5691" s="39"/>
      <c r="E5691" s="39"/>
    </row>
    <row r="5692" spans="1:5" ht="15.6">
      <c r="A5692">
        <v>5637</v>
      </c>
      <c r="B5692" s="166">
        <v>108.90299671668937</v>
      </c>
      <c r="D5692" s="39"/>
      <c r="E5692" s="39"/>
    </row>
    <row r="5693" spans="1:5" ht="15.6">
      <c r="A5693">
        <v>5638</v>
      </c>
      <c r="B5693" s="166">
        <v>60.802495197094466</v>
      </c>
      <c r="D5693" s="39"/>
      <c r="E5693" s="39"/>
    </row>
    <row r="5694" spans="1:5" ht="15.6">
      <c r="A5694">
        <v>5639</v>
      </c>
      <c r="B5694" s="166">
        <v>131.32557907768626</v>
      </c>
      <c r="D5694" s="39"/>
      <c r="E5694" s="39"/>
    </row>
    <row r="5695" spans="1:5" ht="15.6">
      <c r="A5695">
        <v>5640</v>
      </c>
      <c r="B5695" s="166">
        <v>91.418888244761305</v>
      </c>
      <c r="D5695" s="39"/>
      <c r="E5695" s="39"/>
    </row>
    <row r="5696" spans="1:5" ht="15.6">
      <c r="A5696">
        <v>5641</v>
      </c>
      <c r="B5696" s="166">
        <v>86.255925144459766</v>
      </c>
      <c r="D5696" s="39"/>
      <c r="E5696" s="39"/>
    </row>
    <row r="5697" spans="1:5" ht="15.6">
      <c r="A5697">
        <v>5642</v>
      </c>
      <c r="B5697" s="166">
        <v>140.53943639530743</v>
      </c>
      <c r="D5697" s="39"/>
      <c r="E5697" s="39"/>
    </row>
    <row r="5698" spans="1:5" ht="15.6">
      <c r="A5698">
        <v>5643</v>
      </c>
      <c r="B5698" s="166">
        <v>147.7204099332051</v>
      </c>
      <c r="D5698" s="39"/>
      <c r="E5698" s="39"/>
    </row>
    <row r="5699" spans="1:5" ht="15.6">
      <c r="A5699">
        <v>5644</v>
      </c>
      <c r="B5699" s="166">
        <v>59.126162148898302</v>
      </c>
      <c r="D5699" s="39"/>
      <c r="E5699" s="39"/>
    </row>
    <row r="5700" spans="1:5" ht="15.6">
      <c r="A5700">
        <v>5645</v>
      </c>
      <c r="B5700" s="166">
        <v>111.80552168774759</v>
      </c>
      <c r="D5700" s="39"/>
      <c r="E5700" s="39"/>
    </row>
    <row r="5701" spans="1:5" ht="15.6">
      <c r="A5701">
        <v>5646</v>
      </c>
      <c r="B5701" s="166">
        <v>157.90310223662919</v>
      </c>
      <c r="D5701" s="39"/>
      <c r="E5701" s="39"/>
    </row>
    <row r="5702" spans="1:5" ht="15.6">
      <c r="A5702">
        <v>5647</v>
      </c>
      <c r="B5702" s="166">
        <v>98.257365621260433</v>
      </c>
      <c r="D5702" s="39"/>
      <c r="E5702" s="39"/>
    </row>
    <row r="5703" spans="1:5" ht="15.6">
      <c r="A5703">
        <v>5648</v>
      </c>
      <c r="B5703" s="166">
        <v>123.73277608121819</v>
      </c>
      <c r="D5703" s="39"/>
      <c r="E5703" s="39"/>
    </row>
    <row r="5704" spans="1:5" ht="15.6">
      <c r="A5704">
        <v>5649</v>
      </c>
      <c r="B5704" s="166">
        <v>86.378852671035901</v>
      </c>
      <c r="D5704" s="39"/>
      <c r="E5704" s="39"/>
    </row>
    <row r="5705" spans="1:5" ht="15.6">
      <c r="A5705">
        <v>5650</v>
      </c>
      <c r="B5705" s="166">
        <v>154.5147087617346</v>
      </c>
      <c r="D5705" s="39"/>
      <c r="E5705" s="39"/>
    </row>
    <row r="5706" spans="1:5" ht="15.6">
      <c r="A5706">
        <v>5651</v>
      </c>
      <c r="B5706" s="166">
        <v>91.987159836538581</v>
      </c>
      <c r="D5706" s="39"/>
      <c r="E5706" s="39"/>
    </row>
    <row r="5707" spans="1:5" ht="15.6">
      <c r="A5707">
        <v>5652</v>
      </c>
      <c r="B5707" s="166">
        <v>87.658485804706785</v>
      </c>
      <c r="D5707" s="39"/>
      <c r="E5707" s="39"/>
    </row>
    <row r="5708" spans="1:5" ht="15.6">
      <c r="A5708">
        <v>5653</v>
      </c>
      <c r="B5708" s="166">
        <v>46.351772658891221</v>
      </c>
      <c r="D5708" s="39"/>
      <c r="E5708" s="39"/>
    </row>
    <row r="5709" spans="1:5" ht="15.6">
      <c r="A5709">
        <v>5654</v>
      </c>
      <c r="B5709" s="166">
        <v>77.366641347258579</v>
      </c>
      <c r="D5709" s="39"/>
      <c r="E5709" s="39"/>
    </row>
    <row r="5710" spans="1:5" ht="15.6">
      <c r="A5710">
        <v>5655</v>
      </c>
      <c r="B5710" s="166">
        <v>85.311755927947289</v>
      </c>
      <c r="D5710" s="39"/>
      <c r="E5710" s="39"/>
    </row>
    <row r="5711" spans="1:5" ht="15.6">
      <c r="A5711">
        <v>5656</v>
      </c>
      <c r="B5711" s="166">
        <v>115.55012830895446</v>
      </c>
      <c r="D5711" s="39"/>
      <c r="E5711" s="39"/>
    </row>
    <row r="5712" spans="1:5" ht="15.6">
      <c r="A5712">
        <v>5657</v>
      </c>
      <c r="B5712" s="166">
        <v>79.019821596926462</v>
      </c>
      <c r="D5712" s="39"/>
      <c r="E5712" s="39"/>
    </row>
    <row r="5713" spans="1:5" ht="15.6">
      <c r="A5713">
        <v>5658</v>
      </c>
      <c r="B5713" s="166">
        <v>79.238579546385083</v>
      </c>
      <c r="D5713" s="39"/>
      <c r="E5713" s="39"/>
    </row>
    <row r="5714" spans="1:5" ht="15.6">
      <c r="A5714">
        <v>5659</v>
      </c>
      <c r="B5714" s="166">
        <v>102.40254370035181</v>
      </c>
      <c r="D5714" s="39"/>
      <c r="E5714" s="39"/>
    </row>
    <row r="5715" spans="1:5" ht="15.6">
      <c r="A5715">
        <v>5660</v>
      </c>
      <c r="B5715" s="166">
        <v>66.892285312128593</v>
      </c>
      <c r="D5715" s="39"/>
      <c r="E5715" s="39"/>
    </row>
    <row r="5716" spans="1:5" ht="15.6">
      <c r="A5716">
        <v>5661</v>
      </c>
      <c r="B5716" s="166">
        <v>127.75839180582159</v>
      </c>
      <c r="D5716" s="39"/>
      <c r="E5716" s="39"/>
    </row>
    <row r="5717" spans="1:5" ht="15.6">
      <c r="A5717">
        <v>5662</v>
      </c>
      <c r="B5717" s="166">
        <v>228.82826927297106</v>
      </c>
      <c r="D5717" s="39"/>
      <c r="E5717" s="39"/>
    </row>
    <row r="5718" spans="1:5" ht="15.6">
      <c r="A5718">
        <v>5663</v>
      </c>
      <c r="B5718" s="166">
        <v>113.35713576291825</v>
      </c>
      <c r="D5718" s="39"/>
      <c r="E5718" s="39"/>
    </row>
    <row r="5719" spans="1:5" ht="15.6">
      <c r="A5719">
        <v>5664</v>
      </c>
      <c r="B5719" s="166">
        <v>69.01147044025133</v>
      </c>
      <c r="D5719" s="39"/>
      <c r="E5719" s="39"/>
    </row>
    <row r="5720" spans="1:5" ht="15.6">
      <c r="A5720">
        <v>5665</v>
      </c>
      <c r="B5720" s="166">
        <v>146.72927465939108</v>
      </c>
      <c r="D5720" s="39"/>
      <c r="E5720" s="39"/>
    </row>
    <row r="5721" spans="1:5" ht="15.6">
      <c r="A5721">
        <v>5666</v>
      </c>
      <c r="B5721" s="166">
        <v>84.829725006400054</v>
      </c>
      <c r="D5721" s="39"/>
      <c r="E5721" s="39"/>
    </row>
    <row r="5722" spans="1:5" ht="15.6">
      <c r="A5722">
        <v>5667</v>
      </c>
      <c r="B5722" s="166">
        <v>88.858578024243585</v>
      </c>
      <c r="D5722" s="39"/>
      <c r="E5722" s="39"/>
    </row>
    <row r="5723" spans="1:5" ht="15.6">
      <c r="A5723">
        <v>5668</v>
      </c>
      <c r="B5723" s="166">
        <v>51.887272541090063</v>
      </c>
      <c r="D5723" s="39"/>
      <c r="E5723" s="39"/>
    </row>
    <row r="5724" spans="1:5" ht="15.6">
      <c r="A5724">
        <v>5669</v>
      </c>
      <c r="B5724" s="166">
        <v>106.37760231312262</v>
      </c>
      <c r="D5724" s="39"/>
      <c r="E5724" s="39"/>
    </row>
    <row r="5725" spans="1:5" ht="15.6">
      <c r="A5725">
        <v>5670</v>
      </c>
      <c r="B5725" s="166">
        <v>114.73567652127859</v>
      </c>
      <c r="D5725" s="39"/>
      <c r="E5725" s="39"/>
    </row>
    <row r="5726" spans="1:5" ht="15.6">
      <c r="A5726">
        <v>5671</v>
      </c>
      <c r="B5726" s="166">
        <v>184.44488662641885</v>
      </c>
      <c r="D5726" s="39"/>
      <c r="E5726" s="39"/>
    </row>
    <row r="5727" spans="1:5" ht="15.6">
      <c r="A5727">
        <v>5672</v>
      </c>
      <c r="B5727" s="166">
        <v>79.71509443700603</v>
      </c>
      <c r="D5727" s="39"/>
      <c r="E5727" s="39"/>
    </row>
    <row r="5728" spans="1:5" ht="15.6">
      <c r="A5728">
        <v>5673</v>
      </c>
      <c r="B5728" s="166">
        <v>143.2769614998011</v>
      </c>
      <c r="D5728" s="39"/>
      <c r="E5728" s="39"/>
    </row>
    <row r="5729" spans="1:5" ht="15.6">
      <c r="A5729">
        <v>5674</v>
      </c>
      <c r="B5729" s="166">
        <v>146.94712751724092</v>
      </c>
      <c r="D5729" s="39"/>
      <c r="E5729" s="39"/>
    </row>
    <row r="5730" spans="1:5" ht="15.6">
      <c r="A5730">
        <v>5675</v>
      </c>
      <c r="B5730" s="166">
        <v>108.76694501143305</v>
      </c>
      <c r="D5730" s="39"/>
      <c r="E5730" s="39"/>
    </row>
    <row r="5731" spans="1:5" ht="15.6">
      <c r="A5731">
        <v>5676</v>
      </c>
      <c r="B5731" s="166">
        <v>179.80594632044784</v>
      </c>
      <c r="D5731" s="39"/>
      <c r="E5731" s="39"/>
    </row>
    <row r="5732" spans="1:5" ht="15.6">
      <c r="A5732">
        <v>5677</v>
      </c>
      <c r="B5732" s="166">
        <v>68.683706476905456</v>
      </c>
      <c r="D5732" s="39"/>
      <c r="E5732" s="39"/>
    </row>
    <row r="5733" spans="1:5" ht="15.6">
      <c r="A5733">
        <v>5678</v>
      </c>
      <c r="B5733" s="166">
        <v>93.286604654109851</v>
      </c>
      <c r="D5733" s="39"/>
      <c r="E5733" s="39"/>
    </row>
    <row r="5734" spans="1:5" ht="15.6">
      <c r="A5734">
        <v>5679</v>
      </c>
      <c r="B5734" s="166">
        <v>105.52966200076892</v>
      </c>
      <c r="D5734" s="39"/>
      <c r="E5734" s="39"/>
    </row>
    <row r="5735" spans="1:5" ht="15.6">
      <c r="A5735">
        <v>5680</v>
      </c>
      <c r="B5735" s="166">
        <v>150.13684699873141</v>
      </c>
      <c r="D5735" s="39"/>
      <c r="E5735" s="39"/>
    </row>
    <row r="5736" spans="1:5" ht="15.6">
      <c r="A5736">
        <v>5681</v>
      </c>
      <c r="B5736" s="166">
        <v>157.05045179216631</v>
      </c>
      <c r="D5736" s="39"/>
      <c r="E5736" s="39"/>
    </row>
    <row r="5737" spans="1:5" ht="15.6">
      <c r="A5737">
        <v>5682</v>
      </c>
      <c r="B5737" s="166">
        <v>146.53579584869777</v>
      </c>
      <c r="D5737" s="39"/>
      <c r="E5737" s="39"/>
    </row>
    <row r="5738" spans="1:5" ht="15.6">
      <c r="A5738">
        <v>5683</v>
      </c>
      <c r="B5738" s="166">
        <v>295.77870654401664</v>
      </c>
      <c r="D5738" s="39"/>
      <c r="E5738" s="39"/>
    </row>
    <row r="5739" spans="1:5" ht="15.6">
      <c r="A5739">
        <v>5684</v>
      </c>
      <c r="B5739" s="166">
        <v>151.29844404826304</v>
      </c>
      <c r="D5739" s="39"/>
      <c r="E5739" s="39"/>
    </row>
    <row r="5740" spans="1:5" ht="15.6">
      <c r="A5740">
        <v>5685</v>
      </c>
      <c r="B5740" s="166">
        <v>97.068671335679781</v>
      </c>
      <c r="D5740" s="39"/>
      <c r="E5740" s="39"/>
    </row>
    <row r="5741" spans="1:5" ht="15.6">
      <c r="A5741">
        <v>5686</v>
      </c>
      <c r="B5741" s="166">
        <v>64.71247137872048</v>
      </c>
      <c r="D5741" s="39"/>
      <c r="E5741" s="39"/>
    </row>
    <row r="5742" spans="1:5" ht="15.6">
      <c r="A5742">
        <v>5687</v>
      </c>
      <c r="B5742" s="166">
        <v>53.257837756648158</v>
      </c>
      <c r="D5742" s="39"/>
      <c r="E5742" s="39"/>
    </row>
    <row r="5743" spans="1:5" ht="15.6">
      <c r="A5743">
        <v>5688</v>
      </c>
      <c r="B5743" s="166">
        <v>83.766999806276516</v>
      </c>
      <c r="D5743" s="39"/>
      <c r="E5743" s="39"/>
    </row>
    <row r="5744" spans="1:5" ht="15.6">
      <c r="A5744">
        <v>5689</v>
      </c>
      <c r="B5744" s="166">
        <v>133.01059204041755</v>
      </c>
      <c r="D5744" s="39"/>
      <c r="E5744" s="39"/>
    </row>
    <row r="5745" spans="1:5" ht="15.6">
      <c r="A5745">
        <v>5690</v>
      </c>
      <c r="B5745" s="166">
        <v>70.391514638075435</v>
      </c>
      <c r="D5745" s="39"/>
      <c r="E5745" s="39"/>
    </row>
    <row r="5746" spans="1:5" ht="15.6">
      <c r="A5746">
        <v>5691</v>
      </c>
      <c r="B5746" s="166">
        <v>100.50443271176771</v>
      </c>
      <c r="D5746" s="39"/>
      <c r="E5746" s="39"/>
    </row>
    <row r="5747" spans="1:5" ht="15.6">
      <c r="A5747">
        <v>5692</v>
      </c>
      <c r="B5747" s="166">
        <v>146.15153861861933</v>
      </c>
      <c r="D5747" s="39"/>
      <c r="E5747" s="39"/>
    </row>
    <row r="5748" spans="1:5" ht="15.6">
      <c r="A5748">
        <v>5693</v>
      </c>
      <c r="B5748" s="166">
        <v>56.693507657040954</v>
      </c>
      <c r="D5748" s="39"/>
      <c r="E5748" s="39"/>
    </row>
    <row r="5749" spans="1:5" ht="15.6">
      <c r="A5749">
        <v>5694</v>
      </c>
      <c r="B5749" s="166">
        <v>89.729455007432946</v>
      </c>
      <c r="D5749" s="39"/>
      <c r="E5749" s="39"/>
    </row>
    <row r="5750" spans="1:5" ht="15.6">
      <c r="A5750">
        <v>5695</v>
      </c>
      <c r="B5750" s="166">
        <v>108.55062904064707</v>
      </c>
      <c r="D5750" s="39"/>
      <c r="E5750" s="39"/>
    </row>
    <row r="5751" spans="1:5" ht="15.6">
      <c r="A5751">
        <v>5696</v>
      </c>
      <c r="B5751" s="166">
        <v>91.115094711278061</v>
      </c>
      <c r="D5751" s="39"/>
      <c r="E5751" s="39"/>
    </row>
    <row r="5752" spans="1:5" ht="15.6">
      <c r="A5752">
        <v>5697</v>
      </c>
      <c r="B5752" s="166">
        <v>89.180921100479068</v>
      </c>
      <c r="D5752" s="39"/>
      <c r="E5752" s="39"/>
    </row>
    <row r="5753" spans="1:5" ht="15.6">
      <c r="A5753">
        <v>5698</v>
      </c>
      <c r="B5753" s="166">
        <v>247.4011564226399</v>
      </c>
      <c r="D5753" s="39"/>
      <c r="E5753" s="39"/>
    </row>
    <row r="5754" spans="1:5" ht="15.6">
      <c r="A5754">
        <v>5699</v>
      </c>
      <c r="B5754" s="166">
        <v>104.44593492878919</v>
      </c>
      <c r="D5754" s="39"/>
      <c r="E5754" s="39"/>
    </row>
    <row r="5755" spans="1:5" ht="15.6">
      <c r="A5755">
        <v>5700</v>
      </c>
      <c r="B5755" s="166">
        <v>140.94076781984805</v>
      </c>
      <c r="D5755" s="39"/>
      <c r="E5755" s="39"/>
    </row>
    <row r="5756" spans="1:5" ht="15.6">
      <c r="A5756">
        <v>5701</v>
      </c>
      <c r="B5756" s="166">
        <v>147.27551094829414</v>
      </c>
      <c r="D5756" s="39"/>
      <c r="E5756" s="39"/>
    </row>
    <row r="5757" spans="1:5" ht="15.6">
      <c r="A5757">
        <v>5702</v>
      </c>
      <c r="B5757" s="166">
        <v>112.34289879764009</v>
      </c>
      <c r="D5757" s="39"/>
      <c r="E5757" s="39"/>
    </row>
    <row r="5758" spans="1:5" ht="15.6">
      <c r="A5758">
        <v>5703</v>
      </c>
      <c r="B5758" s="166">
        <v>86.306404965622363</v>
      </c>
      <c r="D5758" s="39"/>
      <c r="E5758" s="39"/>
    </row>
    <row r="5759" spans="1:5" ht="15.6">
      <c r="A5759">
        <v>5704</v>
      </c>
      <c r="B5759" s="166">
        <v>86.966325141279611</v>
      </c>
      <c r="D5759" s="39"/>
      <c r="E5759" s="39"/>
    </row>
    <row r="5760" spans="1:5" ht="15.6">
      <c r="A5760">
        <v>5705</v>
      </c>
      <c r="B5760" s="166">
        <v>137.42900571473578</v>
      </c>
      <c r="D5760" s="39"/>
      <c r="E5760" s="39"/>
    </row>
    <row r="5761" spans="1:5" ht="15.6">
      <c r="A5761">
        <v>5706</v>
      </c>
      <c r="B5761" s="166">
        <v>87.097249519081615</v>
      </c>
      <c r="D5761" s="39"/>
      <c r="E5761" s="39"/>
    </row>
    <row r="5762" spans="1:5" ht="15.6">
      <c r="A5762">
        <v>5707</v>
      </c>
      <c r="B5762" s="166">
        <v>96.703905183799691</v>
      </c>
      <c r="D5762" s="39"/>
      <c r="E5762" s="39"/>
    </row>
    <row r="5763" spans="1:5" ht="15.6">
      <c r="A5763">
        <v>5708</v>
      </c>
      <c r="B5763" s="166">
        <v>151.38642186611281</v>
      </c>
      <c r="D5763" s="39"/>
      <c r="E5763" s="39"/>
    </row>
    <row r="5764" spans="1:5" ht="15.6">
      <c r="A5764">
        <v>5709</v>
      </c>
      <c r="B5764" s="166">
        <v>121.14410284547805</v>
      </c>
      <c r="D5764" s="39"/>
      <c r="E5764" s="39"/>
    </row>
    <row r="5765" spans="1:5" ht="15.6">
      <c r="A5765">
        <v>5710</v>
      </c>
      <c r="B5765" s="166">
        <v>85.498584459810658</v>
      </c>
      <c r="D5765" s="39"/>
      <c r="E5765" s="39"/>
    </row>
    <row r="5766" spans="1:5" ht="15.6">
      <c r="A5766">
        <v>5711</v>
      </c>
      <c r="B5766" s="166">
        <v>85.119810581156273</v>
      </c>
      <c r="D5766" s="39"/>
      <c r="E5766" s="39"/>
    </row>
    <row r="5767" spans="1:5" ht="15.6">
      <c r="A5767">
        <v>5712</v>
      </c>
      <c r="B5767" s="166">
        <v>121.49698158316644</v>
      </c>
      <c r="D5767" s="39"/>
      <c r="E5767" s="39"/>
    </row>
    <row r="5768" spans="1:5" ht="15.6">
      <c r="A5768">
        <v>5713</v>
      </c>
      <c r="B5768" s="166">
        <v>115.4120474840288</v>
      </c>
      <c r="D5768" s="39"/>
      <c r="E5768" s="39"/>
    </row>
    <row r="5769" spans="1:5" ht="15.6">
      <c r="A5769">
        <v>5714</v>
      </c>
      <c r="B5769" s="166">
        <v>116.75171953243898</v>
      </c>
      <c r="D5769" s="39"/>
      <c r="E5769" s="39"/>
    </row>
    <row r="5770" spans="1:5" ht="15.6">
      <c r="A5770">
        <v>5715</v>
      </c>
      <c r="B5770" s="166">
        <v>78.739822662818</v>
      </c>
      <c r="D5770" s="39"/>
      <c r="E5770" s="39"/>
    </row>
    <row r="5771" spans="1:5" ht="15.6">
      <c r="A5771">
        <v>5716</v>
      </c>
      <c r="B5771" s="166">
        <v>143.01855831247403</v>
      </c>
      <c r="D5771" s="39"/>
      <c r="E5771" s="39"/>
    </row>
    <row r="5772" spans="1:5" ht="15.6">
      <c r="A5772">
        <v>5717</v>
      </c>
      <c r="B5772" s="166">
        <v>143.98774418155259</v>
      </c>
      <c r="D5772" s="39"/>
      <c r="E5772" s="39"/>
    </row>
    <row r="5773" spans="1:5" ht="15.6">
      <c r="A5773">
        <v>5718</v>
      </c>
      <c r="B5773" s="166">
        <v>106.4646512314486</v>
      </c>
      <c r="D5773" s="39"/>
      <c r="E5773" s="39"/>
    </row>
    <row r="5774" spans="1:5" ht="15.6">
      <c r="A5774">
        <v>5719</v>
      </c>
      <c r="B5774" s="166">
        <v>91.630249152427211</v>
      </c>
      <c r="D5774" s="39"/>
      <c r="E5774" s="39"/>
    </row>
    <row r="5775" spans="1:5" ht="15.6">
      <c r="A5775">
        <v>5720</v>
      </c>
      <c r="B5775" s="166">
        <v>117.97695036893565</v>
      </c>
      <c r="D5775" s="39"/>
      <c r="E5775" s="39"/>
    </row>
    <row r="5776" spans="1:5" ht="15.6">
      <c r="A5776">
        <v>5721</v>
      </c>
      <c r="B5776" s="166">
        <v>67.988063254848484</v>
      </c>
      <c r="D5776" s="39"/>
      <c r="E5776" s="39"/>
    </row>
    <row r="5777" spans="1:5" ht="15.6">
      <c r="A5777">
        <v>5722</v>
      </c>
      <c r="B5777" s="166">
        <v>82.513345265762155</v>
      </c>
      <c r="D5777" s="39"/>
      <c r="E5777" s="39"/>
    </row>
    <row r="5778" spans="1:5" ht="15.6">
      <c r="A5778">
        <v>5723</v>
      </c>
      <c r="B5778" s="166">
        <v>74.782577317760229</v>
      </c>
      <c r="D5778" s="39"/>
      <c r="E5778" s="39"/>
    </row>
    <row r="5779" spans="1:5" ht="15.6">
      <c r="A5779">
        <v>5724</v>
      </c>
      <c r="B5779" s="166">
        <v>93.188351554622642</v>
      </c>
      <c r="D5779" s="39"/>
      <c r="E5779" s="39"/>
    </row>
    <row r="5780" spans="1:5" ht="15.6">
      <c r="A5780">
        <v>5725</v>
      </c>
      <c r="B5780" s="166">
        <v>206.00820840290561</v>
      </c>
      <c r="D5780" s="39"/>
      <c r="E5780" s="39"/>
    </row>
    <row r="5781" spans="1:5" ht="15.6">
      <c r="A5781">
        <v>5726</v>
      </c>
      <c r="B5781" s="166">
        <v>99.39324891432085</v>
      </c>
      <c r="D5781" s="39"/>
      <c r="E5781" s="39"/>
    </row>
    <row r="5782" spans="1:5" ht="15.6">
      <c r="A5782">
        <v>5727</v>
      </c>
      <c r="B5782" s="166">
        <v>86.363358183969083</v>
      </c>
      <c r="D5782" s="39"/>
      <c r="E5782" s="39"/>
    </row>
    <row r="5783" spans="1:5" ht="15.6">
      <c r="A5783">
        <v>5728</v>
      </c>
      <c r="B5783" s="166">
        <v>114.82008599591667</v>
      </c>
      <c r="D5783" s="39"/>
      <c r="E5783" s="39"/>
    </row>
    <row r="5784" spans="1:5" ht="15.6">
      <c r="A5784">
        <v>5729</v>
      </c>
      <c r="B5784" s="166">
        <v>192.23911641834215</v>
      </c>
      <c r="D5784" s="39"/>
      <c r="E5784" s="39"/>
    </row>
    <row r="5785" spans="1:5" ht="15.6">
      <c r="A5785">
        <v>5730</v>
      </c>
      <c r="B5785" s="166">
        <v>139.10938662036094</v>
      </c>
      <c r="D5785" s="39"/>
      <c r="E5785" s="39"/>
    </row>
    <row r="5786" spans="1:5" ht="15.6">
      <c r="A5786">
        <v>5731</v>
      </c>
      <c r="B5786" s="166">
        <v>132.96876882309908</v>
      </c>
      <c r="D5786" s="39"/>
      <c r="E5786" s="39"/>
    </row>
    <row r="5787" spans="1:5" ht="15.6">
      <c r="A5787">
        <v>5732</v>
      </c>
      <c r="B5787" s="166">
        <v>102.54437879144675</v>
      </c>
      <c r="D5787" s="39"/>
      <c r="E5787" s="39"/>
    </row>
    <row r="5788" spans="1:5" ht="15.6">
      <c r="A5788">
        <v>5733</v>
      </c>
      <c r="B5788" s="166">
        <v>190.88931352669073</v>
      </c>
      <c r="D5788" s="39"/>
      <c r="E5788" s="39"/>
    </row>
    <row r="5789" spans="1:5" ht="15.6">
      <c r="A5789">
        <v>5734</v>
      </c>
      <c r="B5789" s="166">
        <v>87.588204116671051</v>
      </c>
      <c r="D5789" s="39"/>
      <c r="E5789" s="39"/>
    </row>
    <row r="5790" spans="1:5" ht="15.6">
      <c r="A5790">
        <v>5735</v>
      </c>
      <c r="B5790" s="166">
        <v>132.54599444116974</v>
      </c>
      <c r="D5790" s="39"/>
      <c r="E5790" s="39"/>
    </row>
    <row r="5791" spans="1:5" ht="15.6">
      <c r="A5791">
        <v>5736</v>
      </c>
      <c r="B5791" s="166">
        <v>54.923220845027117</v>
      </c>
      <c r="D5791" s="39"/>
      <c r="E5791" s="39"/>
    </row>
    <row r="5792" spans="1:5" ht="15.6">
      <c r="A5792">
        <v>5737</v>
      </c>
      <c r="B5792" s="166">
        <v>177.84396467542359</v>
      </c>
      <c r="D5792" s="39"/>
      <c r="E5792" s="39"/>
    </row>
    <row r="5793" spans="1:5" ht="15.6">
      <c r="A5793">
        <v>5738</v>
      </c>
      <c r="B5793" s="166">
        <v>119.91910559939218</v>
      </c>
      <c r="D5793" s="39"/>
      <c r="E5793" s="39"/>
    </row>
    <row r="5794" spans="1:5" ht="15.6">
      <c r="A5794">
        <v>5739</v>
      </c>
      <c r="B5794" s="166">
        <v>154.10321671729236</v>
      </c>
      <c r="D5794" s="39"/>
      <c r="E5794" s="39"/>
    </row>
    <row r="5795" spans="1:5" ht="15.6">
      <c r="A5795">
        <v>5740</v>
      </c>
      <c r="B5795" s="166">
        <v>101.88945382535073</v>
      </c>
      <c r="D5795" s="39"/>
      <c r="E5795" s="39"/>
    </row>
    <row r="5796" spans="1:5" ht="15.6">
      <c r="A5796">
        <v>5741</v>
      </c>
      <c r="B5796" s="166">
        <v>141.65799267309723</v>
      </c>
      <c r="D5796" s="39"/>
      <c r="E5796" s="39"/>
    </row>
    <row r="5797" spans="1:5" ht="15.6">
      <c r="A5797">
        <v>5742</v>
      </c>
      <c r="B5797" s="166">
        <v>84.658762341200742</v>
      </c>
      <c r="D5797" s="39"/>
      <c r="E5797" s="39"/>
    </row>
    <row r="5798" spans="1:5" ht="15.6">
      <c r="A5798">
        <v>5743</v>
      </c>
      <c r="B5798" s="166">
        <v>109.98456904288868</v>
      </c>
      <c r="D5798" s="39"/>
      <c r="E5798" s="39"/>
    </row>
    <row r="5799" spans="1:5" ht="15.6">
      <c r="A5799">
        <v>5744</v>
      </c>
      <c r="B5799" s="166">
        <v>150.00228581748479</v>
      </c>
      <c r="D5799" s="39"/>
      <c r="E5799" s="39"/>
    </row>
    <row r="5800" spans="1:5" ht="15.6">
      <c r="A5800">
        <v>5745</v>
      </c>
      <c r="B5800" s="166">
        <v>103.0139751781921</v>
      </c>
      <c r="D5800" s="39"/>
      <c r="E5800" s="39"/>
    </row>
    <row r="5801" spans="1:5" ht="15.6">
      <c r="A5801">
        <v>5746</v>
      </c>
      <c r="B5801" s="166">
        <v>115.19676781587377</v>
      </c>
      <c r="D5801" s="39"/>
      <c r="E5801" s="39"/>
    </row>
    <row r="5802" spans="1:5" ht="15.6">
      <c r="A5802">
        <v>5747</v>
      </c>
      <c r="B5802" s="166">
        <v>106.36307723255329</v>
      </c>
      <c r="D5802" s="39"/>
      <c r="E5802" s="39"/>
    </row>
    <row r="5803" spans="1:5" ht="15.6">
      <c r="A5803">
        <v>5748</v>
      </c>
      <c r="B5803" s="166">
        <v>76.050727212070726</v>
      </c>
      <c r="D5803" s="39"/>
      <c r="E5803" s="39"/>
    </row>
    <row r="5804" spans="1:5" ht="15.6">
      <c r="A5804">
        <v>5749</v>
      </c>
      <c r="B5804" s="166">
        <v>107.131766101662</v>
      </c>
      <c r="D5804" s="39"/>
      <c r="E5804" s="39"/>
    </row>
    <row r="5805" spans="1:5" ht="15.6">
      <c r="A5805">
        <v>5750</v>
      </c>
      <c r="B5805" s="166">
        <v>106.89236495697941</v>
      </c>
      <c r="D5805" s="39"/>
      <c r="E5805" s="39"/>
    </row>
    <row r="5806" spans="1:5" ht="15.6">
      <c r="A5806">
        <v>5751</v>
      </c>
      <c r="B5806" s="166">
        <v>114.87235191532814</v>
      </c>
      <c r="D5806" s="39"/>
      <c r="E5806" s="39"/>
    </row>
    <row r="5807" spans="1:5" ht="15.6">
      <c r="A5807">
        <v>5752</v>
      </c>
      <c r="B5807" s="166">
        <v>83.305973784623376</v>
      </c>
      <c r="D5807" s="39"/>
      <c r="E5807" s="39"/>
    </row>
    <row r="5808" spans="1:5" ht="15.6">
      <c r="A5808">
        <v>5753</v>
      </c>
      <c r="B5808" s="166">
        <v>76.602717720894077</v>
      </c>
      <c r="D5808" s="39"/>
      <c r="E5808" s="39"/>
    </row>
    <row r="5809" spans="1:5" ht="15.6">
      <c r="A5809">
        <v>5754</v>
      </c>
      <c r="B5809" s="166">
        <v>63.68610766624473</v>
      </c>
      <c r="D5809" s="39"/>
      <c r="E5809" s="39"/>
    </row>
    <row r="5810" spans="1:5" ht="15.6">
      <c r="A5810">
        <v>5755</v>
      </c>
      <c r="B5810" s="166">
        <v>126.99039786271993</v>
      </c>
      <c r="D5810" s="39"/>
      <c r="E5810" s="39"/>
    </row>
    <row r="5811" spans="1:5" ht="15.6">
      <c r="A5811">
        <v>5756</v>
      </c>
      <c r="B5811" s="166">
        <v>87.012417837677717</v>
      </c>
      <c r="D5811" s="39"/>
      <c r="E5811" s="39"/>
    </row>
    <row r="5812" spans="1:5" ht="15.6">
      <c r="A5812">
        <v>5757</v>
      </c>
      <c r="B5812" s="166">
        <v>146.61504965536395</v>
      </c>
      <c r="D5812" s="39"/>
      <c r="E5812" s="39"/>
    </row>
    <row r="5813" spans="1:5" ht="15.6">
      <c r="A5813">
        <v>5758</v>
      </c>
      <c r="B5813" s="166">
        <v>75.704586594026196</v>
      </c>
      <c r="D5813" s="39"/>
      <c r="E5813" s="39"/>
    </row>
    <row r="5814" spans="1:5" ht="15.6">
      <c r="A5814">
        <v>5759</v>
      </c>
      <c r="B5814" s="166">
        <v>124.02683437626374</v>
      </c>
      <c r="D5814" s="39"/>
      <c r="E5814" s="39"/>
    </row>
    <row r="5815" spans="1:5" ht="15.6">
      <c r="A5815">
        <v>5760</v>
      </c>
      <c r="B5815" s="166">
        <v>127.39648343877053</v>
      </c>
      <c r="D5815" s="39"/>
      <c r="E5815" s="39"/>
    </row>
    <row r="5816" spans="1:5" ht="15.6">
      <c r="A5816">
        <v>5761</v>
      </c>
      <c r="B5816" s="166">
        <v>77.438290170618473</v>
      </c>
      <c r="D5816" s="39"/>
      <c r="E5816" s="39"/>
    </row>
    <row r="5817" spans="1:5" ht="15.6">
      <c r="A5817">
        <v>5762</v>
      </c>
      <c r="B5817" s="166">
        <v>269.44548604204039</v>
      </c>
      <c r="D5817" s="39"/>
      <c r="E5817" s="39"/>
    </row>
    <row r="5818" spans="1:5" ht="15.6">
      <c r="A5818">
        <v>5763</v>
      </c>
      <c r="B5818" s="166">
        <v>107.73242186063273</v>
      </c>
      <c r="D5818" s="39"/>
      <c r="E5818" s="39"/>
    </row>
    <row r="5819" spans="1:5" ht="15.6">
      <c r="A5819">
        <v>5764</v>
      </c>
      <c r="B5819" s="166">
        <v>91.450064829883289</v>
      </c>
      <c r="D5819" s="39"/>
      <c r="E5819" s="39"/>
    </row>
    <row r="5820" spans="1:5" ht="15.6">
      <c r="A5820">
        <v>5765</v>
      </c>
      <c r="B5820" s="166">
        <v>91.908799176718503</v>
      </c>
      <c r="D5820" s="39"/>
      <c r="E5820" s="39"/>
    </row>
    <row r="5821" spans="1:5" ht="15.6">
      <c r="A5821">
        <v>5766</v>
      </c>
      <c r="B5821" s="166">
        <v>127.57729143956131</v>
      </c>
      <c r="D5821" s="39"/>
      <c r="E5821" s="39"/>
    </row>
    <row r="5822" spans="1:5" ht="15.6">
      <c r="A5822">
        <v>5767</v>
      </c>
      <c r="B5822" s="166">
        <v>93.988745674516821</v>
      </c>
      <c r="D5822" s="39"/>
      <c r="E5822" s="39"/>
    </row>
    <row r="5823" spans="1:5" ht="15.6">
      <c r="A5823">
        <v>5768</v>
      </c>
      <c r="B5823" s="166">
        <v>79.348340355308324</v>
      </c>
      <c r="D5823" s="39"/>
      <c r="E5823" s="39"/>
    </row>
    <row r="5824" spans="1:5" ht="15.6">
      <c r="A5824">
        <v>5769</v>
      </c>
      <c r="B5824" s="166">
        <v>78.545894290509239</v>
      </c>
      <c r="D5824" s="39"/>
      <c r="E5824" s="39"/>
    </row>
    <row r="5825" spans="1:5" ht="15.6">
      <c r="A5825">
        <v>5770</v>
      </c>
      <c r="B5825" s="166">
        <v>73.922140098710571</v>
      </c>
      <c r="D5825" s="39"/>
      <c r="E5825" s="39"/>
    </row>
    <row r="5826" spans="1:5" ht="15.6">
      <c r="A5826">
        <v>5771</v>
      </c>
      <c r="B5826" s="166">
        <v>166.1375022729795</v>
      </c>
      <c r="D5826" s="39"/>
      <c r="E5826" s="39"/>
    </row>
    <row r="5827" spans="1:5" ht="15.6">
      <c r="A5827">
        <v>5772</v>
      </c>
      <c r="B5827" s="166">
        <v>88.942965588618364</v>
      </c>
      <c r="D5827" s="39"/>
      <c r="E5827" s="39"/>
    </row>
    <row r="5828" spans="1:5" ht="15.6">
      <c r="A5828">
        <v>5773</v>
      </c>
      <c r="B5828" s="166">
        <v>99.811109451219082</v>
      </c>
      <c r="D5828" s="39"/>
      <c r="E5828" s="39"/>
    </row>
    <row r="5829" spans="1:5" ht="15.6">
      <c r="A5829">
        <v>5774</v>
      </c>
      <c r="B5829" s="166">
        <v>165.50513419735589</v>
      </c>
      <c r="D5829" s="39"/>
      <c r="E5829" s="39"/>
    </row>
    <row r="5830" spans="1:5" ht="15.6">
      <c r="A5830">
        <v>5775</v>
      </c>
      <c r="B5830" s="166">
        <v>107.67862146654053</v>
      </c>
      <c r="D5830" s="39"/>
      <c r="E5830" s="39"/>
    </row>
    <row r="5831" spans="1:5" ht="15.6">
      <c r="A5831">
        <v>5776</v>
      </c>
      <c r="B5831" s="166">
        <v>107.09772040897984</v>
      </c>
      <c r="D5831" s="39"/>
      <c r="E5831" s="39"/>
    </row>
    <row r="5832" spans="1:5" ht="15.6">
      <c r="A5832">
        <v>5777</v>
      </c>
      <c r="B5832" s="166">
        <v>97.022031538222947</v>
      </c>
      <c r="D5832" s="39"/>
      <c r="E5832" s="39"/>
    </row>
    <row r="5833" spans="1:5" ht="15.6">
      <c r="A5833">
        <v>5778</v>
      </c>
      <c r="B5833" s="166">
        <v>124.65540734463386</v>
      </c>
      <c r="D5833" s="39"/>
      <c r="E5833" s="39"/>
    </row>
    <row r="5834" spans="1:5" ht="15.6">
      <c r="A5834">
        <v>5779</v>
      </c>
      <c r="B5834" s="166">
        <v>68.683050633193943</v>
      </c>
      <c r="D5834" s="39"/>
      <c r="E5834" s="39"/>
    </row>
    <row r="5835" spans="1:5" ht="15.6">
      <c r="A5835">
        <v>5780</v>
      </c>
      <c r="B5835" s="166">
        <v>108.71621774768825</v>
      </c>
      <c r="D5835" s="39"/>
      <c r="E5835" s="39"/>
    </row>
    <row r="5836" spans="1:5" ht="15.6">
      <c r="A5836">
        <v>5781</v>
      </c>
      <c r="B5836" s="166">
        <v>175.50792275472421</v>
      </c>
      <c r="D5836" s="39"/>
      <c r="E5836" s="39"/>
    </row>
    <row r="5837" spans="1:5" ht="15.6">
      <c r="A5837">
        <v>5782</v>
      </c>
      <c r="B5837" s="166">
        <v>63.415098763678778</v>
      </c>
      <c r="D5837" s="39"/>
      <c r="E5837" s="39"/>
    </row>
    <row r="5838" spans="1:5" ht="15.6">
      <c r="A5838">
        <v>5783</v>
      </c>
      <c r="B5838" s="166">
        <v>63.773004897766512</v>
      </c>
      <c r="D5838" s="39"/>
      <c r="E5838" s="39"/>
    </row>
    <row r="5839" spans="1:5" ht="15.6">
      <c r="A5839">
        <v>5784</v>
      </c>
      <c r="B5839" s="166">
        <v>94.546501173549146</v>
      </c>
      <c r="D5839" s="39"/>
      <c r="E5839" s="39"/>
    </row>
    <row r="5840" spans="1:5" ht="15.6">
      <c r="A5840">
        <v>5785</v>
      </c>
      <c r="B5840" s="166">
        <v>77.721047391163026</v>
      </c>
      <c r="D5840" s="39"/>
      <c r="E5840" s="39"/>
    </row>
    <row r="5841" spans="1:5" ht="15.6">
      <c r="A5841">
        <v>5786</v>
      </c>
      <c r="B5841" s="166">
        <v>86.123225473043775</v>
      </c>
      <c r="D5841" s="39"/>
      <c r="E5841" s="39"/>
    </row>
    <row r="5842" spans="1:5" ht="15.6">
      <c r="A5842">
        <v>5787</v>
      </c>
      <c r="B5842" s="166">
        <v>148.63428582140733</v>
      </c>
      <c r="D5842" s="39"/>
      <c r="E5842" s="39"/>
    </row>
    <row r="5843" spans="1:5" ht="15.6">
      <c r="A5843">
        <v>5788</v>
      </c>
      <c r="B5843" s="166">
        <v>69.155165972252234</v>
      </c>
      <c r="D5843" s="39"/>
      <c r="E5843" s="39"/>
    </row>
    <row r="5844" spans="1:5" ht="15.6">
      <c r="A5844">
        <v>5789</v>
      </c>
      <c r="B5844" s="166">
        <v>125.38578735727404</v>
      </c>
      <c r="D5844" s="39"/>
      <c r="E5844" s="39"/>
    </row>
    <row r="5845" spans="1:5" ht="15.6">
      <c r="A5845">
        <v>5790</v>
      </c>
      <c r="B5845" s="166">
        <v>114.95924204151592</v>
      </c>
      <c r="D5845" s="39"/>
      <c r="E5845" s="39"/>
    </row>
    <row r="5846" spans="1:5" ht="15.6">
      <c r="A5846">
        <v>5791</v>
      </c>
      <c r="B5846" s="166">
        <v>106.48073264382093</v>
      </c>
      <c r="D5846" s="39"/>
      <c r="E5846" s="39"/>
    </row>
    <row r="5847" spans="1:5" ht="15.6">
      <c r="A5847">
        <v>5792</v>
      </c>
      <c r="B5847" s="166">
        <v>134.03200348363359</v>
      </c>
      <c r="D5847" s="39"/>
      <c r="E5847" s="39"/>
    </row>
    <row r="5848" spans="1:5" ht="15.6">
      <c r="A5848">
        <v>5793</v>
      </c>
      <c r="B5848" s="166">
        <v>312.45553521959766</v>
      </c>
      <c r="D5848" s="39"/>
      <c r="E5848" s="39"/>
    </row>
    <row r="5849" spans="1:5" ht="15.6">
      <c r="A5849">
        <v>5794</v>
      </c>
      <c r="B5849" s="166">
        <v>118.90502515695739</v>
      </c>
      <c r="D5849" s="39"/>
      <c r="E5849" s="39"/>
    </row>
    <row r="5850" spans="1:5" ht="15.6">
      <c r="A5850">
        <v>5795</v>
      </c>
      <c r="B5850" s="166">
        <v>138.3840918938466</v>
      </c>
      <c r="D5850" s="39"/>
      <c r="E5850" s="39"/>
    </row>
    <row r="5851" spans="1:5" ht="15.6">
      <c r="A5851">
        <v>5796</v>
      </c>
      <c r="B5851" s="166">
        <v>110.69967381304896</v>
      </c>
      <c r="D5851" s="39"/>
      <c r="E5851" s="39"/>
    </row>
    <row r="5852" spans="1:5" ht="15.6">
      <c r="A5852">
        <v>5797</v>
      </c>
      <c r="B5852" s="166">
        <v>68.919121860074483</v>
      </c>
      <c r="D5852" s="39"/>
      <c r="E5852" s="39"/>
    </row>
    <row r="5853" spans="1:5" ht="15.6">
      <c r="A5853">
        <v>5798</v>
      </c>
      <c r="B5853" s="166">
        <v>120.06923298629074</v>
      </c>
      <c r="D5853" s="39"/>
      <c r="E5853" s="39"/>
    </row>
    <row r="5854" spans="1:5" ht="15.6">
      <c r="A5854">
        <v>5799</v>
      </c>
      <c r="B5854" s="166">
        <v>141.8165364242827</v>
      </c>
      <c r="D5854" s="39"/>
      <c r="E5854" s="39"/>
    </row>
    <row r="5855" spans="1:5" ht="15.6">
      <c r="A5855">
        <v>5800</v>
      </c>
      <c r="B5855" s="166">
        <v>66.052275073594885</v>
      </c>
      <c r="D5855" s="39"/>
      <c r="E5855" s="39"/>
    </row>
    <row r="5856" spans="1:5" ht="15.6">
      <c r="A5856">
        <v>5801</v>
      </c>
      <c r="B5856" s="166">
        <v>102.71330138529711</v>
      </c>
      <c r="D5856" s="39"/>
      <c r="E5856" s="39"/>
    </row>
    <row r="5857" spans="1:5" ht="15.6">
      <c r="A5857">
        <v>5802</v>
      </c>
      <c r="B5857" s="166">
        <v>72.500630913322695</v>
      </c>
      <c r="D5857" s="39"/>
      <c r="E5857" s="39"/>
    </row>
    <row r="5858" spans="1:5" ht="15.6">
      <c r="A5858">
        <v>5803</v>
      </c>
      <c r="B5858" s="166">
        <v>88.382519328785904</v>
      </c>
      <c r="D5858" s="39"/>
      <c r="E5858" s="39"/>
    </row>
    <row r="5859" spans="1:5" ht="15.6">
      <c r="A5859">
        <v>5804</v>
      </c>
      <c r="B5859" s="166">
        <v>91.586021143996774</v>
      </c>
      <c r="D5859" s="39"/>
      <c r="E5859" s="39"/>
    </row>
    <row r="5860" spans="1:5" ht="15.6">
      <c r="A5860">
        <v>5805</v>
      </c>
      <c r="B5860" s="166">
        <v>128.37115605474204</v>
      </c>
      <c r="D5860" s="39"/>
      <c r="E5860" s="39"/>
    </row>
    <row r="5861" spans="1:5" ht="15.6">
      <c r="A5861">
        <v>5806</v>
      </c>
      <c r="B5861" s="166">
        <v>201.95872253242985</v>
      </c>
      <c r="D5861" s="39"/>
      <c r="E5861" s="39"/>
    </row>
    <row r="5862" spans="1:5" ht="15.6">
      <c r="A5862">
        <v>5807</v>
      </c>
      <c r="B5862" s="166">
        <v>51.280680835041672</v>
      </c>
      <c r="D5862" s="39"/>
      <c r="E5862" s="39"/>
    </row>
    <row r="5863" spans="1:5" ht="15.6">
      <c r="A5863">
        <v>5808</v>
      </c>
      <c r="B5863" s="166">
        <v>143.24792604354991</v>
      </c>
      <c r="D5863" s="39"/>
      <c r="E5863" s="39"/>
    </row>
    <row r="5864" spans="1:5" ht="15.6">
      <c r="A5864">
        <v>5809</v>
      </c>
      <c r="B5864" s="166">
        <v>94.059925463153817</v>
      </c>
      <c r="D5864" s="39"/>
      <c r="E5864" s="39"/>
    </row>
    <row r="5865" spans="1:5" ht="15.6">
      <c r="A5865">
        <v>5810</v>
      </c>
      <c r="B5865" s="166">
        <v>154.27632252258471</v>
      </c>
      <c r="D5865" s="39"/>
      <c r="E5865" s="39"/>
    </row>
    <row r="5866" spans="1:5" ht="15.6">
      <c r="A5866">
        <v>5811</v>
      </c>
      <c r="B5866" s="166">
        <v>103.22154706294981</v>
      </c>
      <c r="D5866" s="39"/>
      <c r="E5866" s="39"/>
    </row>
    <row r="5867" spans="1:5" ht="15.6">
      <c r="A5867">
        <v>5812</v>
      </c>
      <c r="B5867" s="166">
        <v>137.08113742866243</v>
      </c>
      <c r="D5867" s="39"/>
      <c r="E5867" s="39"/>
    </row>
    <row r="5868" spans="1:5" ht="15.6">
      <c r="A5868">
        <v>5813</v>
      </c>
      <c r="B5868" s="166">
        <v>137.6960745123418</v>
      </c>
      <c r="D5868" s="39"/>
      <c r="E5868" s="39"/>
    </row>
    <row r="5869" spans="1:5" ht="15.6">
      <c r="A5869">
        <v>5814</v>
      </c>
      <c r="B5869" s="166">
        <v>89.920216326948363</v>
      </c>
      <c r="D5869" s="39"/>
      <c r="E5869" s="39"/>
    </row>
    <row r="5870" spans="1:5" ht="15.6">
      <c r="A5870">
        <v>5815</v>
      </c>
      <c r="B5870" s="166">
        <v>178.59784464067587</v>
      </c>
      <c r="D5870" s="39"/>
      <c r="E5870" s="39"/>
    </row>
    <row r="5871" spans="1:5" ht="15.6">
      <c r="A5871">
        <v>5816</v>
      </c>
      <c r="B5871" s="166">
        <v>75.791325145955057</v>
      </c>
      <c r="D5871" s="39"/>
      <c r="E5871" s="39"/>
    </row>
    <row r="5872" spans="1:5" ht="15.6">
      <c r="A5872">
        <v>5817</v>
      </c>
      <c r="B5872" s="166">
        <v>85.429313070577166</v>
      </c>
      <c r="D5872" s="39"/>
      <c r="E5872" s="39"/>
    </row>
    <row r="5873" spans="1:5" ht="15.6">
      <c r="A5873">
        <v>5818</v>
      </c>
      <c r="B5873" s="166">
        <v>172.21599304882091</v>
      </c>
      <c r="D5873" s="39"/>
      <c r="E5873" s="39"/>
    </row>
    <row r="5874" spans="1:5" ht="15.6">
      <c r="A5874">
        <v>5819</v>
      </c>
      <c r="B5874" s="166">
        <v>94.624076784569112</v>
      </c>
      <c r="D5874" s="39"/>
      <c r="E5874" s="39"/>
    </row>
    <row r="5875" spans="1:5" ht="15.6">
      <c r="A5875">
        <v>5820</v>
      </c>
      <c r="B5875" s="166">
        <v>98.093243226970259</v>
      </c>
      <c r="D5875" s="39"/>
      <c r="E5875" s="39"/>
    </row>
    <row r="5876" spans="1:5" ht="15.6">
      <c r="A5876">
        <v>5821</v>
      </c>
      <c r="B5876" s="166">
        <v>153.58176516187234</v>
      </c>
      <c r="D5876" s="39"/>
      <c r="E5876" s="39"/>
    </row>
    <row r="5877" spans="1:5" ht="15.6">
      <c r="A5877">
        <v>5822</v>
      </c>
      <c r="B5877" s="166">
        <v>126.71993327245032</v>
      </c>
      <c r="D5877" s="39"/>
      <c r="E5877" s="39"/>
    </row>
    <row r="5878" spans="1:5" ht="15.6">
      <c r="A5878">
        <v>5823</v>
      </c>
      <c r="B5878" s="166">
        <v>109.40828646302953</v>
      </c>
      <c r="D5878" s="39"/>
      <c r="E5878" s="39"/>
    </row>
    <row r="5879" spans="1:5" ht="15.6">
      <c r="A5879">
        <v>5824</v>
      </c>
      <c r="B5879" s="166">
        <v>61.819577372046936</v>
      </c>
      <c r="D5879" s="39"/>
      <c r="E5879" s="39"/>
    </row>
    <row r="5880" spans="1:5" ht="15.6">
      <c r="A5880">
        <v>5825</v>
      </c>
      <c r="B5880" s="166">
        <v>82.711115068098707</v>
      </c>
      <c r="D5880" s="39"/>
      <c r="E5880" s="39"/>
    </row>
    <row r="5881" spans="1:5" ht="15.6">
      <c r="A5881">
        <v>5826</v>
      </c>
      <c r="B5881" s="166">
        <v>87.865010457696812</v>
      </c>
      <c r="D5881" s="39"/>
      <c r="E5881" s="39"/>
    </row>
    <row r="5882" spans="1:5" ht="15.6">
      <c r="A5882">
        <v>5827</v>
      </c>
      <c r="B5882" s="166">
        <v>161.75502705576616</v>
      </c>
      <c r="D5882" s="39"/>
      <c r="E5882" s="39"/>
    </row>
    <row r="5883" spans="1:5" ht="15.6">
      <c r="A5883">
        <v>5828</v>
      </c>
      <c r="B5883" s="166">
        <v>69.490406049950522</v>
      </c>
      <c r="D5883" s="39"/>
      <c r="E5883" s="39"/>
    </row>
    <row r="5884" spans="1:5" ht="15.6">
      <c r="A5884">
        <v>5829</v>
      </c>
      <c r="B5884" s="166">
        <v>101.68906117256778</v>
      </c>
      <c r="D5884" s="39"/>
      <c r="E5884" s="39"/>
    </row>
    <row r="5885" spans="1:5" ht="15.6">
      <c r="A5885">
        <v>5830</v>
      </c>
      <c r="B5885" s="166">
        <v>70.290059527719606</v>
      </c>
      <c r="D5885" s="39"/>
      <c r="E5885" s="39"/>
    </row>
    <row r="5886" spans="1:5" ht="15.6">
      <c r="A5886">
        <v>5831</v>
      </c>
      <c r="B5886" s="166">
        <v>127.27152498506142</v>
      </c>
      <c r="D5886" s="39"/>
      <c r="E5886" s="39"/>
    </row>
    <row r="5887" spans="1:5" ht="15.6">
      <c r="A5887">
        <v>5832</v>
      </c>
      <c r="B5887" s="166">
        <v>69.31180865808399</v>
      </c>
      <c r="D5887" s="39"/>
      <c r="E5887" s="39"/>
    </row>
    <row r="5888" spans="1:5" ht="15.6">
      <c r="A5888">
        <v>5833</v>
      </c>
      <c r="B5888" s="166">
        <v>91.041811715478758</v>
      </c>
      <c r="D5888" s="39"/>
      <c r="E5888" s="39"/>
    </row>
    <row r="5889" spans="1:5" ht="15.6">
      <c r="A5889">
        <v>5834</v>
      </c>
      <c r="B5889" s="166">
        <v>106.8444580351248</v>
      </c>
      <c r="D5889" s="39"/>
      <c r="E5889" s="39"/>
    </row>
    <row r="5890" spans="1:5" ht="15.6">
      <c r="A5890">
        <v>5835</v>
      </c>
      <c r="B5890" s="166">
        <v>72.713802228990559</v>
      </c>
      <c r="D5890" s="39"/>
      <c r="E5890" s="39"/>
    </row>
    <row r="5891" spans="1:5" ht="15.6">
      <c r="A5891">
        <v>5836</v>
      </c>
      <c r="B5891" s="166">
        <v>166.36978819089478</v>
      </c>
      <c r="D5891" s="39"/>
      <c r="E5891" s="39"/>
    </row>
    <row r="5892" spans="1:5" ht="15.6">
      <c r="A5892">
        <v>5837</v>
      </c>
      <c r="B5892" s="166">
        <v>65.595992439398245</v>
      </c>
      <c r="D5892" s="39"/>
      <c r="E5892" s="39"/>
    </row>
    <row r="5893" spans="1:5" ht="15.6">
      <c r="A5893">
        <v>5838</v>
      </c>
      <c r="B5893" s="166">
        <v>128.65346521019202</v>
      </c>
      <c r="D5893" s="39"/>
      <c r="E5893" s="39"/>
    </row>
    <row r="5894" spans="1:5" ht="15.6">
      <c r="A5894">
        <v>5839</v>
      </c>
      <c r="B5894" s="166">
        <v>197.33703058925121</v>
      </c>
      <c r="D5894" s="39"/>
      <c r="E5894" s="39"/>
    </row>
    <row r="5895" spans="1:5" ht="15.6">
      <c r="A5895">
        <v>5840</v>
      </c>
      <c r="B5895" s="166">
        <v>72.563214857976277</v>
      </c>
      <c r="D5895" s="39"/>
      <c r="E5895" s="39"/>
    </row>
    <row r="5896" spans="1:5" ht="15.6">
      <c r="A5896">
        <v>5841</v>
      </c>
      <c r="B5896" s="166">
        <v>83.475790156837732</v>
      </c>
      <c r="D5896" s="39"/>
      <c r="E5896" s="39"/>
    </row>
    <row r="5897" spans="1:5" ht="15.6">
      <c r="A5897">
        <v>5842</v>
      </c>
      <c r="B5897" s="166">
        <v>86.189612482094049</v>
      </c>
      <c r="D5897" s="39"/>
      <c r="E5897" s="39"/>
    </row>
    <row r="5898" spans="1:5" ht="15.6">
      <c r="A5898">
        <v>5843</v>
      </c>
      <c r="B5898" s="166">
        <v>118.41085396195062</v>
      </c>
      <c r="D5898" s="39"/>
      <c r="E5898" s="39"/>
    </row>
    <row r="5899" spans="1:5" ht="15.6">
      <c r="A5899">
        <v>5844</v>
      </c>
      <c r="B5899" s="166">
        <v>103.23291105953859</v>
      </c>
      <c r="D5899" s="39"/>
      <c r="E5899" s="39"/>
    </row>
    <row r="5900" spans="1:5" ht="15.6">
      <c r="A5900">
        <v>5845</v>
      </c>
      <c r="B5900" s="166">
        <v>105.87413524324211</v>
      </c>
      <c r="D5900" s="39"/>
      <c r="E5900" s="39"/>
    </row>
    <row r="5901" spans="1:5" ht="15.6">
      <c r="A5901">
        <v>5846</v>
      </c>
      <c r="B5901" s="166">
        <v>233.66811040086031</v>
      </c>
      <c r="D5901" s="39"/>
      <c r="E5901" s="39"/>
    </row>
    <row r="5902" spans="1:5" ht="15.6">
      <c r="A5902">
        <v>5847</v>
      </c>
      <c r="B5902" s="166">
        <v>151.33578156153976</v>
      </c>
      <c r="D5902" s="39"/>
      <c r="E5902" s="39"/>
    </row>
    <row r="5903" spans="1:5" ht="15.6">
      <c r="A5903">
        <v>5848</v>
      </c>
      <c r="B5903" s="166">
        <v>172.91700250400399</v>
      </c>
      <c r="D5903" s="39"/>
      <c r="E5903" s="39"/>
    </row>
    <row r="5904" spans="1:5" ht="15.6">
      <c r="A5904">
        <v>5849</v>
      </c>
      <c r="B5904" s="166">
        <v>157.44038253016521</v>
      </c>
      <c r="D5904" s="39"/>
      <c r="E5904" s="39"/>
    </row>
    <row r="5905" spans="1:5" ht="15.6">
      <c r="A5905">
        <v>5850</v>
      </c>
      <c r="B5905" s="166">
        <v>88.273866572266414</v>
      </c>
      <c r="D5905" s="39"/>
      <c r="E5905" s="39"/>
    </row>
    <row r="5906" spans="1:5" ht="15.6">
      <c r="A5906">
        <v>5851</v>
      </c>
      <c r="B5906" s="166">
        <v>145.52877697944365</v>
      </c>
      <c r="D5906" s="39"/>
      <c r="E5906" s="39"/>
    </row>
    <row r="5907" spans="1:5" ht="15.6">
      <c r="A5907">
        <v>5852</v>
      </c>
      <c r="B5907" s="166">
        <v>64.875762412727994</v>
      </c>
      <c r="D5907" s="39"/>
      <c r="E5907" s="39"/>
    </row>
    <row r="5908" spans="1:5" ht="15.6">
      <c r="A5908">
        <v>5853</v>
      </c>
      <c r="B5908" s="166">
        <v>161.88422466968839</v>
      </c>
      <c r="D5908" s="39"/>
      <c r="E5908" s="39"/>
    </row>
    <row r="5909" spans="1:5" ht="15.6">
      <c r="A5909">
        <v>5854</v>
      </c>
      <c r="B5909" s="166">
        <v>88.136237117884178</v>
      </c>
      <c r="D5909" s="39"/>
      <c r="E5909" s="39"/>
    </row>
    <row r="5910" spans="1:5" ht="15.6">
      <c r="A5910">
        <v>5855</v>
      </c>
      <c r="B5910" s="166">
        <v>62.782296913687958</v>
      </c>
      <c r="D5910" s="39"/>
      <c r="E5910" s="39"/>
    </row>
    <row r="5911" spans="1:5" ht="15.6">
      <c r="A5911">
        <v>5856</v>
      </c>
      <c r="B5911" s="166">
        <v>123.32924282416187</v>
      </c>
      <c r="D5911" s="39"/>
      <c r="E5911" s="39"/>
    </row>
    <row r="5912" spans="1:5" ht="15.6">
      <c r="A5912">
        <v>5857</v>
      </c>
      <c r="B5912" s="166">
        <v>70.937987046582506</v>
      </c>
      <c r="D5912" s="39"/>
      <c r="E5912" s="39"/>
    </row>
    <row r="5913" spans="1:5" ht="15.6">
      <c r="A5913">
        <v>5858</v>
      </c>
      <c r="B5913" s="166">
        <v>66.362166391337681</v>
      </c>
      <c r="D5913" s="39"/>
      <c r="E5913" s="39"/>
    </row>
    <row r="5914" spans="1:5" ht="15.6">
      <c r="A5914">
        <v>5859</v>
      </c>
      <c r="B5914" s="166">
        <v>136.04864996919559</v>
      </c>
      <c r="D5914" s="39"/>
      <c r="E5914" s="39"/>
    </row>
    <row r="5915" spans="1:5" ht="15.6">
      <c r="A5915">
        <v>5860</v>
      </c>
      <c r="B5915" s="166">
        <v>72.022057021242475</v>
      </c>
      <c r="D5915" s="39"/>
      <c r="E5915" s="39"/>
    </row>
    <row r="5916" spans="1:5" ht="15.6">
      <c r="A5916">
        <v>5861</v>
      </c>
      <c r="B5916" s="166">
        <v>75.949042254459911</v>
      </c>
      <c r="D5916" s="39"/>
      <c r="E5916" s="39"/>
    </row>
    <row r="5917" spans="1:5" ht="15.6">
      <c r="A5917">
        <v>5862</v>
      </c>
      <c r="B5917" s="166">
        <v>83.970052772645616</v>
      </c>
      <c r="D5917" s="39"/>
      <c r="E5917" s="39"/>
    </row>
    <row r="5918" spans="1:5" ht="15.6">
      <c r="A5918">
        <v>5863</v>
      </c>
      <c r="B5918" s="166">
        <v>107.95901241848455</v>
      </c>
      <c r="D5918" s="39"/>
      <c r="E5918" s="39"/>
    </row>
    <row r="5919" spans="1:5" ht="15.6">
      <c r="A5919">
        <v>5864</v>
      </c>
      <c r="B5919" s="166">
        <v>195.35619383105094</v>
      </c>
      <c r="D5919" s="39"/>
      <c r="E5919" s="39"/>
    </row>
    <row r="5920" spans="1:5" ht="15.6">
      <c r="A5920">
        <v>5865</v>
      </c>
      <c r="B5920" s="166">
        <v>107.09874076307004</v>
      </c>
      <c r="D5920" s="39"/>
      <c r="E5920" s="39"/>
    </row>
    <row r="5921" spans="1:5" ht="15.6">
      <c r="A5921">
        <v>5866</v>
      </c>
      <c r="B5921" s="166">
        <v>130.36026357941108</v>
      </c>
      <c r="D5921" s="39"/>
      <c r="E5921" s="39"/>
    </row>
    <row r="5922" spans="1:5" ht="15.6">
      <c r="A5922">
        <v>5867</v>
      </c>
      <c r="B5922" s="166">
        <v>153.34702364088264</v>
      </c>
      <c r="D5922" s="39"/>
      <c r="E5922" s="39"/>
    </row>
    <row r="5923" spans="1:5" ht="15.6">
      <c r="A5923">
        <v>5868</v>
      </c>
      <c r="B5923" s="166">
        <v>86.836906133991789</v>
      </c>
      <c r="D5923" s="39"/>
      <c r="E5923" s="39"/>
    </row>
    <row r="5924" spans="1:5" ht="15.6">
      <c r="A5924">
        <v>5869</v>
      </c>
      <c r="B5924" s="166">
        <v>107.41155242728426</v>
      </c>
      <c r="D5924" s="39"/>
      <c r="E5924" s="39"/>
    </row>
    <row r="5925" spans="1:5" ht="15.6">
      <c r="A5925">
        <v>5870</v>
      </c>
      <c r="B5925" s="166">
        <v>95.668724323203563</v>
      </c>
      <c r="D5925" s="39"/>
      <c r="E5925" s="39"/>
    </row>
    <row r="5926" spans="1:5" ht="15.6">
      <c r="A5926">
        <v>5871</v>
      </c>
      <c r="B5926" s="166">
        <v>115.14375777097236</v>
      </c>
      <c r="D5926" s="39"/>
      <c r="E5926" s="39"/>
    </row>
    <row r="5927" spans="1:5" ht="15.6">
      <c r="A5927">
        <v>5872</v>
      </c>
      <c r="B5927" s="166">
        <v>82.229186537137451</v>
      </c>
      <c r="D5927" s="39"/>
      <c r="E5927" s="39"/>
    </row>
    <row r="5928" spans="1:5" ht="15.6">
      <c r="A5928">
        <v>5873</v>
      </c>
      <c r="B5928" s="166">
        <v>56.295443706883795</v>
      </c>
      <c r="D5928" s="39"/>
      <c r="E5928" s="39"/>
    </row>
    <row r="5929" spans="1:5" ht="15.6">
      <c r="A5929">
        <v>5874</v>
      </c>
      <c r="B5929" s="166">
        <v>158.76724760142528</v>
      </c>
      <c r="D5929" s="39"/>
      <c r="E5929" s="39"/>
    </row>
    <row r="5930" spans="1:5" ht="15.6">
      <c r="A5930">
        <v>5875</v>
      </c>
      <c r="B5930" s="166">
        <v>99.060778492002058</v>
      </c>
      <c r="D5930" s="39"/>
      <c r="E5930" s="39"/>
    </row>
    <row r="5931" spans="1:5" ht="15.6">
      <c r="A5931">
        <v>5876</v>
      </c>
      <c r="B5931" s="166">
        <v>119.56211533878917</v>
      </c>
      <c r="D5931" s="39"/>
      <c r="E5931" s="39"/>
    </row>
    <row r="5932" spans="1:5" ht="15.6">
      <c r="A5932">
        <v>5877</v>
      </c>
      <c r="B5932" s="166">
        <v>96.863752972740599</v>
      </c>
      <c r="D5932" s="39"/>
      <c r="E5932" s="39"/>
    </row>
    <row r="5933" spans="1:5" ht="15.6">
      <c r="A5933">
        <v>5878</v>
      </c>
      <c r="B5933" s="166">
        <v>55.573167241032813</v>
      </c>
      <c r="D5933" s="39"/>
      <c r="E5933" s="39"/>
    </row>
    <row r="5934" spans="1:5" ht="15.6">
      <c r="A5934">
        <v>5879</v>
      </c>
      <c r="B5934" s="166">
        <v>71.783195371638229</v>
      </c>
      <c r="D5934" s="39"/>
      <c r="E5934" s="39"/>
    </row>
    <row r="5935" spans="1:5" ht="15.6">
      <c r="A5935">
        <v>5880</v>
      </c>
      <c r="B5935" s="166">
        <v>95.494750205867788</v>
      </c>
      <c r="D5935" s="39"/>
      <c r="E5935" s="39"/>
    </row>
    <row r="5936" spans="1:5" ht="15.6">
      <c r="A5936">
        <v>5881</v>
      </c>
      <c r="B5936" s="166">
        <v>71.439860904384247</v>
      </c>
      <c r="D5936" s="39"/>
      <c r="E5936" s="39"/>
    </row>
    <row r="5937" spans="1:5" ht="15.6">
      <c r="A5937">
        <v>5882</v>
      </c>
      <c r="B5937" s="166">
        <v>74.336814550610882</v>
      </c>
      <c r="D5937" s="39"/>
      <c r="E5937" s="39"/>
    </row>
    <row r="5938" spans="1:5" ht="15.6">
      <c r="A5938">
        <v>5883</v>
      </c>
      <c r="B5938" s="166">
        <v>164.08928892453292</v>
      </c>
      <c r="D5938" s="39"/>
      <c r="E5938" s="39"/>
    </row>
    <row r="5939" spans="1:5" ht="15.6">
      <c r="A5939">
        <v>5884</v>
      </c>
      <c r="B5939" s="166">
        <v>101.80991273714874</v>
      </c>
      <c r="D5939" s="39"/>
      <c r="E5939" s="39"/>
    </row>
    <row r="5940" spans="1:5" ht="15.6">
      <c r="A5940">
        <v>5885</v>
      </c>
      <c r="B5940" s="166">
        <v>98.654184618093211</v>
      </c>
      <c r="D5940" s="39"/>
      <c r="E5940" s="39"/>
    </row>
    <row r="5941" spans="1:5" ht="15.6">
      <c r="A5941">
        <v>5886</v>
      </c>
      <c r="B5941" s="166">
        <v>73.66422800486157</v>
      </c>
      <c r="D5941" s="39"/>
      <c r="E5941" s="39"/>
    </row>
    <row r="5942" spans="1:5" ht="15.6">
      <c r="A5942">
        <v>5887</v>
      </c>
      <c r="B5942" s="166">
        <v>164.61138184105857</v>
      </c>
      <c r="D5942" s="39"/>
      <c r="E5942" s="39"/>
    </row>
    <row r="5943" spans="1:5" ht="15.6">
      <c r="A5943">
        <v>5888</v>
      </c>
      <c r="B5943" s="166">
        <v>201.49929713130661</v>
      </c>
      <c r="D5943" s="39"/>
      <c r="E5943" s="39"/>
    </row>
    <row r="5944" spans="1:5" ht="15.6">
      <c r="A5944">
        <v>5889</v>
      </c>
      <c r="B5944" s="166">
        <v>86.313492278646692</v>
      </c>
      <c r="D5944" s="39"/>
      <c r="E5944" s="39"/>
    </row>
    <row r="5945" spans="1:5" ht="15.6">
      <c r="A5945">
        <v>5890</v>
      </c>
      <c r="B5945" s="166">
        <v>149.11971440146044</v>
      </c>
      <c r="D5945" s="39"/>
      <c r="E5945" s="39"/>
    </row>
    <row r="5946" spans="1:5" ht="15.6">
      <c r="A5946">
        <v>5891</v>
      </c>
      <c r="B5946" s="166">
        <v>86.20843648342948</v>
      </c>
      <c r="D5946" s="39"/>
      <c r="E5946" s="39"/>
    </row>
    <row r="5947" spans="1:5" ht="15.6">
      <c r="A5947">
        <v>5892</v>
      </c>
      <c r="B5947" s="166">
        <v>106.05389395508359</v>
      </c>
      <c r="D5947" s="39"/>
      <c r="E5947" s="39"/>
    </row>
    <row r="5948" spans="1:5" ht="15.6">
      <c r="A5948">
        <v>5893</v>
      </c>
      <c r="B5948" s="166">
        <v>127.79930405681398</v>
      </c>
      <c r="D5948" s="39"/>
      <c r="E5948" s="39"/>
    </row>
    <row r="5949" spans="1:5" ht="15.6">
      <c r="A5949">
        <v>5894</v>
      </c>
      <c r="B5949" s="166">
        <v>198.67056903293502</v>
      </c>
      <c r="D5949" s="39"/>
      <c r="E5949" s="39"/>
    </row>
    <row r="5950" spans="1:5" ht="15.6">
      <c r="A5950">
        <v>5895</v>
      </c>
      <c r="B5950" s="166">
        <v>122.08946258479413</v>
      </c>
      <c r="D5950" s="39"/>
      <c r="E5950" s="39"/>
    </row>
    <row r="5951" spans="1:5" ht="15.6">
      <c r="A5951">
        <v>5896</v>
      </c>
      <c r="B5951" s="166">
        <v>108.46927169215508</v>
      </c>
      <c r="D5951" s="39"/>
      <c r="E5951" s="39"/>
    </row>
    <row r="5952" spans="1:5" ht="15.6">
      <c r="A5952">
        <v>5897</v>
      </c>
      <c r="B5952" s="166">
        <v>92.923993972049388</v>
      </c>
      <c r="D5952" s="39"/>
      <c r="E5952" s="39"/>
    </row>
    <row r="5953" spans="1:5" ht="15.6">
      <c r="A5953">
        <v>5898</v>
      </c>
      <c r="B5953" s="166">
        <v>121.01900096854169</v>
      </c>
      <c r="D5953" s="39"/>
      <c r="E5953" s="39"/>
    </row>
    <row r="5954" spans="1:5" ht="15.6">
      <c r="A5954">
        <v>5899</v>
      </c>
      <c r="B5954" s="166">
        <v>165.29989113920422</v>
      </c>
      <c r="D5954" s="39"/>
      <c r="E5954" s="39"/>
    </row>
    <row r="5955" spans="1:5" ht="15.6">
      <c r="A5955">
        <v>5900</v>
      </c>
      <c r="B5955" s="166">
        <v>153.67326777983425</v>
      </c>
      <c r="D5955" s="39"/>
      <c r="E5955" s="39"/>
    </row>
    <row r="5956" spans="1:5" ht="15.6">
      <c r="A5956">
        <v>5901</v>
      </c>
      <c r="B5956" s="166">
        <v>110.40118103015087</v>
      </c>
      <c r="D5956" s="39"/>
      <c r="E5956" s="39"/>
    </row>
    <row r="5957" spans="1:5" ht="15.6">
      <c r="A5957">
        <v>5902</v>
      </c>
      <c r="B5957" s="166">
        <v>199.19250599128529</v>
      </c>
      <c r="D5957" s="39"/>
      <c r="E5957" s="39"/>
    </row>
    <row r="5958" spans="1:5" ht="15.6">
      <c r="A5958">
        <v>5903</v>
      </c>
      <c r="B5958" s="166">
        <v>132.74862765334646</v>
      </c>
      <c r="D5958" s="39"/>
      <c r="E5958" s="39"/>
    </row>
    <row r="5959" spans="1:5" ht="15.6">
      <c r="A5959">
        <v>5904</v>
      </c>
      <c r="B5959" s="166">
        <v>101.51016027284051</v>
      </c>
      <c r="D5959" s="39"/>
      <c r="E5959" s="39"/>
    </row>
    <row r="5960" spans="1:5" ht="15.6">
      <c r="A5960">
        <v>5905</v>
      </c>
      <c r="B5960" s="166">
        <v>124.9011889466279</v>
      </c>
      <c r="D5960" s="39"/>
      <c r="E5960" s="39"/>
    </row>
    <row r="5961" spans="1:5" ht="15.6">
      <c r="A5961">
        <v>5906</v>
      </c>
      <c r="B5961" s="166">
        <v>74.206350335706247</v>
      </c>
      <c r="D5961" s="39"/>
      <c r="E5961" s="39"/>
    </row>
    <row r="5962" spans="1:5" ht="15.6">
      <c r="A5962">
        <v>5907</v>
      </c>
      <c r="B5962" s="166">
        <v>112.06451271837713</v>
      </c>
      <c r="D5962" s="39"/>
      <c r="E5962" s="39"/>
    </row>
    <row r="5963" spans="1:5" ht="15.6">
      <c r="A5963">
        <v>5908</v>
      </c>
      <c r="B5963" s="166">
        <v>62.017401389003638</v>
      </c>
      <c r="D5963" s="39"/>
      <c r="E5963" s="39"/>
    </row>
    <row r="5964" spans="1:5" ht="15.6">
      <c r="A5964">
        <v>5909</v>
      </c>
      <c r="B5964" s="166">
        <v>163.66051889503925</v>
      </c>
      <c r="D5964" s="39"/>
      <c r="E5964" s="39"/>
    </row>
    <row r="5965" spans="1:5" ht="15.6">
      <c r="A5965">
        <v>5910</v>
      </c>
      <c r="B5965" s="166">
        <v>76.807396757217617</v>
      </c>
      <c r="D5965" s="39"/>
      <c r="E5965" s="39"/>
    </row>
    <row r="5966" spans="1:5" ht="15.6">
      <c r="A5966">
        <v>5911</v>
      </c>
      <c r="B5966" s="166">
        <v>63.696050841343506</v>
      </c>
      <c r="D5966" s="39"/>
      <c r="E5966" s="39"/>
    </row>
    <row r="5967" spans="1:5" ht="15.6">
      <c r="A5967">
        <v>5912</v>
      </c>
      <c r="B5967" s="166">
        <v>90.909207825961872</v>
      </c>
      <c r="D5967" s="39"/>
      <c r="E5967" s="39"/>
    </row>
    <row r="5968" spans="1:5" ht="15.6">
      <c r="A5968">
        <v>5913</v>
      </c>
      <c r="B5968" s="166">
        <v>146.99535821815098</v>
      </c>
      <c r="D5968" s="39"/>
      <c r="E5968" s="39"/>
    </row>
    <row r="5969" spans="1:5" ht="15.6">
      <c r="A5969">
        <v>5914</v>
      </c>
      <c r="B5969" s="166">
        <v>84.308170139408929</v>
      </c>
      <c r="D5969" s="39"/>
      <c r="E5969" s="39"/>
    </row>
    <row r="5970" spans="1:5" ht="15.6">
      <c r="A5970">
        <v>5915</v>
      </c>
      <c r="B5970" s="166">
        <v>68.868059850146622</v>
      </c>
      <c r="D5970" s="39"/>
      <c r="E5970" s="39"/>
    </row>
    <row r="5971" spans="1:5" ht="15.6">
      <c r="A5971">
        <v>5916</v>
      </c>
      <c r="B5971" s="166">
        <v>93.812965232064528</v>
      </c>
      <c r="D5971" s="39"/>
      <c r="E5971" s="39"/>
    </row>
    <row r="5972" spans="1:5" ht="15.6">
      <c r="A5972">
        <v>5917</v>
      </c>
      <c r="B5972" s="166">
        <v>139.71089861109701</v>
      </c>
      <c r="D5972" s="39"/>
      <c r="E5972" s="39"/>
    </row>
    <row r="5973" spans="1:5" ht="15.6">
      <c r="A5973">
        <v>5918</v>
      </c>
      <c r="B5973" s="166">
        <v>107.94441238859919</v>
      </c>
      <c r="D5973" s="39"/>
      <c r="E5973" s="39"/>
    </row>
    <row r="5974" spans="1:5" ht="15.6">
      <c r="A5974">
        <v>5919</v>
      </c>
      <c r="B5974" s="166">
        <v>81.72124034126</v>
      </c>
      <c r="D5974" s="39"/>
      <c r="E5974" s="39"/>
    </row>
    <row r="5975" spans="1:5" ht="15.6">
      <c r="A5975">
        <v>5920</v>
      </c>
      <c r="B5975" s="166">
        <v>114.59514179072008</v>
      </c>
      <c r="D5975" s="39"/>
      <c r="E5975" s="39"/>
    </row>
    <row r="5976" spans="1:5" ht="15.6">
      <c r="A5976">
        <v>5921</v>
      </c>
      <c r="B5976" s="166">
        <v>180.60857552278637</v>
      </c>
      <c r="D5976" s="39"/>
      <c r="E5976" s="39"/>
    </row>
    <row r="5977" spans="1:5" ht="15.6">
      <c r="A5977">
        <v>5922</v>
      </c>
      <c r="B5977" s="166">
        <v>104.2547240737801</v>
      </c>
      <c r="D5977" s="39"/>
      <c r="E5977" s="39"/>
    </row>
    <row r="5978" spans="1:5" ht="15.6">
      <c r="A5978">
        <v>5923</v>
      </c>
      <c r="B5978" s="166">
        <v>101.72014087047124</v>
      </c>
      <c r="D5978" s="39"/>
      <c r="E5978" s="39"/>
    </row>
    <row r="5979" spans="1:5" ht="15.6">
      <c r="A5979">
        <v>5924</v>
      </c>
      <c r="B5979" s="166">
        <v>66.24134959373815</v>
      </c>
      <c r="D5979" s="39"/>
      <c r="E5979" s="39"/>
    </row>
    <row r="5980" spans="1:5" ht="15.6">
      <c r="A5980">
        <v>5925</v>
      </c>
      <c r="B5980" s="166">
        <v>71.365720635400322</v>
      </c>
      <c r="D5980" s="39"/>
      <c r="E5980" s="39"/>
    </row>
    <row r="5981" spans="1:5" ht="15.6">
      <c r="A5981">
        <v>5926</v>
      </c>
      <c r="B5981" s="166">
        <v>56.157572062370647</v>
      </c>
      <c r="D5981" s="39"/>
      <c r="E5981" s="39"/>
    </row>
    <row r="5982" spans="1:5" ht="15.6">
      <c r="A5982">
        <v>5927</v>
      </c>
      <c r="B5982" s="166">
        <v>162.36749959543002</v>
      </c>
      <c r="D5982" s="39"/>
      <c r="E5982" s="39"/>
    </row>
    <row r="5983" spans="1:5" ht="15.6">
      <c r="A5983">
        <v>5928</v>
      </c>
      <c r="B5983" s="166">
        <v>111.38161329063935</v>
      </c>
      <c r="D5983" s="39"/>
      <c r="E5983" s="39"/>
    </row>
    <row r="5984" spans="1:5" ht="15.6">
      <c r="A5984">
        <v>5929</v>
      </c>
      <c r="B5984" s="166">
        <v>100.99953164667676</v>
      </c>
      <c r="D5984" s="39"/>
      <c r="E5984" s="39"/>
    </row>
    <row r="5985" spans="1:5" ht="15.6">
      <c r="A5985">
        <v>5930</v>
      </c>
      <c r="B5985" s="166">
        <v>68.823858805916871</v>
      </c>
      <c r="D5985" s="39"/>
      <c r="E5985" s="39"/>
    </row>
    <row r="5986" spans="1:5" ht="15.6">
      <c r="A5986">
        <v>5931</v>
      </c>
      <c r="B5986" s="166">
        <v>81.166934833899759</v>
      </c>
      <c r="D5986" s="39"/>
      <c r="E5986" s="39"/>
    </row>
    <row r="5987" spans="1:5" ht="15.6">
      <c r="A5987">
        <v>5932</v>
      </c>
      <c r="B5987" s="166">
        <v>123.24318832762292</v>
      </c>
      <c r="D5987" s="39"/>
      <c r="E5987" s="39"/>
    </row>
    <row r="5988" spans="1:5" ht="15.6">
      <c r="A5988">
        <v>5933</v>
      </c>
      <c r="B5988" s="166">
        <v>104.04763510115431</v>
      </c>
      <c r="D5988" s="39"/>
      <c r="E5988" s="39"/>
    </row>
    <row r="5989" spans="1:5" ht="15.6">
      <c r="A5989">
        <v>5934</v>
      </c>
      <c r="B5989" s="166">
        <v>75.953531570194414</v>
      </c>
      <c r="D5989" s="39"/>
      <c r="E5989" s="39"/>
    </row>
    <row r="5990" spans="1:5" ht="15.6">
      <c r="A5990">
        <v>5935</v>
      </c>
      <c r="B5990" s="166">
        <v>137.5848367889397</v>
      </c>
      <c r="D5990" s="39"/>
      <c r="E5990" s="39"/>
    </row>
    <row r="5991" spans="1:5" ht="15.6">
      <c r="A5991">
        <v>5936</v>
      </c>
      <c r="B5991" s="166">
        <v>177.00899234105682</v>
      </c>
      <c r="D5991" s="39"/>
      <c r="E5991" s="39"/>
    </row>
    <row r="5992" spans="1:5" ht="15.6">
      <c r="A5992">
        <v>5937</v>
      </c>
      <c r="B5992" s="166">
        <v>49.075853826816854</v>
      </c>
      <c r="D5992" s="39"/>
      <c r="E5992" s="39"/>
    </row>
    <row r="5993" spans="1:5" ht="15.6">
      <c r="A5993">
        <v>5938</v>
      </c>
      <c r="B5993" s="166">
        <v>67.906409616596818</v>
      </c>
      <c r="D5993" s="39"/>
      <c r="E5993" s="39"/>
    </row>
    <row r="5994" spans="1:5" ht="15.6">
      <c r="A5994">
        <v>5939</v>
      </c>
      <c r="B5994" s="166">
        <v>114.12494825127862</v>
      </c>
      <c r="D5994" s="39"/>
      <c r="E5994" s="39"/>
    </row>
    <row r="5995" spans="1:5" ht="15.6">
      <c r="A5995">
        <v>5940</v>
      </c>
      <c r="B5995" s="166">
        <v>105.59395727485365</v>
      </c>
      <c r="D5995" s="39"/>
      <c r="E5995" s="39"/>
    </row>
    <row r="5996" spans="1:5" ht="15.6">
      <c r="A5996">
        <v>5941</v>
      </c>
      <c r="B5996" s="166">
        <v>115.00848542002497</v>
      </c>
      <c r="D5996" s="39"/>
      <c r="E5996" s="39"/>
    </row>
    <row r="5997" spans="1:5" ht="15.6">
      <c r="A5997">
        <v>5942</v>
      </c>
      <c r="B5997" s="166">
        <v>55.375747363053428</v>
      </c>
      <c r="D5997" s="39"/>
      <c r="E5997" s="39"/>
    </row>
    <row r="5998" spans="1:5" ht="15.6">
      <c r="A5998">
        <v>5943</v>
      </c>
      <c r="B5998" s="166">
        <v>69.258768854730405</v>
      </c>
      <c r="D5998" s="39"/>
      <c r="E5998" s="39"/>
    </row>
    <row r="5999" spans="1:5" ht="15.6">
      <c r="A5999">
        <v>5944</v>
      </c>
      <c r="B5999" s="166">
        <v>77.653045478620626</v>
      </c>
      <c r="D5999" s="39"/>
      <c r="E5999" s="39"/>
    </row>
    <row r="6000" spans="1:5" ht="15.6">
      <c r="A6000">
        <v>5945</v>
      </c>
      <c r="B6000" s="166">
        <v>128.69723472630679</v>
      </c>
      <c r="D6000" s="39"/>
      <c r="E6000" s="39"/>
    </row>
    <row r="6001" spans="1:5" ht="15.6">
      <c r="A6001">
        <v>5946</v>
      </c>
      <c r="B6001" s="166">
        <v>128.23621224930255</v>
      </c>
      <c r="D6001" s="39"/>
      <c r="E6001" s="39"/>
    </row>
    <row r="6002" spans="1:5" ht="15.6">
      <c r="A6002">
        <v>5947</v>
      </c>
      <c r="B6002" s="166">
        <v>180.35600515639103</v>
      </c>
      <c r="D6002" s="39"/>
      <c r="E6002" s="39"/>
    </row>
    <row r="6003" spans="1:5" ht="15.6">
      <c r="A6003">
        <v>5948</v>
      </c>
      <c r="B6003" s="166">
        <v>105.16832412829724</v>
      </c>
      <c r="D6003" s="39"/>
      <c r="E6003" s="39"/>
    </row>
    <row r="6004" spans="1:5" ht="15.6">
      <c r="A6004">
        <v>5949</v>
      </c>
      <c r="B6004" s="166">
        <v>164.04066071218401</v>
      </c>
      <c r="D6004" s="39"/>
      <c r="E6004" s="39"/>
    </row>
    <row r="6005" spans="1:5" ht="15.6">
      <c r="A6005">
        <v>5950</v>
      </c>
      <c r="B6005" s="166">
        <v>77.500522870618809</v>
      </c>
      <c r="D6005" s="39"/>
      <c r="E6005" s="39"/>
    </row>
    <row r="6006" spans="1:5" ht="15.6">
      <c r="A6006">
        <v>5951</v>
      </c>
      <c r="B6006" s="166">
        <v>122.65782215100755</v>
      </c>
      <c r="D6006" s="39"/>
      <c r="E6006" s="39"/>
    </row>
    <row r="6007" spans="1:5" ht="15.6">
      <c r="A6007">
        <v>5952</v>
      </c>
      <c r="B6007" s="166">
        <v>154.02071863031509</v>
      </c>
      <c r="D6007" s="39"/>
      <c r="E6007" s="39"/>
    </row>
    <row r="6008" spans="1:5" ht="15.6">
      <c r="A6008">
        <v>5953</v>
      </c>
      <c r="B6008" s="166">
        <v>64.834509095752907</v>
      </c>
      <c r="D6008" s="39"/>
      <c r="E6008" s="39"/>
    </row>
    <row r="6009" spans="1:5" ht="15.6">
      <c r="A6009">
        <v>5954</v>
      </c>
      <c r="B6009" s="166">
        <v>155.3254531982642</v>
      </c>
      <c r="D6009" s="39"/>
      <c r="E6009" s="39"/>
    </row>
    <row r="6010" spans="1:5" ht="15.6">
      <c r="A6010">
        <v>5955</v>
      </c>
      <c r="B6010" s="166">
        <v>112.77542202169684</v>
      </c>
      <c r="D6010" s="39"/>
      <c r="E6010" s="39"/>
    </row>
    <row r="6011" spans="1:5" ht="15.6">
      <c r="A6011">
        <v>5956</v>
      </c>
      <c r="B6011" s="166">
        <v>204.31181890595505</v>
      </c>
      <c r="D6011" s="39"/>
      <c r="E6011" s="39"/>
    </row>
    <row r="6012" spans="1:5" ht="15.6">
      <c r="A6012">
        <v>5957</v>
      </c>
      <c r="B6012" s="166">
        <v>81.841131913093975</v>
      </c>
      <c r="D6012" s="39"/>
      <c r="E6012" s="39"/>
    </row>
    <row r="6013" spans="1:5" ht="15.6">
      <c r="A6013">
        <v>5958</v>
      </c>
      <c r="B6013" s="166">
        <v>136.94417896103818</v>
      </c>
      <c r="D6013" s="39"/>
      <c r="E6013" s="39"/>
    </row>
    <row r="6014" spans="1:5" ht="15.6">
      <c r="A6014">
        <v>5959</v>
      </c>
      <c r="B6014" s="166">
        <v>63.056872719917685</v>
      </c>
      <c r="D6014" s="39"/>
      <c r="E6014" s="39"/>
    </row>
    <row r="6015" spans="1:5" ht="15.6">
      <c r="A6015">
        <v>5960</v>
      </c>
      <c r="B6015" s="166">
        <v>73.412496948190366</v>
      </c>
      <c r="D6015" s="39"/>
      <c r="E6015" s="39"/>
    </row>
    <row r="6016" spans="1:5" ht="15.6">
      <c r="A6016">
        <v>5961</v>
      </c>
      <c r="B6016" s="166">
        <v>83.345338205081163</v>
      </c>
      <c r="D6016" s="39"/>
      <c r="E6016" s="39"/>
    </row>
    <row r="6017" spans="1:5" ht="15.6">
      <c r="A6017">
        <v>5962</v>
      </c>
      <c r="B6017" s="166">
        <v>119.54494558555524</v>
      </c>
      <c r="D6017" s="39"/>
      <c r="E6017" s="39"/>
    </row>
    <row r="6018" spans="1:5" ht="15.6">
      <c r="A6018">
        <v>5963</v>
      </c>
      <c r="B6018" s="166">
        <v>162.27698845588466</v>
      </c>
      <c r="D6018" s="39"/>
      <c r="E6018" s="39"/>
    </row>
    <row r="6019" spans="1:5" ht="15.6">
      <c r="A6019">
        <v>5964</v>
      </c>
      <c r="B6019" s="166">
        <v>107.56261969697971</v>
      </c>
      <c r="D6019" s="39"/>
      <c r="E6019" s="39"/>
    </row>
    <row r="6020" spans="1:5" ht="15.6">
      <c r="A6020">
        <v>5965</v>
      </c>
      <c r="B6020" s="166">
        <v>73.477936127700872</v>
      </c>
      <c r="D6020" s="39"/>
      <c r="E6020" s="39"/>
    </row>
    <row r="6021" spans="1:5" ht="15.6">
      <c r="A6021">
        <v>5966</v>
      </c>
      <c r="B6021" s="166">
        <v>91.192334337964397</v>
      </c>
      <c r="D6021" s="39"/>
      <c r="E6021" s="39"/>
    </row>
    <row r="6022" spans="1:5" ht="15.6">
      <c r="A6022">
        <v>5967</v>
      </c>
      <c r="B6022" s="166">
        <v>104.17132400658477</v>
      </c>
      <c r="D6022" s="39"/>
      <c r="E6022" s="39"/>
    </row>
    <row r="6023" spans="1:5" ht="15.6">
      <c r="A6023">
        <v>5968</v>
      </c>
      <c r="B6023" s="166">
        <v>170.241075563762</v>
      </c>
      <c r="D6023" s="39"/>
      <c r="E6023" s="39"/>
    </row>
    <row r="6024" spans="1:5" ht="15.6">
      <c r="A6024">
        <v>5969</v>
      </c>
      <c r="B6024" s="166">
        <v>103.88008510276227</v>
      </c>
      <c r="D6024" s="39"/>
      <c r="E6024" s="39"/>
    </row>
    <row r="6025" spans="1:5" ht="15.6">
      <c r="A6025">
        <v>5970</v>
      </c>
      <c r="B6025" s="166">
        <v>129.8202997698688</v>
      </c>
      <c r="D6025" s="39"/>
      <c r="E6025" s="39"/>
    </row>
    <row r="6026" spans="1:5" ht="15.6">
      <c r="A6026">
        <v>5971</v>
      </c>
      <c r="B6026" s="166">
        <v>195.70301819913615</v>
      </c>
      <c r="D6026" s="39"/>
      <c r="E6026" s="39"/>
    </row>
    <row r="6027" spans="1:5" ht="15.6">
      <c r="A6027">
        <v>5972</v>
      </c>
      <c r="B6027" s="166">
        <v>64.511572985688872</v>
      </c>
      <c r="D6027" s="39"/>
      <c r="E6027" s="39"/>
    </row>
    <row r="6028" spans="1:5" ht="15.6">
      <c r="A6028">
        <v>5973</v>
      </c>
      <c r="B6028" s="166">
        <v>65.180240343445305</v>
      </c>
      <c r="D6028" s="39"/>
      <c r="E6028" s="39"/>
    </row>
    <row r="6029" spans="1:5" ht="15.6">
      <c r="A6029">
        <v>5974</v>
      </c>
      <c r="B6029" s="166">
        <v>48.677534115877314</v>
      </c>
      <c r="D6029" s="39"/>
      <c r="E6029" s="39"/>
    </row>
    <row r="6030" spans="1:5" ht="15.6">
      <c r="A6030">
        <v>5975</v>
      </c>
      <c r="B6030" s="166">
        <v>77.445066213319123</v>
      </c>
      <c r="D6030" s="39"/>
      <c r="E6030" s="39"/>
    </row>
    <row r="6031" spans="1:5" ht="15.6">
      <c r="A6031">
        <v>5976</v>
      </c>
      <c r="B6031" s="166">
        <v>77.823544314981945</v>
      </c>
      <c r="D6031" s="39"/>
      <c r="E6031" s="39"/>
    </row>
    <row r="6032" spans="1:5" ht="15.6">
      <c r="A6032">
        <v>5977</v>
      </c>
      <c r="B6032" s="166">
        <v>159.3486043320556</v>
      </c>
      <c r="D6032" s="39"/>
      <c r="E6032" s="39"/>
    </row>
    <row r="6033" spans="1:5" ht="15.6">
      <c r="A6033">
        <v>5978</v>
      </c>
      <c r="B6033" s="166">
        <v>60.965672128745609</v>
      </c>
      <c r="D6033" s="39"/>
      <c r="E6033" s="39"/>
    </row>
    <row r="6034" spans="1:5" ht="15.6">
      <c r="A6034">
        <v>5979</v>
      </c>
      <c r="B6034" s="166">
        <v>132.4968594833872</v>
      </c>
      <c r="D6034" s="39"/>
      <c r="E6034" s="39"/>
    </row>
    <row r="6035" spans="1:5" ht="15.6">
      <c r="A6035">
        <v>5980</v>
      </c>
      <c r="B6035" s="166">
        <v>94.773472762234917</v>
      </c>
      <c r="D6035" s="39"/>
      <c r="E6035" s="39"/>
    </row>
    <row r="6036" spans="1:5" ht="15.6">
      <c r="A6036">
        <v>5981</v>
      </c>
      <c r="B6036" s="166">
        <v>101.66196807036296</v>
      </c>
      <c r="D6036" s="39"/>
      <c r="E6036" s="39"/>
    </row>
    <row r="6037" spans="1:5" ht="15.6">
      <c r="A6037">
        <v>5982</v>
      </c>
      <c r="B6037" s="166">
        <v>89.799763533917883</v>
      </c>
      <c r="D6037" s="39"/>
      <c r="E6037" s="39"/>
    </row>
    <row r="6038" spans="1:5" ht="15.6">
      <c r="A6038">
        <v>5983</v>
      </c>
      <c r="B6038" s="166">
        <v>128.46111990967458</v>
      </c>
      <c r="D6038" s="39"/>
      <c r="E6038" s="39"/>
    </row>
    <row r="6039" spans="1:5" ht="15.6">
      <c r="A6039">
        <v>5984</v>
      </c>
      <c r="B6039" s="166">
        <v>69.770050494635555</v>
      </c>
      <c r="D6039" s="39"/>
      <c r="E6039" s="39"/>
    </row>
    <row r="6040" spans="1:5" ht="15.6">
      <c r="A6040">
        <v>5985</v>
      </c>
      <c r="B6040" s="166">
        <v>111.75170679391159</v>
      </c>
      <c r="D6040" s="39"/>
      <c r="E6040" s="39"/>
    </row>
    <row r="6041" spans="1:5" ht="15.6">
      <c r="A6041">
        <v>5986</v>
      </c>
      <c r="B6041" s="166">
        <v>144.50770265060598</v>
      </c>
      <c r="D6041" s="39"/>
      <c r="E6041" s="39"/>
    </row>
    <row r="6042" spans="1:5" ht="15.6">
      <c r="A6042">
        <v>5987</v>
      </c>
      <c r="B6042" s="166">
        <v>82.433253380530743</v>
      </c>
      <c r="D6042" s="39"/>
      <c r="E6042" s="39"/>
    </row>
    <row r="6043" spans="1:5" ht="15.6">
      <c r="A6043">
        <v>5988</v>
      </c>
      <c r="B6043" s="166">
        <v>172.09018921251169</v>
      </c>
      <c r="D6043" s="39"/>
      <c r="E6043" s="39"/>
    </row>
    <row r="6044" spans="1:5" ht="15.6">
      <c r="A6044">
        <v>5989</v>
      </c>
      <c r="B6044" s="166">
        <v>88.863839857008941</v>
      </c>
      <c r="D6044" s="39"/>
      <c r="E6044" s="39"/>
    </row>
    <row r="6045" spans="1:5" ht="15.6">
      <c r="A6045">
        <v>5990</v>
      </c>
      <c r="B6045" s="166">
        <v>207.37748189036597</v>
      </c>
      <c r="D6045" s="39"/>
      <c r="E6045" s="39"/>
    </row>
    <row r="6046" spans="1:5" ht="15.6">
      <c r="A6046">
        <v>5991</v>
      </c>
      <c r="B6046" s="166">
        <v>144.33256722010907</v>
      </c>
      <c r="D6046" s="39"/>
      <c r="E6046" s="39"/>
    </row>
    <row r="6047" spans="1:5" ht="15.6">
      <c r="A6047">
        <v>5992</v>
      </c>
      <c r="B6047" s="166">
        <v>174.28814899169194</v>
      </c>
      <c r="D6047" s="39"/>
      <c r="E6047" s="39"/>
    </row>
    <row r="6048" spans="1:5" ht="15.6">
      <c r="A6048">
        <v>5993</v>
      </c>
      <c r="B6048" s="166">
        <v>50.360166854856068</v>
      </c>
      <c r="D6048" s="39"/>
      <c r="E6048" s="39"/>
    </row>
    <row r="6049" spans="1:5" ht="15.6">
      <c r="A6049">
        <v>5994</v>
      </c>
      <c r="B6049" s="166">
        <v>97.07785760243604</v>
      </c>
      <c r="D6049" s="39"/>
      <c r="E6049" s="39"/>
    </row>
    <row r="6050" spans="1:5" ht="15.6">
      <c r="A6050">
        <v>5995</v>
      </c>
      <c r="B6050" s="166">
        <v>72.192258674924872</v>
      </c>
      <c r="D6050" s="39"/>
      <c r="E6050" s="39"/>
    </row>
    <row r="6051" spans="1:5" ht="15.6">
      <c r="A6051">
        <v>5996</v>
      </c>
      <c r="B6051" s="166">
        <v>115.47629377292179</v>
      </c>
      <c r="D6051" s="39"/>
      <c r="E6051" s="39"/>
    </row>
    <row r="6052" spans="1:5" ht="15.6">
      <c r="A6052">
        <v>5997</v>
      </c>
      <c r="B6052" s="166">
        <v>96.918177079805446</v>
      </c>
      <c r="D6052" s="39"/>
      <c r="E6052" s="39"/>
    </row>
    <row r="6053" spans="1:5" ht="15.6">
      <c r="A6053">
        <v>5998</v>
      </c>
      <c r="B6053" s="166">
        <v>114.40316765992742</v>
      </c>
      <c r="D6053" s="39"/>
      <c r="E6053" s="39"/>
    </row>
    <row r="6054" spans="1:5" ht="15.6">
      <c r="A6054">
        <v>5999</v>
      </c>
      <c r="B6054" s="166">
        <v>104.36642595631169</v>
      </c>
      <c r="D6054" s="39"/>
      <c r="E6054" s="39"/>
    </row>
    <row r="6055" spans="1:5" ht="15.6">
      <c r="A6055">
        <v>6000</v>
      </c>
      <c r="B6055" s="166">
        <v>135.25641649171629</v>
      </c>
      <c r="D6055" s="39"/>
      <c r="E6055" s="39"/>
    </row>
    <row r="6056" spans="1:5" ht="15.6">
      <c r="A6056">
        <v>6001</v>
      </c>
      <c r="B6056" s="166">
        <v>94.802996293669977</v>
      </c>
      <c r="D6056" s="39"/>
      <c r="E6056" s="39"/>
    </row>
    <row r="6057" spans="1:5" ht="15.6">
      <c r="A6057">
        <v>6002</v>
      </c>
      <c r="B6057" s="166">
        <v>201.99857268312854</v>
      </c>
      <c r="D6057" s="39"/>
      <c r="E6057" s="39"/>
    </row>
    <row r="6058" spans="1:5" ht="15.6">
      <c r="A6058">
        <v>6003</v>
      </c>
      <c r="B6058" s="166">
        <v>122.9561657490745</v>
      </c>
      <c r="D6058" s="39"/>
      <c r="E6058" s="39"/>
    </row>
    <row r="6059" spans="1:5" ht="15.6">
      <c r="A6059">
        <v>6004</v>
      </c>
      <c r="B6059" s="166">
        <v>78.147879168257148</v>
      </c>
      <c r="D6059" s="39"/>
      <c r="E6059" s="39"/>
    </row>
    <row r="6060" spans="1:5" ht="15.6">
      <c r="A6060">
        <v>6005</v>
      </c>
      <c r="B6060" s="166">
        <v>91.899009573216077</v>
      </c>
      <c r="D6060" s="39"/>
      <c r="E6060" s="39"/>
    </row>
    <row r="6061" spans="1:5" ht="15.6">
      <c r="A6061">
        <v>6006</v>
      </c>
      <c r="B6061" s="166">
        <v>163.80646458489059</v>
      </c>
      <c r="D6061" s="39"/>
      <c r="E6061" s="39"/>
    </row>
    <row r="6062" spans="1:5" ht="15.6">
      <c r="A6062">
        <v>6007</v>
      </c>
      <c r="B6062" s="166">
        <v>84.886023040009675</v>
      </c>
      <c r="D6062" s="39"/>
      <c r="E6062" s="39"/>
    </row>
    <row r="6063" spans="1:5" ht="15.6">
      <c r="A6063">
        <v>6008</v>
      </c>
      <c r="B6063" s="166">
        <v>53.332980338220715</v>
      </c>
      <c r="D6063" s="39"/>
      <c r="E6063" s="39"/>
    </row>
    <row r="6064" spans="1:5" ht="15.6">
      <c r="A6064">
        <v>6009</v>
      </c>
      <c r="B6064" s="166">
        <v>101.16825292003109</v>
      </c>
      <c r="D6064" s="39"/>
      <c r="E6064" s="39"/>
    </row>
    <row r="6065" spans="1:5" ht="15.6">
      <c r="A6065">
        <v>6010</v>
      </c>
      <c r="B6065" s="166">
        <v>101.47210222574607</v>
      </c>
      <c r="D6065" s="39"/>
      <c r="E6065" s="39"/>
    </row>
    <row r="6066" spans="1:5" ht="15.6">
      <c r="A6066">
        <v>6011</v>
      </c>
      <c r="B6066" s="166">
        <v>118.33941627544026</v>
      </c>
      <c r="D6066" s="39"/>
      <c r="E6066" s="39"/>
    </row>
    <row r="6067" spans="1:5" ht="15.6">
      <c r="A6067">
        <v>6012</v>
      </c>
      <c r="B6067" s="166">
        <v>153.86498347432575</v>
      </c>
      <c r="D6067" s="39"/>
      <c r="E6067" s="39"/>
    </row>
    <row r="6068" spans="1:5" ht="15.6">
      <c r="A6068">
        <v>6013</v>
      </c>
      <c r="B6068" s="166">
        <v>79.426254642001837</v>
      </c>
      <c r="D6068" s="39"/>
      <c r="E6068" s="39"/>
    </row>
    <row r="6069" spans="1:5" ht="15.6">
      <c r="A6069">
        <v>6014</v>
      </c>
      <c r="B6069" s="166">
        <v>168.26708812271048</v>
      </c>
      <c r="D6069" s="39"/>
      <c r="E6069" s="39"/>
    </row>
    <row r="6070" spans="1:5" ht="15.6">
      <c r="A6070">
        <v>6015</v>
      </c>
      <c r="B6070" s="166">
        <v>98.685289768598381</v>
      </c>
      <c r="D6070" s="39"/>
      <c r="E6070" s="39"/>
    </row>
    <row r="6071" spans="1:5" ht="15.6">
      <c r="A6071">
        <v>6016</v>
      </c>
      <c r="B6071" s="166">
        <v>87.63799320277829</v>
      </c>
      <c r="D6071" s="39"/>
      <c r="E6071" s="39"/>
    </row>
    <row r="6072" spans="1:5" ht="15.6">
      <c r="A6072">
        <v>6017</v>
      </c>
      <c r="B6072" s="166">
        <v>149.58545774361559</v>
      </c>
      <c r="D6072" s="39"/>
      <c r="E6072" s="39"/>
    </row>
    <row r="6073" spans="1:5" ht="15.6">
      <c r="A6073">
        <v>6018</v>
      </c>
      <c r="B6073" s="166">
        <v>120.16595677551679</v>
      </c>
      <c r="D6073" s="39"/>
      <c r="E6073" s="39"/>
    </row>
    <row r="6074" spans="1:5" ht="15.6">
      <c r="A6074">
        <v>6019</v>
      </c>
      <c r="B6074" s="166">
        <v>120.71452108187481</v>
      </c>
      <c r="D6074" s="39"/>
      <c r="E6074" s="39"/>
    </row>
    <row r="6075" spans="1:5" ht="15.6">
      <c r="A6075">
        <v>6020</v>
      </c>
      <c r="B6075" s="166">
        <v>109.5436935541575</v>
      </c>
      <c r="D6075" s="39"/>
      <c r="E6075" s="39"/>
    </row>
    <row r="6076" spans="1:5" ht="15.6">
      <c r="A6076">
        <v>6021</v>
      </c>
      <c r="B6076" s="166">
        <v>75.65817854317774</v>
      </c>
      <c r="D6076" s="39"/>
      <c r="E6076" s="39"/>
    </row>
    <row r="6077" spans="1:5" ht="15.6">
      <c r="A6077">
        <v>6022</v>
      </c>
      <c r="B6077" s="166">
        <v>132.81699058429854</v>
      </c>
      <c r="D6077" s="39"/>
      <c r="E6077" s="39"/>
    </row>
    <row r="6078" spans="1:5" ht="15.6">
      <c r="A6078">
        <v>6023</v>
      </c>
      <c r="B6078" s="166">
        <v>148.14591638331092</v>
      </c>
      <c r="D6078" s="39"/>
      <c r="E6078" s="39"/>
    </row>
    <row r="6079" spans="1:5" ht="15.6">
      <c r="A6079">
        <v>6024</v>
      </c>
      <c r="B6079" s="166">
        <v>135.31927563728198</v>
      </c>
      <c r="D6079" s="39"/>
      <c r="E6079" s="39"/>
    </row>
    <row r="6080" spans="1:5" ht="15.6">
      <c r="A6080">
        <v>6025</v>
      </c>
      <c r="B6080" s="166">
        <v>63.663957255218484</v>
      </c>
      <c r="D6080" s="39"/>
      <c r="E6080" s="39"/>
    </row>
    <row r="6081" spans="1:5" ht="15.6">
      <c r="A6081">
        <v>6026</v>
      </c>
      <c r="B6081" s="166">
        <v>134.12450782474681</v>
      </c>
      <c r="D6081" s="39"/>
      <c r="E6081" s="39"/>
    </row>
    <row r="6082" spans="1:5" ht="15.6">
      <c r="A6082">
        <v>6027</v>
      </c>
      <c r="B6082" s="166">
        <v>129.49068242967522</v>
      </c>
      <c r="D6082" s="39"/>
      <c r="E6082" s="39"/>
    </row>
    <row r="6083" spans="1:5" ht="15.6">
      <c r="A6083">
        <v>6028</v>
      </c>
      <c r="B6083" s="166">
        <v>54.450309609845931</v>
      </c>
      <c r="D6083" s="39"/>
      <c r="E6083" s="39"/>
    </row>
    <row r="6084" spans="1:5" ht="15.6">
      <c r="A6084">
        <v>6029</v>
      </c>
      <c r="B6084" s="166">
        <v>75.528202233095968</v>
      </c>
      <c r="D6084" s="39"/>
      <c r="E6084" s="39"/>
    </row>
    <row r="6085" spans="1:5" ht="15.6">
      <c r="A6085">
        <v>6030</v>
      </c>
      <c r="B6085" s="166">
        <v>152.11417423396895</v>
      </c>
      <c r="D6085" s="39"/>
      <c r="E6085" s="39"/>
    </row>
    <row r="6086" spans="1:5" ht="15.6">
      <c r="A6086">
        <v>6031</v>
      </c>
      <c r="B6086" s="166">
        <v>44.247977266154862</v>
      </c>
      <c r="D6086" s="39"/>
      <c r="E6086" s="39"/>
    </row>
    <row r="6087" spans="1:5" ht="15.6">
      <c r="A6087">
        <v>6032</v>
      </c>
      <c r="B6087" s="166">
        <v>68.810015169345689</v>
      </c>
      <c r="D6087" s="39"/>
      <c r="E6087" s="39"/>
    </row>
    <row r="6088" spans="1:5" ht="15.6">
      <c r="A6088">
        <v>6033</v>
      </c>
      <c r="B6088" s="166">
        <v>115.87990695483849</v>
      </c>
      <c r="D6088" s="39"/>
      <c r="E6088" s="39"/>
    </row>
    <row r="6089" spans="1:5" ht="15.6">
      <c r="A6089">
        <v>6034</v>
      </c>
      <c r="B6089" s="166">
        <v>127.82413225724878</v>
      </c>
      <c r="D6089" s="39"/>
      <c r="E6089" s="39"/>
    </row>
    <row r="6090" spans="1:5" ht="15.6">
      <c r="A6090">
        <v>6035</v>
      </c>
      <c r="B6090" s="166">
        <v>73.299168343589287</v>
      </c>
      <c r="D6090" s="39"/>
      <c r="E6090" s="39"/>
    </row>
    <row r="6091" spans="1:5" ht="15.6">
      <c r="A6091">
        <v>6036</v>
      </c>
      <c r="B6091" s="166">
        <v>80.450018352878217</v>
      </c>
      <c r="D6091" s="39"/>
      <c r="E6091" s="39"/>
    </row>
    <row r="6092" spans="1:5" ht="15.6">
      <c r="A6092">
        <v>6037</v>
      </c>
      <c r="B6092" s="166">
        <v>190.90387033324598</v>
      </c>
      <c r="D6092" s="39"/>
      <c r="E6092" s="39"/>
    </row>
    <row r="6093" spans="1:5" ht="15.6">
      <c r="A6093">
        <v>6038</v>
      </c>
      <c r="B6093" s="166">
        <v>101.60833886752367</v>
      </c>
      <c r="D6093" s="39"/>
      <c r="E6093" s="39"/>
    </row>
    <row r="6094" spans="1:5" ht="15.6">
      <c r="A6094">
        <v>6039</v>
      </c>
      <c r="B6094" s="166">
        <v>123.98934429978466</v>
      </c>
      <c r="D6094" s="39"/>
      <c r="E6094" s="39"/>
    </row>
    <row r="6095" spans="1:5" ht="15.6">
      <c r="A6095">
        <v>6040</v>
      </c>
      <c r="B6095" s="166">
        <v>69.161806887726513</v>
      </c>
      <c r="D6095" s="39"/>
      <c r="E6095" s="39"/>
    </row>
    <row r="6096" spans="1:5" ht="15.6">
      <c r="A6096">
        <v>6041</v>
      </c>
      <c r="B6096" s="166">
        <v>51.63372487278739</v>
      </c>
      <c r="D6096" s="39"/>
      <c r="E6096" s="39"/>
    </row>
    <row r="6097" spans="1:5" ht="15.6">
      <c r="A6097">
        <v>6042</v>
      </c>
      <c r="B6097" s="166">
        <v>89.011064625483726</v>
      </c>
      <c r="D6097" s="39"/>
      <c r="E6097" s="39"/>
    </row>
    <row r="6098" spans="1:5" ht="15.6">
      <c r="A6098">
        <v>6043</v>
      </c>
      <c r="B6098" s="166">
        <v>181.35255350019764</v>
      </c>
      <c r="D6098" s="39"/>
      <c r="E6098" s="39"/>
    </row>
    <row r="6099" spans="1:5" ht="15.6">
      <c r="A6099">
        <v>6044</v>
      </c>
      <c r="B6099" s="166">
        <v>93.3527753719831</v>
      </c>
      <c r="D6099" s="39"/>
      <c r="E6099" s="39"/>
    </row>
    <row r="6100" spans="1:5" ht="15.6">
      <c r="A6100">
        <v>6045</v>
      </c>
      <c r="B6100" s="166">
        <v>80.831415006070472</v>
      </c>
      <c r="D6100" s="39"/>
      <c r="E6100" s="39"/>
    </row>
    <row r="6101" spans="1:5" ht="15.6">
      <c r="A6101">
        <v>6046</v>
      </c>
      <c r="B6101" s="166">
        <v>97.467184230783417</v>
      </c>
      <c r="D6101" s="39"/>
      <c r="E6101" s="39"/>
    </row>
    <row r="6102" spans="1:5" ht="15.6">
      <c r="A6102">
        <v>6047</v>
      </c>
      <c r="B6102" s="166">
        <v>69.699338999023766</v>
      </c>
      <c r="D6102" s="39"/>
      <c r="E6102" s="39"/>
    </row>
    <row r="6103" spans="1:5" ht="15.6">
      <c r="A6103">
        <v>6048</v>
      </c>
      <c r="B6103" s="166">
        <v>100.11839258579205</v>
      </c>
      <c r="D6103" s="39"/>
      <c r="E6103" s="39"/>
    </row>
    <row r="6104" spans="1:5" ht="15.6">
      <c r="A6104">
        <v>6049</v>
      </c>
      <c r="B6104" s="166">
        <v>105.63160908927225</v>
      </c>
      <c r="D6104" s="39"/>
      <c r="E6104" s="39"/>
    </row>
    <row r="6105" spans="1:5" ht="15.6">
      <c r="A6105">
        <v>6050</v>
      </c>
      <c r="B6105" s="166">
        <v>330.56606821736187</v>
      </c>
      <c r="D6105" s="39"/>
      <c r="E6105" s="39"/>
    </row>
    <row r="6106" spans="1:5" ht="15.6">
      <c r="A6106">
        <v>6051</v>
      </c>
      <c r="B6106" s="166">
        <v>84.685733849833582</v>
      </c>
      <c r="D6106" s="39"/>
      <c r="E6106" s="39"/>
    </row>
    <row r="6107" spans="1:5" ht="15.6">
      <c r="A6107">
        <v>6052</v>
      </c>
      <c r="B6107" s="166">
        <v>65.671342779916245</v>
      </c>
      <c r="D6107" s="39"/>
      <c r="E6107" s="39"/>
    </row>
    <row r="6108" spans="1:5" ht="15.6">
      <c r="A6108">
        <v>6053</v>
      </c>
      <c r="B6108" s="166">
        <v>129.1935502692113</v>
      </c>
      <c r="D6108" s="39"/>
      <c r="E6108" s="39"/>
    </row>
    <row r="6109" spans="1:5" ht="15.6">
      <c r="A6109">
        <v>6054</v>
      </c>
      <c r="B6109" s="166">
        <v>103.67801058595003</v>
      </c>
      <c r="D6109" s="39"/>
      <c r="E6109" s="39"/>
    </row>
    <row r="6110" spans="1:5" ht="15.6">
      <c r="A6110">
        <v>6055</v>
      </c>
      <c r="B6110" s="166">
        <v>79.509557903824685</v>
      </c>
      <c r="D6110" s="39"/>
      <c r="E6110" s="39"/>
    </row>
    <row r="6111" spans="1:5" ht="15.6">
      <c r="A6111">
        <v>6056</v>
      </c>
      <c r="B6111" s="166">
        <v>76.947366759409732</v>
      </c>
      <c r="D6111" s="39"/>
      <c r="E6111" s="39"/>
    </row>
    <row r="6112" spans="1:5" ht="15.6">
      <c r="A6112">
        <v>6057</v>
      </c>
      <c r="B6112" s="166">
        <v>167.78225016966135</v>
      </c>
      <c r="D6112" s="39"/>
      <c r="E6112" s="39"/>
    </row>
    <row r="6113" spans="1:5" ht="15.6">
      <c r="A6113">
        <v>6058</v>
      </c>
      <c r="B6113" s="166">
        <v>82.906648235059436</v>
      </c>
      <c r="D6113" s="39"/>
      <c r="E6113" s="39"/>
    </row>
    <row r="6114" spans="1:5" ht="15.6">
      <c r="A6114">
        <v>6059</v>
      </c>
      <c r="B6114" s="166">
        <v>68.473023662637317</v>
      </c>
      <c r="D6114" s="39"/>
      <c r="E6114" s="39"/>
    </row>
    <row r="6115" spans="1:5" ht="15.6">
      <c r="A6115">
        <v>6060</v>
      </c>
      <c r="B6115" s="166">
        <v>110.9509337126543</v>
      </c>
      <c r="D6115" s="39"/>
      <c r="E6115" s="39"/>
    </row>
    <row r="6116" spans="1:5" ht="15.6">
      <c r="A6116">
        <v>6061</v>
      </c>
      <c r="B6116" s="166">
        <v>186.23877945377271</v>
      </c>
      <c r="D6116" s="39"/>
      <c r="E6116" s="39"/>
    </row>
    <row r="6117" spans="1:5" ht="15.6">
      <c r="A6117">
        <v>6062</v>
      </c>
      <c r="B6117" s="166">
        <v>163.66041181272161</v>
      </c>
      <c r="D6117" s="39"/>
      <c r="E6117" s="39"/>
    </row>
    <row r="6118" spans="1:5" ht="15.6">
      <c r="A6118">
        <v>6063</v>
      </c>
      <c r="B6118" s="166">
        <v>121.29861581779876</v>
      </c>
      <c r="D6118" s="39"/>
      <c r="E6118" s="39"/>
    </row>
    <row r="6119" spans="1:5" ht="15.6">
      <c r="A6119">
        <v>6064</v>
      </c>
      <c r="B6119" s="166">
        <v>80.692801608636003</v>
      </c>
      <c r="D6119" s="39"/>
      <c r="E6119" s="39"/>
    </row>
    <row r="6120" spans="1:5" ht="15.6">
      <c r="A6120">
        <v>6065</v>
      </c>
      <c r="B6120" s="166">
        <v>151.49664008013735</v>
      </c>
      <c r="D6120" s="39"/>
      <c r="E6120" s="39"/>
    </row>
    <row r="6121" spans="1:5" ht="15.6">
      <c r="A6121">
        <v>6066</v>
      </c>
      <c r="B6121" s="166">
        <v>116.86647297171957</v>
      </c>
      <c r="D6121" s="39"/>
      <c r="E6121" s="39"/>
    </row>
    <row r="6122" spans="1:5" ht="15.6">
      <c r="A6122">
        <v>6067</v>
      </c>
      <c r="B6122" s="166">
        <v>90.821791961863767</v>
      </c>
      <c r="D6122" s="39"/>
      <c r="E6122" s="39"/>
    </row>
    <row r="6123" spans="1:5" ht="15.6">
      <c r="A6123">
        <v>6068</v>
      </c>
      <c r="B6123" s="166">
        <v>101.00615957466542</v>
      </c>
      <c r="D6123" s="39"/>
      <c r="E6123" s="39"/>
    </row>
    <row r="6124" spans="1:5" ht="15.6">
      <c r="A6124">
        <v>6069</v>
      </c>
      <c r="B6124" s="166">
        <v>115.12117695142757</v>
      </c>
      <c r="D6124" s="39"/>
      <c r="E6124" s="39"/>
    </row>
    <row r="6125" spans="1:5" ht="15.6">
      <c r="A6125">
        <v>6070</v>
      </c>
      <c r="B6125" s="166">
        <v>78.899635711308363</v>
      </c>
      <c r="D6125" s="39"/>
      <c r="E6125" s="39"/>
    </row>
    <row r="6126" spans="1:5" ht="15.6">
      <c r="A6126">
        <v>6071</v>
      </c>
      <c r="B6126" s="166">
        <v>120.53365593924595</v>
      </c>
      <c r="D6126" s="39"/>
      <c r="E6126" s="39"/>
    </row>
    <row r="6127" spans="1:5" ht="15.6">
      <c r="A6127">
        <v>6072</v>
      </c>
      <c r="B6127" s="166">
        <v>104.51065050506645</v>
      </c>
      <c r="D6127" s="39"/>
      <c r="E6127" s="39"/>
    </row>
    <row r="6128" spans="1:5" ht="15.6">
      <c r="A6128">
        <v>6073</v>
      </c>
      <c r="B6128" s="166">
        <v>96.980644271566561</v>
      </c>
      <c r="D6128" s="39"/>
      <c r="E6128" s="39"/>
    </row>
    <row r="6129" spans="1:5" ht="15.6">
      <c r="A6129">
        <v>6074</v>
      </c>
      <c r="B6129" s="166">
        <v>171.54548840272724</v>
      </c>
      <c r="D6129" s="39"/>
      <c r="E6129" s="39"/>
    </row>
    <row r="6130" spans="1:5" ht="15.6">
      <c r="A6130">
        <v>6075</v>
      </c>
      <c r="B6130" s="166">
        <v>157.24788515529085</v>
      </c>
      <c r="D6130" s="39"/>
      <c r="E6130" s="39"/>
    </row>
    <row r="6131" spans="1:5" ht="15.6">
      <c r="A6131">
        <v>6076</v>
      </c>
      <c r="B6131" s="166">
        <v>123.89806425087544</v>
      </c>
      <c r="D6131" s="39"/>
      <c r="E6131" s="39"/>
    </row>
    <row r="6132" spans="1:5" ht="15.6">
      <c r="A6132">
        <v>6077</v>
      </c>
      <c r="B6132" s="166">
        <v>64.957068984416821</v>
      </c>
      <c r="D6132" s="39"/>
      <c r="E6132" s="39"/>
    </row>
    <row r="6133" spans="1:5" ht="15.6">
      <c r="A6133">
        <v>6078</v>
      </c>
      <c r="B6133" s="166">
        <v>146.35064460553656</v>
      </c>
      <c r="D6133" s="39"/>
      <c r="E6133" s="39"/>
    </row>
    <row r="6134" spans="1:5" ht="15.6">
      <c r="A6134">
        <v>6079</v>
      </c>
      <c r="B6134" s="166">
        <v>275.50989051085713</v>
      </c>
      <c r="D6134" s="39"/>
      <c r="E6134" s="39"/>
    </row>
    <row r="6135" spans="1:5" ht="15.6">
      <c r="A6135">
        <v>6080</v>
      </c>
      <c r="B6135" s="166">
        <v>134.86503348239924</v>
      </c>
      <c r="D6135" s="39"/>
      <c r="E6135" s="39"/>
    </row>
    <row r="6136" spans="1:5" ht="15.6">
      <c r="A6136">
        <v>6081</v>
      </c>
      <c r="B6136" s="166">
        <v>104.00727759823631</v>
      </c>
      <c r="D6136" s="39"/>
      <c r="E6136" s="39"/>
    </row>
    <row r="6137" spans="1:5" ht="15.6">
      <c r="A6137">
        <v>6082</v>
      </c>
      <c r="B6137" s="166">
        <v>182.88780353681304</v>
      </c>
      <c r="D6137" s="39"/>
      <c r="E6137" s="39"/>
    </row>
    <row r="6138" spans="1:5" ht="15.6">
      <c r="A6138">
        <v>6083</v>
      </c>
      <c r="B6138" s="166">
        <v>69.480875567553923</v>
      </c>
      <c r="D6138" s="39"/>
      <c r="E6138" s="39"/>
    </row>
    <row r="6139" spans="1:5" ht="15.6">
      <c r="A6139">
        <v>6084</v>
      </c>
      <c r="B6139" s="166">
        <v>119.6644124274659</v>
      </c>
      <c r="D6139" s="39"/>
      <c r="E6139" s="39"/>
    </row>
    <row r="6140" spans="1:5" ht="15.6">
      <c r="A6140">
        <v>6085</v>
      </c>
      <c r="B6140" s="166">
        <v>177.05393617051757</v>
      </c>
      <c r="D6140" s="39"/>
      <c r="E6140" s="39"/>
    </row>
    <row r="6141" spans="1:5" ht="15.6">
      <c r="A6141">
        <v>6086</v>
      </c>
      <c r="B6141" s="166">
        <v>108.17183382080437</v>
      </c>
      <c r="D6141" s="39"/>
      <c r="E6141" s="39"/>
    </row>
    <row r="6142" spans="1:5" ht="15.6">
      <c r="A6142">
        <v>6087</v>
      </c>
      <c r="B6142" s="166">
        <v>137.13369669307588</v>
      </c>
      <c r="D6142" s="39"/>
      <c r="E6142" s="39"/>
    </row>
    <row r="6143" spans="1:5" ht="15.6">
      <c r="A6143">
        <v>6088</v>
      </c>
      <c r="B6143" s="166">
        <v>78.635607767255181</v>
      </c>
      <c r="D6143" s="39"/>
      <c r="E6143" s="39"/>
    </row>
    <row r="6144" spans="1:5" ht="15.6">
      <c r="A6144">
        <v>6089</v>
      </c>
      <c r="B6144" s="166">
        <v>89.114343625864095</v>
      </c>
      <c r="D6144" s="39"/>
      <c r="E6144" s="39"/>
    </row>
    <row r="6145" spans="1:5" ht="15.6">
      <c r="A6145">
        <v>6090</v>
      </c>
      <c r="B6145" s="166">
        <v>143.08430323728982</v>
      </c>
      <c r="D6145" s="39"/>
      <c r="E6145" s="39"/>
    </row>
    <row r="6146" spans="1:5" ht="15.6">
      <c r="A6146">
        <v>6091</v>
      </c>
      <c r="B6146" s="166">
        <v>139.9483444756369</v>
      </c>
      <c r="D6146" s="39"/>
      <c r="E6146" s="39"/>
    </row>
    <row r="6147" spans="1:5" ht="15.6">
      <c r="A6147">
        <v>6092</v>
      </c>
      <c r="B6147" s="166">
        <v>102.69222301414523</v>
      </c>
      <c r="D6147" s="39"/>
      <c r="E6147" s="39"/>
    </row>
    <row r="6148" spans="1:5" ht="15.6">
      <c r="A6148">
        <v>6093</v>
      </c>
      <c r="B6148" s="166">
        <v>85.002766021475296</v>
      </c>
      <c r="D6148" s="39"/>
      <c r="E6148" s="39"/>
    </row>
    <row r="6149" spans="1:5" ht="15.6">
      <c r="A6149">
        <v>6094</v>
      </c>
      <c r="B6149" s="166">
        <v>75.97530962004042</v>
      </c>
      <c r="D6149" s="39"/>
      <c r="E6149" s="39"/>
    </row>
    <row r="6150" spans="1:5" ht="15.6">
      <c r="A6150">
        <v>6095</v>
      </c>
      <c r="B6150" s="166">
        <v>96.975066064908816</v>
      </c>
      <c r="D6150" s="39"/>
      <c r="E6150" s="39"/>
    </row>
    <row r="6151" spans="1:5" ht="15.6">
      <c r="A6151">
        <v>6096</v>
      </c>
      <c r="B6151" s="166">
        <v>162.31084330104707</v>
      </c>
      <c r="D6151" s="39"/>
      <c r="E6151" s="39"/>
    </row>
    <row r="6152" spans="1:5" ht="15.6">
      <c r="A6152">
        <v>6097</v>
      </c>
      <c r="B6152" s="166">
        <v>69.38388296699371</v>
      </c>
      <c r="D6152" s="39"/>
      <c r="E6152" s="39"/>
    </row>
    <row r="6153" spans="1:5" ht="15.6">
      <c r="A6153">
        <v>6098</v>
      </c>
      <c r="B6153" s="166">
        <v>156.79121096746798</v>
      </c>
      <c r="D6153" s="39"/>
      <c r="E6153" s="39"/>
    </row>
    <row r="6154" spans="1:5" ht="15.6">
      <c r="A6154">
        <v>6099</v>
      </c>
      <c r="B6154" s="166">
        <v>74.54924427531553</v>
      </c>
      <c r="D6154" s="39"/>
      <c r="E6154" s="39"/>
    </row>
    <row r="6155" spans="1:5" ht="15.6">
      <c r="A6155">
        <v>6100</v>
      </c>
      <c r="B6155" s="166">
        <v>93.037660980286304</v>
      </c>
      <c r="D6155" s="39"/>
      <c r="E6155" s="39"/>
    </row>
    <row r="6156" spans="1:5" ht="15.6">
      <c r="A6156">
        <v>6101</v>
      </c>
      <c r="B6156" s="166">
        <v>79.827367250484158</v>
      </c>
      <c r="D6156" s="39"/>
      <c r="E6156" s="39"/>
    </row>
    <row r="6157" spans="1:5" ht="15.6">
      <c r="A6157">
        <v>6102</v>
      </c>
      <c r="B6157" s="166">
        <v>111.30835470948172</v>
      </c>
      <c r="D6157" s="39"/>
      <c r="E6157" s="39"/>
    </row>
    <row r="6158" spans="1:5" ht="15.6">
      <c r="A6158">
        <v>6103</v>
      </c>
      <c r="B6158" s="166">
        <v>79.230339547403204</v>
      </c>
      <c r="D6158" s="39"/>
      <c r="E6158" s="39"/>
    </row>
    <row r="6159" spans="1:5" ht="15.6">
      <c r="A6159">
        <v>6104</v>
      </c>
      <c r="B6159" s="166">
        <v>103.51458437314476</v>
      </c>
      <c r="D6159" s="39"/>
      <c r="E6159" s="39"/>
    </row>
    <row r="6160" spans="1:5" ht="15.6">
      <c r="A6160">
        <v>6105</v>
      </c>
      <c r="B6160" s="166">
        <v>56.23266261677761</v>
      </c>
      <c r="D6160" s="39"/>
      <c r="E6160" s="39"/>
    </row>
    <row r="6161" spans="1:5" ht="15.6">
      <c r="A6161">
        <v>6106</v>
      </c>
      <c r="B6161" s="166">
        <v>88.586888360213223</v>
      </c>
      <c r="D6161" s="39"/>
      <c r="E6161" s="39"/>
    </row>
    <row r="6162" spans="1:5" ht="15.6">
      <c r="A6162">
        <v>6107</v>
      </c>
      <c r="B6162" s="166">
        <v>95.647532790688189</v>
      </c>
      <c r="D6162" s="39"/>
      <c r="E6162" s="39"/>
    </row>
    <row r="6163" spans="1:5" ht="15.6">
      <c r="A6163">
        <v>6108</v>
      </c>
      <c r="B6163" s="166">
        <v>94.80256980017667</v>
      </c>
      <c r="D6163" s="39"/>
      <c r="E6163" s="39"/>
    </row>
    <row r="6164" spans="1:5" ht="15.6">
      <c r="A6164">
        <v>6109</v>
      </c>
      <c r="B6164" s="166">
        <v>104.79282933741318</v>
      </c>
      <c r="D6164" s="39"/>
      <c r="E6164" s="39"/>
    </row>
    <row r="6165" spans="1:5" ht="15.6">
      <c r="A6165">
        <v>6110</v>
      </c>
      <c r="B6165" s="166">
        <v>76.421561616617026</v>
      </c>
      <c r="D6165" s="39"/>
      <c r="E6165" s="39"/>
    </row>
    <row r="6166" spans="1:5" ht="15.6">
      <c r="A6166">
        <v>6111</v>
      </c>
      <c r="B6166" s="166">
        <v>72.663799096148054</v>
      </c>
      <c r="D6166" s="39"/>
      <c r="E6166" s="39"/>
    </row>
    <row r="6167" spans="1:5" ht="15.6">
      <c r="A6167">
        <v>6112</v>
      </c>
      <c r="B6167" s="166">
        <v>117.42482742682357</v>
      </c>
      <c r="D6167" s="39"/>
      <c r="E6167" s="39"/>
    </row>
    <row r="6168" spans="1:5" ht="15.6">
      <c r="A6168">
        <v>6113</v>
      </c>
      <c r="B6168" s="166">
        <v>110.7501278044066</v>
      </c>
      <c r="D6168" s="39"/>
      <c r="E6168" s="39"/>
    </row>
    <row r="6169" spans="1:5" ht="15.6">
      <c r="A6169">
        <v>6114</v>
      </c>
      <c r="B6169" s="166">
        <v>66.705360026541115</v>
      </c>
      <c r="D6169" s="39"/>
      <c r="E6169" s="39"/>
    </row>
    <row r="6170" spans="1:5" ht="15.6">
      <c r="A6170">
        <v>6115</v>
      </c>
      <c r="B6170" s="166">
        <v>121.22224024206533</v>
      </c>
      <c r="D6170" s="39"/>
      <c r="E6170" s="39"/>
    </row>
    <row r="6171" spans="1:5" ht="15.6">
      <c r="A6171">
        <v>6116</v>
      </c>
      <c r="B6171" s="166">
        <v>79.591803693149203</v>
      </c>
      <c r="D6171" s="39"/>
      <c r="E6171" s="39"/>
    </row>
    <row r="6172" spans="1:5" ht="15.6">
      <c r="A6172">
        <v>6117</v>
      </c>
      <c r="B6172" s="166">
        <v>107.75030425592125</v>
      </c>
      <c r="D6172" s="39"/>
      <c r="E6172" s="39"/>
    </row>
    <row r="6173" spans="1:5" ht="15.6">
      <c r="A6173">
        <v>6118</v>
      </c>
      <c r="B6173" s="166">
        <v>90.510582261846466</v>
      </c>
      <c r="D6173" s="39"/>
      <c r="E6173" s="39"/>
    </row>
    <row r="6174" spans="1:5" ht="15.6">
      <c r="A6174">
        <v>6119</v>
      </c>
      <c r="B6174" s="166">
        <v>58.535657363980157</v>
      </c>
      <c r="D6174" s="39"/>
      <c r="E6174" s="39"/>
    </row>
    <row r="6175" spans="1:5" ht="15.6">
      <c r="A6175">
        <v>6120</v>
      </c>
      <c r="B6175" s="166">
        <v>110.00572420946726</v>
      </c>
      <c r="D6175" s="39"/>
      <c r="E6175" s="39"/>
    </row>
    <row r="6176" spans="1:5" ht="15.6">
      <c r="A6176">
        <v>6121</v>
      </c>
      <c r="B6176" s="166">
        <v>240.98632623188729</v>
      </c>
      <c r="D6176" s="39"/>
      <c r="E6176" s="39"/>
    </row>
    <row r="6177" spans="1:5" ht="15.6">
      <c r="A6177">
        <v>6122</v>
      </c>
      <c r="B6177" s="166">
        <v>114.58671602754775</v>
      </c>
      <c r="D6177" s="39"/>
      <c r="E6177" s="39"/>
    </row>
    <row r="6178" spans="1:5" ht="15.6">
      <c r="A6178">
        <v>6123</v>
      </c>
      <c r="B6178" s="166">
        <v>109.78565088857765</v>
      </c>
      <c r="D6178" s="39"/>
      <c r="E6178" s="39"/>
    </row>
    <row r="6179" spans="1:5" ht="15.6">
      <c r="A6179">
        <v>6124</v>
      </c>
      <c r="B6179" s="166">
        <v>94.711967771358516</v>
      </c>
      <c r="D6179" s="39"/>
      <c r="E6179" s="39"/>
    </row>
    <row r="6180" spans="1:5" ht="15.6">
      <c r="A6180">
        <v>6125</v>
      </c>
      <c r="B6180" s="166">
        <v>64.354823714913962</v>
      </c>
      <c r="D6180" s="39"/>
      <c r="E6180" s="39"/>
    </row>
    <row r="6181" spans="1:5" ht="15.6">
      <c r="A6181">
        <v>6126</v>
      </c>
      <c r="B6181" s="166">
        <v>207.4474017625102</v>
      </c>
      <c r="D6181" s="39"/>
      <c r="E6181" s="39"/>
    </row>
    <row r="6182" spans="1:5" ht="15.6">
      <c r="A6182">
        <v>6127</v>
      </c>
      <c r="B6182" s="166">
        <v>90.91210402014481</v>
      </c>
      <c r="D6182" s="39"/>
      <c r="E6182" s="39"/>
    </row>
    <row r="6183" spans="1:5" ht="15.6">
      <c r="A6183">
        <v>6128</v>
      </c>
      <c r="B6183" s="166">
        <v>89.265204671565826</v>
      </c>
      <c r="D6183" s="39"/>
      <c r="E6183" s="39"/>
    </row>
    <row r="6184" spans="1:5" ht="15.6">
      <c r="A6184">
        <v>6129</v>
      </c>
      <c r="B6184" s="166">
        <v>73.17521871654742</v>
      </c>
      <c r="D6184" s="39"/>
      <c r="E6184" s="39"/>
    </row>
    <row r="6185" spans="1:5" ht="15.6">
      <c r="A6185">
        <v>6130</v>
      </c>
      <c r="B6185" s="166">
        <v>138.53763708507631</v>
      </c>
      <c r="D6185" s="39"/>
      <c r="E6185" s="39"/>
    </row>
    <row r="6186" spans="1:5" ht="15.6">
      <c r="A6186">
        <v>6131</v>
      </c>
      <c r="B6186" s="166">
        <v>64.572709025677895</v>
      </c>
      <c r="D6186" s="39"/>
      <c r="E6186" s="39"/>
    </row>
    <row r="6187" spans="1:5" ht="15.6">
      <c r="A6187">
        <v>6132</v>
      </c>
      <c r="B6187" s="166">
        <v>161.21945110786683</v>
      </c>
      <c r="D6187" s="39"/>
      <c r="E6187" s="39"/>
    </row>
    <row r="6188" spans="1:5" ht="15.6">
      <c r="A6188">
        <v>6133</v>
      </c>
      <c r="B6188" s="166">
        <v>56.463980407567412</v>
      </c>
      <c r="D6188" s="39"/>
      <c r="E6188" s="39"/>
    </row>
    <row r="6189" spans="1:5" ht="15.6">
      <c r="A6189">
        <v>6134</v>
      </c>
      <c r="B6189" s="166">
        <v>108.35335267224873</v>
      </c>
      <c r="D6189" s="39"/>
      <c r="E6189" s="39"/>
    </row>
    <row r="6190" spans="1:5" ht="15.6">
      <c r="A6190">
        <v>6135</v>
      </c>
      <c r="B6190" s="166">
        <v>62.982611507779502</v>
      </c>
      <c r="D6190" s="39"/>
      <c r="E6190" s="39"/>
    </row>
    <row r="6191" spans="1:5" ht="15.6">
      <c r="A6191">
        <v>6136</v>
      </c>
      <c r="B6191" s="166">
        <v>188.64205647723884</v>
      </c>
      <c r="D6191" s="39"/>
      <c r="E6191" s="39"/>
    </row>
    <row r="6192" spans="1:5" ht="15.6">
      <c r="A6192">
        <v>6137</v>
      </c>
      <c r="B6192" s="166">
        <v>88.064622906367489</v>
      </c>
      <c r="D6192" s="39"/>
      <c r="E6192" s="39"/>
    </row>
    <row r="6193" spans="1:5" ht="15.6">
      <c r="A6193">
        <v>6138</v>
      </c>
      <c r="B6193" s="166">
        <v>118.42236779637102</v>
      </c>
      <c r="D6193" s="39"/>
      <c r="E6193" s="39"/>
    </row>
    <row r="6194" spans="1:5" ht="15.6">
      <c r="A6194">
        <v>6139</v>
      </c>
      <c r="B6194" s="166">
        <v>52.549564723570349</v>
      </c>
      <c r="D6194" s="39"/>
      <c r="E6194" s="39"/>
    </row>
    <row r="6195" spans="1:5" ht="15.6">
      <c r="A6195">
        <v>6140</v>
      </c>
      <c r="B6195" s="166">
        <v>158.11339647692316</v>
      </c>
      <c r="D6195" s="39"/>
      <c r="E6195" s="39"/>
    </row>
    <row r="6196" spans="1:5" ht="15.6">
      <c r="A6196">
        <v>6141</v>
      </c>
      <c r="B6196" s="166">
        <v>110.20834519196075</v>
      </c>
      <c r="D6196" s="39"/>
      <c r="E6196" s="39"/>
    </row>
    <row r="6197" spans="1:5" ht="15.6">
      <c r="A6197">
        <v>6142</v>
      </c>
      <c r="B6197" s="166">
        <v>120.919134012586</v>
      </c>
      <c r="D6197" s="39"/>
      <c r="E6197" s="39"/>
    </row>
    <row r="6198" spans="1:5" ht="15.6">
      <c r="A6198">
        <v>6143</v>
      </c>
      <c r="B6198" s="166">
        <v>209.45110516273499</v>
      </c>
      <c r="D6198" s="39"/>
      <c r="E6198" s="39"/>
    </row>
    <row r="6199" spans="1:5" ht="15.6">
      <c r="A6199">
        <v>6144</v>
      </c>
      <c r="B6199" s="166">
        <v>112.03236509372718</v>
      </c>
      <c r="D6199" s="39"/>
      <c r="E6199" s="39"/>
    </row>
    <row r="6200" spans="1:5" ht="15.6">
      <c r="A6200">
        <v>6145</v>
      </c>
      <c r="B6200" s="166">
        <v>89.389251913234745</v>
      </c>
      <c r="D6200" s="39"/>
      <c r="E6200" s="39"/>
    </row>
    <row r="6201" spans="1:5" ht="15.6">
      <c r="A6201">
        <v>6146</v>
      </c>
      <c r="B6201" s="166">
        <v>165.92232395837564</v>
      </c>
      <c r="D6201" s="39"/>
      <c r="E6201" s="39"/>
    </row>
    <row r="6202" spans="1:5" ht="15.6">
      <c r="A6202">
        <v>6147</v>
      </c>
      <c r="B6202" s="166">
        <v>91.077102862830245</v>
      </c>
      <c r="D6202" s="39"/>
      <c r="E6202" s="39"/>
    </row>
    <row r="6203" spans="1:5" ht="15.6">
      <c r="A6203">
        <v>6148</v>
      </c>
      <c r="B6203" s="166">
        <v>101.02226209970981</v>
      </c>
      <c r="D6203" s="39"/>
      <c r="E6203" s="39"/>
    </row>
    <row r="6204" spans="1:5" ht="15.6">
      <c r="A6204">
        <v>6149</v>
      </c>
      <c r="B6204" s="166">
        <v>99.819237790907877</v>
      </c>
      <c r="D6204" s="39"/>
      <c r="E6204" s="39"/>
    </row>
    <row r="6205" spans="1:5" ht="15.6">
      <c r="A6205">
        <v>6150</v>
      </c>
      <c r="B6205" s="166">
        <v>59.171747250799157</v>
      </c>
      <c r="D6205" s="39"/>
      <c r="E6205" s="39"/>
    </row>
    <row r="6206" spans="1:5" ht="15.6">
      <c r="A6206">
        <v>6151</v>
      </c>
      <c r="B6206" s="166">
        <v>116.90724507888901</v>
      </c>
      <c r="D6206" s="39"/>
      <c r="E6206" s="39"/>
    </row>
    <row r="6207" spans="1:5" ht="15.6">
      <c r="A6207">
        <v>6152</v>
      </c>
      <c r="B6207" s="166">
        <v>130.32333687258892</v>
      </c>
      <c r="D6207" s="39"/>
      <c r="E6207" s="39"/>
    </row>
    <row r="6208" spans="1:5" ht="15.6">
      <c r="A6208">
        <v>6153</v>
      </c>
      <c r="B6208" s="166">
        <v>64.377490494943316</v>
      </c>
      <c r="D6208" s="39"/>
      <c r="E6208" s="39"/>
    </row>
    <row r="6209" spans="1:5" ht="15.6">
      <c r="A6209">
        <v>6154</v>
      </c>
      <c r="B6209" s="166">
        <v>225.11394825130117</v>
      </c>
      <c r="D6209" s="39"/>
      <c r="E6209" s="39"/>
    </row>
    <row r="6210" spans="1:5" ht="15.6">
      <c r="A6210">
        <v>6155</v>
      </c>
      <c r="B6210" s="166">
        <v>135.16407624219494</v>
      </c>
      <c r="D6210" s="39"/>
      <c r="E6210" s="39"/>
    </row>
    <row r="6211" spans="1:5" ht="15.6">
      <c r="A6211">
        <v>6156</v>
      </c>
      <c r="B6211" s="166">
        <v>94.117446901806062</v>
      </c>
      <c r="D6211" s="39"/>
      <c r="E6211" s="39"/>
    </row>
    <row r="6212" spans="1:5" ht="15.6">
      <c r="A6212">
        <v>6157</v>
      </c>
      <c r="B6212" s="166">
        <v>67.748597158651634</v>
      </c>
      <c r="D6212" s="39"/>
      <c r="E6212" s="39"/>
    </row>
    <row r="6213" spans="1:5" ht="15.6">
      <c r="A6213">
        <v>6158</v>
      </c>
      <c r="B6213" s="166">
        <v>124.71580230565372</v>
      </c>
      <c r="D6213" s="39"/>
      <c r="E6213" s="39"/>
    </row>
    <row r="6214" spans="1:5" ht="15.6">
      <c r="A6214">
        <v>6159</v>
      </c>
      <c r="B6214" s="166">
        <v>113.54336206962692</v>
      </c>
      <c r="D6214" s="39"/>
      <c r="E6214" s="39"/>
    </row>
    <row r="6215" spans="1:5" ht="15.6">
      <c r="A6215">
        <v>6160</v>
      </c>
      <c r="B6215" s="166">
        <v>149.26714816690213</v>
      </c>
      <c r="D6215" s="39"/>
      <c r="E6215" s="39"/>
    </row>
    <row r="6216" spans="1:5" ht="15.6">
      <c r="A6216">
        <v>6161</v>
      </c>
      <c r="B6216" s="166">
        <v>102.28386980039792</v>
      </c>
      <c r="D6216" s="39"/>
      <c r="E6216" s="39"/>
    </row>
    <row r="6217" spans="1:5" ht="15.6">
      <c r="A6217">
        <v>6162</v>
      </c>
      <c r="B6217" s="166">
        <v>98.080238348789791</v>
      </c>
      <c r="D6217" s="39"/>
      <c r="E6217" s="39"/>
    </row>
    <row r="6218" spans="1:5" ht="15.6">
      <c r="A6218">
        <v>6163</v>
      </c>
      <c r="B6218" s="166">
        <v>115.24447514138792</v>
      </c>
      <c r="D6218" s="39"/>
      <c r="E6218" s="39"/>
    </row>
    <row r="6219" spans="1:5" ht="15.6">
      <c r="A6219">
        <v>6164</v>
      </c>
      <c r="B6219" s="166">
        <v>181.10065963819972</v>
      </c>
      <c r="D6219" s="39"/>
      <c r="E6219" s="39"/>
    </row>
    <row r="6220" spans="1:5" ht="15.6">
      <c r="A6220">
        <v>6165</v>
      </c>
      <c r="B6220" s="166">
        <v>145.19037354743068</v>
      </c>
      <c r="D6220" s="39"/>
      <c r="E6220" s="39"/>
    </row>
    <row r="6221" spans="1:5" ht="15.6">
      <c r="A6221">
        <v>6166</v>
      </c>
      <c r="B6221" s="166">
        <v>67.437053538677389</v>
      </c>
      <c r="D6221" s="39"/>
      <c r="E6221" s="39"/>
    </row>
    <row r="6222" spans="1:5" ht="15.6">
      <c r="A6222">
        <v>6167</v>
      </c>
      <c r="B6222" s="166">
        <v>78.897148975183597</v>
      </c>
      <c r="D6222" s="39"/>
      <c r="E6222" s="39"/>
    </row>
    <row r="6223" spans="1:5" ht="15.6">
      <c r="A6223">
        <v>6168</v>
      </c>
      <c r="B6223" s="166">
        <v>87.872019767862071</v>
      </c>
      <c r="D6223" s="39"/>
      <c r="E6223" s="39"/>
    </row>
    <row r="6224" spans="1:5" ht="15.6">
      <c r="A6224">
        <v>6169</v>
      </c>
      <c r="B6224" s="166">
        <v>99.843595026460164</v>
      </c>
      <c r="D6224" s="39"/>
      <c r="E6224" s="39"/>
    </row>
    <row r="6225" spans="1:5" ht="15.6">
      <c r="A6225">
        <v>6170</v>
      </c>
      <c r="B6225" s="166">
        <v>136.33741307099703</v>
      </c>
      <c r="D6225" s="39"/>
      <c r="E6225" s="39"/>
    </row>
    <row r="6226" spans="1:5" ht="15.6">
      <c r="A6226">
        <v>6171</v>
      </c>
      <c r="B6226" s="166">
        <v>118.66543271512781</v>
      </c>
      <c r="D6226" s="39"/>
      <c r="E6226" s="39"/>
    </row>
    <row r="6227" spans="1:5" ht="15.6">
      <c r="A6227">
        <v>6172</v>
      </c>
      <c r="B6227" s="166">
        <v>91.303204561584025</v>
      </c>
      <c r="D6227" s="39"/>
      <c r="E6227" s="39"/>
    </row>
    <row r="6228" spans="1:5" ht="15.6">
      <c r="A6228">
        <v>6173</v>
      </c>
      <c r="B6228" s="166">
        <v>73.029674460991018</v>
      </c>
      <c r="D6228" s="39"/>
      <c r="E6228" s="39"/>
    </row>
    <row r="6229" spans="1:5" ht="15.6">
      <c r="A6229">
        <v>6174</v>
      </c>
      <c r="B6229" s="166">
        <v>68.559419721184142</v>
      </c>
      <c r="D6229" s="39"/>
      <c r="E6229" s="39"/>
    </row>
    <row r="6230" spans="1:5" ht="15.6">
      <c r="A6230">
        <v>6175</v>
      </c>
      <c r="B6230" s="166">
        <v>53.850004697740204</v>
      </c>
      <c r="D6230" s="39"/>
      <c r="E6230" s="39"/>
    </row>
    <row r="6231" spans="1:5" ht="15.6">
      <c r="A6231">
        <v>6176</v>
      </c>
      <c r="B6231" s="166">
        <v>89.908949950202867</v>
      </c>
      <c r="D6231" s="39"/>
      <c r="E6231" s="39"/>
    </row>
    <row r="6232" spans="1:5" ht="15.6">
      <c r="A6232">
        <v>6177</v>
      </c>
      <c r="B6232" s="166">
        <v>128.2041992664295</v>
      </c>
      <c r="D6232" s="39"/>
      <c r="E6232" s="39"/>
    </row>
    <row r="6233" spans="1:5" ht="15.6">
      <c r="A6233">
        <v>6178</v>
      </c>
      <c r="B6233" s="166">
        <v>115.71094116018719</v>
      </c>
      <c r="D6233" s="39"/>
      <c r="E6233" s="39"/>
    </row>
    <row r="6234" spans="1:5" ht="15.6">
      <c r="A6234">
        <v>6179</v>
      </c>
      <c r="B6234" s="166">
        <v>75.981727870765738</v>
      </c>
      <c r="D6234" s="39"/>
      <c r="E6234" s="39"/>
    </row>
    <row r="6235" spans="1:5" ht="15.6">
      <c r="A6235">
        <v>6180</v>
      </c>
      <c r="B6235" s="166">
        <v>80.274461780137187</v>
      </c>
      <c r="D6235" s="39"/>
      <c r="E6235" s="39"/>
    </row>
    <row r="6236" spans="1:5" ht="15.6">
      <c r="A6236">
        <v>6181</v>
      </c>
      <c r="B6236" s="166">
        <v>116.78454738579548</v>
      </c>
      <c r="D6236" s="39"/>
      <c r="E6236" s="39"/>
    </row>
    <row r="6237" spans="1:5" ht="15.6">
      <c r="A6237">
        <v>6182</v>
      </c>
      <c r="B6237" s="166">
        <v>163.52590126792057</v>
      </c>
      <c r="D6237" s="39"/>
      <c r="E6237" s="39"/>
    </row>
    <row r="6238" spans="1:5" ht="15.6">
      <c r="A6238">
        <v>6183</v>
      </c>
      <c r="B6238" s="166">
        <v>155.23219220473672</v>
      </c>
      <c r="D6238" s="39"/>
      <c r="E6238" s="39"/>
    </row>
    <row r="6239" spans="1:5" ht="15.6">
      <c r="A6239">
        <v>6184</v>
      </c>
      <c r="B6239" s="166">
        <v>75.683604307655671</v>
      </c>
      <c r="D6239" s="39"/>
      <c r="E6239" s="39"/>
    </row>
    <row r="6240" spans="1:5" ht="15.6">
      <c r="A6240">
        <v>6185</v>
      </c>
      <c r="B6240" s="166">
        <v>69.36326533375815</v>
      </c>
      <c r="D6240" s="39"/>
      <c r="E6240" s="39"/>
    </row>
    <row r="6241" spans="1:5" ht="15.6">
      <c r="A6241">
        <v>6186</v>
      </c>
      <c r="B6241" s="166">
        <v>87.336419190502866</v>
      </c>
      <c r="D6241" s="39"/>
      <c r="E6241" s="39"/>
    </row>
    <row r="6242" spans="1:5" ht="15.6">
      <c r="A6242">
        <v>6187</v>
      </c>
      <c r="B6242" s="166">
        <v>91.194260458755224</v>
      </c>
      <c r="D6242" s="39"/>
      <c r="E6242" s="39"/>
    </row>
    <row r="6243" spans="1:5" ht="15.6">
      <c r="A6243">
        <v>6188</v>
      </c>
      <c r="B6243" s="166">
        <v>104.38962160445483</v>
      </c>
      <c r="D6243" s="39"/>
      <c r="E6243" s="39"/>
    </row>
    <row r="6244" spans="1:5" ht="15.6">
      <c r="A6244">
        <v>6189</v>
      </c>
      <c r="B6244" s="166">
        <v>112.78098825430644</v>
      </c>
      <c r="D6244" s="39"/>
      <c r="E6244" s="39"/>
    </row>
    <row r="6245" spans="1:5" ht="15.6">
      <c r="A6245">
        <v>6190</v>
      </c>
      <c r="B6245" s="166">
        <v>82.909384610222659</v>
      </c>
      <c r="D6245" s="39"/>
      <c r="E6245" s="39"/>
    </row>
    <row r="6246" spans="1:5" ht="15.6">
      <c r="A6246">
        <v>6191</v>
      </c>
      <c r="B6246" s="166">
        <v>71.839492335811357</v>
      </c>
      <c r="D6246" s="39"/>
      <c r="E6246" s="39"/>
    </row>
    <row r="6247" spans="1:5" ht="15.6">
      <c r="A6247">
        <v>6192</v>
      </c>
      <c r="B6247" s="166">
        <v>124.14008213413904</v>
      </c>
      <c r="D6247" s="39"/>
      <c r="E6247" s="39"/>
    </row>
    <row r="6248" spans="1:5" ht="15.6">
      <c r="A6248">
        <v>6193</v>
      </c>
      <c r="B6248" s="166">
        <v>62.183555483076852</v>
      </c>
      <c r="D6248" s="39"/>
      <c r="E6248" s="39"/>
    </row>
    <row r="6249" spans="1:5" ht="15.6">
      <c r="A6249">
        <v>6194</v>
      </c>
      <c r="B6249" s="166">
        <v>94.534684175291403</v>
      </c>
      <c r="D6249" s="39"/>
      <c r="E6249" s="39"/>
    </row>
    <row r="6250" spans="1:5" ht="15.6">
      <c r="A6250">
        <v>6195</v>
      </c>
      <c r="B6250" s="166">
        <v>106.38671197867374</v>
      </c>
      <c r="D6250" s="39"/>
      <c r="E6250" s="39"/>
    </row>
    <row r="6251" spans="1:5" ht="15.6">
      <c r="A6251">
        <v>6196</v>
      </c>
      <c r="B6251" s="166">
        <v>145.58502474733163</v>
      </c>
      <c r="D6251" s="39"/>
      <c r="E6251" s="39"/>
    </row>
    <row r="6252" spans="1:5" ht="15.6">
      <c r="A6252">
        <v>6197</v>
      </c>
      <c r="B6252" s="166">
        <v>86.651843815270198</v>
      </c>
      <c r="D6252" s="39"/>
      <c r="E6252" s="39"/>
    </row>
    <row r="6253" spans="1:5" ht="15.6">
      <c r="A6253">
        <v>6198</v>
      </c>
      <c r="B6253" s="166">
        <v>130.08135212713083</v>
      </c>
      <c r="D6253" s="39"/>
      <c r="E6253" s="39"/>
    </row>
    <row r="6254" spans="1:5" ht="15.6">
      <c r="A6254">
        <v>6199</v>
      </c>
      <c r="B6254" s="166">
        <v>39.792929852292666</v>
      </c>
      <c r="D6254" s="39"/>
      <c r="E6254" s="39"/>
    </row>
    <row r="6255" spans="1:5" ht="15.6">
      <c r="A6255">
        <v>6200</v>
      </c>
      <c r="B6255" s="166">
        <v>148.52441706878992</v>
      </c>
      <c r="D6255" s="39"/>
      <c r="E6255" s="39"/>
    </row>
    <row r="6256" spans="1:5" ht="15.6">
      <c r="A6256">
        <v>6201</v>
      </c>
      <c r="B6256" s="166">
        <v>61.876301280610221</v>
      </c>
      <c r="D6256" s="39"/>
      <c r="E6256" s="39"/>
    </row>
    <row r="6257" spans="1:5" ht="15.6">
      <c r="A6257">
        <v>6202</v>
      </c>
      <c r="B6257" s="166">
        <v>196.43714136284316</v>
      </c>
      <c r="D6257" s="39"/>
      <c r="E6257" s="39"/>
    </row>
    <row r="6258" spans="1:5" ht="15.6">
      <c r="A6258">
        <v>6203</v>
      </c>
      <c r="B6258" s="166">
        <v>115.17102309715412</v>
      </c>
      <c r="D6258" s="39"/>
      <c r="E6258" s="39"/>
    </row>
    <row r="6259" spans="1:5" ht="15.6">
      <c r="A6259">
        <v>6204</v>
      </c>
      <c r="B6259" s="166">
        <v>108.78592027192055</v>
      </c>
      <c r="D6259" s="39"/>
      <c r="E6259" s="39"/>
    </row>
    <row r="6260" spans="1:5" ht="15.6">
      <c r="A6260">
        <v>6205</v>
      </c>
      <c r="B6260" s="166">
        <v>81.084790266566785</v>
      </c>
      <c r="D6260" s="39"/>
      <c r="E6260" s="39"/>
    </row>
    <row r="6261" spans="1:5" ht="15.6">
      <c r="A6261">
        <v>6206</v>
      </c>
      <c r="B6261" s="166">
        <v>96.132387120131156</v>
      </c>
      <c r="D6261" s="39"/>
      <c r="E6261" s="39"/>
    </row>
    <row r="6262" spans="1:5" ht="15.6">
      <c r="A6262">
        <v>6207</v>
      </c>
      <c r="B6262" s="166">
        <v>87.361080415896424</v>
      </c>
      <c r="D6262" s="39"/>
      <c r="E6262" s="39"/>
    </row>
    <row r="6263" spans="1:5" ht="15.6">
      <c r="A6263">
        <v>6208</v>
      </c>
      <c r="B6263" s="166">
        <v>176.59342324824604</v>
      </c>
      <c r="D6263" s="39"/>
      <c r="E6263" s="39"/>
    </row>
    <row r="6264" spans="1:5" ht="15.6">
      <c r="A6264">
        <v>6209</v>
      </c>
      <c r="B6264" s="166">
        <v>169.69008447207895</v>
      </c>
      <c r="D6264" s="39"/>
      <c r="E6264" s="39"/>
    </row>
    <row r="6265" spans="1:5" ht="15.6">
      <c r="A6265">
        <v>6210</v>
      </c>
      <c r="B6265" s="166">
        <v>57.924705549728216</v>
      </c>
      <c r="D6265" s="39"/>
      <c r="E6265" s="39"/>
    </row>
    <row r="6266" spans="1:5" ht="15.6">
      <c r="A6266">
        <v>6211</v>
      </c>
      <c r="B6266" s="166">
        <v>134.13238876894391</v>
      </c>
      <c r="D6266" s="39"/>
      <c r="E6266" s="39"/>
    </row>
    <row r="6267" spans="1:5" ht="15.6">
      <c r="A6267">
        <v>6212</v>
      </c>
      <c r="B6267" s="166">
        <v>205.72208543305479</v>
      </c>
      <c r="D6267" s="39"/>
      <c r="E6267" s="39"/>
    </row>
    <row r="6268" spans="1:5" ht="15.6">
      <c r="A6268">
        <v>6213</v>
      </c>
      <c r="B6268" s="166">
        <v>296.49144316883536</v>
      </c>
      <c r="D6268" s="39"/>
      <c r="E6268" s="39"/>
    </row>
    <row r="6269" spans="1:5" ht="15.6">
      <c r="A6269">
        <v>6214</v>
      </c>
      <c r="B6269" s="166">
        <v>105.67659926139747</v>
      </c>
      <c r="D6269" s="39"/>
      <c r="E6269" s="39"/>
    </row>
    <row r="6270" spans="1:5" ht="15.6">
      <c r="A6270">
        <v>6215</v>
      </c>
      <c r="B6270" s="166">
        <v>58.467621733381264</v>
      </c>
      <c r="D6270" s="39"/>
      <c r="E6270" s="39"/>
    </row>
    <row r="6271" spans="1:5" ht="15.6">
      <c r="A6271">
        <v>6216</v>
      </c>
      <c r="B6271" s="166">
        <v>111.86964219186983</v>
      </c>
      <c r="D6271" s="39"/>
      <c r="E6271" s="39"/>
    </row>
    <row r="6272" spans="1:5" ht="15.6">
      <c r="A6272">
        <v>6217</v>
      </c>
      <c r="B6272" s="166">
        <v>97.470618378433343</v>
      </c>
      <c r="D6272" s="39"/>
      <c r="E6272" s="39"/>
    </row>
    <row r="6273" spans="1:5" ht="15.6">
      <c r="A6273">
        <v>6218</v>
      </c>
      <c r="B6273" s="166">
        <v>69.225974201056843</v>
      </c>
      <c r="D6273" s="39"/>
      <c r="E6273" s="39"/>
    </row>
    <row r="6274" spans="1:5" ht="15.6">
      <c r="A6274">
        <v>6219</v>
      </c>
      <c r="B6274" s="166">
        <v>82.517277885183759</v>
      </c>
      <c r="D6274" s="39"/>
      <c r="E6274" s="39"/>
    </row>
    <row r="6275" spans="1:5" ht="15.6">
      <c r="A6275">
        <v>6220</v>
      </c>
      <c r="B6275" s="166">
        <v>94.97898556564536</v>
      </c>
      <c r="D6275" s="39"/>
      <c r="E6275" s="39"/>
    </row>
    <row r="6276" spans="1:5" ht="15.6">
      <c r="A6276">
        <v>6221</v>
      </c>
      <c r="B6276" s="166">
        <v>102.97858701494825</v>
      </c>
      <c r="D6276" s="39"/>
      <c r="E6276" s="39"/>
    </row>
    <row r="6277" spans="1:5" ht="15.6">
      <c r="A6277">
        <v>6222</v>
      </c>
      <c r="B6277" s="166">
        <v>80.083685116870925</v>
      </c>
      <c r="D6277" s="39"/>
      <c r="E6277" s="39"/>
    </row>
    <row r="6278" spans="1:5" ht="15.6">
      <c r="A6278">
        <v>6223</v>
      </c>
      <c r="B6278" s="166">
        <v>71.238772769086708</v>
      </c>
      <c r="D6278" s="39"/>
      <c r="E6278" s="39"/>
    </row>
    <row r="6279" spans="1:5" ht="15.6">
      <c r="A6279">
        <v>6224</v>
      </c>
      <c r="B6279" s="166">
        <v>82.337624784390485</v>
      </c>
      <c r="D6279" s="39"/>
      <c r="E6279" s="39"/>
    </row>
    <row r="6280" spans="1:5" ht="15.6">
      <c r="A6280">
        <v>6225</v>
      </c>
      <c r="B6280" s="166">
        <v>134.06878332641836</v>
      </c>
      <c r="D6280" s="39"/>
      <c r="E6280" s="39"/>
    </row>
    <row r="6281" spans="1:5" ht="15.6">
      <c r="A6281">
        <v>6226</v>
      </c>
      <c r="B6281" s="166">
        <v>85.683225085798725</v>
      </c>
      <c r="D6281" s="39"/>
      <c r="E6281" s="39"/>
    </row>
    <row r="6282" spans="1:5" ht="15.6">
      <c r="A6282">
        <v>6227</v>
      </c>
      <c r="B6282" s="166">
        <v>117.10471880184329</v>
      </c>
      <c r="D6282" s="39"/>
      <c r="E6282" s="39"/>
    </row>
    <row r="6283" spans="1:5" ht="15.6">
      <c r="A6283">
        <v>6228</v>
      </c>
      <c r="B6283" s="166">
        <v>124.3461295229615</v>
      </c>
      <c r="D6283" s="39"/>
      <c r="E6283" s="39"/>
    </row>
    <row r="6284" spans="1:5" ht="15.6">
      <c r="A6284">
        <v>6229</v>
      </c>
      <c r="B6284" s="166">
        <v>95.825694213828726</v>
      </c>
      <c r="D6284" s="39"/>
      <c r="E6284" s="39"/>
    </row>
    <row r="6285" spans="1:5" ht="15.6">
      <c r="A6285">
        <v>6230</v>
      </c>
      <c r="B6285" s="166">
        <v>96.899941222479825</v>
      </c>
      <c r="D6285" s="39"/>
      <c r="E6285" s="39"/>
    </row>
    <row r="6286" spans="1:5" ht="15.6">
      <c r="A6286">
        <v>6231</v>
      </c>
      <c r="B6286" s="166">
        <v>125.14269951821674</v>
      </c>
      <c r="D6286" s="39"/>
      <c r="E6286" s="39"/>
    </row>
    <row r="6287" spans="1:5" ht="15.6">
      <c r="A6287">
        <v>6232</v>
      </c>
      <c r="B6287" s="166">
        <v>91.440940526435881</v>
      </c>
      <c r="D6287" s="39"/>
      <c r="E6287" s="39"/>
    </row>
    <row r="6288" spans="1:5" ht="15.6">
      <c r="A6288">
        <v>6233</v>
      </c>
      <c r="B6288" s="166">
        <v>112.24555531625596</v>
      </c>
      <c r="D6288" s="39"/>
      <c r="E6288" s="39"/>
    </row>
    <row r="6289" spans="1:5" ht="15.6">
      <c r="A6289">
        <v>6234</v>
      </c>
      <c r="B6289" s="166">
        <v>171.65971067671944</v>
      </c>
      <c r="D6289" s="39"/>
      <c r="E6289" s="39"/>
    </row>
    <row r="6290" spans="1:5" ht="15.6">
      <c r="A6290">
        <v>6235</v>
      </c>
      <c r="B6290" s="166">
        <v>147.87858109328971</v>
      </c>
      <c r="D6290" s="39"/>
      <c r="E6290" s="39"/>
    </row>
    <row r="6291" spans="1:5" ht="15.6">
      <c r="A6291">
        <v>6236</v>
      </c>
      <c r="B6291" s="166">
        <v>93.747498251245219</v>
      </c>
      <c r="D6291" s="39"/>
      <c r="E6291" s="39"/>
    </row>
    <row r="6292" spans="1:5" ht="15.6">
      <c r="A6292">
        <v>6237</v>
      </c>
      <c r="B6292" s="166">
        <v>139.82266473524044</v>
      </c>
      <c r="D6292" s="39"/>
      <c r="E6292" s="39"/>
    </row>
    <row r="6293" spans="1:5" ht="15.6">
      <c r="A6293">
        <v>6238</v>
      </c>
      <c r="B6293" s="166">
        <v>116.31901632641184</v>
      </c>
      <c r="D6293" s="39"/>
      <c r="E6293" s="39"/>
    </row>
    <row r="6294" spans="1:5" ht="15.6">
      <c r="A6294">
        <v>6239</v>
      </c>
      <c r="B6294" s="166">
        <v>132.54656800774168</v>
      </c>
      <c r="D6294" s="39"/>
      <c r="E6294" s="39"/>
    </row>
    <row r="6295" spans="1:5" ht="15.6">
      <c r="A6295">
        <v>6240</v>
      </c>
      <c r="B6295" s="166">
        <v>112.47926320663196</v>
      </c>
      <c r="D6295" s="39"/>
      <c r="E6295" s="39"/>
    </row>
    <row r="6296" spans="1:5" ht="15.6">
      <c r="A6296">
        <v>6241</v>
      </c>
      <c r="B6296" s="166">
        <v>107.34730179092125</v>
      </c>
      <c r="D6296" s="39"/>
      <c r="E6296" s="39"/>
    </row>
    <row r="6297" spans="1:5" ht="15.6">
      <c r="A6297">
        <v>6242</v>
      </c>
      <c r="B6297" s="166">
        <v>103.35774815617839</v>
      </c>
      <c r="D6297" s="39"/>
      <c r="E6297" s="39"/>
    </row>
    <row r="6298" spans="1:5" ht="15.6">
      <c r="A6298">
        <v>6243</v>
      </c>
      <c r="B6298" s="166">
        <v>133.39790561658552</v>
      </c>
      <c r="D6298" s="39"/>
      <c r="E6298" s="39"/>
    </row>
    <row r="6299" spans="1:5" ht="15.6">
      <c r="A6299">
        <v>6244</v>
      </c>
      <c r="B6299" s="166">
        <v>62.557726653150041</v>
      </c>
      <c r="D6299" s="39"/>
      <c r="E6299" s="39"/>
    </row>
    <row r="6300" spans="1:5" ht="15.6">
      <c r="A6300">
        <v>6245</v>
      </c>
      <c r="B6300" s="166">
        <v>79.167293899237208</v>
      </c>
      <c r="D6300" s="39"/>
      <c r="E6300" s="39"/>
    </row>
    <row r="6301" spans="1:5" ht="15.6">
      <c r="A6301">
        <v>6246</v>
      </c>
      <c r="B6301" s="166">
        <v>186.9927852490288</v>
      </c>
      <c r="D6301" s="39"/>
      <c r="E6301" s="39"/>
    </row>
    <row r="6302" spans="1:5" ht="15.6">
      <c r="A6302">
        <v>6247</v>
      </c>
      <c r="B6302" s="166">
        <v>102.22561053569871</v>
      </c>
      <c r="D6302" s="39"/>
      <c r="E6302" s="39"/>
    </row>
    <row r="6303" spans="1:5" ht="15.6">
      <c r="A6303">
        <v>6248</v>
      </c>
      <c r="B6303" s="166">
        <v>71.151614718213395</v>
      </c>
      <c r="D6303" s="39"/>
      <c r="E6303" s="39"/>
    </row>
    <row r="6304" spans="1:5" ht="15.6">
      <c r="A6304">
        <v>6249</v>
      </c>
      <c r="B6304" s="166">
        <v>117.65241342553391</v>
      </c>
      <c r="D6304" s="39"/>
      <c r="E6304" s="39"/>
    </row>
    <row r="6305" spans="1:5" ht="15.6">
      <c r="A6305">
        <v>6250</v>
      </c>
      <c r="B6305" s="166">
        <v>75.778599945330868</v>
      </c>
      <c r="D6305" s="39"/>
      <c r="E6305" s="39"/>
    </row>
    <row r="6306" spans="1:5" ht="15.6">
      <c r="A6306">
        <v>6251</v>
      </c>
      <c r="B6306" s="166">
        <v>125.401095221441</v>
      </c>
      <c r="D6306" s="39"/>
      <c r="E6306" s="39"/>
    </row>
    <row r="6307" spans="1:5" ht="15.6">
      <c r="A6307">
        <v>6252</v>
      </c>
      <c r="B6307" s="166">
        <v>91.702421597897953</v>
      </c>
      <c r="D6307" s="39"/>
      <c r="E6307" s="39"/>
    </row>
    <row r="6308" spans="1:5" ht="15.6">
      <c r="A6308">
        <v>6253</v>
      </c>
      <c r="B6308" s="166">
        <v>89.819461200970409</v>
      </c>
      <c r="D6308" s="39"/>
      <c r="E6308" s="39"/>
    </row>
    <row r="6309" spans="1:5" ht="15.6">
      <c r="A6309">
        <v>6254</v>
      </c>
      <c r="B6309" s="166">
        <v>114.45033771580493</v>
      </c>
      <c r="D6309" s="39"/>
      <c r="E6309" s="39"/>
    </row>
    <row r="6310" spans="1:5" ht="15.6">
      <c r="A6310">
        <v>6255</v>
      </c>
      <c r="B6310" s="166">
        <v>103.6693481684763</v>
      </c>
      <c r="D6310" s="39"/>
      <c r="E6310" s="39"/>
    </row>
    <row r="6311" spans="1:5" ht="15.6">
      <c r="A6311">
        <v>6256</v>
      </c>
      <c r="B6311" s="166">
        <v>105.00488315405585</v>
      </c>
      <c r="D6311" s="39"/>
      <c r="E6311" s="39"/>
    </row>
    <row r="6312" spans="1:5" ht="15.6">
      <c r="A6312">
        <v>6257</v>
      </c>
      <c r="B6312" s="166">
        <v>168.66717266817125</v>
      </c>
      <c r="D6312" s="39"/>
      <c r="E6312" s="39"/>
    </row>
    <row r="6313" spans="1:5" ht="15.6">
      <c r="A6313">
        <v>6258</v>
      </c>
      <c r="B6313" s="166">
        <v>126.24611656249587</v>
      </c>
      <c r="D6313" s="39"/>
      <c r="E6313" s="39"/>
    </row>
    <row r="6314" spans="1:5" ht="15.6">
      <c r="A6314">
        <v>6259</v>
      </c>
      <c r="B6314" s="166">
        <v>100.12149525688314</v>
      </c>
      <c r="D6314" s="39"/>
      <c r="E6314" s="39"/>
    </row>
    <row r="6315" spans="1:5" ht="15.6">
      <c r="A6315">
        <v>6260</v>
      </c>
      <c r="B6315" s="166">
        <v>98.471656089285446</v>
      </c>
      <c r="D6315" s="39"/>
      <c r="E6315" s="39"/>
    </row>
    <row r="6316" spans="1:5" ht="15.6">
      <c r="A6316">
        <v>6261</v>
      </c>
      <c r="B6316" s="166">
        <v>86.407862753893824</v>
      </c>
      <c r="D6316" s="39"/>
      <c r="E6316" s="39"/>
    </row>
    <row r="6317" spans="1:5" ht="15.6">
      <c r="A6317">
        <v>6262</v>
      </c>
      <c r="B6317" s="166">
        <v>162.05005490591961</v>
      </c>
      <c r="D6317" s="39"/>
      <c r="E6317" s="39"/>
    </row>
    <row r="6318" spans="1:5" ht="15.6">
      <c r="A6318">
        <v>6263</v>
      </c>
      <c r="B6318" s="166">
        <v>100.76459810121736</v>
      </c>
      <c r="D6318" s="39"/>
      <c r="E6318" s="39"/>
    </row>
    <row r="6319" spans="1:5" ht="15.6">
      <c r="A6319">
        <v>6264</v>
      </c>
      <c r="B6319" s="166">
        <v>84.441498776919218</v>
      </c>
      <c r="D6319" s="39"/>
      <c r="E6319" s="39"/>
    </row>
    <row r="6320" spans="1:5" ht="15.6">
      <c r="A6320">
        <v>6265</v>
      </c>
      <c r="B6320" s="166">
        <v>105.27658381200879</v>
      </c>
      <c r="D6320" s="39"/>
      <c r="E6320" s="39"/>
    </row>
    <row r="6321" spans="1:5" ht="15.6">
      <c r="A6321">
        <v>6266</v>
      </c>
      <c r="B6321" s="166">
        <v>68.97447942599544</v>
      </c>
      <c r="D6321" s="39"/>
      <c r="E6321" s="39"/>
    </row>
    <row r="6322" spans="1:5" ht="15.6">
      <c r="A6322">
        <v>6267</v>
      </c>
      <c r="B6322" s="166">
        <v>61.990416195149848</v>
      </c>
      <c r="D6322" s="39"/>
      <c r="E6322" s="39"/>
    </row>
    <row r="6323" spans="1:5" ht="15.6">
      <c r="A6323">
        <v>6268</v>
      </c>
      <c r="B6323" s="166">
        <v>72.366702305368591</v>
      </c>
      <c r="D6323" s="39"/>
      <c r="E6323" s="39"/>
    </row>
    <row r="6324" spans="1:5" ht="15.6">
      <c r="A6324">
        <v>6269</v>
      </c>
      <c r="B6324" s="166">
        <v>117.64210460704791</v>
      </c>
      <c r="D6324" s="39"/>
      <c r="E6324" s="39"/>
    </row>
    <row r="6325" spans="1:5" ht="15.6">
      <c r="A6325">
        <v>6270</v>
      </c>
      <c r="B6325" s="166">
        <v>93.266429325231812</v>
      </c>
      <c r="D6325" s="39"/>
      <c r="E6325" s="39"/>
    </row>
    <row r="6326" spans="1:5" ht="15.6">
      <c r="A6326">
        <v>6271</v>
      </c>
      <c r="B6326" s="166">
        <v>81.672327818397179</v>
      </c>
      <c r="D6326" s="39"/>
      <c r="E6326" s="39"/>
    </row>
    <row r="6327" spans="1:5" ht="15.6">
      <c r="A6327">
        <v>6272</v>
      </c>
      <c r="B6327" s="166">
        <v>122.0176177346997</v>
      </c>
      <c r="D6327" s="39"/>
      <c r="E6327" s="39"/>
    </row>
    <row r="6328" spans="1:5" ht="15.6">
      <c r="A6328">
        <v>6273</v>
      </c>
      <c r="B6328" s="166">
        <v>102.06409806054265</v>
      </c>
      <c r="D6328" s="39"/>
      <c r="E6328" s="39"/>
    </row>
    <row r="6329" spans="1:5" ht="15.6">
      <c r="A6329">
        <v>6274</v>
      </c>
      <c r="B6329" s="166">
        <v>132.98378876991436</v>
      </c>
      <c r="D6329" s="39"/>
      <c r="E6329" s="39"/>
    </row>
    <row r="6330" spans="1:5" ht="15.6">
      <c r="A6330">
        <v>6275</v>
      </c>
      <c r="B6330" s="166">
        <v>67.561616612204446</v>
      </c>
      <c r="D6330" s="39"/>
      <c r="E6330" s="39"/>
    </row>
    <row r="6331" spans="1:5" ht="15.6">
      <c r="A6331">
        <v>6276</v>
      </c>
      <c r="B6331" s="166">
        <v>79.373882790322142</v>
      </c>
      <c r="D6331" s="39"/>
      <c r="E6331" s="39"/>
    </row>
    <row r="6332" spans="1:5" ht="15.6">
      <c r="A6332">
        <v>6277</v>
      </c>
      <c r="B6332" s="166">
        <v>86.4393841550486</v>
      </c>
      <c r="D6332" s="39"/>
      <c r="E6332" s="39"/>
    </row>
    <row r="6333" spans="1:5" ht="15.6">
      <c r="A6333">
        <v>6278</v>
      </c>
      <c r="B6333" s="166">
        <v>205.96066932069417</v>
      </c>
      <c r="D6333" s="39"/>
      <c r="E6333" s="39"/>
    </row>
    <row r="6334" spans="1:5" ht="15.6">
      <c r="A6334">
        <v>6279</v>
      </c>
      <c r="B6334" s="166">
        <v>108.06628405349284</v>
      </c>
      <c r="D6334" s="39"/>
      <c r="E6334" s="39"/>
    </row>
    <row r="6335" spans="1:5" ht="15.6">
      <c r="A6335">
        <v>6280</v>
      </c>
      <c r="B6335" s="166">
        <v>93.593235040718142</v>
      </c>
      <c r="D6335" s="39"/>
      <c r="E6335" s="39"/>
    </row>
    <row r="6336" spans="1:5" ht="15.6">
      <c r="A6336">
        <v>6281</v>
      </c>
      <c r="B6336" s="166">
        <v>131.72627848092762</v>
      </c>
      <c r="D6336" s="39"/>
      <c r="E6336" s="39"/>
    </row>
    <row r="6337" spans="1:5" ht="15.6">
      <c r="A6337">
        <v>6282</v>
      </c>
      <c r="B6337" s="166">
        <v>100.68618601715197</v>
      </c>
      <c r="D6337" s="39"/>
      <c r="E6337" s="39"/>
    </row>
    <row r="6338" spans="1:5" ht="15.6">
      <c r="A6338">
        <v>6283</v>
      </c>
      <c r="B6338" s="166">
        <v>99.977365709899701</v>
      </c>
      <c r="D6338" s="39"/>
      <c r="E6338" s="39"/>
    </row>
    <row r="6339" spans="1:5" ht="15.6">
      <c r="A6339">
        <v>6284</v>
      </c>
      <c r="B6339" s="166">
        <v>144.69620755347111</v>
      </c>
      <c r="D6339" s="39"/>
      <c r="E6339" s="39"/>
    </row>
    <row r="6340" spans="1:5" ht="15.6">
      <c r="A6340">
        <v>6285</v>
      </c>
      <c r="B6340" s="166">
        <v>79.181961383864149</v>
      </c>
      <c r="D6340" s="39"/>
      <c r="E6340" s="39"/>
    </row>
    <row r="6341" spans="1:5" ht="15.6">
      <c r="A6341">
        <v>6286</v>
      </c>
      <c r="B6341" s="166">
        <v>93.620991332420914</v>
      </c>
      <c r="D6341" s="39"/>
      <c r="E6341" s="39"/>
    </row>
    <row r="6342" spans="1:5" ht="15.6">
      <c r="A6342">
        <v>6287</v>
      </c>
      <c r="B6342" s="166">
        <v>52.049644583956102</v>
      </c>
      <c r="D6342" s="39"/>
      <c r="E6342" s="39"/>
    </row>
    <row r="6343" spans="1:5" ht="15.6">
      <c r="A6343">
        <v>6288</v>
      </c>
      <c r="B6343" s="166">
        <v>72.698534708185178</v>
      </c>
      <c r="D6343" s="39"/>
      <c r="E6343" s="39"/>
    </row>
    <row r="6344" spans="1:5" ht="15.6">
      <c r="A6344">
        <v>6289</v>
      </c>
      <c r="B6344" s="166">
        <v>113.73524535694641</v>
      </c>
      <c r="D6344" s="39"/>
      <c r="E6344" s="39"/>
    </row>
    <row r="6345" spans="1:5" ht="15.6">
      <c r="A6345">
        <v>6290</v>
      </c>
      <c r="B6345" s="166">
        <v>214.22657844118066</v>
      </c>
      <c r="D6345" s="39"/>
      <c r="E6345" s="39"/>
    </row>
    <row r="6346" spans="1:5" ht="15.6">
      <c r="A6346">
        <v>6291</v>
      </c>
      <c r="B6346" s="166">
        <v>99.169485834297433</v>
      </c>
      <c r="D6346" s="39"/>
      <c r="E6346" s="39"/>
    </row>
    <row r="6347" spans="1:5" ht="15.6">
      <c r="A6347">
        <v>6292</v>
      </c>
      <c r="B6347" s="166">
        <v>165.79589162987889</v>
      </c>
      <c r="D6347" s="39"/>
      <c r="E6347" s="39"/>
    </row>
    <row r="6348" spans="1:5" ht="15.6">
      <c r="A6348">
        <v>6293</v>
      </c>
      <c r="B6348" s="166">
        <v>80.826785255214148</v>
      </c>
      <c r="D6348" s="39"/>
      <c r="E6348" s="39"/>
    </row>
    <row r="6349" spans="1:5" ht="15.6">
      <c r="A6349">
        <v>6294</v>
      </c>
      <c r="B6349" s="166">
        <v>150.20415067460621</v>
      </c>
      <c r="D6349" s="39"/>
      <c r="E6349" s="39"/>
    </row>
    <row r="6350" spans="1:5" ht="15.6">
      <c r="A6350">
        <v>6295</v>
      </c>
      <c r="B6350" s="166">
        <v>112.1451913423228</v>
      </c>
      <c r="D6350" s="39"/>
      <c r="E6350" s="39"/>
    </row>
    <row r="6351" spans="1:5" ht="15.6">
      <c r="A6351">
        <v>6296</v>
      </c>
      <c r="B6351" s="166">
        <v>125.32633302426149</v>
      </c>
      <c r="D6351" s="39"/>
      <c r="E6351" s="39"/>
    </row>
    <row r="6352" spans="1:5" ht="15.6">
      <c r="A6352">
        <v>6297</v>
      </c>
      <c r="B6352" s="166">
        <v>82.643765149200078</v>
      </c>
      <c r="D6352" s="39"/>
      <c r="E6352" s="39"/>
    </row>
    <row r="6353" spans="1:5" ht="15.6">
      <c r="A6353">
        <v>6298</v>
      </c>
      <c r="B6353" s="166">
        <v>84.335080697434506</v>
      </c>
      <c r="D6353" s="39"/>
      <c r="E6353" s="39"/>
    </row>
    <row r="6354" spans="1:5" ht="15.6">
      <c r="A6354">
        <v>6299</v>
      </c>
      <c r="B6354" s="166">
        <v>92.125994885396679</v>
      </c>
      <c r="D6354" s="39"/>
      <c r="E6354" s="39"/>
    </row>
    <row r="6355" spans="1:5" ht="15.6">
      <c r="A6355">
        <v>6300</v>
      </c>
      <c r="B6355" s="166">
        <v>121.83589026326705</v>
      </c>
      <c r="D6355" s="39"/>
      <c r="E6355" s="39"/>
    </row>
    <row r="6356" spans="1:5" ht="15.6">
      <c r="A6356">
        <v>6301</v>
      </c>
      <c r="B6356" s="166">
        <v>74.500660399836747</v>
      </c>
      <c r="D6356" s="39"/>
      <c r="E6356" s="39"/>
    </row>
    <row r="6357" spans="1:5" ht="15.6">
      <c r="A6357">
        <v>6302</v>
      </c>
      <c r="B6357" s="166">
        <v>132.45633955693214</v>
      </c>
      <c r="D6357" s="39"/>
      <c r="E6357" s="39"/>
    </row>
    <row r="6358" spans="1:5" ht="15.6">
      <c r="A6358">
        <v>6303</v>
      </c>
      <c r="B6358" s="166">
        <v>144.12260977227339</v>
      </c>
      <c r="D6358" s="39"/>
      <c r="E6358" s="39"/>
    </row>
    <row r="6359" spans="1:5" ht="15.6">
      <c r="A6359">
        <v>6304</v>
      </c>
      <c r="B6359" s="166">
        <v>140.3608731292361</v>
      </c>
      <c r="D6359" s="39"/>
      <c r="E6359" s="39"/>
    </row>
    <row r="6360" spans="1:5" ht="15.6">
      <c r="A6360">
        <v>6305</v>
      </c>
      <c r="B6360" s="166">
        <v>205.11795520251533</v>
      </c>
      <c r="D6360" s="39"/>
      <c r="E6360" s="39"/>
    </row>
    <row r="6361" spans="1:5" ht="15.6">
      <c r="A6361">
        <v>6306</v>
      </c>
      <c r="B6361" s="166">
        <v>179.21781415207317</v>
      </c>
      <c r="D6361" s="39"/>
      <c r="E6361" s="39"/>
    </row>
    <row r="6362" spans="1:5" ht="15.6">
      <c r="A6362">
        <v>6307</v>
      </c>
      <c r="B6362" s="166">
        <v>142.90443232072508</v>
      </c>
      <c r="D6362" s="39"/>
      <c r="E6362" s="39"/>
    </row>
    <row r="6363" spans="1:5" ht="15.6">
      <c r="A6363">
        <v>6308</v>
      </c>
      <c r="B6363" s="166">
        <v>93.440813921147623</v>
      </c>
      <c r="D6363" s="39"/>
      <c r="E6363" s="39"/>
    </row>
    <row r="6364" spans="1:5" ht="15.6">
      <c r="A6364">
        <v>6309</v>
      </c>
      <c r="B6364" s="166">
        <v>80.462029690684631</v>
      </c>
      <c r="D6364" s="39"/>
      <c r="E6364" s="39"/>
    </row>
    <row r="6365" spans="1:5" ht="15.6">
      <c r="A6365">
        <v>6310</v>
      </c>
      <c r="B6365" s="166">
        <v>72.343335019814447</v>
      </c>
      <c r="D6365" s="39"/>
      <c r="E6365" s="39"/>
    </row>
    <row r="6366" spans="1:5" ht="15.6">
      <c r="A6366">
        <v>6311</v>
      </c>
      <c r="B6366" s="166">
        <v>96.958626655322092</v>
      </c>
      <c r="D6366" s="39"/>
      <c r="E6366" s="39"/>
    </row>
    <row r="6367" spans="1:5" ht="15.6">
      <c r="A6367">
        <v>6312</v>
      </c>
      <c r="B6367" s="166">
        <v>146.22460950328951</v>
      </c>
      <c r="D6367" s="39"/>
      <c r="E6367" s="39"/>
    </row>
    <row r="6368" spans="1:5" ht="15.6">
      <c r="A6368">
        <v>6313</v>
      </c>
      <c r="B6368" s="166">
        <v>59.233776129917977</v>
      </c>
      <c r="D6368" s="39"/>
      <c r="E6368" s="39"/>
    </row>
    <row r="6369" spans="1:5" ht="15.6">
      <c r="A6369">
        <v>6314</v>
      </c>
      <c r="B6369" s="166">
        <v>191.47538431720514</v>
      </c>
      <c r="D6369" s="39"/>
      <c r="E6369" s="39"/>
    </row>
    <row r="6370" spans="1:5" ht="15.6">
      <c r="A6370">
        <v>6315</v>
      </c>
      <c r="B6370" s="166">
        <v>135.40423033679596</v>
      </c>
      <c r="D6370" s="39"/>
      <c r="E6370" s="39"/>
    </row>
    <row r="6371" spans="1:5" ht="15.6">
      <c r="A6371">
        <v>6316</v>
      </c>
      <c r="B6371" s="166">
        <v>154.50962585958365</v>
      </c>
      <c r="D6371" s="39"/>
      <c r="E6371" s="39"/>
    </row>
    <row r="6372" spans="1:5" ht="15.6">
      <c r="A6372">
        <v>6317</v>
      </c>
      <c r="B6372" s="166">
        <v>70.462652120290869</v>
      </c>
      <c r="D6372" s="39"/>
      <c r="E6372" s="39"/>
    </row>
    <row r="6373" spans="1:5" ht="15.6">
      <c r="A6373">
        <v>6318</v>
      </c>
      <c r="B6373" s="166">
        <v>101.07666933285562</v>
      </c>
      <c r="D6373" s="39"/>
      <c r="E6373" s="39"/>
    </row>
    <row r="6374" spans="1:5" ht="15.6">
      <c r="A6374">
        <v>6319</v>
      </c>
      <c r="B6374" s="166">
        <v>133.61606800364973</v>
      </c>
      <c r="D6374" s="39"/>
      <c r="E6374" s="39"/>
    </row>
    <row r="6375" spans="1:5" ht="15.6">
      <c r="A6375">
        <v>6320</v>
      </c>
      <c r="B6375" s="166">
        <v>106.3529077667722</v>
      </c>
      <c r="D6375" s="39"/>
      <c r="E6375" s="39"/>
    </row>
    <row r="6376" spans="1:5" ht="15.6">
      <c r="A6376">
        <v>6321</v>
      </c>
      <c r="B6376" s="166">
        <v>70.926340180059341</v>
      </c>
      <c r="D6376" s="39"/>
      <c r="E6376" s="39"/>
    </row>
    <row r="6377" spans="1:5" ht="15.6">
      <c r="A6377">
        <v>6322</v>
      </c>
      <c r="B6377" s="166">
        <v>142.74182529713619</v>
      </c>
      <c r="D6377" s="39"/>
      <c r="E6377" s="39"/>
    </row>
    <row r="6378" spans="1:5" ht="15.6">
      <c r="A6378">
        <v>6323</v>
      </c>
      <c r="B6378" s="166">
        <v>100.41202599613541</v>
      </c>
      <c r="D6378" s="39"/>
      <c r="E6378" s="39"/>
    </row>
    <row r="6379" spans="1:5" ht="15.6">
      <c r="A6379">
        <v>6324</v>
      </c>
      <c r="B6379" s="166">
        <v>129.4204174151437</v>
      </c>
      <c r="D6379" s="39"/>
      <c r="E6379" s="39"/>
    </row>
    <row r="6380" spans="1:5" ht="15.6">
      <c r="A6380">
        <v>6325</v>
      </c>
      <c r="B6380" s="166">
        <v>63.721113665676036</v>
      </c>
      <c r="D6380" s="39"/>
      <c r="E6380" s="39"/>
    </row>
    <row r="6381" spans="1:5" ht="15.6">
      <c r="A6381">
        <v>6326</v>
      </c>
      <c r="B6381" s="166">
        <v>61.994278318769894</v>
      </c>
      <c r="D6381" s="39"/>
      <c r="E6381" s="39"/>
    </row>
    <row r="6382" spans="1:5" ht="15.6">
      <c r="A6382">
        <v>6327</v>
      </c>
      <c r="B6382" s="166">
        <v>165.03916967053843</v>
      </c>
      <c r="D6382" s="39"/>
      <c r="E6382" s="39"/>
    </row>
    <row r="6383" spans="1:5" ht="15.6">
      <c r="A6383">
        <v>6328</v>
      </c>
      <c r="B6383" s="166">
        <v>161.29480963478704</v>
      </c>
      <c r="D6383" s="39"/>
      <c r="E6383" s="39"/>
    </row>
    <row r="6384" spans="1:5" ht="15.6">
      <c r="A6384">
        <v>6329</v>
      </c>
      <c r="B6384" s="166">
        <v>101.32152325276957</v>
      </c>
      <c r="D6384" s="39"/>
      <c r="E6384" s="39"/>
    </row>
    <row r="6385" spans="1:5" ht="15.6">
      <c r="A6385">
        <v>6330</v>
      </c>
      <c r="B6385" s="166">
        <v>138.72388722391025</v>
      </c>
      <c r="D6385" s="39"/>
      <c r="E6385" s="39"/>
    </row>
    <row r="6386" spans="1:5" ht="15.6">
      <c r="A6386">
        <v>6331</v>
      </c>
      <c r="B6386" s="166">
        <v>61.381619966102441</v>
      </c>
      <c r="D6386" s="39"/>
      <c r="E6386" s="39"/>
    </row>
    <row r="6387" spans="1:5" ht="15.6">
      <c r="A6387">
        <v>6332</v>
      </c>
      <c r="B6387" s="166">
        <v>172.50840044569978</v>
      </c>
      <c r="D6387" s="39"/>
      <c r="E6387" s="39"/>
    </row>
    <row r="6388" spans="1:5" ht="15.6">
      <c r="A6388">
        <v>6333</v>
      </c>
      <c r="B6388" s="166">
        <v>141.23306852646641</v>
      </c>
      <c r="D6388" s="39"/>
      <c r="E6388" s="39"/>
    </row>
    <row r="6389" spans="1:5" ht="15.6">
      <c r="A6389">
        <v>6334</v>
      </c>
      <c r="B6389" s="166">
        <v>89.960772508093115</v>
      </c>
      <c r="D6389" s="39"/>
      <c r="E6389" s="39"/>
    </row>
    <row r="6390" spans="1:5" ht="15.6">
      <c r="A6390">
        <v>6335</v>
      </c>
      <c r="B6390" s="166">
        <v>199.04403122437569</v>
      </c>
      <c r="D6390" s="39"/>
      <c r="E6390" s="39"/>
    </row>
    <row r="6391" spans="1:5" ht="15.6">
      <c r="A6391">
        <v>6336</v>
      </c>
      <c r="B6391" s="166">
        <v>197.15204853066729</v>
      </c>
      <c r="D6391" s="39"/>
      <c r="E6391" s="39"/>
    </row>
    <row r="6392" spans="1:5" ht="15.6">
      <c r="A6392">
        <v>6337</v>
      </c>
      <c r="B6392" s="166">
        <v>80.32307356520424</v>
      </c>
      <c r="D6392" s="39"/>
      <c r="E6392" s="39"/>
    </row>
    <row r="6393" spans="1:5" ht="15.6">
      <c r="A6393">
        <v>6338</v>
      </c>
      <c r="B6393" s="166">
        <v>74.920788688360844</v>
      </c>
      <c r="D6393" s="39"/>
      <c r="E6393" s="39"/>
    </row>
    <row r="6394" spans="1:5" ht="15.6">
      <c r="A6394">
        <v>6339</v>
      </c>
      <c r="B6394" s="166">
        <v>143.1602252941218</v>
      </c>
      <c r="D6394" s="39"/>
      <c r="E6394" s="39"/>
    </row>
    <row r="6395" spans="1:5" ht="15.6">
      <c r="A6395">
        <v>6340</v>
      </c>
      <c r="B6395" s="166">
        <v>118.43024551335994</v>
      </c>
      <c r="D6395" s="39"/>
      <c r="E6395" s="39"/>
    </row>
    <row r="6396" spans="1:5" ht="15.6">
      <c r="A6396">
        <v>6341</v>
      </c>
      <c r="B6396" s="166">
        <v>78.101417980001941</v>
      </c>
      <c r="D6396" s="39"/>
      <c r="E6396" s="39"/>
    </row>
    <row r="6397" spans="1:5" ht="15.6">
      <c r="A6397">
        <v>6342</v>
      </c>
      <c r="B6397" s="166">
        <v>88.728380332465079</v>
      </c>
      <c r="D6397" s="39"/>
      <c r="E6397" s="39"/>
    </row>
    <row r="6398" spans="1:5" ht="15.6">
      <c r="A6398">
        <v>6343</v>
      </c>
      <c r="B6398" s="166">
        <v>85.683025650659374</v>
      </c>
      <c r="D6398" s="39"/>
      <c r="E6398" s="39"/>
    </row>
    <row r="6399" spans="1:5" ht="15.6">
      <c r="A6399">
        <v>6344</v>
      </c>
      <c r="B6399" s="166">
        <v>232.46022476846878</v>
      </c>
      <c r="D6399" s="39"/>
      <c r="E6399" s="39"/>
    </row>
    <row r="6400" spans="1:5" ht="15.6">
      <c r="A6400">
        <v>6345</v>
      </c>
      <c r="B6400" s="166">
        <v>95.007338153001101</v>
      </c>
      <c r="D6400" s="39"/>
      <c r="E6400" s="39"/>
    </row>
    <row r="6401" spans="1:5" ht="15.6">
      <c r="A6401">
        <v>6346</v>
      </c>
      <c r="B6401" s="166">
        <v>87.966588321488388</v>
      </c>
      <c r="D6401" s="39"/>
      <c r="E6401" s="39"/>
    </row>
    <row r="6402" spans="1:5" ht="15.6">
      <c r="A6402">
        <v>6347</v>
      </c>
      <c r="B6402" s="166">
        <v>76.109000535622741</v>
      </c>
      <c r="D6402" s="39"/>
      <c r="E6402" s="39"/>
    </row>
    <row r="6403" spans="1:5" ht="15.6">
      <c r="A6403">
        <v>6348</v>
      </c>
      <c r="B6403" s="166">
        <v>73.566340299518203</v>
      </c>
      <c r="D6403" s="39"/>
      <c r="E6403" s="39"/>
    </row>
    <row r="6404" spans="1:5" ht="15.6">
      <c r="A6404">
        <v>6349</v>
      </c>
      <c r="B6404" s="166">
        <v>60.75062527662859</v>
      </c>
      <c r="D6404" s="39"/>
      <c r="E6404" s="39"/>
    </row>
    <row r="6405" spans="1:5" ht="15.6">
      <c r="A6405">
        <v>6350</v>
      </c>
      <c r="B6405" s="166">
        <v>94.434323104862258</v>
      </c>
      <c r="D6405" s="39"/>
      <c r="E6405" s="39"/>
    </row>
    <row r="6406" spans="1:5" ht="15.6">
      <c r="A6406">
        <v>6351</v>
      </c>
      <c r="B6406" s="166">
        <v>81.788028266452443</v>
      </c>
      <c r="D6406" s="39"/>
      <c r="E6406" s="39"/>
    </row>
    <row r="6407" spans="1:5" ht="15.6">
      <c r="A6407">
        <v>6352</v>
      </c>
      <c r="B6407" s="166">
        <v>93.170140744275841</v>
      </c>
      <c r="D6407" s="39"/>
      <c r="E6407" s="39"/>
    </row>
    <row r="6408" spans="1:5" ht="15.6">
      <c r="A6408">
        <v>6353</v>
      </c>
      <c r="B6408" s="166">
        <v>86.948167513628775</v>
      </c>
      <c r="D6408" s="39"/>
      <c r="E6408" s="39"/>
    </row>
    <row r="6409" spans="1:5" ht="15.6">
      <c r="A6409">
        <v>6354</v>
      </c>
      <c r="B6409" s="166">
        <v>84.29613495727672</v>
      </c>
      <c r="D6409" s="39"/>
      <c r="E6409" s="39"/>
    </row>
    <row r="6410" spans="1:5" ht="15.6">
      <c r="A6410">
        <v>6355</v>
      </c>
      <c r="B6410" s="166">
        <v>124.61903147885803</v>
      </c>
      <c r="D6410" s="39"/>
      <c r="E6410" s="39"/>
    </row>
    <row r="6411" spans="1:5" ht="15.6">
      <c r="A6411">
        <v>6356</v>
      </c>
      <c r="B6411" s="166">
        <v>140.31873021741575</v>
      </c>
      <c r="D6411" s="39"/>
      <c r="E6411" s="39"/>
    </row>
    <row r="6412" spans="1:5" ht="15.6">
      <c r="A6412">
        <v>6357</v>
      </c>
      <c r="B6412" s="166">
        <v>101.92546242853261</v>
      </c>
      <c r="D6412" s="39"/>
      <c r="E6412" s="39"/>
    </row>
    <row r="6413" spans="1:5" ht="15.6">
      <c r="A6413">
        <v>6358</v>
      </c>
      <c r="B6413" s="166">
        <v>207.81214360247083</v>
      </c>
      <c r="D6413" s="39"/>
      <c r="E6413" s="39"/>
    </row>
    <row r="6414" spans="1:5" ht="15.6">
      <c r="A6414">
        <v>6359</v>
      </c>
      <c r="B6414" s="166">
        <v>110.13745408159704</v>
      </c>
      <c r="D6414" s="39"/>
      <c r="E6414" s="39"/>
    </row>
    <row r="6415" spans="1:5" ht="15.6">
      <c r="A6415">
        <v>6360</v>
      </c>
      <c r="B6415" s="166">
        <v>88.121352862393806</v>
      </c>
      <c r="D6415" s="39"/>
      <c r="E6415" s="39"/>
    </row>
    <row r="6416" spans="1:5" ht="15.6">
      <c r="A6416">
        <v>6361</v>
      </c>
      <c r="B6416" s="166">
        <v>72.547584813651142</v>
      </c>
      <c r="D6416" s="39"/>
      <c r="E6416" s="39"/>
    </row>
    <row r="6417" spans="1:5" ht="15.6">
      <c r="A6417">
        <v>6362</v>
      </c>
      <c r="B6417" s="166">
        <v>93.485841357644006</v>
      </c>
      <c r="D6417" s="39"/>
      <c r="E6417" s="39"/>
    </row>
    <row r="6418" spans="1:5" ht="15.6">
      <c r="A6418">
        <v>6363</v>
      </c>
      <c r="B6418" s="166">
        <v>78.73768640512229</v>
      </c>
      <c r="D6418" s="39"/>
      <c r="E6418" s="39"/>
    </row>
    <row r="6419" spans="1:5" ht="15.6">
      <c r="A6419">
        <v>6364</v>
      </c>
      <c r="B6419" s="166">
        <v>97.030445556353257</v>
      </c>
      <c r="D6419" s="39"/>
      <c r="E6419" s="39"/>
    </row>
    <row r="6420" spans="1:5" ht="15.6">
      <c r="A6420">
        <v>6365</v>
      </c>
      <c r="B6420" s="166">
        <v>71.296045779090505</v>
      </c>
      <c r="D6420" s="39"/>
      <c r="E6420" s="39"/>
    </row>
    <row r="6421" spans="1:5" ht="15.6">
      <c r="A6421">
        <v>6366</v>
      </c>
      <c r="B6421" s="166">
        <v>92.801757049016558</v>
      </c>
      <c r="D6421" s="39"/>
      <c r="E6421" s="39"/>
    </row>
    <row r="6422" spans="1:5" ht="15.6">
      <c r="A6422">
        <v>6367</v>
      </c>
      <c r="B6422" s="166">
        <v>61.81877290243655</v>
      </c>
      <c r="D6422" s="39"/>
      <c r="E6422" s="39"/>
    </row>
    <row r="6423" spans="1:5" ht="15.6">
      <c r="A6423">
        <v>6368</v>
      </c>
      <c r="B6423" s="166">
        <v>60.703959762739458</v>
      </c>
      <c r="D6423" s="39"/>
      <c r="E6423" s="39"/>
    </row>
    <row r="6424" spans="1:5" ht="15.6">
      <c r="A6424">
        <v>6369</v>
      </c>
      <c r="B6424" s="166">
        <v>164.08319359226613</v>
      </c>
      <c r="D6424" s="39"/>
      <c r="E6424" s="39"/>
    </row>
    <row r="6425" spans="1:5" ht="15.6">
      <c r="A6425">
        <v>6370</v>
      </c>
      <c r="B6425" s="166">
        <v>91.524879739194404</v>
      </c>
      <c r="D6425" s="39"/>
      <c r="E6425" s="39"/>
    </row>
    <row r="6426" spans="1:5" ht="15.6">
      <c r="A6426">
        <v>6371</v>
      </c>
      <c r="B6426" s="166">
        <v>123.07726953062733</v>
      </c>
      <c r="D6426" s="39"/>
      <c r="E6426" s="39"/>
    </row>
    <row r="6427" spans="1:5" ht="15.6">
      <c r="A6427">
        <v>6372</v>
      </c>
      <c r="B6427" s="166">
        <v>136.54942767642962</v>
      </c>
      <c r="D6427" s="39"/>
      <c r="E6427" s="39"/>
    </row>
    <row r="6428" spans="1:5" ht="15.6">
      <c r="A6428">
        <v>6373</v>
      </c>
      <c r="B6428" s="166">
        <v>79.575291920854482</v>
      </c>
      <c r="D6428" s="39"/>
      <c r="E6428" s="39"/>
    </row>
    <row r="6429" spans="1:5" ht="15.6">
      <c r="A6429">
        <v>6374</v>
      </c>
      <c r="B6429" s="166">
        <v>111.38911426111515</v>
      </c>
      <c r="D6429" s="39"/>
      <c r="E6429" s="39"/>
    </row>
    <row r="6430" spans="1:5" ht="15.6">
      <c r="A6430">
        <v>6375</v>
      </c>
      <c r="B6430" s="166">
        <v>80.414054874923863</v>
      </c>
      <c r="D6430" s="39"/>
      <c r="E6430" s="39"/>
    </row>
    <row r="6431" spans="1:5" ht="15.6">
      <c r="A6431">
        <v>6376</v>
      </c>
      <c r="B6431" s="166">
        <v>141.02461234837946</v>
      </c>
      <c r="D6431" s="39"/>
      <c r="E6431" s="39"/>
    </row>
    <row r="6432" spans="1:5" ht="15.6">
      <c r="A6432">
        <v>6377</v>
      </c>
      <c r="B6432" s="166">
        <v>62.618648398596974</v>
      </c>
      <c r="D6432" s="39"/>
      <c r="E6432" s="39"/>
    </row>
    <row r="6433" spans="1:5" ht="15.6">
      <c r="A6433">
        <v>6378</v>
      </c>
      <c r="B6433" s="166">
        <v>68.744426464051003</v>
      </c>
      <c r="D6433" s="39"/>
      <c r="E6433" s="39"/>
    </row>
    <row r="6434" spans="1:5" ht="15.6">
      <c r="A6434">
        <v>6379</v>
      </c>
      <c r="B6434" s="166">
        <v>86.801020957488916</v>
      </c>
      <c r="D6434" s="39"/>
      <c r="E6434" s="39"/>
    </row>
    <row r="6435" spans="1:5" ht="15.6">
      <c r="A6435">
        <v>6380</v>
      </c>
      <c r="B6435" s="166">
        <v>58.62594578501119</v>
      </c>
      <c r="D6435" s="39"/>
      <c r="E6435" s="39"/>
    </row>
    <row r="6436" spans="1:5" ht="15.6">
      <c r="A6436">
        <v>6381</v>
      </c>
      <c r="B6436" s="166">
        <v>108.86553907496926</v>
      </c>
      <c r="D6436" s="39"/>
      <c r="E6436" s="39"/>
    </row>
    <row r="6437" spans="1:5" ht="15.6">
      <c r="A6437">
        <v>6382</v>
      </c>
      <c r="B6437" s="166">
        <v>129.1132772134992</v>
      </c>
      <c r="D6437" s="39"/>
      <c r="E6437" s="39"/>
    </row>
    <row r="6438" spans="1:5" ht="15.6">
      <c r="A6438">
        <v>6383</v>
      </c>
      <c r="B6438" s="166">
        <v>97.734845896732153</v>
      </c>
      <c r="D6438" s="39"/>
      <c r="E6438" s="39"/>
    </row>
    <row r="6439" spans="1:5" ht="15.6">
      <c r="A6439">
        <v>6384</v>
      </c>
      <c r="B6439" s="166">
        <v>80.110663393103934</v>
      </c>
      <c r="D6439" s="39"/>
      <c r="E6439" s="39"/>
    </row>
    <row r="6440" spans="1:5" ht="15.6">
      <c r="A6440">
        <v>6385</v>
      </c>
      <c r="B6440" s="166">
        <v>176.11464991677914</v>
      </c>
      <c r="D6440" s="39"/>
      <c r="E6440" s="39"/>
    </row>
    <row r="6441" spans="1:5" ht="15.6">
      <c r="A6441">
        <v>6386</v>
      </c>
      <c r="B6441" s="166">
        <v>107.35954666670582</v>
      </c>
      <c r="D6441" s="39"/>
      <c r="E6441" s="39"/>
    </row>
    <row r="6442" spans="1:5" ht="15.6">
      <c r="A6442">
        <v>6387</v>
      </c>
      <c r="B6442" s="166">
        <v>103.67223628495297</v>
      </c>
      <c r="D6442" s="39"/>
      <c r="E6442" s="39"/>
    </row>
    <row r="6443" spans="1:5" ht="15.6">
      <c r="A6443">
        <v>6388</v>
      </c>
      <c r="B6443" s="166">
        <v>66.962507169159622</v>
      </c>
      <c r="D6443" s="39"/>
      <c r="E6443" s="39"/>
    </row>
    <row r="6444" spans="1:5" ht="15.6">
      <c r="A6444">
        <v>6389</v>
      </c>
      <c r="B6444" s="166">
        <v>161.59713902280751</v>
      </c>
      <c r="D6444" s="39"/>
      <c r="E6444" s="39"/>
    </row>
    <row r="6445" spans="1:5" ht="15.6">
      <c r="A6445">
        <v>6390</v>
      </c>
      <c r="B6445" s="166">
        <v>132.58166363754285</v>
      </c>
      <c r="D6445" s="39"/>
      <c r="E6445" s="39"/>
    </row>
    <row r="6446" spans="1:5" ht="15.6">
      <c r="A6446">
        <v>6391</v>
      </c>
      <c r="B6446" s="166">
        <v>86.222167769149834</v>
      </c>
      <c r="D6446" s="39"/>
      <c r="E6446" s="39"/>
    </row>
    <row r="6447" spans="1:5" ht="15.6">
      <c r="A6447">
        <v>6392</v>
      </c>
      <c r="B6447" s="166">
        <v>167.89263745581047</v>
      </c>
      <c r="D6447" s="39"/>
      <c r="E6447" s="39"/>
    </row>
    <row r="6448" spans="1:5" ht="15.6">
      <c r="A6448">
        <v>6393</v>
      </c>
      <c r="B6448" s="166">
        <v>123.40092233360973</v>
      </c>
      <c r="D6448" s="39"/>
      <c r="E6448" s="39"/>
    </row>
    <row r="6449" spans="1:5" ht="15.6">
      <c r="A6449">
        <v>6394</v>
      </c>
      <c r="B6449" s="166">
        <v>164.6067747925286</v>
      </c>
      <c r="D6449" s="39"/>
      <c r="E6449" s="39"/>
    </row>
    <row r="6450" spans="1:5" ht="15.6">
      <c r="A6450">
        <v>6395</v>
      </c>
      <c r="B6450" s="166">
        <v>100.49573536307574</v>
      </c>
      <c r="D6450" s="39"/>
      <c r="E6450" s="39"/>
    </row>
    <row r="6451" spans="1:5" ht="15.6">
      <c r="A6451">
        <v>6396</v>
      </c>
      <c r="B6451" s="166">
        <v>97.964051705012722</v>
      </c>
      <c r="D6451" s="39"/>
      <c r="E6451" s="39"/>
    </row>
    <row r="6452" spans="1:5" ht="15.6">
      <c r="A6452">
        <v>6397</v>
      </c>
      <c r="B6452" s="166">
        <v>146.27331451080894</v>
      </c>
      <c r="D6452" s="39"/>
      <c r="E6452" s="39"/>
    </row>
    <row r="6453" spans="1:5" ht="15.6">
      <c r="A6453">
        <v>6398</v>
      </c>
      <c r="B6453" s="166">
        <v>97.625186099139313</v>
      </c>
      <c r="D6453" s="39"/>
      <c r="E6453" s="39"/>
    </row>
    <row r="6454" spans="1:5" ht="15.6">
      <c r="A6454">
        <v>6399</v>
      </c>
      <c r="B6454" s="166">
        <v>73.80741625031294</v>
      </c>
      <c r="D6454" s="39"/>
      <c r="E6454" s="39"/>
    </row>
    <row r="6455" spans="1:5" ht="15.6">
      <c r="A6455">
        <v>6400</v>
      </c>
      <c r="B6455" s="166">
        <v>55.858260953570145</v>
      </c>
      <c r="D6455" s="39"/>
      <c r="E6455" s="39"/>
    </row>
    <row r="6456" spans="1:5" ht="15.6">
      <c r="A6456">
        <v>6401</v>
      </c>
      <c r="B6456" s="166">
        <v>105.52427198580742</v>
      </c>
      <c r="D6456" s="39"/>
      <c r="E6456" s="39"/>
    </row>
    <row r="6457" spans="1:5" ht="15.6">
      <c r="A6457">
        <v>6402</v>
      </c>
      <c r="B6457" s="166">
        <v>161.13196256599073</v>
      </c>
      <c r="D6457" s="39"/>
      <c r="E6457" s="39"/>
    </row>
    <row r="6458" spans="1:5" ht="15.6">
      <c r="A6458">
        <v>6403</v>
      </c>
      <c r="B6458" s="166">
        <v>81.487121845685692</v>
      </c>
      <c r="D6458" s="39"/>
      <c r="E6458" s="39"/>
    </row>
    <row r="6459" spans="1:5" ht="15.6">
      <c r="A6459">
        <v>6404</v>
      </c>
      <c r="B6459" s="166">
        <v>66.714056284810766</v>
      </c>
      <c r="D6459" s="39"/>
      <c r="E6459" s="39"/>
    </row>
    <row r="6460" spans="1:5" ht="15.6">
      <c r="A6460">
        <v>6405</v>
      </c>
      <c r="B6460" s="166">
        <v>92.312339662336171</v>
      </c>
      <c r="D6460" s="39"/>
      <c r="E6460" s="39"/>
    </row>
    <row r="6461" spans="1:5" ht="15.6">
      <c r="A6461">
        <v>6406</v>
      </c>
      <c r="B6461" s="166">
        <v>164.27914490268418</v>
      </c>
      <c r="D6461" s="39"/>
      <c r="E6461" s="39"/>
    </row>
    <row r="6462" spans="1:5" ht="15.6">
      <c r="A6462">
        <v>6407</v>
      </c>
      <c r="B6462" s="166">
        <v>131.20725898362048</v>
      </c>
      <c r="D6462" s="39"/>
      <c r="E6462" s="39"/>
    </row>
    <row r="6463" spans="1:5" ht="15.6">
      <c r="A6463">
        <v>6408</v>
      </c>
      <c r="B6463" s="166">
        <v>97.7080890852191</v>
      </c>
      <c r="D6463" s="39"/>
      <c r="E6463" s="39"/>
    </row>
    <row r="6464" spans="1:5" ht="15.6">
      <c r="A6464">
        <v>6409</v>
      </c>
      <c r="B6464" s="166">
        <v>113.32841142899728</v>
      </c>
      <c r="D6464" s="39"/>
      <c r="E6464" s="39"/>
    </row>
    <row r="6465" spans="1:5" ht="15.6">
      <c r="A6465">
        <v>6410</v>
      </c>
      <c r="B6465" s="166">
        <v>95.826251524806707</v>
      </c>
      <c r="D6465" s="39"/>
      <c r="E6465" s="39"/>
    </row>
    <row r="6466" spans="1:5" ht="15.6">
      <c r="A6466">
        <v>6411</v>
      </c>
      <c r="B6466" s="166">
        <v>107.70987452491268</v>
      </c>
      <c r="D6466" s="39"/>
      <c r="E6466" s="39"/>
    </row>
    <row r="6467" spans="1:5" ht="15.6">
      <c r="A6467">
        <v>6412</v>
      </c>
      <c r="B6467" s="166">
        <v>99.204017928368657</v>
      </c>
      <c r="D6467" s="39"/>
      <c r="E6467" s="39"/>
    </row>
    <row r="6468" spans="1:5" ht="15.6">
      <c r="A6468">
        <v>6413</v>
      </c>
      <c r="B6468" s="166">
        <v>87.92014970171094</v>
      </c>
      <c r="D6468" s="39"/>
      <c r="E6468" s="39"/>
    </row>
    <row r="6469" spans="1:5" ht="15.6">
      <c r="A6469">
        <v>6414</v>
      </c>
      <c r="B6469" s="166">
        <v>112.07678044608244</v>
      </c>
      <c r="D6469" s="39"/>
      <c r="E6469" s="39"/>
    </row>
    <row r="6470" spans="1:5" ht="15.6">
      <c r="A6470">
        <v>6415</v>
      </c>
      <c r="B6470" s="166">
        <v>83.211001542722727</v>
      </c>
      <c r="D6470" s="39"/>
      <c r="E6470" s="39"/>
    </row>
    <row r="6471" spans="1:5" ht="15.6">
      <c r="A6471">
        <v>6416</v>
      </c>
      <c r="B6471" s="166">
        <v>107.20099351755212</v>
      </c>
      <c r="D6471" s="39"/>
      <c r="E6471" s="39"/>
    </row>
    <row r="6472" spans="1:5" ht="15.6">
      <c r="A6472">
        <v>6417</v>
      </c>
      <c r="B6472" s="166">
        <v>83.125729948854129</v>
      </c>
      <c r="D6472" s="39"/>
      <c r="E6472" s="39"/>
    </row>
    <row r="6473" spans="1:5" ht="15.6">
      <c r="A6473">
        <v>6418</v>
      </c>
      <c r="B6473" s="166">
        <v>98.411184963048882</v>
      </c>
      <c r="D6473" s="39"/>
      <c r="E6473" s="39"/>
    </row>
    <row r="6474" spans="1:5" ht="15.6">
      <c r="A6474">
        <v>6419</v>
      </c>
      <c r="B6474" s="166">
        <v>130.05738950080337</v>
      </c>
      <c r="D6474" s="39"/>
      <c r="E6474" s="39"/>
    </row>
    <row r="6475" spans="1:5" ht="15.6">
      <c r="A6475">
        <v>6420</v>
      </c>
      <c r="B6475" s="166">
        <v>143.94012683375607</v>
      </c>
      <c r="D6475" s="39"/>
      <c r="E6475" s="39"/>
    </row>
    <row r="6476" spans="1:5" ht="15.6">
      <c r="A6476">
        <v>6421</v>
      </c>
      <c r="B6476" s="166">
        <v>125.31193956880263</v>
      </c>
      <c r="D6476" s="39"/>
      <c r="E6476" s="39"/>
    </row>
    <row r="6477" spans="1:5" ht="15.6">
      <c r="A6477">
        <v>6422</v>
      </c>
      <c r="B6477" s="166">
        <v>95.833839785802539</v>
      </c>
      <c r="D6477" s="39"/>
      <c r="E6477" s="39"/>
    </row>
    <row r="6478" spans="1:5" ht="15.6">
      <c r="A6478">
        <v>6423</v>
      </c>
      <c r="B6478" s="166">
        <v>111.79304237458859</v>
      </c>
      <c r="D6478" s="39"/>
      <c r="E6478" s="39"/>
    </row>
    <row r="6479" spans="1:5" ht="15.6">
      <c r="A6479">
        <v>6424</v>
      </c>
      <c r="B6479" s="166">
        <v>80.62819231335466</v>
      </c>
      <c r="D6479" s="39"/>
      <c r="E6479" s="39"/>
    </row>
    <row r="6480" spans="1:5" ht="15.6">
      <c r="A6480">
        <v>6425</v>
      </c>
      <c r="B6480" s="166">
        <v>112.12322973601455</v>
      </c>
      <c r="D6480" s="39"/>
      <c r="E6480" s="39"/>
    </row>
    <row r="6481" spans="1:5" ht="15.6">
      <c r="A6481">
        <v>6426</v>
      </c>
      <c r="B6481" s="166">
        <v>119.94971440090121</v>
      </c>
      <c r="D6481" s="39"/>
      <c r="E6481" s="39"/>
    </row>
    <row r="6482" spans="1:5" ht="15.6">
      <c r="A6482">
        <v>6427</v>
      </c>
      <c r="B6482" s="166">
        <v>77.555070189042496</v>
      </c>
      <c r="D6482" s="39"/>
      <c r="E6482" s="39"/>
    </row>
    <row r="6483" spans="1:5" ht="15.6">
      <c r="A6483">
        <v>6428</v>
      </c>
      <c r="B6483" s="166">
        <v>80.245459205715235</v>
      </c>
      <c r="D6483" s="39"/>
      <c r="E6483" s="39"/>
    </row>
    <row r="6484" spans="1:5" ht="15.6">
      <c r="A6484">
        <v>6429</v>
      </c>
      <c r="B6484" s="166">
        <v>123.27529553432191</v>
      </c>
      <c r="D6484" s="39"/>
      <c r="E6484" s="39"/>
    </row>
    <row r="6485" spans="1:5" ht="15.6">
      <c r="A6485">
        <v>6430</v>
      </c>
      <c r="B6485" s="166">
        <v>109.53585054812584</v>
      </c>
      <c r="D6485" s="39"/>
      <c r="E6485" s="39"/>
    </row>
    <row r="6486" spans="1:5" ht="15.6">
      <c r="A6486">
        <v>6431</v>
      </c>
      <c r="B6486" s="166">
        <v>137.26714426733622</v>
      </c>
      <c r="D6486" s="39"/>
      <c r="E6486" s="39"/>
    </row>
    <row r="6487" spans="1:5" ht="15.6">
      <c r="A6487">
        <v>6432</v>
      </c>
      <c r="B6487" s="166">
        <v>107.62385549500794</v>
      </c>
      <c r="D6487" s="39"/>
      <c r="E6487" s="39"/>
    </row>
    <row r="6488" spans="1:5" ht="15.6">
      <c r="A6488">
        <v>6433</v>
      </c>
      <c r="B6488" s="166">
        <v>161.69182105981054</v>
      </c>
      <c r="D6488" s="39"/>
      <c r="E6488" s="39"/>
    </row>
    <row r="6489" spans="1:5" ht="15.6">
      <c r="A6489">
        <v>6434</v>
      </c>
      <c r="B6489" s="166">
        <v>104.04131836562397</v>
      </c>
      <c r="D6489" s="39"/>
      <c r="E6489" s="39"/>
    </row>
    <row r="6490" spans="1:5" ht="15.6">
      <c r="A6490">
        <v>6435</v>
      </c>
      <c r="B6490" s="166">
        <v>163.56257791100336</v>
      </c>
      <c r="D6490" s="39"/>
      <c r="E6490" s="39"/>
    </row>
    <row r="6491" spans="1:5" ht="15.6">
      <c r="A6491">
        <v>6436</v>
      </c>
      <c r="B6491" s="166">
        <v>113.56375849536684</v>
      </c>
      <c r="D6491" s="39"/>
      <c r="E6491" s="39"/>
    </row>
    <row r="6492" spans="1:5" ht="15.6">
      <c r="A6492">
        <v>6437</v>
      </c>
      <c r="B6492" s="166">
        <v>79.933595834121064</v>
      </c>
      <c r="D6492" s="39"/>
      <c r="E6492" s="39"/>
    </row>
    <row r="6493" spans="1:5" ht="15.6">
      <c r="A6493">
        <v>6438</v>
      </c>
      <c r="B6493" s="166">
        <v>82.114985334307676</v>
      </c>
      <c r="D6493" s="39"/>
      <c r="E6493" s="39"/>
    </row>
    <row r="6494" spans="1:5" ht="15.6">
      <c r="A6494">
        <v>6439</v>
      </c>
      <c r="B6494" s="166">
        <v>198.42941704577979</v>
      </c>
      <c r="D6494" s="39"/>
      <c r="E6494" s="39"/>
    </row>
    <row r="6495" spans="1:5" ht="15.6">
      <c r="A6495">
        <v>6440</v>
      </c>
      <c r="B6495" s="166">
        <v>217.93936042525834</v>
      </c>
      <c r="D6495" s="39"/>
      <c r="E6495" s="39"/>
    </row>
    <row r="6496" spans="1:5" ht="15.6">
      <c r="A6496">
        <v>6441</v>
      </c>
      <c r="B6496" s="166">
        <v>161.74852250492884</v>
      </c>
      <c r="D6496" s="39"/>
      <c r="E6496" s="39"/>
    </row>
    <row r="6497" spans="1:5" ht="15.6">
      <c r="A6497">
        <v>6442</v>
      </c>
      <c r="B6497" s="166">
        <v>181.35276356455739</v>
      </c>
      <c r="D6497" s="39"/>
      <c r="E6497" s="39"/>
    </row>
    <row r="6498" spans="1:5" ht="15.6">
      <c r="A6498">
        <v>6443</v>
      </c>
      <c r="B6498" s="166">
        <v>126.79687316066781</v>
      </c>
      <c r="D6498" s="39"/>
      <c r="E6498" s="39"/>
    </row>
    <row r="6499" spans="1:5" ht="15.6">
      <c r="A6499">
        <v>6444</v>
      </c>
      <c r="B6499" s="166">
        <v>203.84636179566911</v>
      </c>
      <c r="D6499" s="39"/>
      <c r="E6499" s="39"/>
    </row>
    <row r="6500" spans="1:5" ht="15.6">
      <c r="A6500">
        <v>6445</v>
      </c>
      <c r="B6500" s="166">
        <v>82.809221000779445</v>
      </c>
      <c r="D6500" s="39"/>
      <c r="E6500" s="39"/>
    </row>
    <row r="6501" spans="1:5" ht="15.6">
      <c r="A6501">
        <v>6446</v>
      </c>
      <c r="B6501" s="166">
        <v>81.956398434389698</v>
      </c>
      <c r="D6501" s="39"/>
      <c r="E6501" s="39"/>
    </row>
    <row r="6502" spans="1:5" ht="15.6">
      <c r="A6502">
        <v>6447</v>
      </c>
      <c r="B6502" s="166">
        <v>69.218934289208434</v>
      </c>
      <c r="D6502" s="39"/>
      <c r="E6502" s="39"/>
    </row>
    <row r="6503" spans="1:5" ht="15.6">
      <c r="A6503">
        <v>6448</v>
      </c>
      <c r="B6503" s="166">
        <v>84.647195529503023</v>
      </c>
      <c r="D6503" s="39"/>
      <c r="E6503" s="39"/>
    </row>
    <row r="6504" spans="1:5" ht="15.6">
      <c r="A6504">
        <v>6449</v>
      </c>
      <c r="B6504" s="166">
        <v>102.81690110612463</v>
      </c>
      <c r="D6504" s="39"/>
      <c r="E6504" s="39"/>
    </row>
    <row r="6505" spans="1:5" ht="15.6">
      <c r="A6505">
        <v>6450</v>
      </c>
      <c r="B6505" s="166">
        <v>180.73829913497147</v>
      </c>
      <c r="D6505" s="39"/>
      <c r="E6505" s="39"/>
    </row>
    <row r="6506" spans="1:5" ht="15.6">
      <c r="A6506">
        <v>6451</v>
      </c>
      <c r="B6506" s="166">
        <v>107.90717725522832</v>
      </c>
      <c r="D6506" s="39"/>
      <c r="E6506" s="39"/>
    </row>
    <row r="6507" spans="1:5" ht="15.6">
      <c r="A6507">
        <v>6452</v>
      </c>
      <c r="B6507" s="166">
        <v>141.62172398231488</v>
      </c>
      <c r="D6507" s="39"/>
      <c r="E6507" s="39"/>
    </row>
    <row r="6508" spans="1:5" ht="15.6">
      <c r="A6508">
        <v>6453</v>
      </c>
      <c r="B6508" s="166">
        <v>101.69330802640587</v>
      </c>
      <c r="D6508" s="39"/>
      <c r="E6508" s="39"/>
    </row>
    <row r="6509" spans="1:5" ht="15.6">
      <c r="A6509">
        <v>6454</v>
      </c>
      <c r="B6509" s="166">
        <v>118.25879544565031</v>
      </c>
      <c r="D6509" s="39"/>
      <c r="E6509" s="39"/>
    </row>
    <row r="6510" spans="1:5" ht="15.6">
      <c r="A6510">
        <v>6455</v>
      </c>
      <c r="B6510" s="166">
        <v>132.50943884824565</v>
      </c>
      <c r="D6510" s="39"/>
      <c r="E6510" s="39"/>
    </row>
    <row r="6511" spans="1:5" ht="15.6">
      <c r="A6511">
        <v>6456</v>
      </c>
      <c r="B6511" s="166">
        <v>102.08347021431176</v>
      </c>
      <c r="D6511" s="39"/>
      <c r="E6511" s="39"/>
    </row>
    <row r="6512" spans="1:5" ht="15.6">
      <c r="A6512">
        <v>6457</v>
      </c>
      <c r="B6512" s="166">
        <v>116.2414777115912</v>
      </c>
      <c r="D6512" s="39"/>
      <c r="E6512" s="39"/>
    </row>
    <row r="6513" spans="1:5" ht="15.6">
      <c r="A6513">
        <v>6458</v>
      </c>
      <c r="B6513" s="166">
        <v>129.01894408862051</v>
      </c>
      <c r="D6513" s="39"/>
      <c r="E6513" s="39"/>
    </row>
    <row r="6514" spans="1:5" ht="15.6">
      <c r="A6514">
        <v>6459</v>
      </c>
      <c r="B6514" s="166">
        <v>91.300202820988559</v>
      </c>
      <c r="D6514" s="39"/>
      <c r="E6514" s="39"/>
    </row>
    <row r="6515" spans="1:5" ht="15.6">
      <c r="A6515">
        <v>6460</v>
      </c>
      <c r="B6515" s="166">
        <v>82.952732644757745</v>
      </c>
      <c r="D6515" s="39"/>
      <c r="E6515" s="39"/>
    </row>
    <row r="6516" spans="1:5" ht="15.6">
      <c r="A6516">
        <v>6461</v>
      </c>
      <c r="B6516" s="166">
        <v>146.69555612332815</v>
      </c>
      <c r="D6516" s="39"/>
      <c r="E6516" s="39"/>
    </row>
    <row r="6517" spans="1:5" ht="15.6">
      <c r="A6517">
        <v>6462</v>
      </c>
      <c r="B6517" s="166">
        <v>65.734510001659274</v>
      </c>
      <c r="D6517" s="39"/>
      <c r="E6517" s="39"/>
    </row>
    <row r="6518" spans="1:5" ht="15.6">
      <c r="A6518">
        <v>6463</v>
      </c>
      <c r="B6518" s="166">
        <v>92.541084827904598</v>
      </c>
      <c r="D6518" s="39"/>
      <c r="E6518" s="39"/>
    </row>
    <row r="6519" spans="1:5" ht="15.6">
      <c r="A6519">
        <v>6464</v>
      </c>
      <c r="B6519" s="166">
        <v>53.002238152947768</v>
      </c>
      <c r="D6519" s="39"/>
      <c r="E6519" s="39"/>
    </row>
    <row r="6520" spans="1:5" ht="15.6">
      <c r="A6520">
        <v>6465</v>
      </c>
      <c r="B6520" s="166">
        <v>102.27704380491615</v>
      </c>
      <c r="D6520" s="39"/>
      <c r="E6520" s="39"/>
    </row>
    <row r="6521" spans="1:5" ht="15.6">
      <c r="A6521">
        <v>6466</v>
      </c>
      <c r="B6521" s="166">
        <v>175.78287460249854</v>
      </c>
      <c r="D6521" s="39"/>
      <c r="E6521" s="39"/>
    </row>
    <row r="6522" spans="1:5" ht="15.6">
      <c r="A6522">
        <v>6467</v>
      </c>
      <c r="B6522" s="166">
        <v>152.22393529257926</v>
      </c>
      <c r="D6522" s="39"/>
      <c r="E6522" s="39"/>
    </row>
    <row r="6523" spans="1:5" ht="15.6">
      <c r="A6523">
        <v>6468</v>
      </c>
      <c r="B6523" s="166">
        <v>57.88368097872619</v>
      </c>
      <c r="D6523" s="39"/>
      <c r="E6523" s="39"/>
    </row>
    <row r="6524" spans="1:5" ht="15.6">
      <c r="A6524">
        <v>6469</v>
      </c>
      <c r="B6524" s="166">
        <v>187.96536374074319</v>
      </c>
      <c r="D6524" s="39"/>
      <c r="E6524" s="39"/>
    </row>
    <row r="6525" spans="1:5" ht="15.6">
      <c r="A6525">
        <v>6470</v>
      </c>
      <c r="B6525" s="166">
        <v>97.416930910333249</v>
      </c>
      <c r="D6525" s="39"/>
      <c r="E6525" s="39"/>
    </row>
    <row r="6526" spans="1:5" ht="15.6">
      <c r="A6526">
        <v>6471</v>
      </c>
      <c r="B6526" s="166">
        <v>64.594139500907559</v>
      </c>
      <c r="D6526" s="39"/>
      <c r="E6526" s="39"/>
    </row>
    <row r="6527" spans="1:5" ht="15.6">
      <c r="A6527">
        <v>6472</v>
      </c>
      <c r="B6527" s="166">
        <v>104.63068343850455</v>
      </c>
      <c r="D6527" s="39"/>
      <c r="E6527" s="39"/>
    </row>
    <row r="6528" spans="1:5" ht="15.6">
      <c r="A6528">
        <v>6473</v>
      </c>
      <c r="B6528" s="166">
        <v>96.655870966629379</v>
      </c>
      <c r="D6528" s="39"/>
      <c r="E6528" s="39"/>
    </row>
    <row r="6529" spans="1:5" ht="15.6">
      <c r="A6529">
        <v>6474</v>
      </c>
      <c r="B6529" s="166">
        <v>150.06922181456261</v>
      </c>
      <c r="D6529" s="39"/>
      <c r="E6529" s="39"/>
    </row>
    <row r="6530" spans="1:5" ht="15.6">
      <c r="A6530">
        <v>6475</v>
      </c>
      <c r="B6530" s="166">
        <v>123.09543546075359</v>
      </c>
      <c r="D6530" s="39"/>
      <c r="E6530" s="39"/>
    </row>
    <row r="6531" spans="1:5" ht="15.6">
      <c r="A6531">
        <v>6476</v>
      </c>
      <c r="B6531" s="166">
        <v>150.73958312457427</v>
      </c>
      <c r="D6531" s="39"/>
      <c r="E6531" s="39"/>
    </row>
    <row r="6532" spans="1:5" ht="15.6">
      <c r="A6532">
        <v>6477</v>
      </c>
      <c r="B6532" s="166">
        <v>52.073977313635595</v>
      </c>
      <c r="D6532" s="39"/>
      <c r="E6532" s="39"/>
    </row>
    <row r="6533" spans="1:5" ht="15.6">
      <c r="A6533">
        <v>6478</v>
      </c>
      <c r="B6533" s="166">
        <v>104.70203579440242</v>
      </c>
      <c r="D6533" s="39"/>
      <c r="E6533" s="39"/>
    </row>
    <row r="6534" spans="1:5" ht="15.6">
      <c r="A6534">
        <v>6479</v>
      </c>
      <c r="B6534" s="166">
        <v>58.389280140371817</v>
      </c>
      <c r="D6534" s="39"/>
      <c r="E6534" s="39"/>
    </row>
    <row r="6535" spans="1:5" ht="15.6">
      <c r="A6535">
        <v>6480</v>
      </c>
      <c r="B6535" s="166">
        <v>55.162465757528715</v>
      </c>
      <c r="D6535" s="39"/>
      <c r="E6535" s="39"/>
    </row>
    <row r="6536" spans="1:5" ht="15.6">
      <c r="A6536">
        <v>6481</v>
      </c>
      <c r="B6536" s="166">
        <v>96.617216230794597</v>
      </c>
      <c r="D6536" s="39"/>
      <c r="E6536" s="39"/>
    </row>
    <row r="6537" spans="1:5" ht="15.6">
      <c r="A6537">
        <v>6482</v>
      </c>
      <c r="B6537" s="166">
        <v>132.38009744662114</v>
      </c>
      <c r="D6537" s="39"/>
      <c r="E6537" s="39"/>
    </row>
    <row r="6538" spans="1:5" ht="15.6">
      <c r="A6538">
        <v>6483</v>
      </c>
      <c r="B6538" s="166">
        <v>190.63780312339807</v>
      </c>
      <c r="D6538" s="39"/>
      <c r="E6538" s="39"/>
    </row>
    <row r="6539" spans="1:5" ht="15.6">
      <c r="A6539">
        <v>6484</v>
      </c>
      <c r="B6539" s="166">
        <v>61.986922367960766</v>
      </c>
      <c r="D6539" s="39"/>
      <c r="E6539" s="39"/>
    </row>
    <row r="6540" spans="1:5" ht="15.6">
      <c r="A6540">
        <v>6485</v>
      </c>
      <c r="B6540" s="166">
        <v>104.3889097999274</v>
      </c>
      <c r="D6540" s="39"/>
      <c r="E6540" s="39"/>
    </row>
    <row r="6541" spans="1:5" ht="15.6">
      <c r="A6541">
        <v>6486</v>
      </c>
      <c r="B6541" s="166">
        <v>118.3236037723906</v>
      </c>
      <c r="D6541" s="39"/>
      <c r="E6541" s="39"/>
    </row>
    <row r="6542" spans="1:5" ht="15.6">
      <c r="A6542">
        <v>6487</v>
      </c>
      <c r="B6542" s="166">
        <v>90.084662325440576</v>
      </c>
      <c r="D6542" s="39"/>
      <c r="E6542" s="39"/>
    </row>
    <row r="6543" spans="1:5" ht="15.6">
      <c r="A6543">
        <v>6488</v>
      </c>
      <c r="B6543" s="166">
        <v>77.891679259396199</v>
      </c>
      <c r="D6543" s="39"/>
      <c r="E6543" s="39"/>
    </row>
    <row r="6544" spans="1:5" ht="15.6">
      <c r="A6544">
        <v>6489</v>
      </c>
      <c r="B6544" s="166">
        <v>141.90274001194044</v>
      </c>
      <c r="D6544" s="39"/>
      <c r="E6544" s="39"/>
    </row>
    <row r="6545" spans="1:5" ht="15.6">
      <c r="A6545">
        <v>6490</v>
      </c>
      <c r="B6545" s="166">
        <v>91.817149375257657</v>
      </c>
      <c r="D6545" s="39"/>
      <c r="E6545" s="39"/>
    </row>
    <row r="6546" spans="1:5" ht="15.6">
      <c r="A6546">
        <v>6491</v>
      </c>
      <c r="B6546" s="166">
        <v>81.787785299510631</v>
      </c>
      <c r="D6546" s="39"/>
      <c r="E6546" s="39"/>
    </row>
    <row r="6547" spans="1:5" ht="15.6">
      <c r="A6547">
        <v>6492</v>
      </c>
      <c r="B6547" s="166">
        <v>176.68247158001094</v>
      </c>
      <c r="D6547" s="39"/>
      <c r="E6547" s="39"/>
    </row>
    <row r="6548" spans="1:5" ht="15.6">
      <c r="A6548">
        <v>6493</v>
      </c>
      <c r="B6548" s="166">
        <v>116.21924761462645</v>
      </c>
      <c r="D6548" s="39"/>
      <c r="E6548" s="39"/>
    </row>
    <row r="6549" spans="1:5" ht="15.6">
      <c r="A6549">
        <v>6494</v>
      </c>
      <c r="B6549" s="166">
        <v>102.57278766688268</v>
      </c>
      <c r="D6549" s="39"/>
      <c r="E6549" s="39"/>
    </row>
    <row r="6550" spans="1:5" ht="15.6">
      <c r="A6550">
        <v>6495</v>
      </c>
      <c r="B6550" s="166">
        <v>88.239052221197156</v>
      </c>
      <c r="D6550" s="39"/>
      <c r="E6550" s="39"/>
    </row>
    <row r="6551" spans="1:5" ht="15.6">
      <c r="A6551">
        <v>6496</v>
      </c>
      <c r="B6551" s="166">
        <v>150.3388462914547</v>
      </c>
      <c r="D6551" s="39"/>
      <c r="E6551" s="39"/>
    </row>
    <row r="6552" spans="1:5" ht="15.6">
      <c r="A6552">
        <v>6497</v>
      </c>
      <c r="B6552" s="166">
        <v>71.989708858476462</v>
      </c>
      <c r="D6552" s="39"/>
      <c r="E6552" s="39"/>
    </row>
    <row r="6553" spans="1:5" ht="15.6">
      <c r="A6553">
        <v>6498</v>
      </c>
      <c r="B6553" s="166">
        <v>74.482089604647214</v>
      </c>
      <c r="D6553" s="39"/>
      <c r="E6553" s="39"/>
    </row>
    <row r="6554" spans="1:5" ht="15.6">
      <c r="A6554">
        <v>6499</v>
      </c>
      <c r="B6554" s="166">
        <v>142.9477655142625</v>
      </c>
      <c r="D6554" s="39"/>
      <c r="E6554" s="39"/>
    </row>
    <row r="6555" spans="1:5" ht="15.6">
      <c r="A6555">
        <v>6500</v>
      </c>
      <c r="B6555" s="166">
        <v>123.46415174978111</v>
      </c>
      <c r="D6555" s="39"/>
      <c r="E6555" s="39"/>
    </row>
    <row r="6556" spans="1:5" ht="15.6">
      <c r="A6556">
        <v>6501</v>
      </c>
      <c r="B6556" s="166">
        <v>87.459415272176912</v>
      </c>
      <c r="D6556" s="39"/>
      <c r="E6556" s="39"/>
    </row>
    <row r="6557" spans="1:5" ht="15.6">
      <c r="A6557">
        <v>6502</v>
      </c>
      <c r="B6557" s="166">
        <v>83.860904437403605</v>
      </c>
      <c r="D6557" s="39"/>
      <c r="E6557" s="39"/>
    </row>
    <row r="6558" spans="1:5" ht="15.6">
      <c r="A6558">
        <v>6503</v>
      </c>
      <c r="B6558" s="166">
        <v>128.88842122107687</v>
      </c>
      <c r="D6558" s="39"/>
      <c r="E6558" s="39"/>
    </row>
    <row r="6559" spans="1:5" ht="15.6">
      <c r="A6559">
        <v>6504</v>
      </c>
      <c r="B6559" s="166">
        <v>115.1367492893029</v>
      </c>
      <c r="D6559" s="39"/>
      <c r="E6559" s="39"/>
    </row>
    <row r="6560" spans="1:5" ht="15.6">
      <c r="A6560">
        <v>6505</v>
      </c>
      <c r="B6560" s="166">
        <v>94.14982640224359</v>
      </c>
      <c r="D6560" s="39"/>
      <c r="E6560" s="39"/>
    </row>
    <row r="6561" spans="1:5" ht="15.6">
      <c r="A6561">
        <v>6506</v>
      </c>
      <c r="B6561" s="166">
        <v>100.89341214695982</v>
      </c>
      <c r="D6561" s="39"/>
      <c r="E6561" s="39"/>
    </row>
    <row r="6562" spans="1:5" ht="15.6">
      <c r="A6562">
        <v>6507</v>
      </c>
      <c r="B6562" s="166">
        <v>48.925762659008846</v>
      </c>
      <c r="D6562" s="39"/>
      <c r="E6562" s="39"/>
    </row>
    <row r="6563" spans="1:5" ht="15.6">
      <c r="A6563">
        <v>6508</v>
      </c>
      <c r="B6563" s="166">
        <v>84.842389554717897</v>
      </c>
      <c r="D6563" s="39"/>
      <c r="E6563" s="39"/>
    </row>
    <row r="6564" spans="1:5" ht="15.6">
      <c r="A6564">
        <v>6509</v>
      </c>
      <c r="B6564" s="166">
        <v>129.5519031834728</v>
      </c>
      <c r="D6564" s="39"/>
      <c r="E6564" s="39"/>
    </row>
    <row r="6565" spans="1:5" ht="15.6">
      <c r="A6565">
        <v>6510</v>
      </c>
      <c r="B6565" s="166">
        <v>76.223666241227718</v>
      </c>
      <c r="D6565" s="39"/>
      <c r="E6565" s="39"/>
    </row>
    <row r="6566" spans="1:5" ht="15.6">
      <c r="A6566">
        <v>6511</v>
      </c>
      <c r="B6566" s="166">
        <v>135.92541243773195</v>
      </c>
      <c r="D6566" s="39"/>
      <c r="E6566" s="39"/>
    </row>
    <row r="6567" spans="1:5" ht="15.6">
      <c r="A6567">
        <v>6512</v>
      </c>
      <c r="B6567" s="166">
        <v>220.82120444320537</v>
      </c>
      <c r="D6567" s="39"/>
      <c r="E6567" s="39"/>
    </row>
    <row r="6568" spans="1:5" ht="15.6">
      <c r="A6568">
        <v>6513</v>
      </c>
      <c r="B6568" s="166">
        <v>125.07832718730727</v>
      </c>
      <c r="D6568" s="39"/>
      <c r="E6568" s="39"/>
    </row>
    <row r="6569" spans="1:5" ht="15.6">
      <c r="A6569">
        <v>6514</v>
      </c>
      <c r="B6569" s="166">
        <v>81.520306683053718</v>
      </c>
      <c r="D6569" s="39"/>
      <c r="E6569" s="39"/>
    </row>
    <row r="6570" spans="1:5" ht="15.6">
      <c r="A6570">
        <v>6515</v>
      </c>
      <c r="B6570" s="166">
        <v>109.76525781743466</v>
      </c>
      <c r="D6570" s="39"/>
      <c r="E6570" s="39"/>
    </row>
    <row r="6571" spans="1:5" ht="15.6">
      <c r="A6571">
        <v>6516</v>
      </c>
      <c r="B6571" s="166">
        <v>92.498915636475743</v>
      </c>
      <c r="D6571" s="39"/>
      <c r="E6571" s="39"/>
    </row>
    <row r="6572" spans="1:5" ht="15.6">
      <c r="A6572">
        <v>6517</v>
      </c>
      <c r="B6572" s="166">
        <v>121.07124290026643</v>
      </c>
      <c r="D6572" s="39"/>
      <c r="E6572" s="39"/>
    </row>
    <row r="6573" spans="1:5" ht="15.6">
      <c r="A6573">
        <v>6518</v>
      </c>
      <c r="B6573" s="166">
        <v>54.722384126035649</v>
      </c>
      <c r="D6573" s="39"/>
      <c r="E6573" s="39"/>
    </row>
    <row r="6574" spans="1:5" ht="15.6">
      <c r="A6574">
        <v>6519</v>
      </c>
      <c r="B6574" s="166">
        <v>85.635597773132034</v>
      </c>
      <c r="D6574" s="39"/>
      <c r="E6574" s="39"/>
    </row>
    <row r="6575" spans="1:5" ht="15.6">
      <c r="A6575">
        <v>6520</v>
      </c>
      <c r="B6575" s="166">
        <v>83.881540186690998</v>
      </c>
      <c r="D6575" s="39"/>
      <c r="E6575" s="39"/>
    </row>
    <row r="6576" spans="1:5" ht="15.6">
      <c r="A6576">
        <v>6521</v>
      </c>
      <c r="B6576" s="166">
        <v>137.10804849224056</v>
      </c>
      <c r="D6576" s="39"/>
      <c r="E6576" s="39"/>
    </row>
    <row r="6577" spans="1:5" ht="15.6">
      <c r="A6577">
        <v>6522</v>
      </c>
      <c r="B6577" s="166">
        <v>90.60801525533185</v>
      </c>
      <c r="D6577" s="39"/>
      <c r="E6577" s="39"/>
    </row>
    <row r="6578" spans="1:5" ht="15.6">
      <c r="A6578">
        <v>6523</v>
      </c>
      <c r="B6578" s="166">
        <v>88.759631068141942</v>
      </c>
      <c r="D6578" s="39"/>
      <c r="E6578" s="39"/>
    </row>
    <row r="6579" spans="1:5" ht="15.6">
      <c r="A6579">
        <v>6524</v>
      </c>
      <c r="B6579" s="166">
        <v>85.928231898335667</v>
      </c>
      <c r="D6579" s="39"/>
      <c r="E6579" s="39"/>
    </row>
    <row r="6580" spans="1:5" ht="15.6">
      <c r="A6580">
        <v>6525</v>
      </c>
      <c r="B6580" s="166">
        <v>94.023313504306245</v>
      </c>
      <c r="D6580" s="39"/>
      <c r="E6580" s="39"/>
    </row>
    <row r="6581" spans="1:5" ht="15.6">
      <c r="A6581">
        <v>6526</v>
      </c>
      <c r="B6581" s="166">
        <v>97.533032561190495</v>
      </c>
      <c r="D6581" s="39"/>
      <c r="E6581" s="39"/>
    </row>
    <row r="6582" spans="1:5" ht="15.6">
      <c r="A6582">
        <v>6527</v>
      </c>
      <c r="B6582" s="166">
        <v>125.89609119525356</v>
      </c>
      <c r="D6582" s="39"/>
      <c r="E6582" s="39"/>
    </row>
    <row r="6583" spans="1:5" ht="15.6">
      <c r="A6583">
        <v>6528</v>
      </c>
      <c r="B6583" s="166">
        <v>94.967170841870569</v>
      </c>
      <c r="D6583" s="39"/>
      <c r="E6583" s="39"/>
    </row>
    <row r="6584" spans="1:5" ht="15.6">
      <c r="A6584">
        <v>6529</v>
      </c>
      <c r="B6584" s="166">
        <v>144.25542490302172</v>
      </c>
      <c r="D6584" s="39"/>
      <c r="E6584" s="39"/>
    </row>
    <row r="6585" spans="1:5" ht="15.6">
      <c r="A6585">
        <v>6530</v>
      </c>
      <c r="B6585" s="166">
        <v>112.01673739581501</v>
      </c>
      <c r="D6585" s="39"/>
      <c r="E6585" s="39"/>
    </row>
    <row r="6586" spans="1:5" ht="15.6">
      <c r="A6586">
        <v>6531</v>
      </c>
      <c r="B6586" s="166">
        <v>67.283277188933127</v>
      </c>
      <c r="D6586" s="39"/>
      <c r="E6586" s="39"/>
    </row>
    <row r="6587" spans="1:5" ht="15.6">
      <c r="A6587">
        <v>6532</v>
      </c>
      <c r="B6587" s="166">
        <v>121.78831696219409</v>
      </c>
      <c r="D6587" s="39"/>
      <c r="E6587" s="39"/>
    </row>
    <row r="6588" spans="1:5" ht="15.6">
      <c r="A6588">
        <v>6533</v>
      </c>
      <c r="B6588" s="166">
        <v>95.532879412859373</v>
      </c>
      <c r="D6588" s="39"/>
      <c r="E6588" s="39"/>
    </row>
    <row r="6589" spans="1:5" ht="15.6">
      <c r="A6589">
        <v>6534</v>
      </c>
      <c r="B6589" s="166">
        <v>101.6951644289328</v>
      </c>
      <c r="D6589" s="39"/>
      <c r="E6589" s="39"/>
    </row>
    <row r="6590" spans="1:5" ht="15.6">
      <c r="A6590">
        <v>6535</v>
      </c>
      <c r="B6590" s="166">
        <v>109.51788255627736</v>
      </c>
      <c r="D6590" s="39"/>
      <c r="E6590" s="39"/>
    </row>
    <row r="6591" spans="1:5" ht="15.6">
      <c r="A6591">
        <v>6536</v>
      </c>
      <c r="B6591" s="166">
        <v>168.72123447892218</v>
      </c>
      <c r="D6591" s="39"/>
      <c r="E6591" s="39"/>
    </row>
    <row r="6592" spans="1:5" ht="15.6">
      <c r="A6592">
        <v>6537</v>
      </c>
      <c r="B6592" s="166">
        <v>88.218850658201362</v>
      </c>
      <c r="D6592" s="39"/>
      <c r="E6592" s="39"/>
    </row>
    <row r="6593" spans="1:5" ht="15.6">
      <c r="A6593">
        <v>6538</v>
      </c>
      <c r="B6593" s="166">
        <v>86.45251346703823</v>
      </c>
      <c r="D6593" s="39"/>
      <c r="E6593" s="39"/>
    </row>
    <row r="6594" spans="1:5" ht="15.6">
      <c r="A6594">
        <v>6539</v>
      </c>
      <c r="B6594" s="166">
        <v>125.11792029735589</v>
      </c>
      <c r="D6594" s="39"/>
      <c r="E6594" s="39"/>
    </row>
    <row r="6595" spans="1:5" ht="15.6">
      <c r="A6595">
        <v>6540</v>
      </c>
      <c r="B6595" s="166">
        <v>145.5006356577673</v>
      </c>
      <c r="D6595" s="39"/>
      <c r="E6595" s="39"/>
    </row>
    <row r="6596" spans="1:5" ht="15.6">
      <c r="A6596">
        <v>6541</v>
      </c>
      <c r="B6596" s="166">
        <v>154.19195226651601</v>
      </c>
      <c r="D6596" s="39"/>
      <c r="E6596" s="39"/>
    </row>
    <row r="6597" spans="1:5" ht="15.6">
      <c r="A6597">
        <v>6542</v>
      </c>
      <c r="B6597" s="166">
        <v>121.56084554984984</v>
      </c>
      <c r="D6597" s="39"/>
      <c r="E6597" s="39"/>
    </row>
    <row r="6598" spans="1:5" ht="15.6">
      <c r="A6598">
        <v>6543</v>
      </c>
      <c r="B6598" s="166">
        <v>135.55016581413798</v>
      </c>
      <c r="D6598" s="39"/>
      <c r="E6598" s="39"/>
    </row>
    <row r="6599" spans="1:5" ht="15.6">
      <c r="A6599">
        <v>6544</v>
      </c>
      <c r="B6599" s="166">
        <v>121.69257683143147</v>
      </c>
      <c r="D6599" s="39"/>
      <c r="E6599" s="39"/>
    </row>
    <row r="6600" spans="1:5" ht="15.6">
      <c r="A6600">
        <v>6545</v>
      </c>
      <c r="B6600" s="166">
        <v>103.95331755484145</v>
      </c>
      <c r="D6600" s="39"/>
      <c r="E6600" s="39"/>
    </row>
    <row r="6601" spans="1:5" ht="15.6">
      <c r="A6601">
        <v>6546</v>
      </c>
      <c r="B6601" s="166">
        <v>99.788380569117535</v>
      </c>
      <c r="D6601" s="39"/>
      <c r="E6601" s="39"/>
    </row>
    <row r="6602" spans="1:5" ht="15.6">
      <c r="A6602">
        <v>6547</v>
      </c>
      <c r="B6602" s="166">
        <v>134.27049071217817</v>
      </c>
      <c r="D6602" s="39"/>
      <c r="E6602" s="39"/>
    </row>
    <row r="6603" spans="1:5" ht="15.6">
      <c r="A6603">
        <v>6548</v>
      </c>
      <c r="B6603" s="166">
        <v>108.11132749756378</v>
      </c>
      <c r="D6603" s="39"/>
      <c r="E6603" s="39"/>
    </row>
    <row r="6604" spans="1:5" ht="15.6">
      <c r="A6604">
        <v>6549</v>
      </c>
      <c r="B6604" s="166">
        <v>149.26982213203067</v>
      </c>
      <c r="D6604" s="39"/>
      <c r="E6604" s="39"/>
    </row>
    <row r="6605" spans="1:5" ht="15.6">
      <c r="A6605">
        <v>6550</v>
      </c>
      <c r="B6605" s="166">
        <v>128.1632639556376</v>
      </c>
      <c r="D6605" s="39"/>
      <c r="E6605" s="39"/>
    </row>
    <row r="6606" spans="1:5" ht="15.6">
      <c r="A6606">
        <v>6551</v>
      </c>
      <c r="B6606" s="166">
        <v>86.653826950320479</v>
      </c>
      <c r="D6606" s="39"/>
      <c r="E6606" s="39"/>
    </row>
    <row r="6607" spans="1:5" ht="15.6">
      <c r="A6607">
        <v>6552</v>
      </c>
      <c r="B6607" s="166">
        <v>112.7332508894158</v>
      </c>
      <c r="D6607" s="39"/>
      <c r="E6607" s="39"/>
    </row>
    <row r="6608" spans="1:5" ht="15.6">
      <c r="A6608">
        <v>6553</v>
      </c>
      <c r="B6608" s="166">
        <v>81.663348680612941</v>
      </c>
      <c r="D6608" s="39"/>
      <c r="E6608" s="39"/>
    </row>
    <row r="6609" spans="1:5" ht="15.6">
      <c r="A6609">
        <v>6554</v>
      </c>
      <c r="B6609" s="166">
        <v>126.410836345812</v>
      </c>
      <c r="D6609" s="39"/>
      <c r="E6609" s="39"/>
    </row>
    <row r="6610" spans="1:5" ht="15.6">
      <c r="A6610">
        <v>6555</v>
      </c>
      <c r="B6610" s="166">
        <v>73.257423463306722</v>
      </c>
      <c r="D6610" s="39"/>
      <c r="E6610" s="39"/>
    </row>
    <row r="6611" spans="1:5" ht="15.6">
      <c r="A6611">
        <v>6556</v>
      </c>
      <c r="B6611" s="166">
        <v>180.05718652423047</v>
      </c>
      <c r="D6611" s="39"/>
      <c r="E6611" s="39"/>
    </row>
    <row r="6612" spans="1:5" ht="15.6">
      <c r="A6612">
        <v>6557</v>
      </c>
      <c r="B6612" s="166">
        <v>185.80505903209362</v>
      </c>
      <c r="D6612" s="39"/>
      <c r="E6612" s="39"/>
    </row>
    <row r="6613" spans="1:5" ht="15.6">
      <c r="A6613">
        <v>6558</v>
      </c>
      <c r="B6613" s="166">
        <v>138.7131618355474</v>
      </c>
      <c r="D6613" s="39"/>
      <c r="E6613" s="39"/>
    </row>
    <row r="6614" spans="1:5" ht="15.6">
      <c r="A6614">
        <v>6559</v>
      </c>
      <c r="B6614" s="166">
        <v>115.07070833618579</v>
      </c>
      <c r="D6614" s="39"/>
      <c r="E6614" s="39"/>
    </row>
    <row r="6615" spans="1:5" ht="15.6">
      <c r="A6615">
        <v>6560</v>
      </c>
      <c r="B6615" s="166">
        <v>58.857565659609037</v>
      </c>
      <c r="D6615" s="39"/>
      <c r="E6615" s="39"/>
    </row>
    <row r="6616" spans="1:5" ht="15.6">
      <c r="A6616">
        <v>6561</v>
      </c>
      <c r="B6616" s="166">
        <v>67.191065370488985</v>
      </c>
      <c r="D6616" s="39"/>
      <c r="E6616" s="39"/>
    </row>
    <row r="6617" spans="1:5" ht="15.6">
      <c r="A6617">
        <v>6562</v>
      </c>
      <c r="B6617" s="166">
        <v>103.14036004513176</v>
      </c>
      <c r="D6617" s="39"/>
      <c r="E6617" s="39"/>
    </row>
    <row r="6618" spans="1:5" ht="15.6">
      <c r="A6618">
        <v>6563</v>
      </c>
      <c r="B6618" s="166">
        <v>100.40036700493117</v>
      </c>
      <c r="D6618" s="39"/>
      <c r="E6618" s="39"/>
    </row>
    <row r="6619" spans="1:5" ht="15.6">
      <c r="A6619">
        <v>6564</v>
      </c>
      <c r="B6619" s="166">
        <v>116.57995555186598</v>
      </c>
      <c r="D6619" s="39"/>
      <c r="E6619" s="39"/>
    </row>
    <row r="6620" spans="1:5" ht="15.6">
      <c r="A6620">
        <v>6565</v>
      </c>
      <c r="B6620" s="166">
        <v>106.62865823162801</v>
      </c>
      <c r="D6620" s="39"/>
      <c r="E6620" s="39"/>
    </row>
    <row r="6621" spans="1:5" ht="15.6">
      <c r="A6621">
        <v>6566</v>
      </c>
      <c r="B6621" s="166">
        <v>116.76425086512963</v>
      </c>
      <c r="D6621" s="39"/>
      <c r="E6621" s="39"/>
    </row>
    <row r="6622" spans="1:5" ht="15.6">
      <c r="A6622">
        <v>6567</v>
      </c>
      <c r="B6622" s="166">
        <v>100.13939153949313</v>
      </c>
      <c r="D6622" s="39"/>
      <c r="E6622" s="39"/>
    </row>
    <row r="6623" spans="1:5" ht="15.6">
      <c r="A6623">
        <v>6568</v>
      </c>
      <c r="B6623" s="166">
        <v>119.73067146099346</v>
      </c>
      <c r="D6623" s="39"/>
      <c r="E6623" s="39"/>
    </row>
    <row r="6624" spans="1:5" ht="15.6">
      <c r="A6624">
        <v>6569</v>
      </c>
      <c r="B6624" s="166">
        <v>205.71580058004781</v>
      </c>
      <c r="D6624" s="39"/>
      <c r="E6624" s="39"/>
    </row>
    <row r="6625" spans="1:5" ht="15.6">
      <c r="A6625">
        <v>6570</v>
      </c>
      <c r="B6625" s="166">
        <v>116.66048994820588</v>
      </c>
      <c r="D6625" s="39"/>
      <c r="E6625" s="39"/>
    </row>
    <row r="6626" spans="1:5" ht="15.6">
      <c r="A6626">
        <v>6571</v>
      </c>
      <c r="B6626" s="166">
        <v>103.93312301749383</v>
      </c>
      <c r="D6626" s="39"/>
      <c r="E6626" s="39"/>
    </row>
    <row r="6627" spans="1:5" ht="15.6">
      <c r="A6627">
        <v>6572</v>
      </c>
      <c r="B6627" s="166">
        <v>114.02048431916756</v>
      </c>
      <c r="D6627" s="39"/>
      <c r="E6627" s="39"/>
    </row>
    <row r="6628" spans="1:5" ht="15.6">
      <c r="A6628">
        <v>6573</v>
      </c>
      <c r="B6628" s="166">
        <v>183.22232505112834</v>
      </c>
      <c r="D6628" s="39"/>
      <c r="E6628" s="39"/>
    </row>
    <row r="6629" spans="1:5" ht="15.6">
      <c r="A6629">
        <v>6574</v>
      </c>
      <c r="B6629" s="166">
        <v>66.633979928911728</v>
      </c>
      <c r="D6629" s="39"/>
      <c r="E6629" s="39"/>
    </row>
    <row r="6630" spans="1:5" ht="15.6">
      <c r="A6630">
        <v>6575</v>
      </c>
      <c r="B6630" s="166">
        <v>74.153997281119416</v>
      </c>
      <c r="D6630" s="39"/>
      <c r="E6630" s="39"/>
    </row>
    <row r="6631" spans="1:5" ht="15.6">
      <c r="A6631">
        <v>6576</v>
      </c>
      <c r="B6631" s="166">
        <v>105.48373185915736</v>
      </c>
      <c r="D6631" s="39"/>
      <c r="E6631" s="39"/>
    </row>
    <row r="6632" spans="1:5" ht="15.6">
      <c r="A6632">
        <v>6577</v>
      </c>
      <c r="B6632" s="166">
        <v>104.94922447236404</v>
      </c>
      <c r="D6632" s="39"/>
      <c r="E6632" s="39"/>
    </row>
    <row r="6633" spans="1:5" ht="15.6">
      <c r="A6633">
        <v>6578</v>
      </c>
      <c r="B6633" s="166">
        <v>79.001091087733201</v>
      </c>
      <c r="D6633" s="39"/>
      <c r="E6633" s="39"/>
    </row>
    <row r="6634" spans="1:5" ht="15.6">
      <c r="A6634">
        <v>6579</v>
      </c>
      <c r="B6634" s="166">
        <v>57.450042534589535</v>
      </c>
      <c r="D6634" s="39"/>
      <c r="E6634" s="39"/>
    </row>
    <row r="6635" spans="1:5" ht="15.6">
      <c r="A6635">
        <v>6580</v>
      </c>
      <c r="B6635" s="166">
        <v>113.83734080847434</v>
      </c>
      <c r="D6635" s="39"/>
      <c r="E6635" s="39"/>
    </row>
    <row r="6636" spans="1:5" ht="15.6">
      <c r="A6636">
        <v>6581</v>
      </c>
      <c r="B6636" s="166">
        <v>124.93559179480431</v>
      </c>
      <c r="D6636" s="39"/>
      <c r="E6636" s="39"/>
    </row>
    <row r="6637" spans="1:5" ht="15.6">
      <c r="A6637">
        <v>6582</v>
      </c>
      <c r="B6637" s="166">
        <v>121.86567272073481</v>
      </c>
      <c r="D6637" s="39"/>
      <c r="E6637" s="39"/>
    </row>
    <row r="6638" spans="1:5" ht="15.6">
      <c r="A6638">
        <v>6583</v>
      </c>
      <c r="B6638" s="166">
        <v>147.91739186827891</v>
      </c>
      <c r="D6638" s="39"/>
      <c r="E6638" s="39"/>
    </row>
    <row r="6639" spans="1:5" ht="15.6">
      <c r="A6639">
        <v>6584</v>
      </c>
      <c r="B6639" s="166">
        <v>79.780989263080912</v>
      </c>
      <c r="D6639" s="39"/>
      <c r="E6639" s="39"/>
    </row>
    <row r="6640" spans="1:5" ht="15.6">
      <c r="A6640">
        <v>6585</v>
      </c>
      <c r="B6640" s="166">
        <v>165.27426246153621</v>
      </c>
      <c r="D6640" s="39"/>
      <c r="E6640" s="39"/>
    </row>
    <row r="6641" spans="1:5" ht="15.6">
      <c r="A6641">
        <v>6586</v>
      </c>
      <c r="B6641" s="166">
        <v>62.212946609037431</v>
      </c>
      <c r="D6641" s="39"/>
      <c r="E6641" s="39"/>
    </row>
    <row r="6642" spans="1:5" ht="15.6">
      <c r="A6642">
        <v>6587</v>
      </c>
      <c r="B6642" s="166">
        <v>83.236841047832598</v>
      </c>
      <c r="D6642" s="39"/>
      <c r="E6642" s="39"/>
    </row>
    <row r="6643" spans="1:5" ht="15.6">
      <c r="A6643">
        <v>6588</v>
      </c>
      <c r="B6643" s="166">
        <v>75.733298679614819</v>
      </c>
      <c r="D6643" s="39"/>
      <c r="E6643" s="39"/>
    </row>
    <row r="6644" spans="1:5" ht="15.6">
      <c r="A6644">
        <v>6589</v>
      </c>
      <c r="B6644" s="166">
        <v>90.453112015481707</v>
      </c>
      <c r="D6644" s="39"/>
      <c r="E6644" s="39"/>
    </row>
    <row r="6645" spans="1:5" ht="15.6">
      <c r="A6645">
        <v>6590</v>
      </c>
      <c r="B6645" s="166">
        <v>180.4782532714155</v>
      </c>
      <c r="D6645" s="39"/>
      <c r="E6645" s="39"/>
    </row>
    <row r="6646" spans="1:5" ht="15.6">
      <c r="A6646">
        <v>6591</v>
      </c>
      <c r="B6646" s="166">
        <v>70.338471678243579</v>
      </c>
      <c r="D6646" s="39"/>
      <c r="E6646" s="39"/>
    </row>
    <row r="6647" spans="1:5" ht="15.6">
      <c r="A6647">
        <v>6592</v>
      </c>
      <c r="B6647" s="166">
        <v>57.830054567701318</v>
      </c>
      <c r="D6647" s="39"/>
      <c r="E6647" s="39"/>
    </row>
    <row r="6648" spans="1:5" ht="15.6">
      <c r="A6648">
        <v>6593</v>
      </c>
      <c r="B6648" s="166">
        <v>57.807640878536013</v>
      </c>
      <c r="D6648" s="39"/>
      <c r="E6648" s="39"/>
    </row>
    <row r="6649" spans="1:5" ht="15.6">
      <c r="A6649">
        <v>6594</v>
      </c>
      <c r="B6649" s="166">
        <v>92.666020336101539</v>
      </c>
      <c r="D6649" s="39"/>
      <c r="E6649" s="39"/>
    </row>
    <row r="6650" spans="1:5" ht="15.6">
      <c r="A6650">
        <v>6595</v>
      </c>
      <c r="B6650" s="166">
        <v>79.21550419021645</v>
      </c>
      <c r="D6650" s="39"/>
      <c r="E6650" s="39"/>
    </row>
    <row r="6651" spans="1:5" ht="15.6">
      <c r="A6651">
        <v>6596</v>
      </c>
      <c r="B6651" s="166">
        <v>153.85623042170158</v>
      </c>
      <c r="D6651" s="39"/>
      <c r="E6651" s="39"/>
    </row>
    <row r="6652" spans="1:5" ht="15.6">
      <c r="A6652">
        <v>6597</v>
      </c>
      <c r="B6652" s="166">
        <v>109.7145887513941</v>
      </c>
      <c r="D6652" s="39"/>
      <c r="E6652" s="39"/>
    </row>
    <row r="6653" spans="1:5" ht="15.6">
      <c r="A6653">
        <v>6598</v>
      </c>
      <c r="B6653" s="166">
        <v>100.84419332446129</v>
      </c>
      <c r="D6653" s="39"/>
      <c r="E6653" s="39"/>
    </row>
    <row r="6654" spans="1:5" ht="15.6">
      <c r="A6654">
        <v>6599</v>
      </c>
      <c r="B6654" s="166">
        <v>110.91741638925059</v>
      </c>
      <c r="D6654" s="39"/>
      <c r="E6654" s="39"/>
    </row>
    <row r="6655" spans="1:5" ht="15.6">
      <c r="A6655">
        <v>6600</v>
      </c>
      <c r="B6655" s="166">
        <v>74.438967147739319</v>
      </c>
      <c r="D6655" s="39"/>
      <c r="E6655" s="39"/>
    </row>
    <row r="6656" spans="1:5" ht="15.6">
      <c r="A6656">
        <v>6601</v>
      </c>
      <c r="B6656" s="166">
        <v>132.63127834530997</v>
      </c>
      <c r="D6656" s="39"/>
      <c r="E6656" s="39"/>
    </row>
    <row r="6657" spans="1:5" ht="15.6">
      <c r="A6657">
        <v>6602</v>
      </c>
      <c r="B6657" s="166">
        <v>203.58465962624288</v>
      </c>
      <c r="D6657" s="39"/>
      <c r="E6657" s="39"/>
    </row>
    <row r="6658" spans="1:5" ht="15.6">
      <c r="A6658">
        <v>6603</v>
      </c>
      <c r="B6658" s="166">
        <v>113.27335155538979</v>
      </c>
      <c r="D6658" s="39"/>
      <c r="E6658" s="39"/>
    </row>
    <row r="6659" spans="1:5" ht="15.6">
      <c r="A6659">
        <v>6604</v>
      </c>
      <c r="B6659" s="166">
        <v>112.06428954702504</v>
      </c>
      <c r="D6659" s="39"/>
      <c r="E6659" s="39"/>
    </row>
    <row r="6660" spans="1:5" ht="15.6">
      <c r="A6660">
        <v>6605</v>
      </c>
      <c r="B6660" s="166">
        <v>87.689873651668606</v>
      </c>
      <c r="D6660" s="39"/>
      <c r="E6660" s="39"/>
    </row>
    <row r="6661" spans="1:5" ht="15.6">
      <c r="A6661">
        <v>6606</v>
      </c>
      <c r="B6661" s="166">
        <v>199.96318350544485</v>
      </c>
      <c r="D6661" s="39"/>
      <c r="E6661" s="39"/>
    </row>
    <row r="6662" spans="1:5" ht="15.6">
      <c r="A6662">
        <v>6607</v>
      </c>
      <c r="B6662" s="166">
        <v>68.595982893576505</v>
      </c>
      <c r="D6662" s="39"/>
      <c r="E6662" s="39"/>
    </row>
    <row r="6663" spans="1:5" ht="15.6">
      <c r="A6663">
        <v>6608</v>
      </c>
      <c r="B6663" s="166">
        <v>110.7679548050024</v>
      </c>
      <c r="D6663" s="39"/>
      <c r="E6663" s="39"/>
    </row>
    <row r="6664" spans="1:5" ht="15.6">
      <c r="A6664">
        <v>6609</v>
      </c>
      <c r="B6664" s="166">
        <v>93.945956604902307</v>
      </c>
      <c r="D6664" s="39"/>
      <c r="E6664" s="39"/>
    </row>
    <row r="6665" spans="1:5" ht="15.6">
      <c r="A6665">
        <v>6610</v>
      </c>
      <c r="B6665" s="166">
        <v>125.47147932956338</v>
      </c>
      <c r="D6665" s="39"/>
      <c r="E6665" s="39"/>
    </row>
    <row r="6666" spans="1:5" ht="15.6">
      <c r="A6666">
        <v>6611</v>
      </c>
      <c r="B6666" s="166">
        <v>99.88882774694801</v>
      </c>
      <c r="D6666" s="39"/>
      <c r="E6666" s="39"/>
    </row>
    <row r="6667" spans="1:5" ht="15.6">
      <c r="A6667">
        <v>6612</v>
      </c>
      <c r="B6667" s="166">
        <v>115.89171939858529</v>
      </c>
      <c r="D6667" s="39"/>
      <c r="E6667" s="39"/>
    </row>
    <row r="6668" spans="1:5" ht="15.6">
      <c r="A6668">
        <v>6613</v>
      </c>
      <c r="B6668" s="166">
        <v>94.854894136178785</v>
      </c>
      <c r="D6668" s="39"/>
      <c r="E6668" s="39"/>
    </row>
    <row r="6669" spans="1:5" ht="15.6">
      <c r="A6669">
        <v>6614</v>
      </c>
      <c r="B6669" s="166">
        <v>102.46781582971272</v>
      </c>
      <c r="D6669" s="39"/>
      <c r="E6669" s="39"/>
    </row>
    <row r="6670" spans="1:5" ht="15.6">
      <c r="A6670">
        <v>6615</v>
      </c>
      <c r="B6670" s="166">
        <v>95.888671377703446</v>
      </c>
      <c r="D6670" s="39"/>
      <c r="E6670" s="39"/>
    </row>
    <row r="6671" spans="1:5" ht="15.6">
      <c r="A6671">
        <v>6616</v>
      </c>
      <c r="B6671" s="166">
        <v>121.09894877042608</v>
      </c>
      <c r="D6671" s="39"/>
      <c r="E6671" s="39"/>
    </row>
    <row r="6672" spans="1:5" ht="15.6">
      <c r="A6672">
        <v>6617</v>
      </c>
      <c r="B6672" s="166">
        <v>207.11570689861938</v>
      </c>
      <c r="D6672" s="39"/>
      <c r="E6672" s="39"/>
    </row>
    <row r="6673" spans="1:5" ht="15.6">
      <c r="A6673">
        <v>6618</v>
      </c>
      <c r="B6673" s="166">
        <v>93.577947757681102</v>
      </c>
      <c r="D6673" s="39"/>
      <c r="E6673" s="39"/>
    </row>
    <row r="6674" spans="1:5" ht="15.6">
      <c r="A6674">
        <v>6619</v>
      </c>
      <c r="B6674" s="166">
        <v>133.56215626176615</v>
      </c>
      <c r="D6674" s="39"/>
      <c r="E6674" s="39"/>
    </row>
    <row r="6675" spans="1:5" ht="15.6">
      <c r="A6675">
        <v>6620</v>
      </c>
      <c r="B6675" s="166">
        <v>78.256652412157948</v>
      </c>
      <c r="D6675" s="39"/>
      <c r="E6675" s="39"/>
    </row>
    <row r="6676" spans="1:5" ht="15.6">
      <c r="A6676">
        <v>6621</v>
      </c>
      <c r="B6676" s="166">
        <v>160.31136568741448</v>
      </c>
      <c r="D6676" s="39"/>
      <c r="E6676" s="39"/>
    </row>
    <row r="6677" spans="1:5" ht="15.6">
      <c r="A6677">
        <v>6622</v>
      </c>
      <c r="B6677" s="166">
        <v>91.772967264218238</v>
      </c>
      <c r="D6677" s="39"/>
      <c r="E6677" s="39"/>
    </row>
    <row r="6678" spans="1:5" ht="15.6">
      <c r="A6678">
        <v>6623</v>
      </c>
      <c r="B6678" s="166">
        <v>126.80777831461782</v>
      </c>
      <c r="D6678" s="39"/>
      <c r="E6678" s="39"/>
    </row>
    <row r="6679" spans="1:5" ht="15.6">
      <c r="A6679">
        <v>6624</v>
      </c>
      <c r="B6679" s="166">
        <v>125.227259388503</v>
      </c>
      <c r="D6679" s="39"/>
      <c r="E6679" s="39"/>
    </row>
    <row r="6680" spans="1:5" ht="15.6">
      <c r="A6680">
        <v>6625</v>
      </c>
      <c r="B6680" s="166">
        <v>121.95031644531872</v>
      </c>
      <c r="D6680" s="39"/>
      <c r="E6680" s="39"/>
    </row>
    <row r="6681" spans="1:5" ht="15.6">
      <c r="A6681">
        <v>6626</v>
      </c>
      <c r="B6681" s="166">
        <v>84.883837144907915</v>
      </c>
      <c r="D6681" s="39"/>
      <c r="E6681" s="39"/>
    </row>
    <row r="6682" spans="1:5" ht="15.6">
      <c r="A6682">
        <v>6627</v>
      </c>
      <c r="B6682" s="166">
        <v>192.11580015601101</v>
      </c>
      <c r="D6682" s="39"/>
      <c r="E6682" s="39"/>
    </row>
    <row r="6683" spans="1:5" ht="15.6">
      <c r="A6683">
        <v>6628</v>
      </c>
      <c r="B6683" s="166">
        <v>92.261388744470707</v>
      </c>
      <c r="D6683" s="39"/>
      <c r="E6683" s="39"/>
    </row>
    <row r="6684" spans="1:5" ht="15.6">
      <c r="A6684">
        <v>6629</v>
      </c>
      <c r="B6684" s="166">
        <v>98.360599569613214</v>
      </c>
      <c r="D6684" s="39"/>
      <c r="E6684" s="39"/>
    </row>
    <row r="6685" spans="1:5" ht="15.6">
      <c r="A6685">
        <v>6630</v>
      </c>
      <c r="B6685" s="166">
        <v>83.088320136609013</v>
      </c>
      <c r="D6685" s="39"/>
      <c r="E6685" s="39"/>
    </row>
    <row r="6686" spans="1:5" ht="15.6">
      <c r="A6686">
        <v>6631</v>
      </c>
      <c r="B6686" s="166">
        <v>69.602371148355132</v>
      </c>
      <c r="D6686" s="39"/>
      <c r="E6686" s="39"/>
    </row>
    <row r="6687" spans="1:5" ht="15.6">
      <c r="A6687">
        <v>6632</v>
      </c>
      <c r="B6687" s="166">
        <v>113.57424677661932</v>
      </c>
      <c r="D6687" s="39"/>
      <c r="E6687" s="39"/>
    </row>
    <row r="6688" spans="1:5" ht="15.6">
      <c r="A6688">
        <v>6633</v>
      </c>
      <c r="B6688" s="166">
        <v>87.5875247735991</v>
      </c>
      <c r="D6688" s="39"/>
      <c r="E6688" s="39"/>
    </row>
    <row r="6689" spans="1:5" ht="15.6">
      <c r="A6689">
        <v>6634</v>
      </c>
      <c r="B6689" s="166">
        <v>75.433009586881255</v>
      </c>
      <c r="D6689" s="39"/>
      <c r="E6689" s="39"/>
    </row>
    <row r="6690" spans="1:5" ht="15.6">
      <c r="A6690">
        <v>6635</v>
      </c>
      <c r="B6690" s="166">
        <v>155.3024047184081</v>
      </c>
      <c r="D6690" s="39"/>
      <c r="E6690" s="39"/>
    </row>
    <row r="6691" spans="1:5" ht="15.6">
      <c r="A6691">
        <v>6636</v>
      </c>
      <c r="B6691" s="166">
        <v>88.884064161710782</v>
      </c>
      <c r="D6691" s="39"/>
      <c r="E6691" s="39"/>
    </row>
    <row r="6692" spans="1:5" ht="15.6">
      <c r="A6692">
        <v>6637</v>
      </c>
      <c r="B6692" s="166">
        <v>71.730183799282415</v>
      </c>
      <c r="D6692" s="39"/>
      <c r="E6692" s="39"/>
    </row>
    <row r="6693" spans="1:5" ht="15.6">
      <c r="A6693">
        <v>6638</v>
      </c>
      <c r="B6693" s="166">
        <v>86.884532413113718</v>
      </c>
      <c r="D6693" s="39"/>
      <c r="E6693" s="39"/>
    </row>
    <row r="6694" spans="1:5" ht="15.6">
      <c r="A6694">
        <v>6639</v>
      </c>
      <c r="B6694" s="166">
        <v>51.400674091899511</v>
      </c>
      <c r="D6694" s="39"/>
      <c r="E6694" s="39"/>
    </row>
    <row r="6695" spans="1:5" ht="15.6">
      <c r="A6695">
        <v>6640</v>
      </c>
      <c r="B6695" s="166">
        <v>111.68170541886592</v>
      </c>
      <c r="D6695" s="39"/>
      <c r="E6695" s="39"/>
    </row>
    <row r="6696" spans="1:5" ht="15.6">
      <c r="A6696">
        <v>6641</v>
      </c>
      <c r="B6696" s="166">
        <v>71.57967999721059</v>
      </c>
      <c r="D6696" s="39"/>
      <c r="E6696" s="39"/>
    </row>
    <row r="6697" spans="1:5" ht="15.6">
      <c r="A6697">
        <v>6642</v>
      </c>
      <c r="B6697" s="166">
        <v>81.267919452867488</v>
      </c>
      <c r="D6697" s="39"/>
      <c r="E6697" s="39"/>
    </row>
    <row r="6698" spans="1:5" ht="15.6">
      <c r="A6698">
        <v>6643</v>
      </c>
      <c r="B6698" s="166">
        <v>88.237005236448255</v>
      </c>
      <c r="D6698" s="39"/>
      <c r="E6698" s="39"/>
    </row>
    <row r="6699" spans="1:5" ht="15.6">
      <c r="A6699">
        <v>6644</v>
      </c>
      <c r="B6699" s="166">
        <v>64.393590363645444</v>
      </c>
      <c r="D6699" s="39"/>
      <c r="E6699" s="39"/>
    </row>
    <row r="6700" spans="1:5" ht="15.6">
      <c r="A6700">
        <v>6645</v>
      </c>
      <c r="B6700" s="166">
        <v>71.98417029822437</v>
      </c>
      <c r="D6700" s="39"/>
      <c r="E6700" s="39"/>
    </row>
    <row r="6701" spans="1:5" ht="15.6">
      <c r="A6701">
        <v>6646</v>
      </c>
      <c r="B6701" s="166">
        <v>73.145870603856778</v>
      </c>
      <c r="D6701" s="39"/>
      <c r="E6701" s="39"/>
    </row>
    <row r="6702" spans="1:5" ht="15.6">
      <c r="A6702">
        <v>6647</v>
      </c>
      <c r="B6702" s="166">
        <v>161.82427597322942</v>
      </c>
      <c r="D6702" s="39"/>
      <c r="E6702" s="39"/>
    </row>
    <row r="6703" spans="1:5" ht="15.6">
      <c r="A6703">
        <v>6648</v>
      </c>
      <c r="B6703" s="166">
        <v>75.905681172500806</v>
      </c>
      <c r="D6703" s="39"/>
      <c r="E6703" s="39"/>
    </row>
    <row r="6704" spans="1:5" ht="15.6">
      <c r="A6704">
        <v>6649</v>
      </c>
      <c r="B6704" s="166">
        <v>148.33689694000847</v>
      </c>
      <c r="D6704" s="39"/>
      <c r="E6704" s="39"/>
    </row>
    <row r="6705" spans="1:5" ht="15.6">
      <c r="A6705">
        <v>6650</v>
      </c>
      <c r="B6705" s="166">
        <v>146.99686743007274</v>
      </c>
      <c r="D6705" s="39"/>
      <c r="E6705" s="39"/>
    </row>
    <row r="6706" spans="1:5" ht="15.6">
      <c r="A6706">
        <v>6651</v>
      </c>
      <c r="B6706" s="166">
        <v>53.441970856763518</v>
      </c>
      <c r="D6706" s="39"/>
      <c r="E6706" s="39"/>
    </row>
    <row r="6707" spans="1:5" ht="15.6">
      <c r="A6707">
        <v>6652</v>
      </c>
      <c r="B6707" s="166">
        <v>97.818312103462915</v>
      </c>
      <c r="D6707" s="39"/>
      <c r="E6707" s="39"/>
    </row>
    <row r="6708" spans="1:5" ht="15.6">
      <c r="A6708">
        <v>6653</v>
      </c>
      <c r="B6708" s="166">
        <v>108.29361354584609</v>
      </c>
      <c r="D6708" s="39"/>
      <c r="E6708" s="39"/>
    </row>
    <row r="6709" spans="1:5" ht="15.6">
      <c r="A6709">
        <v>6654</v>
      </c>
      <c r="B6709" s="166">
        <v>115.76235375882652</v>
      </c>
      <c r="D6709" s="39"/>
      <c r="E6709" s="39"/>
    </row>
    <row r="6710" spans="1:5" ht="15.6">
      <c r="A6710">
        <v>6655</v>
      </c>
      <c r="B6710" s="166">
        <v>143.18605309751112</v>
      </c>
      <c r="D6710" s="39"/>
      <c r="E6710" s="39"/>
    </row>
    <row r="6711" spans="1:5" ht="15.6">
      <c r="A6711">
        <v>6656</v>
      </c>
      <c r="B6711" s="166">
        <v>184.92978783041698</v>
      </c>
      <c r="D6711" s="39"/>
      <c r="E6711" s="39"/>
    </row>
    <row r="6712" spans="1:5" ht="15.6">
      <c r="A6712">
        <v>6657</v>
      </c>
      <c r="B6712" s="166">
        <v>106.01620901165653</v>
      </c>
      <c r="D6712" s="39"/>
      <c r="E6712" s="39"/>
    </row>
    <row r="6713" spans="1:5" ht="15.6">
      <c r="A6713">
        <v>6658</v>
      </c>
      <c r="B6713" s="166">
        <v>80.320619934134996</v>
      </c>
      <c r="D6713" s="39"/>
      <c r="E6713" s="39"/>
    </row>
    <row r="6714" spans="1:5" ht="15.6">
      <c r="A6714">
        <v>6659</v>
      </c>
      <c r="B6714" s="166">
        <v>174.54201088267655</v>
      </c>
      <c r="D6714" s="39"/>
      <c r="E6714" s="39"/>
    </row>
    <row r="6715" spans="1:5" ht="15.6">
      <c r="A6715">
        <v>6660</v>
      </c>
      <c r="B6715" s="166">
        <v>86.435953913514567</v>
      </c>
      <c r="D6715" s="39"/>
      <c r="E6715" s="39"/>
    </row>
    <row r="6716" spans="1:5" ht="15.6">
      <c r="A6716">
        <v>6661</v>
      </c>
      <c r="B6716" s="166">
        <v>47.410095720554267</v>
      </c>
      <c r="D6716" s="39"/>
      <c r="E6716" s="39"/>
    </row>
    <row r="6717" spans="1:5" ht="15.6">
      <c r="A6717">
        <v>6662</v>
      </c>
      <c r="B6717" s="166">
        <v>71.28092518290515</v>
      </c>
      <c r="D6717" s="39"/>
      <c r="E6717" s="39"/>
    </row>
    <row r="6718" spans="1:5" ht="15.6">
      <c r="A6718">
        <v>6663</v>
      </c>
      <c r="B6718" s="166">
        <v>59.247891432507068</v>
      </c>
      <c r="D6718" s="39"/>
      <c r="E6718" s="39"/>
    </row>
    <row r="6719" spans="1:5" ht="15.6">
      <c r="A6719">
        <v>6664</v>
      </c>
      <c r="B6719" s="166">
        <v>91.457300903542333</v>
      </c>
      <c r="D6719" s="39"/>
      <c r="E6719" s="39"/>
    </row>
    <row r="6720" spans="1:5" ht="15.6">
      <c r="A6720">
        <v>6665</v>
      </c>
      <c r="B6720" s="166">
        <v>74.258966434923011</v>
      </c>
      <c r="D6720" s="39"/>
      <c r="E6720" s="39"/>
    </row>
    <row r="6721" spans="1:5" ht="15.6">
      <c r="A6721">
        <v>6666</v>
      </c>
      <c r="B6721" s="166">
        <v>79.115022786833464</v>
      </c>
      <c r="D6721" s="39"/>
      <c r="E6721" s="39"/>
    </row>
    <row r="6722" spans="1:5" ht="15.6">
      <c r="A6722">
        <v>6667</v>
      </c>
      <c r="B6722" s="166">
        <v>105.69992840757617</v>
      </c>
      <c r="D6722" s="39"/>
      <c r="E6722" s="39"/>
    </row>
    <row r="6723" spans="1:5" ht="15.6">
      <c r="A6723">
        <v>6668</v>
      </c>
      <c r="B6723" s="166">
        <v>64.366239543856608</v>
      </c>
      <c r="D6723" s="39"/>
      <c r="E6723" s="39"/>
    </row>
    <row r="6724" spans="1:5" ht="15.6">
      <c r="A6724">
        <v>6669</v>
      </c>
      <c r="B6724" s="166">
        <v>165.05591312184586</v>
      </c>
      <c r="D6724" s="39"/>
      <c r="E6724" s="39"/>
    </row>
    <row r="6725" spans="1:5" ht="15.6">
      <c r="A6725">
        <v>6670</v>
      </c>
      <c r="B6725" s="166">
        <v>125.11784163241765</v>
      </c>
      <c r="D6725" s="39"/>
      <c r="E6725" s="39"/>
    </row>
    <row r="6726" spans="1:5" ht="15.6">
      <c r="A6726">
        <v>6671</v>
      </c>
      <c r="B6726" s="166">
        <v>137.56912008837699</v>
      </c>
      <c r="D6726" s="39"/>
      <c r="E6726" s="39"/>
    </row>
    <row r="6727" spans="1:5" ht="15.6">
      <c r="A6727">
        <v>6672</v>
      </c>
      <c r="B6727" s="166">
        <v>49.474104480035194</v>
      </c>
      <c r="D6727" s="39"/>
      <c r="E6727" s="39"/>
    </row>
    <row r="6728" spans="1:5" ht="15.6">
      <c r="A6728">
        <v>6673</v>
      </c>
      <c r="B6728" s="166">
        <v>81.127089903016525</v>
      </c>
      <c r="D6728" s="39"/>
      <c r="E6728" s="39"/>
    </row>
    <row r="6729" spans="1:5" ht="15.6">
      <c r="A6729">
        <v>6674</v>
      </c>
      <c r="B6729" s="166">
        <v>48.865504659100942</v>
      </c>
      <c r="D6729" s="39"/>
      <c r="E6729" s="39"/>
    </row>
    <row r="6730" spans="1:5" ht="15.6">
      <c r="A6730">
        <v>6675</v>
      </c>
      <c r="B6730" s="166">
        <v>126.70050676608041</v>
      </c>
      <c r="D6730" s="39"/>
      <c r="E6730" s="39"/>
    </row>
    <row r="6731" spans="1:5" ht="15.6">
      <c r="A6731">
        <v>6676</v>
      </c>
      <c r="B6731" s="166">
        <v>58.703727332672351</v>
      </c>
      <c r="D6731" s="39"/>
      <c r="E6731" s="39"/>
    </row>
    <row r="6732" spans="1:5" ht="15.6">
      <c r="A6732">
        <v>6677</v>
      </c>
      <c r="B6732" s="166">
        <v>81.85876483987812</v>
      </c>
      <c r="D6732" s="39"/>
      <c r="E6732" s="39"/>
    </row>
    <row r="6733" spans="1:5" ht="15.6">
      <c r="A6733">
        <v>6678</v>
      </c>
      <c r="B6733" s="166">
        <v>188.50077011116014</v>
      </c>
      <c r="D6733" s="39"/>
      <c r="E6733" s="39"/>
    </row>
    <row r="6734" spans="1:5" ht="15.6">
      <c r="A6734">
        <v>6679</v>
      </c>
      <c r="B6734" s="166">
        <v>170.25230174894557</v>
      </c>
      <c r="D6734" s="39"/>
      <c r="E6734" s="39"/>
    </row>
    <row r="6735" spans="1:5" ht="15.6">
      <c r="A6735">
        <v>6680</v>
      </c>
      <c r="B6735" s="166">
        <v>86.370963591019944</v>
      </c>
      <c r="D6735" s="39"/>
      <c r="E6735" s="39"/>
    </row>
    <row r="6736" spans="1:5" ht="15.6">
      <c r="A6736">
        <v>6681</v>
      </c>
      <c r="B6736" s="166">
        <v>98.601653873643855</v>
      </c>
      <c r="D6736" s="39"/>
      <c r="E6736" s="39"/>
    </row>
    <row r="6737" spans="1:5" ht="15.6">
      <c r="A6737">
        <v>6682</v>
      </c>
      <c r="B6737" s="166">
        <v>53.136400872073089</v>
      </c>
      <c r="D6737" s="39"/>
      <c r="E6737" s="39"/>
    </row>
    <row r="6738" spans="1:5" ht="15.6">
      <c r="A6738">
        <v>6683</v>
      </c>
      <c r="B6738" s="166">
        <v>129.40411433955902</v>
      </c>
      <c r="D6738" s="39"/>
      <c r="E6738" s="39"/>
    </row>
    <row r="6739" spans="1:5" ht="15.6">
      <c r="A6739">
        <v>6684</v>
      </c>
      <c r="B6739" s="166">
        <v>101.73886753051619</v>
      </c>
      <c r="D6739" s="39"/>
      <c r="E6739" s="39"/>
    </row>
    <row r="6740" spans="1:5" ht="15.6">
      <c r="A6740">
        <v>6685</v>
      </c>
      <c r="B6740" s="166">
        <v>206.95912573385615</v>
      </c>
      <c r="D6740" s="39"/>
      <c r="E6740" s="39"/>
    </row>
    <row r="6741" spans="1:5" ht="15.6">
      <c r="A6741">
        <v>6686</v>
      </c>
      <c r="B6741" s="166">
        <v>63.895884775213702</v>
      </c>
      <c r="D6741" s="39"/>
      <c r="E6741" s="39"/>
    </row>
    <row r="6742" spans="1:5" ht="15.6">
      <c r="A6742">
        <v>6687</v>
      </c>
      <c r="B6742" s="166">
        <v>54.336408853353632</v>
      </c>
      <c r="D6742" s="39"/>
      <c r="E6742" s="39"/>
    </row>
    <row r="6743" spans="1:5" ht="15.6">
      <c r="A6743">
        <v>6688</v>
      </c>
      <c r="B6743" s="166">
        <v>131.55799183622011</v>
      </c>
      <c r="D6743" s="39"/>
      <c r="E6743" s="39"/>
    </row>
    <row r="6744" spans="1:5" ht="15.6">
      <c r="A6744">
        <v>6689</v>
      </c>
      <c r="B6744" s="166">
        <v>96.904893514019207</v>
      </c>
      <c r="D6744" s="39"/>
      <c r="E6744" s="39"/>
    </row>
    <row r="6745" spans="1:5" ht="15.6">
      <c r="A6745">
        <v>6690</v>
      </c>
      <c r="B6745" s="166">
        <v>97.291787075238773</v>
      </c>
      <c r="D6745" s="39"/>
      <c r="E6745" s="39"/>
    </row>
    <row r="6746" spans="1:5" ht="15.6">
      <c r="A6746">
        <v>6691</v>
      </c>
      <c r="B6746" s="166">
        <v>133.62254793283694</v>
      </c>
      <c r="D6746" s="39"/>
      <c r="E6746" s="39"/>
    </row>
    <row r="6747" spans="1:5" ht="15.6">
      <c r="A6747">
        <v>6692</v>
      </c>
      <c r="B6747" s="166">
        <v>151.80190728485505</v>
      </c>
      <c r="D6747" s="39"/>
      <c r="E6747" s="39"/>
    </row>
    <row r="6748" spans="1:5" ht="15.6">
      <c r="A6748">
        <v>6693</v>
      </c>
      <c r="B6748" s="166">
        <v>72.208131898968759</v>
      </c>
      <c r="D6748" s="39"/>
      <c r="E6748" s="39"/>
    </row>
    <row r="6749" spans="1:5" ht="15.6">
      <c r="A6749">
        <v>6694</v>
      </c>
      <c r="B6749" s="166">
        <v>225.76164061550247</v>
      </c>
      <c r="D6749" s="39"/>
      <c r="E6749" s="39"/>
    </row>
    <row r="6750" spans="1:5" ht="15.6">
      <c r="A6750">
        <v>6695</v>
      </c>
      <c r="B6750" s="166">
        <v>57.492857058623741</v>
      </c>
      <c r="D6750" s="39"/>
      <c r="E6750" s="39"/>
    </row>
    <row r="6751" spans="1:5" ht="15.6">
      <c r="A6751">
        <v>6696</v>
      </c>
      <c r="B6751" s="166">
        <v>73.481949443009086</v>
      </c>
      <c r="D6751" s="39"/>
      <c r="E6751" s="39"/>
    </row>
    <row r="6752" spans="1:5" ht="15.6">
      <c r="A6752">
        <v>6697</v>
      </c>
      <c r="B6752" s="166">
        <v>102.40976534261046</v>
      </c>
      <c r="D6752" s="39"/>
      <c r="E6752" s="39"/>
    </row>
    <row r="6753" spans="1:5" ht="15.6">
      <c r="A6753">
        <v>6698</v>
      </c>
      <c r="B6753" s="166">
        <v>65.651890111558416</v>
      </c>
      <c r="D6753" s="39"/>
      <c r="E6753" s="39"/>
    </row>
    <row r="6754" spans="1:5" ht="15.6">
      <c r="A6754">
        <v>6699</v>
      </c>
      <c r="B6754" s="166">
        <v>81.486178158465108</v>
      </c>
      <c r="D6754" s="39"/>
      <c r="E6754" s="39"/>
    </row>
    <row r="6755" spans="1:5" ht="15.6">
      <c r="A6755">
        <v>6700</v>
      </c>
      <c r="B6755" s="166">
        <v>73.378873905939386</v>
      </c>
      <c r="D6755" s="39"/>
      <c r="E6755" s="39"/>
    </row>
    <row r="6756" spans="1:5" ht="15.6">
      <c r="A6756">
        <v>6701</v>
      </c>
      <c r="B6756" s="166">
        <v>140.21639665074144</v>
      </c>
      <c r="D6756" s="39"/>
      <c r="E6756" s="39"/>
    </row>
    <row r="6757" spans="1:5" ht="15.6">
      <c r="A6757">
        <v>6702</v>
      </c>
      <c r="B6757" s="166">
        <v>63.929525814628562</v>
      </c>
      <c r="D6757" s="39"/>
      <c r="E6757" s="39"/>
    </row>
    <row r="6758" spans="1:5" ht="15.6">
      <c r="A6758">
        <v>6703</v>
      </c>
      <c r="B6758" s="166">
        <v>93.213306365459687</v>
      </c>
      <c r="D6758" s="39"/>
      <c r="E6758" s="39"/>
    </row>
    <row r="6759" spans="1:5" ht="15.6">
      <c r="A6759">
        <v>6704</v>
      </c>
      <c r="B6759" s="166">
        <v>128.07861084904428</v>
      </c>
      <c r="D6759" s="39"/>
      <c r="E6759" s="39"/>
    </row>
    <row r="6760" spans="1:5" ht="15.6">
      <c r="A6760">
        <v>6705</v>
      </c>
      <c r="B6760" s="166">
        <v>94.613786050736195</v>
      </c>
      <c r="D6760" s="39"/>
      <c r="E6760" s="39"/>
    </row>
    <row r="6761" spans="1:5" ht="15.6">
      <c r="A6761">
        <v>6706</v>
      </c>
      <c r="B6761" s="166">
        <v>71.88895545526114</v>
      </c>
      <c r="D6761" s="39"/>
      <c r="E6761" s="39"/>
    </row>
    <row r="6762" spans="1:5" ht="15.6">
      <c r="A6762">
        <v>6707</v>
      </c>
      <c r="B6762" s="166">
        <v>110.73271176609101</v>
      </c>
      <c r="D6762" s="39"/>
      <c r="E6762" s="39"/>
    </row>
    <row r="6763" spans="1:5" ht="15.6">
      <c r="A6763">
        <v>6708</v>
      </c>
      <c r="B6763" s="166">
        <v>87.363876244759624</v>
      </c>
      <c r="D6763" s="39"/>
      <c r="E6763" s="39"/>
    </row>
    <row r="6764" spans="1:5" ht="15.6">
      <c r="A6764">
        <v>6709</v>
      </c>
      <c r="B6764" s="166">
        <v>146.02710846135477</v>
      </c>
      <c r="D6764" s="39"/>
      <c r="E6764" s="39"/>
    </row>
    <row r="6765" spans="1:5" ht="15.6">
      <c r="A6765">
        <v>6710</v>
      </c>
      <c r="B6765" s="166">
        <v>113.64300755769995</v>
      </c>
      <c r="D6765" s="39"/>
      <c r="E6765" s="39"/>
    </row>
    <row r="6766" spans="1:5" ht="15.6">
      <c r="A6766">
        <v>6711</v>
      </c>
      <c r="B6766" s="166">
        <v>100.18828102638609</v>
      </c>
      <c r="D6766" s="39"/>
      <c r="E6766" s="39"/>
    </row>
    <row r="6767" spans="1:5" ht="15.6">
      <c r="A6767">
        <v>6712</v>
      </c>
      <c r="B6767" s="166">
        <v>88.790503629011951</v>
      </c>
      <c r="D6767" s="39"/>
      <c r="E6767" s="39"/>
    </row>
    <row r="6768" spans="1:5" ht="15.6">
      <c r="A6768">
        <v>6713</v>
      </c>
      <c r="B6768" s="166">
        <v>128.48991287543495</v>
      </c>
      <c r="D6768" s="39"/>
      <c r="E6768" s="39"/>
    </row>
    <row r="6769" spans="1:5" ht="15.6">
      <c r="A6769">
        <v>6714</v>
      </c>
      <c r="B6769" s="166">
        <v>104.14443328971632</v>
      </c>
      <c r="D6769" s="39"/>
      <c r="E6769" s="39"/>
    </row>
    <row r="6770" spans="1:5" ht="15.6">
      <c r="A6770">
        <v>6715</v>
      </c>
      <c r="B6770" s="166">
        <v>101.18673947162303</v>
      </c>
      <c r="D6770" s="39"/>
      <c r="E6770" s="39"/>
    </row>
    <row r="6771" spans="1:5" ht="15.6">
      <c r="A6771">
        <v>6716</v>
      </c>
      <c r="B6771" s="166">
        <v>98.580597558321514</v>
      </c>
      <c r="D6771" s="39"/>
      <c r="E6771" s="39"/>
    </row>
    <row r="6772" spans="1:5" ht="15.6">
      <c r="A6772">
        <v>6717</v>
      </c>
      <c r="B6772" s="166">
        <v>134.37946365231227</v>
      </c>
      <c r="D6772" s="39"/>
      <c r="E6772" s="39"/>
    </row>
    <row r="6773" spans="1:5" ht="15.6">
      <c r="A6773">
        <v>6718</v>
      </c>
      <c r="B6773" s="166">
        <v>96.42607448909591</v>
      </c>
      <c r="D6773" s="39"/>
      <c r="E6773" s="39"/>
    </row>
    <row r="6774" spans="1:5" ht="15.6">
      <c r="A6774">
        <v>6719</v>
      </c>
      <c r="B6774" s="166">
        <v>75.092194084479019</v>
      </c>
      <c r="D6774" s="39"/>
      <c r="E6774" s="39"/>
    </row>
    <row r="6775" spans="1:5" ht="15.6">
      <c r="A6775">
        <v>6720</v>
      </c>
      <c r="B6775" s="166">
        <v>93.55053173102651</v>
      </c>
      <c r="D6775" s="39"/>
      <c r="E6775" s="39"/>
    </row>
    <row r="6776" spans="1:5" ht="15.6">
      <c r="A6776">
        <v>6721</v>
      </c>
      <c r="B6776" s="166">
        <v>82.07244638183721</v>
      </c>
      <c r="D6776" s="39"/>
      <c r="E6776" s="39"/>
    </row>
    <row r="6777" spans="1:5" ht="15.6">
      <c r="A6777">
        <v>6722</v>
      </c>
      <c r="B6777" s="166">
        <v>88.087293276009476</v>
      </c>
      <c r="D6777" s="39"/>
      <c r="E6777" s="39"/>
    </row>
    <row r="6778" spans="1:5" ht="15.6">
      <c r="A6778">
        <v>6723</v>
      </c>
      <c r="B6778" s="166">
        <v>95.724105666527009</v>
      </c>
      <c r="D6778" s="39"/>
      <c r="E6778" s="39"/>
    </row>
    <row r="6779" spans="1:5" ht="15.6">
      <c r="A6779">
        <v>6724</v>
      </c>
      <c r="B6779" s="166">
        <v>114.74200932100595</v>
      </c>
      <c r="D6779" s="39"/>
      <c r="E6779" s="39"/>
    </row>
    <row r="6780" spans="1:5" ht="15.6">
      <c r="A6780">
        <v>6725</v>
      </c>
      <c r="B6780" s="166">
        <v>68.523210497682854</v>
      </c>
      <c r="D6780" s="39"/>
      <c r="E6780" s="39"/>
    </row>
    <row r="6781" spans="1:5" ht="15.6">
      <c r="A6781">
        <v>6726</v>
      </c>
      <c r="B6781" s="166">
        <v>107.05416681910947</v>
      </c>
      <c r="D6781" s="39"/>
      <c r="E6781" s="39"/>
    </row>
    <row r="6782" spans="1:5" ht="15.6">
      <c r="A6782">
        <v>6727</v>
      </c>
      <c r="B6782" s="166">
        <v>58.069182609627845</v>
      </c>
      <c r="D6782" s="39"/>
      <c r="E6782" s="39"/>
    </row>
    <row r="6783" spans="1:5" ht="15.6">
      <c r="A6783">
        <v>6728</v>
      </c>
      <c r="B6783" s="166">
        <v>69.881536426602437</v>
      </c>
      <c r="D6783" s="39"/>
      <c r="E6783" s="39"/>
    </row>
    <row r="6784" spans="1:5" ht="15.6">
      <c r="A6784">
        <v>6729</v>
      </c>
      <c r="B6784" s="166">
        <v>164.95884543048649</v>
      </c>
      <c r="D6784" s="39"/>
      <c r="E6784" s="39"/>
    </row>
    <row r="6785" spans="1:5" ht="15.6">
      <c r="A6785">
        <v>6730</v>
      </c>
      <c r="B6785" s="166">
        <v>290.63618499162897</v>
      </c>
      <c r="D6785" s="39"/>
      <c r="E6785" s="39"/>
    </row>
    <row r="6786" spans="1:5" ht="15.6">
      <c r="A6786">
        <v>6731</v>
      </c>
      <c r="B6786" s="166">
        <v>99.855764440723391</v>
      </c>
      <c r="D6786" s="39"/>
      <c r="E6786" s="39"/>
    </row>
    <row r="6787" spans="1:5" ht="15.6">
      <c r="A6787">
        <v>6732</v>
      </c>
      <c r="B6787" s="166">
        <v>78.807978468755309</v>
      </c>
      <c r="D6787" s="39"/>
      <c r="E6787" s="39"/>
    </row>
    <row r="6788" spans="1:5" ht="15.6">
      <c r="A6788">
        <v>6733</v>
      </c>
      <c r="B6788" s="166">
        <v>160.32568124177106</v>
      </c>
      <c r="D6788" s="39"/>
      <c r="E6788" s="39"/>
    </row>
    <row r="6789" spans="1:5" ht="15.6">
      <c r="A6789">
        <v>6734</v>
      </c>
      <c r="B6789" s="166">
        <v>115.35126653759799</v>
      </c>
      <c r="D6789" s="39"/>
      <c r="E6789" s="39"/>
    </row>
    <row r="6790" spans="1:5" ht="15.6">
      <c r="A6790">
        <v>6735</v>
      </c>
      <c r="B6790" s="166">
        <v>102.50814317168374</v>
      </c>
      <c r="D6790" s="39"/>
      <c r="E6790" s="39"/>
    </row>
    <row r="6791" spans="1:5" ht="15.6">
      <c r="A6791">
        <v>6736</v>
      </c>
      <c r="B6791" s="166">
        <v>234.78280313349299</v>
      </c>
      <c r="D6791" s="39"/>
      <c r="E6791" s="39"/>
    </row>
    <row r="6792" spans="1:5" ht="15.6">
      <c r="A6792">
        <v>6737</v>
      </c>
      <c r="B6792" s="166">
        <v>121.49541432202305</v>
      </c>
      <c r="D6792" s="39"/>
      <c r="E6792" s="39"/>
    </row>
    <row r="6793" spans="1:5" ht="15.6">
      <c r="A6793">
        <v>6738</v>
      </c>
      <c r="B6793" s="166">
        <v>76.472094345087569</v>
      </c>
      <c r="D6793" s="39"/>
      <c r="E6793" s="39"/>
    </row>
    <row r="6794" spans="1:5" ht="15.6">
      <c r="A6794">
        <v>6739</v>
      </c>
      <c r="B6794" s="166">
        <v>78.934877052155144</v>
      </c>
      <c r="D6794" s="39"/>
      <c r="E6794" s="39"/>
    </row>
    <row r="6795" spans="1:5" ht="15.6">
      <c r="A6795">
        <v>6740</v>
      </c>
      <c r="B6795" s="166">
        <v>116.33050098802123</v>
      </c>
      <c r="D6795" s="39"/>
      <c r="E6795" s="39"/>
    </row>
    <row r="6796" spans="1:5" ht="15.6">
      <c r="A6796">
        <v>6741</v>
      </c>
      <c r="B6796" s="166">
        <v>122.23332948964038</v>
      </c>
      <c r="D6796" s="39"/>
      <c r="E6796" s="39"/>
    </row>
    <row r="6797" spans="1:5" ht="15.6">
      <c r="A6797">
        <v>6742</v>
      </c>
      <c r="B6797" s="166">
        <v>127.37494527639404</v>
      </c>
      <c r="D6797" s="39"/>
      <c r="E6797" s="39"/>
    </row>
    <row r="6798" spans="1:5" ht="15.6">
      <c r="A6798">
        <v>6743</v>
      </c>
      <c r="B6798" s="166">
        <v>76.554807495697546</v>
      </c>
      <c r="D6798" s="39"/>
      <c r="E6798" s="39"/>
    </row>
    <row r="6799" spans="1:5" ht="15.6">
      <c r="A6799">
        <v>6744</v>
      </c>
      <c r="B6799" s="166">
        <v>63.197651478792977</v>
      </c>
      <c r="D6799" s="39"/>
      <c r="E6799" s="39"/>
    </row>
    <row r="6800" spans="1:5" ht="15.6">
      <c r="A6800">
        <v>6745</v>
      </c>
      <c r="B6800" s="166">
        <v>110.65189592335508</v>
      </c>
      <c r="D6800" s="39"/>
      <c r="E6800" s="39"/>
    </row>
    <row r="6801" spans="1:5" ht="15.6">
      <c r="A6801">
        <v>6746</v>
      </c>
      <c r="B6801" s="166">
        <v>85.536505630373171</v>
      </c>
      <c r="D6801" s="39"/>
      <c r="E6801" s="39"/>
    </row>
    <row r="6802" spans="1:5" ht="15.6">
      <c r="A6802">
        <v>6747</v>
      </c>
      <c r="B6802" s="166">
        <v>94.239810903947017</v>
      </c>
      <c r="D6802" s="39"/>
      <c r="E6802" s="39"/>
    </row>
    <row r="6803" spans="1:5" ht="15.6">
      <c r="A6803">
        <v>6748</v>
      </c>
      <c r="B6803" s="166">
        <v>122.21691942617549</v>
      </c>
      <c r="D6803" s="39"/>
      <c r="E6803" s="39"/>
    </row>
    <row r="6804" spans="1:5" ht="15.6">
      <c r="A6804">
        <v>6749</v>
      </c>
      <c r="B6804" s="166">
        <v>126.97964988961766</v>
      </c>
      <c r="D6804" s="39"/>
      <c r="E6804" s="39"/>
    </row>
    <row r="6805" spans="1:5" ht="15.6">
      <c r="A6805">
        <v>6750</v>
      </c>
      <c r="B6805" s="166">
        <v>148.11329204526541</v>
      </c>
      <c r="D6805" s="39"/>
      <c r="E6805" s="39"/>
    </row>
    <row r="6806" spans="1:5" ht="15.6">
      <c r="A6806">
        <v>6751</v>
      </c>
      <c r="B6806" s="166">
        <v>125.84554521672186</v>
      </c>
      <c r="D6806" s="39"/>
      <c r="E6806" s="39"/>
    </row>
    <row r="6807" spans="1:5" ht="15.6">
      <c r="A6807">
        <v>6752</v>
      </c>
      <c r="B6807" s="166">
        <v>87.964229313251508</v>
      </c>
      <c r="D6807" s="39"/>
      <c r="E6807" s="39"/>
    </row>
    <row r="6808" spans="1:5" ht="15.6">
      <c r="A6808">
        <v>6753</v>
      </c>
      <c r="B6808" s="166">
        <v>97.793057777133001</v>
      </c>
      <c r="D6808" s="39"/>
      <c r="E6808" s="39"/>
    </row>
    <row r="6809" spans="1:5" ht="15.6">
      <c r="A6809">
        <v>6754</v>
      </c>
      <c r="B6809" s="166">
        <v>197.68872384103071</v>
      </c>
      <c r="D6809" s="39"/>
      <c r="E6809" s="39"/>
    </row>
    <row r="6810" spans="1:5" ht="15.6">
      <c r="A6810">
        <v>6755</v>
      </c>
      <c r="B6810" s="166">
        <v>86.351228497832381</v>
      </c>
      <c r="D6810" s="39"/>
      <c r="E6810" s="39"/>
    </row>
    <row r="6811" spans="1:5" ht="15.6">
      <c r="A6811">
        <v>6756</v>
      </c>
      <c r="B6811" s="166">
        <v>85.916485467354519</v>
      </c>
      <c r="D6811" s="39"/>
      <c r="E6811" s="39"/>
    </row>
    <row r="6812" spans="1:5" ht="15.6">
      <c r="A6812">
        <v>6757</v>
      </c>
      <c r="B6812" s="166">
        <v>94.405495933682104</v>
      </c>
      <c r="D6812" s="39"/>
      <c r="E6812" s="39"/>
    </row>
    <row r="6813" spans="1:5" ht="15.6">
      <c r="A6813">
        <v>6758</v>
      </c>
      <c r="B6813" s="166">
        <v>118.65650480149675</v>
      </c>
      <c r="D6813" s="39"/>
      <c r="E6813" s="39"/>
    </row>
    <row r="6814" spans="1:5" ht="15.6">
      <c r="A6814">
        <v>6759</v>
      </c>
      <c r="B6814" s="166">
        <v>143.88293531864505</v>
      </c>
      <c r="D6814" s="39"/>
      <c r="E6814" s="39"/>
    </row>
    <row r="6815" spans="1:5" ht="15.6">
      <c r="A6815">
        <v>6760</v>
      </c>
      <c r="B6815" s="166">
        <v>126.5643561877494</v>
      </c>
      <c r="D6815" s="39"/>
      <c r="E6815" s="39"/>
    </row>
    <row r="6816" spans="1:5" ht="15.6">
      <c r="A6816">
        <v>6761</v>
      </c>
      <c r="B6816" s="166">
        <v>184.35608096555117</v>
      </c>
      <c r="D6816" s="39"/>
      <c r="E6816" s="39"/>
    </row>
    <row r="6817" spans="1:5" ht="15.6">
      <c r="A6817">
        <v>6762</v>
      </c>
      <c r="B6817" s="166">
        <v>197.01521040403821</v>
      </c>
      <c r="D6817" s="39"/>
      <c r="E6817" s="39"/>
    </row>
    <row r="6818" spans="1:5" ht="15.6">
      <c r="A6818">
        <v>6763</v>
      </c>
      <c r="B6818" s="166">
        <v>80.186082420352605</v>
      </c>
      <c r="D6818" s="39"/>
      <c r="E6818" s="39"/>
    </row>
    <row r="6819" spans="1:5" ht="15.6">
      <c r="A6819">
        <v>6764</v>
      </c>
      <c r="B6819" s="166">
        <v>162.32612181518689</v>
      </c>
      <c r="D6819" s="39"/>
      <c r="E6819" s="39"/>
    </row>
    <row r="6820" spans="1:5" ht="15.6">
      <c r="A6820">
        <v>6765</v>
      </c>
      <c r="B6820" s="166">
        <v>63.829494170459277</v>
      </c>
      <c r="D6820" s="39"/>
      <c r="E6820" s="39"/>
    </row>
    <row r="6821" spans="1:5" ht="15.6">
      <c r="A6821">
        <v>6766</v>
      </c>
      <c r="B6821" s="166">
        <v>96.751785229695656</v>
      </c>
      <c r="D6821" s="39"/>
      <c r="E6821" s="39"/>
    </row>
    <row r="6822" spans="1:5" ht="15.6">
      <c r="A6822">
        <v>6767</v>
      </c>
      <c r="B6822" s="166">
        <v>93.66745570515954</v>
      </c>
      <c r="D6822" s="39"/>
      <c r="E6822" s="39"/>
    </row>
    <row r="6823" spans="1:5" ht="15.6">
      <c r="A6823">
        <v>6768</v>
      </c>
      <c r="B6823" s="166">
        <v>90.247495883417074</v>
      </c>
      <c r="D6823" s="39"/>
      <c r="E6823" s="39"/>
    </row>
    <row r="6824" spans="1:5" ht="15.6">
      <c r="A6824">
        <v>6769</v>
      </c>
      <c r="B6824" s="166">
        <v>93.294977927173321</v>
      </c>
      <c r="D6824" s="39"/>
      <c r="E6824" s="39"/>
    </row>
    <row r="6825" spans="1:5" ht="15.6">
      <c r="A6825">
        <v>6770</v>
      </c>
      <c r="B6825" s="166">
        <v>140.02044893482341</v>
      </c>
      <c r="D6825" s="39"/>
      <c r="E6825" s="39"/>
    </row>
    <row r="6826" spans="1:5" ht="15.6">
      <c r="A6826">
        <v>6771</v>
      </c>
      <c r="B6826" s="166">
        <v>121.72078896369817</v>
      </c>
      <c r="D6826" s="39"/>
      <c r="E6826" s="39"/>
    </row>
    <row r="6827" spans="1:5" ht="15.6">
      <c r="A6827">
        <v>6772</v>
      </c>
      <c r="B6827" s="166">
        <v>116.68170130102594</v>
      </c>
      <c r="D6827" s="39"/>
      <c r="E6827" s="39"/>
    </row>
    <row r="6828" spans="1:5" ht="15.6">
      <c r="A6828">
        <v>6773</v>
      </c>
      <c r="B6828" s="166">
        <v>72.717522685813506</v>
      </c>
      <c r="D6828" s="39"/>
      <c r="E6828" s="39"/>
    </row>
    <row r="6829" spans="1:5" ht="15.6">
      <c r="A6829">
        <v>6774</v>
      </c>
      <c r="B6829" s="166">
        <v>86.939781770214779</v>
      </c>
      <c r="D6829" s="39"/>
      <c r="E6829" s="39"/>
    </row>
    <row r="6830" spans="1:5" ht="15.6">
      <c r="A6830">
        <v>6775</v>
      </c>
      <c r="B6830" s="166">
        <v>67.281209445735925</v>
      </c>
      <c r="D6830" s="39"/>
      <c r="E6830" s="39"/>
    </row>
    <row r="6831" spans="1:5" ht="15.6">
      <c r="A6831">
        <v>6776</v>
      </c>
      <c r="B6831" s="166">
        <v>144.33230197649877</v>
      </c>
      <c r="D6831" s="39"/>
      <c r="E6831" s="39"/>
    </row>
    <row r="6832" spans="1:5" ht="15.6">
      <c r="A6832">
        <v>6777</v>
      </c>
      <c r="B6832" s="166">
        <v>73.865500938542041</v>
      </c>
      <c r="D6832" s="39"/>
      <c r="E6832" s="39"/>
    </row>
    <row r="6833" spans="1:5" ht="15.6">
      <c r="A6833">
        <v>6778</v>
      </c>
      <c r="B6833" s="166">
        <v>143.49693189522537</v>
      </c>
      <c r="D6833" s="39"/>
      <c r="E6833" s="39"/>
    </row>
    <row r="6834" spans="1:5" ht="15.6">
      <c r="A6834">
        <v>6779</v>
      </c>
      <c r="B6834" s="166">
        <v>119.66036231520233</v>
      </c>
      <c r="D6834" s="39"/>
      <c r="E6834" s="39"/>
    </row>
    <row r="6835" spans="1:5" ht="15.6">
      <c r="A6835">
        <v>6780</v>
      </c>
      <c r="B6835" s="166">
        <v>100.74763769114</v>
      </c>
      <c r="D6835" s="39"/>
      <c r="E6835" s="39"/>
    </row>
    <row r="6836" spans="1:5" ht="15.6">
      <c r="A6836">
        <v>6781</v>
      </c>
      <c r="B6836" s="166">
        <v>98.486678184344498</v>
      </c>
      <c r="D6836" s="39"/>
      <c r="E6836" s="39"/>
    </row>
    <row r="6837" spans="1:5" ht="15.6">
      <c r="A6837">
        <v>6782</v>
      </c>
      <c r="B6837" s="166">
        <v>140.3766781038284</v>
      </c>
      <c r="D6837" s="39"/>
      <c r="E6837" s="39"/>
    </row>
    <row r="6838" spans="1:5" ht="15.6">
      <c r="A6838">
        <v>6783</v>
      </c>
      <c r="B6838" s="166">
        <v>157.48894648832933</v>
      </c>
      <c r="D6838" s="39"/>
      <c r="E6838" s="39"/>
    </row>
    <row r="6839" spans="1:5" ht="15.6">
      <c r="A6839">
        <v>6784</v>
      </c>
      <c r="B6839" s="166">
        <v>93.002039313670281</v>
      </c>
      <c r="D6839" s="39"/>
      <c r="E6839" s="39"/>
    </row>
    <row r="6840" spans="1:5" ht="15.6">
      <c r="A6840">
        <v>6785</v>
      </c>
      <c r="B6840" s="166">
        <v>295.01817036697167</v>
      </c>
      <c r="D6840" s="39"/>
      <c r="E6840" s="39"/>
    </row>
    <row r="6841" spans="1:5" ht="15.6">
      <c r="A6841">
        <v>6786</v>
      </c>
      <c r="B6841" s="166">
        <v>75.621393999753948</v>
      </c>
      <c r="D6841" s="39"/>
      <c r="E6841" s="39"/>
    </row>
    <row r="6842" spans="1:5" ht="15.6">
      <c r="A6842">
        <v>6787</v>
      </c>
      <c r="B6842" s="166">
        <v>146.63117598506605</v>
      </c>
      <c r="D6842" s="39"/>
      <c r="E6842" s="39"/>
    </row>
    <row r="6843" spans="1:5" ht="15.6">
      <c r="A6843">
        <v>6788</v>
      </c>
      <c r="B6843" s="166">
        <v>83.127526071422537</v>
      </c>
      <c r="D6843" s="39"/>
      <c r="E6843" s="39"/>
    </row>
    <row r="6844" spans="1:5" ht="15.6">
      <c r="A6844">
        <v>6789</v>
      </c>
      <c r="B6844" s="166">
        <v>98.26088749853912</v>
      </c>
      <c r="D6844" s="39"/>
      <c r="E6844" s="39"/>
    </row>
    <row r="6845" spans="1:5" ht="15.6">
      <c r="A6845">
        <v>6790</v>
      </c>
      <c r="B6845" s="166">
        <v>155.48197696870574</v>
      </c>
      <c r="D6845" s="39"/>
      <c r="E6845" s="39"/>
    </row>
    <row r="6846" spans="1:5" ht="15.6">
      <c r="A6846">
        <v>6791</v>
      </c>
      <c r="B6846" s="166">
        <v>75.712638105978328</v>
      </c>
      <c r="D6846" s="39"/>
      <c r="E6846" s="39"/>
    </row>
    <row r="6847" spans="1:5" ht="15.6">
      <c r="A6847">
        <v>6792</v>
      </c>
      <c r="B6847" s="166">
        <v>120.28697580815739</v>
      </c>
      <c r="D6847" s="39"/>
      <c r="E6847" s="39"/>
    </row>
    <row r="6848" spans="1:5" ht="15.6">
      <c r="A6848">
        <v>6793</v>
      </c>
      <c r="B6848" s="166">
        <v>72.331178194179728</v>
      </c>
      <c r="D6848" s="39"/>
      <c r="E6848" s="39"/>
    </row>
    <row r="6849" spans="1:5" ht="15.6">
      <c r="A6849">
        <v>6794</v>
      </c>
      <c r="B6849" s="166">
        <v>138.31336081975519</v>
      </c>
      <c r="D6849" s="39"/>
      <c r="E6849" s="39"/>
    </row>
    <row r="6850" spans="1:5" ht="15.6">
      <c r="A6850">
        <v>6795</v>
      </c>
      <c r="B6850" s="166">
        <v>51.428345339057891</v>
      </c>
      <c r="D6850" s="39"/>
      <c r="E6850" s="39"/>
    </row>
    <row r="6851" spans="1:5" ht="15.6">
      <c r="A6851">
        <v>6796</v>
      </c>
      <c r="B6851" s="166">
        <v>101.70120272694828</v>
      </c>
      <c r="D6851" s="39"/>
      <c r="E6851" s="39"/>
    </row>
    <row r="6852" spans="1:5" ht="15.6">
      <c r="A6852">
        <v>6797</v>
      </c>
      <c r="B6852" s="166">
        <v>101.18681291235264</v>
      </c>
      <c r="D6852" s="39"/>
      <c r="E6852" s="39"/>
    </row>
    <row r="6853" spans="1:5" ht="15.6">
      <c r="A6853">
        <v>6798</v>
      </c>
      <c r="B6853" s="166">
        <v>56.187992438037568</v>
      </c>
      <c r="D6853" s="39"/>
      <c r="E6853" s="39"/>
    </row>
    <row r="6854" spans="1:5" ht="15.6">
      <c r="A6854">
        <v>6799</v>
      </c>
      <c r="B6854" s="166">
        <v>136.83879643317553</v>
      </c>
      <c r="D6854" s="39"/>
      <c r="E6854" s="39"/>
    </row>
    <row r="6855" spans="1:5" ht="15.6">
      <c r="A6855">
        <v>6800</v>
      </c>
      <c r="B6855" s="166">
        <v>135.13970086761955</v>
      </c>
      <c r="D6855" s="39"/>
      <c r="E6855" s="39"/>
    </row>
    <row r="6856" spans="1:5" ht="15.6">
      <c r="A6856">
        <v>6801</v>
      </c>
      <c r="B6856" s="166">
        <v>140.23636477252032</v>
      </c>
      <c r="D6856" s="39"/>
      <c r="E6856" s="39"/>
    </row>
    <row r="6857" spans="1:5" ht="15.6">
      <c r="A6857">
        <v>6802</v>
      </c>
      <c r="B6857" s="166">
        <v>122.54816344112892</v>
      </c>
      <c r="D6857" s="39"/>
      <c r="E6857" s="39"/>
    </row>
    <row r="6858" spans="1:5" ht="15.6">
      <c r="A6858">
        <v>6803</v>
      </c>
      <c r="B6858" s="166">
        <v>65.998695383634768</v>
      </c>
      <c r="D6858" s="39"/>
      <c r="E6858" s="39"/>
    </row>
    <row r="6859" spans="1:5" ht="15.6">
      <c r="A6859">
        <v>6804</v>
      </c>
      <c r="B6859" s="166">
        <v>120.11515900734796</v>
      </c>
      <c r="D6859" s="39"/>
      <c r="E6859" s="39"/>
    </row>
    <row r="6860" spans="1:5" ht="15.6">
      <c r="A6860">
        <v>6805</v>
      </c>
      <c r="B6860" s="166">
        <v>67.057777604301862</v>
      </c>
      <c r="D6860" s="39"/>
      <c r="E6860" s="39"/>
    </row>
    <row r="6861" spans="1:5" ht="15.6">
      <c r="A6861">
        <v>6806</v>
      </c>
      <c r="B6861" s="166">
        <v>96.016670573992073</v>
      </c>
      <c r="D6861" s="39"/>
      <c r="E6861" s="39"/>
    </row>
    <row r="6862" spans="1:5" ht="15.6">
      <c r="A6862">
        <v>6807</v>
      </c>
      <c r="B6862" s="166">
        <v>96.672747598130897</v>
      </c>
      <c r="D6862" s="39"/>
      <c r="E6862" s="39"/>
    </row>
    <row r="6863" spans="1:5" ht="15.6">
      <c r="A6863">
        <v>6808</v>
      </c>
      <c r="B6863" s="166">
        <v>195.97393653771985</v>
      </c>
      <c r="D6863" s="39"/>
      <c r="E6863" s="39"/>
    </row>
    <row r="6864" spans="1:5" ht="15.6">
      <c r="A6864">
        <v>6809</v>
      </c>
      <c r="B6864" s="166">
        <v>166.24027177351505</v>
      </c>
      <c r="D6864" s="39"/>
      <c r="E6864" s="39"/>
    </row>
    <row r="6865" spans="1:5" ht="15.6">
      <c r="A6865">
        <v>6810</v>
      </c>
      <c r="B6865" s="166">
        <v>101.1305926590699</v>
      </c>
      <c r="D6865" s="39"/>
      <c r="E6865" s="39"/>
    </row>
    <row r="6866" spans="1:5" ht="15.6">
      <c r="A6866">
        <v>6811</v>
      </c>
      <c r="B6866" s="166">
        <v>83.462254714747971</v>
      </c>
      <c r="D6866" s="39"/>
      <c r="E6866" s="39"/>
    </row>
    <row r="6867" spans="1:5" ht="15.6">
      <c r="A6867">
        <v>6812</v>
      </c>
      <c r="B6867" s="166">
        <v>139.5504513736195</v>
      </c>
      <c r="D6867" s="39"/>
      <c r="E6867" s="39"/>
    </row>
    <row r="6868" spans="1:5" ht="15.6">
      <c r="A6868">
        <v>6813</v>
      </c>
      <c r="B6868" s="166">
        <v>110.39579078054109</v>
      </c>
      <c r="D6868" s="39"/>
      <c r="E6868" s="39"/>
    </row>
    <row r="6869" spans="1:5" ht="15.6">
      <c r="A6869">
        <v>6814</v>
      </c>
      <c r="B6869" s="166">
        <v>89.958303457937191</v>
      </c>
      <c r="D6869" s="39"/>
      <c r="E6869" s="39"/>
    </row>
    <row r="6870" spans="1:5" ht="15.6">
      <c r="A6870">
        <v>6815</v>
      </c>
      <c r="B6870" s="166">
        <v>122.5031898794914</v>
      </c>
      <c r="D6870" s="39"/>
      <c r="E6870" s="39"/>
    </row>
    <row r="6871" spans="1:5" ht="15.6">
      <c r="A6871">
        <v>6816</v>
      </c>
      <c r="B6871" s="166">
        <v>91.390296580323266</v>
      </c>
      <c r="D6871" s="39"/>
      <c r="E6871" s="39"/>
    </row>
    <row r="6872" spans="1:5" ht="15.6">
      <c r="A6872">
        <v>6817</v>
      </c>
      <c r="B6872" s="166">
        <v>82.397498417741915</v>
      </c>
      <c r="D6872" s="39"/>
      <c r="E6872" s="39"/>
    </row>
    <row r="6873" spans="1:5" ht="15.6">
      <c r="A6873">
        <v>6818</v>
      </c>
      <c r="B6873" s="166">
        <v>61.643023958499484</v>
      </c>
      <c r="D6873" s="39"/>
      <c r="E6873" s="39"/>
    </row>
    <row r="6874" spans="1:5" ht="15.6">
      <c r="A6874">
        <v>6819</v>
      </c>
      <c r="B6874" s="166">
        <v>122.45786878864641</v>
      </c>
      <c r="D6874" s="39"/>
      <c r="E6874" s="39"/>
    </row>
    <row r="6875" spans="1:5" ht="15.6">
      <c r="A6875">
        <v>6820</v>
      </c>
      <c r="B6875" s="166">
        <v>79.629093320955462</v>
      </c>
      <c r="D6875" s="39"/>
      <c r="E6875" s="39"/>
    </row>
    <row r="6876" spans="1:5" ht="15.6">
      <c r="A6876">
        <v>6821</v>
      </c>
      <c r="B6876" s="166">
        <v>83.603582391394767</v>
      </c>
      <c r="D6876" s="39"/>
      <c r="E6876" s="39"/>
    </row>
    <row r="6877" spans="1:5" ht="15.6">
      <c r="A6877">
        <v>6822</v>
      </c>
      <c r="B6877" s="166">
        <v>94.280173071934357</v>
      </c>
      <c r="D6877" s="39"/>
      <c r="E6877" s="39"/>
    </row>
    <row r="6878" spans="1:5" ht="15.6">
      <c r="A6878">
        <v>6823</v>
      </c>
      <c r="B6878" s="166">
        <v>70.409740327089949</v>
      </c>
      <c r="D6878" s="39"/>
      <c r="E6878" s="39"/>
    </row>
    <row r="6879" spans="1:5" ht="15.6">
      <c r="A6879">
        <v>6824</v>
      </c>
      <c r="B6879" s="166">
        <v>138.65436320386527</v>
      </c>
      <c r="D6879" s="39"/>
      <c r="E6879" s="39"/>
    </row>
    <row r="6880" spans="1:5" ht="15.6">
      <c r="A6880">
        <v>6825</v>
      </c>
      <c r="B6880" s="166">
        <v>99.670361631039327</v>
      </c>
      <c r="D6880" s="39"/>
      <c r="E6880" s="39"/>
    </row>
    <row r="6881" spans="1:5" ht="15.6">
      <c r="A6881">
        <v>6826</v>
      </c>
      <c r="B6881" s="166">
        <v>79.925112138972764</v>
      </c>
      <c r="D6881" s="39"/>
      <c r="E6881" s="39"/>
    </row>
    <row r="6882" spans="1:5" ht="15.6">
      <c r="A6882">
        <v>6827</v>
      </c>
      <c r="B6882" s="166">
        <v>101.22092302857033</v>
      </c>
      <c r="D6882" s="39"/>
      <c r="E6882" s="39"/>
    </row>
    <row r="6883" spans="1:5" ht="15.6">
      <c r="A6883">
        <v>6828</v>
      </c>
      <c r="B6883" s="166">
        <v>119.51801130300704</v>
      </c>
      <c r="D6883" s="39"/>
      <c r="E6883" s="39"/>
    </row>
    <row r="6884" spans="1:5" ht="15.6">
      <c r="A6884">
        <v>6829</v>
      </c>
      <c r="B6884" s="166">
        <v>86.216084828344037</v>
      </c>
      <c r="D6884" s="39"/>
      <c r="E6884" s="39"/>
    </row>
    <row r="6885" spans="1:5" ht="15.6">
      <c r="A6885">
        <v>6830</v>
      </c>
      <c r="B6885" s="166">
        <v>110.77462765465835</v>
      </c>
      <c r="D6885" s="39"/>
      <c r="E6885" s="39"/>
    </row>
    <row r="6886" spans="1:5" ht="15.6">
      <c r="A6886">
        <v>6831</v>
      </c>
      <c r="B6886" s="166">
        <v>232.00514979129102</v>
      </c>
      <c r="D6886" s="39"/>
      <c r="E6886" s="39"/>
    </row>
    <row r="6887" spans="1:5" ht="15.6">
      <c r="A6887">
        <v>6832</v>
      </c>
      <c r="B6887" s="166">
        <v>112.72084426418812</v>
      </c>
      <c r="D6887" s="39"/>
      <c r="E6887" s="39"/>
    </row>
    <row r="6888" spans="1:5" ht="15.6">
      <c r="A6888">
        <v>6833</v>
      </c>
      <c r="B6888" s="166">
        <v>77.054569447422722</v>
      </c>
      <c r="D6888" s="39"/>
      <c r="E6888" s="39"/>
    </row>
    <row r="6889" spans="1:5" ht="15.6">
      <c r="A6889">
        <v>6834</v>
      </c>
      <c r="B6889" s="166">
        <v>129.40563960108162</v>
      </c>
      <c r="D6889" s="39"/>
      <c r="E6889" s="39"/>
    </row>
    <row r="6890" spans="1:5" ht="15.6">
      <c r="A6890">
        <v>6835</v>
      </c>
      <c r="B6890" s="166">
        <v>130.80972342604724</v>
      </c>
      <c r="D6890" s="39"/>
      <c r="E6890" s="39"/>
    </row>
    <row r="6891" spans="1:5" ht="15.6">
      <c r="A6891">
        <v>6836</v>
      </c>
      <c r="B6891" s="166">
        <v>82.095252578537028</v>
      </c>
      <c r="D6891" s="39"/>
      <c r="E6891" s="39"/>
    </row>
    <row r="6892" spans="1:5" ht="15.6">
      <c r="A6892">
        <v>6837</v>
      </c>
      <c r="B6892" s="166">
        <v>70.419486786898887</v>
      </c>
      <c r="D6892" s="39"/>
      <c r="E6892" s="39"/>
    </row>
    <row r="6893" spans="1:5" ht="15.6">
      <c r="A6893">
        <v>6838</v>
      </c>
      <c r="B6893" s="166">
        <v>102.63367671644149</v>
      </c>
      <c r="D6893" s="39"/>
      <c r="E6893" s="39"/>
    </row>
    <row r="6894" spans="1:5" ht="15.6">
      <c r="A6894">
        <v>6839</v>
      </c>
      <c r="B6894" s="166">
        <v>125.65797183497689</v>
      </c>
      <c r="D6894" s="39"/>
      <c r="E6894" s="39"/>
    </row>
    <row r="6895" spans="1:5" ht="15.6">
      <c r="A6895">
        <v>6840</v>
      </c>
      <c r="B6895" s="166">
        <v>130.15184986068644</v>
      </c>
      <c r="D6895" s="39"/>
      <c r="E6895" s="39"/>
    </row>
    <row r="6896" spans="1:5" ht="15.6">
      <c r="A6896">
        <v>6841</v>
      </c>
      <c r="B6896" s="166">
        <v>71.88939960489104</v>
      </c>
      <c r="D6896" s="39"/>
      <c r="E6896" s="39"/>
    </row>
    <row r="6897" spans="1:5" ht="15.6">
      <c r="A6897">
        <v>6842</v>
      </c>
      <c r="B6897" s="166">
        <v>78.806563931998028</v>
      </c>
      <c r="D6897" s="39"/>
      <c r="E6897" s="39"/>
    </row>
    <row r="6898" spans="1:5" ht="15.6">
      <c r="A6898">
        <v>6843</v>
      </c>
      <c r="B6898" s="166">
        <v>135.0632723321277</v>
      </c>
      <c r="D6898" s="39"/>
      <c r="E6898" s="39"/>
    </row>
    <row r="6899" spans="1:5" ht="15.6">
      <c r="A6899">
        <v>6844</v>
      </c>
      <c r="B6899" s="166">
        <v>64.846993279532569</v>
      </c>
      <c r="D6899" s="39"/>
      <c r="E6899" s="39"/>
    </row>
    <row r="6900" spans="1:5" ht="15.6">
      <c r="A6900">
        <v>6845</v>
      </c>
      <c r="B6900" s="166">
        <v>89.364825561263572</v>
      </c>
      <c r="D6900" s="39"/>
      <c r="E6900" s="39"/>
    </row>
    <row r="6901" spans="1:5" ht="15.6">
      <c r="A6901">
        <v>6846</v>
      </c>
      <c r="B6901" s="166">
        <v>141.80623232322432</v>
      </c>
      <c r="D6901" s="39"/>
      <c r="E6901" s="39"/>
    </row>
    <row r="6902" spans="1:5" ht="15.6">
      <c r="A6902">
        <v>6847</v>
      </c>
      <c r="B6902" s="166">
        <v>72.46498968481761</v>
      </c>
      <c r="D6902" s="39"/>
      <c r="E6902" s="39"/>
    </row>
    <row r="6903" spans="1:5" ht="15.6">
      <c r="A6903">
        <v>6848</v>
      </c>
      <c r="B6903" s="166">
        <v>107.56151428652511</v>
      </c>
      <c r="D6903" s="39"/>
      <c r="E6903" s="39"/>
    </row>
    <row r="6904" spans="1:5" ht="15.6">
      <c r="A6904">
        <v>6849</v>
      </c>
      <c r="B6904" s="166">
        <v>123.13917049752818</v>
      </c>
      <c r="D6904" s="39"/>
      <c r="E6904" s="39"/>
    </row>
    <row r="6905" spans="1:5" ht="15.6">
      <c r="A6905">
        <v>6850</v>
      </c>
      <c r="B6905" s="166">
        <v>106.9415231942468</v>
      </c>
      <c r="D6905" s="39"/>
      <c r="E6905" s="39"/>
    </row>
    <row r="6906" spans="1:5" ht="15.6">
      <c r="A6906">
        <v>6851</v>
      </c>
      <c r="B6906" s="166">
        <v>110.46617702927419</v>
      </c>
      <c r="D6906" s="39"/>
      <c r="E6906" s="39"/>
    </row>
    <row r="6907" spans="1:5" ht="15.6">
      <c r="A6907">
        <v>6852</v>
      </c>
      <c r="B6907" s="166">
        <v>125.28146884959794</v>
      </c>
      <c r="D6907" s="39"/>
      <c r="E6907" s="39"/>
    </row>
    <row r="6908" spans="1:5" ht="15.6">
      <c r="A6908">
        <v>6853</v>
      </c>
      <c r="B6908" s="166">
        <v>90.035750939024524</v>
      </c>
      <c r="D6908" s="39"/>
      <c r="E6908" s="39"/>
    </row>
    <row r="6909" spans="1:5" ht="15.6">
      <c r="A6909">
        <v>6854</v>
      </c>
      <c r="B6909" s="166">
        <v>148.02802767245325</v>
      </c>
      <c r="D6909" s="39"/>
      <c r="E6909" s="39"/>
    </row>
    <row r="6910" spans="1:5" ht="15.6">
      <c r="A6910">
        <v>6855</v>
      </c>
      <c r="B6910" s="166">
        <v>53.237916729111348</v>
      </c>
      <c r="D6910" s="39"/>
      <c r="E6910" s="39"/>
    </row>
    <row r="6911" spans="1:5" ht="15.6">
      <c r="A6911">
        <v>6856</v>
      </c>
      <c r="B6911" s="166">
        <v>59.44692919099603</v>
      </c>
      <c r="D6911" s="39"/>
      <c r="E6911" s="39"/>
    </row>
    <row r="6912" spans="1:5" ht="15.6">
      <c r="A6912">
        <v>6857</v>
      </c>
      <c r="B6912" s="166">
        <v>75.343788309350032</v>
      </c>
      <c r="D6912" s="39"/>
      <c r="E6912" s="39"/>
    </row>
    <row r="6913" spans="1:5" ht="15.6">
      <c r="A6913">
        <v>6858</v>
      </c>
      <c r="B6913" s="166">
        <v>91.326258972967651</v>
      </c>
      <c r="D6913" s="39"/>
      <c r="E6913" s="39"/>
    </row>
    <row r="6914" spans="1:5" ht="15.6">
      <c r="A6914">
        <v>6859</v>
      </c>
      <c r="B6914" s="166">
        <v>131.67697870181175</v>
      </c>
      <c r="D6914" s="39"/>
      <c r="E6914" s="39"/>
    </row>
    <row r="6915" spans="1:5" ht="15.6">
      <c r="A6915">
        <v>6860</v>
      </c>
      <c r="B6915" s="166">
        <v>69.266229061541793</v>
      </c>
      <c r="D6915" s="39"/>
      <c r="E6915" s="39"/>
    </row>
    <row r="6916" spans="1:5" ht="15.6">
      <c r="A6916">
        <v>6861</v>
      </c>
      <c r="B6916" s="166">
        <v>73.034550080407399</v>
      </c>
      <c r="D6916" s="39"/>
      <c r="E6916" s="39"/>
    </row>
    <row r="6917" spans="1:5" ht="15.6">
      <c r="A6917">
        <v>6862</v>
      </c>
      <c r="B6917" s="166">
        <v>211.79709669460553</v>
      </c>
      <c r="D6917" s="39"/>
      <c r="E6917" s="39"/>
    </row>
    <row r="6918" spans="1:5" ht="15.6">
      <c r="A6918">
        <v>6863</v>
      </c>
      <c r="B6918" s="166">
        <v>133.28285965031586</v>
      </c>
      <c r="D6918" s="39"/>
      <c r="E6918" s="39"/>
    </row>
    <row r="6919" spans="1:5" ht="15.6">
      <c r="A6919">
        <v>6864</v>
      </c>
      <c r="B6919" s="166">
        <v>193.66052067839001</v>
      </c>
      <c r="D6919" s="39"/>
      <c r="E6919" s="39"/>
    </row>
    <row r="6920" spans="1:5" ht="15.6">
      <c r="A6920">
        <v>6865</v>
      </c>
      <c r="B6920" s="166">
        <v>138.26224381413317</v>
      </c>
      <c r="D6920" s="39"/>
      <c r="E6920" s="39"/>
    </row>
    <row r="6921" spans="1:5" ht="15.6">
      <c r="A6921">
        <v>6866</v>
      </c>
      <c r="B6921" s="166">
        <v>79.009362852521022</v>
      </c>
      <c r="D6921" s="39"/>
      <c r="E6921" s="39"/>
    </row>
    <row r="6922" spans="1:5" ht="15.6">
      <c r="A6922">
        <v>6867</v>
      </c>
      <c r="B6922" s="166">
        <v>93.916187981352365</v>
      </c>
      <c r="D6922" s="39"/>
      <c r="E6922" s="39"/>
    </row>
    <row r="6923" spans="1:5" ht="15.6">
      <c r="A6923">
        <v>6868</v>
      </c>
      <c r="B6923" s="166">
        <v>65.445578599719639</v>
      </c>
      <c r="D6923" s="39"/>
      <c r="E6923" s="39"/>
    </row>
    <row r="6924" spans="1:5" ht="15.6">
      <c r="A6924">
        <v>6869</v>
      </c>
      <c r="B6924" s="166">
        <v>134.7287536482454</v>
      </c>
      <c r="D6924" s="39"/>
      <c r="E6924" s="39"/>
    </row>
    <row r="6925" spans="1:5" ht="15.6">
      <c r="A6925">
        <v>6870</v>
      </c>
      <c r="B6925" s="166">
        <v>106.67665741126429</v>
      </c>
      <c r="D6925" s="39"/>
      <c r="E6925" s="39"/>
    </row>
    <row r="6926" spans="1:5" ht="15.6">
      <c r="A6926">
        <v>6871</v>
      </c>
      <c r="B6926" s="166">
        <v>64.412445241390301</v>
      </c>
      <c r="D6926" s="39"/>
      <c r="E6926" s="39"/>
    </row>
    <row r="6927" spans="1:5" ht="15.6">
      <c r="A6927">
        <v>6872</v>
      </c>
      <c r="B6927" s="166">
        <v>91.090901860517675</v>
      </c>
      <c r="D6927" s="39"/>
      <c r="E6927" s="39"/>
    </row>
    <row r="6928" spans="1:5" ht="15.6">
      <c r="A6928">
        <v>6873</v>
      </c>
      <c r="B6928" s="166">
        <v>93.075533302969035</v>
      </c>
      <c r="D6928" s="39"/>
      <c r="E6928" s="39"/>
    </row>
    <row r="6929" spans="1:5" ht="15.6">
      <c r="A6929">
        <v>6874</v>
      </c>
      <c r="B6929" s="166">
        <v>134.1347471991929</v>
      </c>
      <c r="D6929" s="39"/>
      <c r="E6929" s="39"/>
    </row>
    <row r="6930" spans="1:5" ht="15.6">
      <c r="A6930">
        <v>6875</v>
      </c>
      <c r="B6930" s="166">
        <v>94.613803167346035</v>
      </c>
      <c r="D6930" s="39"/>
      <c r="E6930" s="39"/>
    </row>
    <row r="6931" spans="1:5" ht="15.6">
      <c r="A6931">
        <v>6876</v>
      </c>
      <c r="B6931" s="166">
        <v>79.382909504141125</v>
      </c>
      <c r="D6931" s="39"/>
      <c r="E6931" s="39"/>
    </row>
    <row r="6932" spans="1:5" ht="15.6">
      <c r="A6932">
        <v>6877</v>
      </c>
      <c r="B6932" s="166">
        <v>84.159870672927298</v>
      </c>
      <c r="D6932" s="39"/>
      <c r="E6932" s="39"/>
    </row>
    <row r="6933" spans="1:5" ht="15.6">
      <c r="A6933">
        <v>6878</v>
      </c>
      <c r="B6933" s="166">
        <v>55.833179859763746</v>
      </c>
      <c r="D6933" s="39"/>
      <c r="E6933" s="39"/>
    </row>
    <row r="6934" spans="1:5" ht="15.6">
      <c r="A6934">
        <v>6879</v>
      </c>
      <c r="B6934" s="166">
        <v>152.90947851579989</v>
      </c>
      <c r="D6934" s="39"/>
      <c r="E6934" s="39"/>
    </row>
    <row r="6935" spans="1:5" ht="15.6">
      <c r="A6935">
        <v>6880</v>
      </c>
      <c r="B6935" s="166">
        <v>67.168682688554156</v>
      </c>
      <c r="D6935" s="39"/>
      <c r="E6935" s="39"/>
    </row>
    <row r="6936" spans="1:5" ht="15.6">
      <c r="A6936">
        <v>6881</v>
      </c>
      <c r="B6936" s="166">
        <v>178.07344493610518</v>
      </c>
      <c r="D6936" s="39"/>
      <c r="E6936" s="39"/>
    </row>
    <row r="6937" spans="1:5" ht="15.6">
      <c r="A6937">
        <v>6882</v>
      </c>
      <c r="B6937" s="166">
        <v>185.33958338794577</v>
      </c>
      <c r="D6937" s="39"/>
      <c r="E6937" s="39"/>
    </row>
    <row r="6938" spans="1:5" ht="15.6">
      <c r="A6938">
        <v>6883</v>
      </c>
      <c r="B6938" s="166">
        <v>73.948348022639493</v>
      </c>
      <c r="D6938" s="39"/>
      <c r="E6938" s="39"/>
    </row>
    <row r="6939" spans="1:5" ht="15.6">
      <c r="A6939">
        <v>6884</v>
      </c>
      <c r="B6939" s="166">
        <v>87.498922334937831</v>
      </c>
      <c r="D6939" s="39"/>
      <c r="E6939" s="39"/>
    </row>
    <row r="6940" spans="1:5" ht="15.6">
      <c r="A6940">
        <v>6885</v>
      </c>
      <c r="B6940" s="166">
        <v>91.17932707662024</v>
      </c>
      <c r="D6940" s="39"/>
      <c r="E6940" s="39"/>
    </row>
    <row r="6941" spans="1:5" ht="15.6">
      <c r="A6941">
        <v>6886</v>
      </c>
      <c r="B6941" s="166">
        <v>139.75646629497999</v>
      </c>
      <c r="D6941" s="39"/>
      <c r="E6941" s="39"/>
    </row>
    <row r="6942" spans="1:5" ht="15.6">
      <c r="A6942">
        <v>6887</v>
      </c>
      <c r="B6942" s="166">
        <v>132.03442109029115</v>
      </c>
      <c r="D6942" s="39"/>
      <c r="E6942" s="39"/>
    </row>
    <row r="6943" spans="1:5" ht="15.6">
      <c r="A6943">
        <v>6888</v>
      </c>
      <c r="B6943" s="166">
        <v>98.976991588165831</v>
      </c>
      <c r="D6943" s="39"/>
      <c r="E6943" s="39"/>
    </row>
    <row r="6944" spans="1:5" ht="15.6">
      <c r="A6944">
        <v>6889</v>
      </c>
      <c r="B6944" s="166">
        <v>152.73640906768571</v>
      </c>
      <c r="D6944" s="39"/>
      <c r="E6944" s="39"/>
    </row>
    <row r="6945" spans="1:5" ht="15.6">
      <c r="A6945">
        <v>6890</v>
      </c>
      <c r="B6945" s="166">
        <v>95.089028782644107</v>
      </c>
      <c r="D6945" s="39"/>
      <c r="E6945" s="39"/>
    </row>
    <row r="6946" spans="1:5" ht="15.6">
      <c r="A6946">
        <v>6891</v>
      </c>
      <c r="B6946" s="166">
        <v>81.092617459354955</v>
      </c>
      <c r="D6946" s="39"/>
      <c r="E6946" s="39"/>
    </row>
    <row r="6947" spans="1:5" ht="15.6">
      <c r="A6947">
        <v>6892</v>
      </c>
      <c r="B6947" s="166">
        <v>141.96794910849653</v>
      </c>
      <c r="D6947" s="39"/>
      <c r="E6947" s="39"/>
    </row>
    <row r="6948" spans="1:5" ht="15.6">
      <c r="A6948">
        <v>6893</v>
      </c>
      <c r="B6948" s="166">
        <v>138.98176722409073</v>
      </c>
      <c r="D6948" s="39"/>
      <c r="E6948" s="39"/>
    </row>
    <row r="6949" spans="1:5" ht="15.6">
      <c r="A6949">
        <v>6894</v>
      </c>
      <c r="B6949" s="166">
        <v>134.47490829758294</v>
      </c>
      <c r="D6949" s="39"/>
      <c r="E6949" s="39"/>
    </row>
    <row r="6950" spans="1:5" ht="15.6">
      <c r="A6950">
        <v>6895</v>
      </c>
      <c r="B6950" s="166">
        <v>118.99381616203661</v>
      </c>
      <c r="D6950" s="39"/>
      <c r="E6950" s="39"/>
    </row>
    <row r="6951" spans="1:5" ht="15.6">
      <c r="A6951">
        <v>6896</v>
      </c>
      <c r="B6951" s="166">
        <v>121.59866286838607</v>
      </c>
      <c r="D6951" s="39"/>
      <c r="E6951" s="39"/>
    </row>
    <row r="6952" spans="1:5" ht="15.6">
      <c r="A6952">
        <v>6897</v>
      </c>
      <c r="B6952" s="166">
        <v>67.225540691720752</v>
      </c>
      <c r="D6952" s="39"/>
      <c r="E6952" s="39"/>
    </row>
    <row r="6953" spans="1:5" ht="15.6">
      <c r="A6953">
        <v>6898</v>
      </c>
      <c r="B6953" s="166">
        <v>104.75904016455841</v>
      </c>
      <c r="D6953" s="39"/>
      <c r="E6953" s="39"/>
    </row>
    <row r="6954" spans="1:5" ht="15.6">
      <c r="A6954">
        <v>6899</v>
      </c>
      <c r="B6954" s="166">
        <v>68.542911931333791</v>
      </c>
      <c r="D6954" s="39"/>
      <c r="E6954" s="39"/>
    </row>
    <row r="6955" spans="1:5" ht="15.6">
      <c r="A6955">
        <v>6900</v>
      </c>
      <c r="B6955" s="166">
        <v>181.84000754872503</v>
      </c>
      <c r="D6955" s="39"/>
      <c r="E6955" s="39"/>
    </row>
    <row r="6956" spans="1:5" ht="15.6">
      <c r="A6956">
        <v>6901</v>
      </c>
      <c r="B6956" s="166">
        <v>114.37099341480808</v>
      </c>
      <c r="D6956" s="39"/>
      <c r="E6956" s="39"/>
    </row>
    <row r="6957" spans="1:5" ht="15.6">
      <c r="A6957">
        <v>6902</v>
      </c>
      <c r="B6957" s="166">
        <v>96.056968289992469</v>
      </c>
      <c r="D6957" s="39"/>
      <c r="E6957" s="39"/>
    </row>
    <row r="6958" spans="1:5" ht="15.6">
      <c r="A6958">
        <v>6903</v>
      </c>
      <c r="B6958" s="166">
        <v>192.71162939274078</v>
      </c>
      <c r="D6958" s="39"/>
      <c r="E6958" s="39"/>
    </row>
    <row r="6959" spans="1:5" ht="15.6">
      <c r="A6959">
        <v>6904</v>
      </c>
      <c r="B6959" s="166">
        <v>89.043147090571779</v>
      </c>
      <c r="D6959" s="39"/>
      <c r="E6959" s="39"/>
    </row>
    <row r="6960" spans="1:5" ht="15.6">
      <c r="A6960">
        <v>6905</v>
      </c>
      <c r="B6960" s="166">
        <v>51.712515123452611</v>
      </c>
      <c r="D6960" s="39"/>
      <c r="E6960" s="39"/>
    </row>
    <row r="6961" spans="1:5" ht="15.6">
      <c r="A6961">
        <v>6906</v>
      </c>
      <c r="B6961" s="166">
        <v>71.855960671570529</v>
      </c>
      <c r="D6961" s="39"/>
      <c r="E6961" s="39"/>
    </row>
    <row r="6962" spans="1:5" ht="15.6">
      <c r="A6962">
        <v>6907</v>
      </c>
      <c r="B6962" s="166">
        <v>113.86135535215313</v>
      </c>
      <c r="D6962" s="39"/>
      <c r="E6962" s="39"/>
    </row>
    <row r="6963" spans="1:5" ht="15.6">
      <c r="A6963">
        <v>6908</v>
      </c>
      <c r="B6963" s="166">
        <v>108.87780685856569</v>
      </c>
      <c r="D6963" s="39"/>
      <c r="E6963" s="39"/>
    </row>
    <row r="6964" spans="1:5" ht="15.6">
      <c r="A6964">
        <v>6909</v>
      </c>
      <c r="B6964" s="166">
        <v>156.05667266999779</v>
      </c>
      <c r="D6964" s="39"/>
      <c r="E6964" s="39"/>
    </row>
    <row r="6965" spans="1:5" ht="15.6">
      <c r="A6965">
        <v>6910</v>
      </c>
      <c r="B6965" s="166">
        <v>140.57994530454818</v>
      </c>
      <c r="D6965" s="39"/>
      <c r="E6965" s="39"/>
    </row>
    <row r="6966" spans="1:5" ht="15.6">
      <c r="A6966">
        <v>6911</v>
      </c>
      <c r="B6966" s="166">
        <v>184.37612121064669</v>
      </c>
      <c r="D6966" s="39"/>
      <c r="E6966" s="39"/>
    </row>
    <row r="6967" spans="1:5" ht="15.6">
      <c r="A6967">
        <v>6912</v>
      </c>
      <c r="B6967" s="166">
        <v>59.784717554943498</v>
      </c>
      <c r="D6967" s="39"/>
      <c r="E6967" s="39"/>
    </row>
    <row r="6968" spans="1:5" ht="15.6">
      <c r="A6968">
        <v>6913</v>
      </c>
      <c r="B6968" s="166">
        <v>140.41471746745461</v>
      </c>
      <c r="D6968" s="39"/>
      <c r="E6968" s="39"/>
    </row>
    <row r="6969" spans="1:5" ht="15.6">
      <c r="A6969">
        <v>6914</v>
      </c>
      <c r="B6969" s="166">
        <v>62.776135516877552</v>
      </c>
      <c r="D6969" s="39"/>
      <c r="E6969" s="39"/>
    </row>
    <row r="6970" spans="1:5" ht="15.6">
      <c r="A6970">
        <v>6915</v>
      </c>
      <c r="B6970" s="166">
        <v>166.25280450973997</v>
      </c>
      <c r="D6970" s="39"/>
      <c r="E6970" s="39"/>
    </row>
    <row r="6971" spans="1:5" ht="15.6">
      <c r="A6971">
        <v>6916</v>
      </c>
      <c r="B6971" s="166">
        <v>146.18495260270078</v>
      </c>
      <c r="D6971" s="39"/>
      <c r="E6971" s="39"/>
    </row>
    <row r="6972" spans="1:5" ht="15.6">
      <c r="A6972">
        <v>6917</v>
      </c>
      <c r="B6972" s="166">
        <v>116.90975190881724</v>
      </c>
      <c r="D6972" s="39"/>
      <c r="E6972" s="39"/>
    </row>
    <row r="6973" spans="1:5" ht="15.6">
      <c r="A6973">
        <v>6918</v>
      </c>
      <c r="B6973" s="166">
        <v>130.86225155653582</v>
      </c>
      <c r="D6973" s="39"/>
      <c r="E6973" s="39"/>
    </row>
    <row r="6974" spans="1:5" ht="15.6">
      <c r="A6974">
        <v>6919</v>
      </c>
      <c r="B6974" s="166">
        <v>72.173142765309848</v>
      </c>
      <c r="D6974" s="39"/>
      <c r="E6974" s="39"/>
    </row>
    <row r="6975" spans="1:5" ht="15.6">
      <c r="A6975">
        <v>6920</v>
      </c>
      <c r="B6975" s="166">
        <v>94.333977648366158</v>
      </c>
      <c r="D6975" s="39"/>
      <c r="E6975" s="39"/>
    </row>
    <row r="6976" spans="1:5" ht="15.6">
      <c r="A6976">
        <v>6921</v>
      </c>
      <c r="B6976" s="166">
        <v>96.579466959583442</v>
      </c>
      <c r="D6976" s="39"/>
      <c r="E6976" s="39"/>
    </row>
    <row r="6977" spans="1:5" ht="15.6">
      <c r="A6977">
        <v>6922</v>
      </c>
      <c r="B6977" s="166">
        <v>193.68076071145745</v>
      </c>
      <c r="D6977" s="39"/>
      <c r="E6977" s="39"/>
    </row>
    <row r="6978" spans="1:5" ht="15.6">
      <c r="A6978">
        <v>6923</v>
      </c>
      <c r="B6978" s="166">
        <v>56.287244120813391</v>
      </c>
      <c r="D6978" s="39"/>
      <c r="E6978" s="39"/>
    </row>
    <row r="6979" spans="1:5" ht="15.6">
      <c r="A6979">
        <v>6924</v>
      </c>
      <c r="B6979" s="166">
        <v>81.464260394658965</v>
      </c>
      <c r="D6979" s="39"/>
      <c r="E6979" s="39"/>
    </row>
    <row r="6980" spans="1:5" ht="15.6">
      <c r="A6980">
        <v>6925</v>
      </c>
      <c r="B6980" s="166">
        <v>140.56483789080639</v>
      </c>
      <c r="D6980" s="39"/>
      <c r="E6980" s="39"/>
    </row>
    <row r="6981" spans="1:5" ht="15.6">
      <c r="A6981">
        <v>6926</v>
      </c>
      <c r="B6981" s="166">
        <v>123.84023329826036</v>
      </c>
      <c r="D6981" s="39"/>
      <c r="E6981" s="39"/>
    </row>
    <row r="6982" spans="1:5" ht="15.6">
      <c r="A6982">
        <v>6927</v>
      </c>
      <c r="B6982" s="166">
        <v>134.00527643798753</v>
      </c>
      <c r="D6982" s="39"/>
      <c r="E6982" s="39"/>
    </row>
    <row r="6983" spans="1:5" ht="15.6">
      <c r="A6983">
        <v>6928</v>
      </c>
      <c r="B6983" s="166">
        <v>92.914958856295996</v>
      </c>
      <c r="D6983" s="39"/>
      <c r="E6983" s="39"/>
    </row>
    <row r="6984" spans="1:5" ht="15.6">
      <c r="A6984">
        <v>6929</v>
      </c>
      <c r="B6984" s="166">
        <v>146.50312794362733</v>
      </c>
      <c r="D6984" s="39"/>
      <c r="E6984" s="39"/>
    </row>
    <row r="6985" spans="1:5" ht="15.6">
      <c r="A6985">
        <v>6930</v>
      </c>
      <c r="B6985" s="166">
        <v>92.151858667469469</v>
      </c>
      <c r="D6985" s="39"/>
      <c r="E6985" s="39"/>
    </row>
    <row r="6986" spans="1:5" ht="15.6">
      <c r="A6986">
        <v>6931</v>
      </c>
      <c r="B6986" s="166">
        <v>139.82008920606512</v>
      </c>
      <c r="D6986" s="39"/>
      <c r="E6986" s="39"/>
    </row>
    <row r="6987" spans="1:5" ht="15.6">
      <c r="A6987">
        <v>6932</v>
      </c>
      <c r="B6987" s="166">
        <v>91.672774442029223</v>
      </c>
      <c r="D6987" s="39"/>
      <c r="E6987" s="39"/>
    </row>
    <row r="6988" spans="1:5" ht="15.6">
      <c r="A6988">
        <v>6933</v>
      </c>
      <c r="B6988" s="166">
        <v>91.275728036819487</v>
      </c>
      <c r="D6988" s="39"/>
      <c r="E6988" s="39"/>
    </row>
    <row r="6989" spans="1:5" ht="15.6">
      <c r="A6989">
        <v>6934</v>
      </c>
      <c r="B6989" s="166">
        <v>119.24612732023793</v>
      </c>
      <c r="D6989" s="39"/>
      <c r="E6989" s="39"/>
    </row>
    <row r="6990" spans="1:5" ht="15.6">
      <c r="A6990">
        <v>6935</v>
      </c>
      <c r="B6990" s="166">
        <v>98.496702500512541</v>
      </c>
      <c r="D6990" s="39"/>
      <c r="E6990" s="39"/>
    </row>
    <row r="6991" spans="1:5" ht="15.6">
      <c r="A6991">
        <v>6936</v>
      </c>
      <c r="B6991" s="166">
        <v>104.20324368255498</v>
      </c>
      <c r="D6991" s="39"/>
      <c r="E6991" s="39"/>
    </row>
    <row r="6992" spans="1:5" ht="15.6">
      <c r="A6992">
        <v>6937</v>
      </c>
      <c r="B6992" s="166">
        <v>71.537043019241125</v>
      </c>
      <c r="D6992" s="39"/>
      <c r="E6992" s="39"/>
    </row>
    <row r="6993" spans="1:5" ht="15.6">
      <c r="A6993">
        <v>6938</v>
      </c>
      <c r="B6993" s="166">
        <v>106.24636475975278</v>
      </c>
      <c r="D6993" s="39"/>
      <c r="E6993" s="39"/>
    </row>
    <row r="6994" spans="1:5" ht="15.6">
      <c r="A6994">
        <v>6939</v>
      </c>
      <c r="B6994" s="166">
        <v>76.308548973741566</v>
      </c>
      <c r="D6994" s="39"/>
      <c r="E6994" s="39"/>
    </row>
    <row r="6995" spans="1:5" ht="15.6">
      <c r="A6995">
        <v>6940</v>
      </c>
      <c r="B6995" s="166">
        <v>77.715543708126219</v>
      </c>
      <c r="D6995" s="39"/>
      <c r="E6995" s="39"/>
    </row>
    <row r="6996" spans="1:5" ht="15.6">
      <c r="A6996">
        <v>6941</v>
      </c>
      <c r="B6996" s="166">
        <v>136.96892011811798</v>
      </c>
      <c r="D6996" s="39"/>
      <c r="E6996" s="39"/>
    </row>
    <row r="6997" spans="1:5" ht="15.6">
      <c r="A6997">
        <v>6942</v>
      </c>
      <c r="B6997" s="166">
        <v>126.93065657067798</v>
      </c>
      <c r="D6997" s="39"/>
      <c r="E6997" s="39"/>
    </row>
    <row r="6998" spans="1:5" ht="15.6">
      <c r="A6998">
        <v>6943</v>
      </c>
      <c r="B6998" s="166">
        <v>215.39261216365415</v>
      </c>
      <c r="D6998" s="39"/>
      <c r="E6998" s="39"/>
    </row>
    <row r="6999" spans="1:5" ht="15.6">
      <c r="A6999">
        <v>6944</v>
      </c>
      <c r="B6999" s="166">
        <v>204.53868202389341</v>
      </c>
      <c r="D6999" s="39"/>
      <c r="E6999" s="39"/>
    </row>
    <row r="7000" spans="1:5" ht="15.6">
      <c r="A7000">
        <v>6945</v>
      </c>
      <c r="B7000" s="166">
        <v>121.14710834832985</v>
      </c>
      <c r="D7000" s="39"/>
      <c r="E7000" s="39"/>
    </row>
    <row r="7001" spans="1:5" ht="15.6">
      <c r="A7001">
        <v>6946</v>
      </c>
      <c r="B7001" s="166">
        <v>102.01834371349035</v>
      </c>
      <c r="D7001" s="39"/>
      <c r="E7001" s="39"/>
    </row>
    <row r="7002" spans="1:5" ht="15.6">
      <c r="A7002">
        <v>6947</v>
      </c>
      <c r="B7002" s="166">
        <v>63.178305898801305</v>
      </c>
      <c r="D7002" s="39"/>
      <c r="E7002" s="39"/>
    </row>
    <row r="7003" spans="1:5" ht="15.6">
      <c r="A7003">
        <v>6948</v>
      </c>
      <c r="B7003" s="166">
        <v>163.61543617772375</v>
      </c>
      <c r="D7003" s="39"/>
      <c r="E7003" s="39"/>
    </row>
    <row r="7004" spans="1:5" ht="15.6">
      <c r="A7004">
        <v>6949</v>
      </c>
      <c r="B7004" s="166">
        <v>158.63231326521088</v>
      </c>
      <c r="D7004" s="39"/>
      <c r="E7004" s="39"/>
    </row>
    <row r="7005" spans="1:5" ht="15.6">
      <c r="A7005">
        <v>6950</v>
      </c>
      <c r="B7005" s="166">
        <v>67.224565502758509</v>
      </c>
      <c r="D7005" s="39"/>
      <c r="E7005" s="39"/>
    </row>
    <row r="7006" spans="1:5" ht="15.6">
      <c r="A7006">
        <v>6951</v>
      </c>
      <c r="B7006" s="166">
        <v>118.76280620143815</v>
      </c>
      <c r="D7006" s="39"/>
      <c r="E7006" s="39"/>
    </row>
    <row r="7007" spans="1:5" ht="15.6">
      <c r="A7007">
        <v>6952</v>
      </c>
      <c r="B7007" s="166">
        <v>71.265464715645223</v>
      </c>
      <c r="D7007" s="39"/>
      <c r="E7007" s="39"/>
    </row>
    <row r="7008" spans="1:5" ht="15.6">
      <c r="A7008">
        <v>6953</v>
      </c>
      <c r="B7008" s="166">
        <v>80.571820848275379</v>
      </c>
      <c r="D7008" s="39"/>
      <c r="E7008" s="39"/>
    </row>
    <row r="7009" spans="1:5" ht="15.6">
      <c r="A7009">
        <v>6954</v>
      </c>
      <c r="B7009" s="166">
        <v>114.12080451314571</v>
      </c>
      <c r="D7009" s="39"/>
      <c r="E7009" s="39"/>
    </row>
    <row r="7010" spans="1:5" ht="15.6">
      <c r="A7010">
        <v>6955</v>
      </c>
      <c r="B7010" s="166">
        <v>64.540768066106253</v>
      </c>
      <c r="D7010" s="39"/>
      <c r="E7010" s="39"/>
    </row>
    <row r="7011" spans="1:5" ht="15.6">
      <c r="A7011">
        <v>6956</v>
      </c>
      <c r="B7011" s="166">
        <v>80.072516127403858</v>
      </c>
      <c r="D7011" s="39"/>
      <c r="E7011" s="39"/>
    </row>
    <row r="7012" spans="1:5" ht="15.6">
      <c r="A7012">
        <v>6957</v>
      </c>
      <c r="B7012" s="166">
        <v>137.77813068271888</v>
      </c>
      <c r="D7012" s="39"/>
      <c r="E7012" s="39"/>
    </row>
    <row r="7013" spans="1:5" ht="15.6">
      <c r="A7013">
        <v>6958</v>
      </c>
      <c r="B7013" s="166">
        <v>198.33753013347234</v>
      </c>
      <c r="D7013" s="39"/>
      <c r="E7013" s="39"/>
    </row>
    <row r="7014" spans="1:5" ht="15.6">
      <c r="A7014">
        <v>6959</v>
      </c>
      <c r="B7014" s="166">
        <v>118.42072995483527</v>
      </c>
      <c r="D7014" s="39"/>
      <c r="E7014" s="39"/>
    </row>
    <row r="7015" spans="1:5" ht="15.6">
      <c r="A7015">
        <v>6960</v>
      </c>
      <c r="B7015" s="166">
        <v>55.218544459526804</v>
      </c>
      <c r="D7015" s="39"/>
      <c r="E7015" s="39"/>
    </row>
    <row r="7016" spans="1:5" ht="15.6">
      <c r="A7016">
        <v>6961</v>
      </c>
      <c r="B7016" s="166">
        <v>69.132518134681121</v>
      </c>
      <c r="D7016" s="39"/>
      <c r="E7016" s="39"/>
    </row>
    <row r="7017" spans="1:5" ht="15.6">
      <c r="A7017">
        <v>6962</v>
      </c>
      <c r="B7017" s="166">
        <v>137.22034053283568</v>
      </c>
      <c r="D7017" s="39"/>
      <c r="E7017" s="39"/>
    </row>
    <row r="7018" spans="1:5" ht="15.6">
      <c r="A7018">
        <v>6963</v>
      </c>
      <c r="B7018" s="166">
        <v>62.554225697745338</v>
      </c>
      <c r="D7018" s="39"/>
      <c r="E7018" s="39"/>
    </row>
    <row r="7019" spans="1:5" ht="15.6">
      <c r="A7019">
        <v>6964</v>
      </c>
      <c r="B7019" s="166">
        <v>83.741543112177709</v>
      </c>
      <c r="D7019" s="39"/>
      <c r="E7019" s="39"/>
    </row>
    <row r="7020" spans="1:5" ht="15.6">
      <c r="A7020">
        <v>6965</v>
      </c>
      <c r="B7020" s="166">
        <v>174.99230756707263</v>
      </c>
      <c r="D7020" s="39"/>
      <c r="E7020" s="39"/>
    </row>
    <row r="7021" spans="1:5" ht="15.6">
      <c r="A7021">
        <v>6966</v>
      </c>
      <c r="B7021" s="166">
        <v>97.701413854646603</v>
      </c>
      <c r="D7021" s="39"/>
      <c r="E7021" s="39"/>
    </row>
    <row r="7022" spans="1:5" ht="15.6">
      <c r="A7022">
        <v>6967</v>
      </c>
      <c r="B7022" s="166">
        <v>274.65804806941418</v>
      </c>
      <c r="D7022" s="39"/>
      <c r="E7022" s="39"/>
    </row>
    <row r="7023" spans="1:5" ht="15.6">
      <c r="A7023">
        <v>6968</v>
      </c>
      <c r="B7023" s="166">
        <v>146.0519552280322</v>
      </c>
      <c r="D7023" s="39"/>
      <c r="E7023" s="39"/>
    </row>
    <row r="7024" spans="1:5" ht="15.6">
      <c r="A7024">
        <v>6969</v>
      </c>
      <c r="B7024" s="166">
        <v>110.69629826145615</v>
      </c>
      <c r="D7024" s="39"/>
      <c r="E7024" s="39"/>
    </row>
    <row r="7025" spans="1:5" ht="15.6">
      <c r="A7025">
        <v>6970</v>
      </c>
      <c r="B7025" s="166">
        <v>84.418284393745907</v>
      </c>
      <c r="D7025" s="39"/>
      <c r="E7025" s="39"/>
    </row>
    <row r="7026" spans="1:5" ht="15.6">
      <c r="A7026">
        <v>6971</v>
      </c>
      <c r="B7026" s="166">
        <v>107.81643978763616</v>
      </c>
      <c r="D7026" s="39"/>
      <c r="E7026" s="39"/>
    </row>
    <row r="7027" spans="1:5" ht="15.6">
      <c r="A7027">
        <v>6972</v>
      </c>
      <c r="B7027" s="166">
        <v>123.32585936645994</v>
      </c>
      <c r="D7027" s="39"/>
      <c r="E7027" s="39"/>
    </row>
    <row r="7028" spans="1:5" ht="15.6">
      <c r="A7028">
        <v>6973</v>
      </c>
      <c r="B7028" s="166">
        <v>136.13082304459232</v>
      </c>
      <c r="D7028" s="39"/>
      <c r="E7028" s="39"/>
    </row>
    <row r="7029" spans="1:5" ht="15.6">
      <c r="A7029">
        <v>6974</v>
      </c>
      <c r="B7029" s="166">
        <v>141.51094000857486</v>
      </c>
      <c r="D7029" s="39"/>
      <c r="E7029" s="39"/>
    </row>
    <row r="7030" spans="1:5" ht="15.6">
      <c r="A7030">
        <v>6975</v>
      </c>
      <c r="B7030" s="166">
        <v>100.40251257068005</v>
      </c>
      <c r="D7030" s="39"/>
      <c r="E7030" s="39"/>
    </row>
    <row r="7031" spans="1:5" ht="15.6">
      <c r="A7031">
        <v>6976</v>
      </c>
      <c r="B7031" s="166">
        <v>98.972377172062906</v>
      </c>
      <c r="D7031" s="39"/>
      <c r="E7031" s="39"/>
    </row>
    <row r="7032" spans="1:5" ht="15.6">
      <c r="A7032">
        <v>6977</v>
      </c>
      <c r="B7032" s="166">
        <v>162.22132064497868</v>
      </c>
      <c r="D7032" s="39"/>
      <c r="E7032" s="39"/>
    </row>
    <row r="7033" spans="1:5" ht="15.6">
      <c r="A7033">
        <v>6978</v>
      </c>
      <c r="B7033" s="166">
        <v>125.11287168373784</v>
      </c>
      <c r="D7033" s="39"/>
      <c r="E7033" s="39"/>
    </row>
    <row r="7034" spans="1:5" ht="15.6">
      <c r="A7034">
        <v>6979</v>
      </c>
      <c r="B7034" s="166">
        <v>66.963744253938671</v>
      </c>
      <c r="D7034" s="39"/>
      <c r="E7034" s="39"/>
    </row>
    <row r="7035" spans="1:5" ht="15.6">
      <c r="A7035">
        <v>6980</v>
      </c>
      <c r="B7035" s="166">
        <v>82.682962391077837</v>
      </c>
      <c r="D7035" s="39"/>
      <c r="E7035" s="39"/>
    </row>
    <row r="7036" spans="1:5" ht="15.6">
      <c r="A7036">
        <v>6981</v>
      </c>
      <c r="B7036" s="166">
        <v>73.1513360197048</v>
      </c>
      <c r="D7036" s="39"/>
      <c r="E7036" s="39"/>
    </row>
    <row r="7037" spans="1:5" ht="15.6">
      <c r="A7037">
        <v>6982</v>
      </c>
      <c r="B7037" s="166">
        <v>81.135416847872534</v>
      </c>
      <c r="D7037" s="39"/>
      <c r="E7037" s="39"/>
    </row>
    <row r="7038" spans="1:5" ht="15.6">
      <c r="A7038">
        <v>6983</v>
      </c>
      <c r="B7038" s="166">
        <v>120.70385520269471</v>
      </c>
      <c r="D7038" s="39"/>
      <c r="E7038" s="39"/>
    </row>
    <row r="7039" spans="1:5" ht="15.6">
      <c r="A7039">
        <v>6984</v>
      </c>
      <c r="B7039" s="166">
        <v>92.918555747269821</v>
      </c>
      <c r="D7039" s="39"/>
      <c r="E7039" s="39"/>
    </row>
    <row r="7040" spans="1:5" ht="15.6">
      <c r="A7040">
        <v>6985</v>
      </c>
      <c r="B7040" s="166">
        <v>105.74105431480911</v>
      </c>
      <c r="D7040" s="39"/>
      <c r="E7040" s="39"/>
    </row>
    <row r="7041" spans="1:5" ht="15.6">
      <c r="A7041">
        <v>6986</v>
      </c>
      <c r="B7041" s="166">
        <v>93.13195389866506</v>
      </c>
      <c r="D7041" s="39"/>
      <c r="E7041" s="39"/>
    </row>
    <row r="7042" spans="1:5" ht="15.6">
      <c r="A7042">
        <v>6987</v>
      </c>
      <c r="B7042" s="166">
        <v>122.52603019473109</v>
      </c>
      <c r="D7042" s="39"/>
      <c r="E7042" s="39"/>
    </row>
    <row r="7043" spans="1:5" ht="15.6">
      <c r="A7043">
        <v>6988</v>
      </c>
      <c r="B7043" s="166">
        <v>155.19480719207266</v>
      </c>
      <c r="D7043" s="39"/>
      <c r="E7043" s="39"/>
    </row>
    <row r="7044" spans="1:5" ht="15.6">
      <c r="A7044">
        <v>6989</v>
      </c>
      <c r="B7044" s="166">
        <v>71.3422563769915</v>
      </c>
      <c r="D7044" s="39"/>
      <c r="E7044" s="39"/>
    </row>
    <row r="7045" spans="1:5" ht="15.6">
      <c r="A7045">
        <v>6990</v>
      </c>
      <c r="B7045" s="166">
        <v>158.92329967965881</v>
      </c>
      <c r="D7045" s="39"/>
      <c r="E7045" s="39"/>
    </row>
    <row r="7046" spans="1:5" ht="15.6">
      <c r="A7046">
        <v>6991</v>
      </c>
      <c r="B7046" s="166">
        <v>92.782098808329053</v>
      </c>
      <c r="D7046" s="39"/>
      <c r="E7046" s="39"/>
    </row>
    <row r="7047" spans="1:5" ht="15.6">
      <c r="A7047">
        <v>6992</v>
      </c>
      <c r="B7047" s="166">
        <v>80.997648587523884</v>
      </c>
      <c r="D7047" s="39"/>
      <c r="E7047" s="39"/>
    </row>
    <row r="7048" spans="1:5" ht="15.6">
      <c r="A7048">
        <v>6993</v>
      </c>
      <c r="B7048" s="166">
        <v>84.398158485781451</v>
      </c>
      <c r="D7048" s="39"/>
      <c r="E7048" s="39"/>
    </row>
    <row r="7049" spans="1:5" ht="15.6">
      <c r="A7049">
        <v>6994</v>
      </c>
      <c r="B7049" s="166">
        <v>139.49760642429209</v>
      </c>
      <c r="D7049" s="39"/>
      <c r="E7049" s="39"/>
    </row>
    <row r="7050" spans="1:5" ht="15.6">
      <c r="A7050">
        <v>6995</v>
      </c>
      <c r="B7050" s="166">
        <v>75.190916794061351</v>
      </c>
      <c r="D7050" s="39"/>
      <c r="E7050" s="39"/>
    </row>
    <row r="7051" spans="1:5" ht="15.6">
      <c r="A7051">
        <v>6996</v>
      </c>
      <c r="B7051" s="166">
        <v>113.63177461271405</v>
      </c>
      <c r="D7051" s="39"/>
      <c r="E7051" s="39"/>
    </row>
    <row r="7052" spans="1:5" ht="15.6">
      <c r="A7052">
        <v>6997</v>
      </c>
      <c r="B7052" s="166">
        <v>111.68927713866951</v>
      </c>
      <c r="D7052" s="39"/>
      <c r="E7052" s="39"/>
    </row>
    <row r="7053" spans="1:5" ht="15.6">
      <c r="A7053">
        <v>6998</v>
      </c>
      <c r="B7053" s="166">
        <v>226.04202191867009</v>
      </c>
      <c r="D7053" s="39"/>
      <c r="E7053" s="39"/>
    </row>
    <row r="7054" spans="1:5" ht="15.6">
      <c r="A7054">
        <v>6999</v>
      </c>
      <c r="B7054" s="166">
        <v>189.31448983400736</v>
      </c>
      <c r="D7054" s="39"/>
      <c r="E7054" s="39"/>
    </row>
    <row r="7055" spans="1:5" ht="15.6">
      <c r="A7055">
        <v>7000</v>
      </c>
      <c r="B7055" s="166">
        <v>98.596236313450262</v>
      </c>
      <c r="D7055" s="39"/>
      <c r="E7055" s="39"/>
    </row>
    <row r="7056" spans="1:5" ht="15.6">
      <c r="A7056">
        <v>7001</v>
      </c>
      <c r="B7056" s="166">
        <v>150.06213928188373</v>
      </c>
      <c r="D7056" s="39"/>
      <c r="E7056" s="39"/>
    </row>
    <row r="7057" spans="1:5" ht="15.6">
      <c r="A7057">
        <v>7002</v>
      </c>
      <c r="B7057" s="166">
        <v>81.48573958544192</v>
      </c>
      <c r="D7057" s="39"/>
      <c r="E7057" s="39"/>
    </row>
    <row r="7058" spans="1:5" ht="15.6">
      <c r="A7058">
        <v>7003</v>
      </c>
      <c r="B7058" s="166">
        <v>95.146213528238405</v>
      </c>
      <c r="D7058" s="39"/>
      <c r="E7058" s="39"/>
    </row>
    <row r="7059" spans="1:5" ht="15.6">
      <c r="A7059">
        <v>7004</v>
      </c>
      <c r="B7059" s="166">
        <v>104.74763710579779</v>
      </c>
      <c r="D7059" s="39"/>
      <c r="E7059" s="39"/>
    </row>
    <row r="7060" spans="1:5" ht="15.6">
      <c r="A7060">
        <v>7005</v>
      </c>
      <c r="B7060" s="166">
        <v>56.280937289849341</v>
      </c>
      <c r="D7060" s="39"/>
      <c r="E7060" s="39"/>
    </row>
    <row r="7061" spans="1:5" ht="15.6">
      <c r="A7061">
        <v>7006</v>
      </c>
      <c r="B7061" s="166">
        <v>156.36368057211803</v>
      </c>
      <c r="D7061" s="39"/>
      <c r="E7061" s="39"/>
    </row>
    <row r="7062" spans="1:5" ht="15.6">
      <c r="A7062">
        <v>7007</v>
      </c>
      <c r="B7062" s="166">
        <v>116.01332327413741</v>
      </c>
      <c r="D7062" s="39"/>
      <c r="E7062" s="39"/>
    </row>
    <row r="7063" spans="1:5" ht="15.6">
      <c r="A7063">
        <v>7008</v>
      </c>
      <c r="B7063" s="166">
        <v>85.686547134818539</v>
      </c>
      <c r="D7063" s="39"/>
      <c r="E7063" s="39"/>
    </row>
    <row r="7064" spans="1:5" ht="15.6">
      <c r="A7064">
        <v>7009</v>
      </c>
      <c r="B7064" s="166">
        <v>83.262544873987409</v>
      </c>
      <c r="D7064" s="39"/>
      <c r="E7064" s="39"/>
    </row>
    <row r="7065" spans="1:5" ht="15.6">
      <c r="A7065">
        <v>7010</v>
      </c>
      <c r="B7065" s="166">
        <v>161.83910374830822</v>
      </c>
      <c r="D7065" s="39"/>
      <c r="E7065" s="39"/>
    </row>
    <row r="7066" spans="1:5" ht="15.6">
      <c r="A7066">
        <v>7011</v>
      </c>
      <c r="B7066" s="166">
        <v>126.12634914909871</v>
      </c>
      <c r="D7066" s="39"/>
      <c r="E7066" s="39"/>
    </row>
    <row r="7067" spans="1:5" ht="15.6">
      <c r="A7067">
        <v>7012</v>
      </c>
      <c r="B7067" s="166">
        <v>83.619049318012571</v>
      </c>
      <c r="D7067" s="39"/>
      <c r="E7067" s="39"/>
    </row>
    <row r="7068" spans="1:5" ht="15.6">
      <c r="A7068">
        <v>7013</v>
      </c>
      <c r="B7068" s="166">
        <v>85.185927978135169</v>
      </c>
      <c r="D7068" s="39"/>
      <c r="E7068" s="39"/>
    </row>
    <row r="7069" spans="1:5" ht="15.6">
      <c r="A7069">
        <v>7014</v>
      </c>
      <c r="B7069" s="166">
        <v>115.90561429748944</v>
      </c>
      <c r="D7069" s="39"/>
      <c r="E7069" s="39"/>
    </row>
    <row r="7070" spans="1:5" ht="15.6">
      <c r="A7070">
        <v>7015</v>
      </c>
      <c r="B7070" s="166">
        <v>90.464118428131769</v>
      </c>
      <c r="D7070" s="39"/>
      <c r="E7070" s="39"/>
    </row>
    <row r="7071" spans="1:5" ht="15.6">
      <c r="A7071">
        <v>7016</v>
      </c>
      <c r="B7071" s="166">
        <v>68.311895191531335</v>
      </c>
      <c r="D7071" s="39"/>
      <c r="E7071" s="39"/>
    </row>
    <row r="7072" spans="1:5" ht="15.6">
      <c r="A7072">
        <v>7017</v>
      </c>
      <c r="B7072" s="166">
        <v>68.707590574242118</v>
      </c>
      <c r="D7072" s="39"/>
      <c r="E7072" s="39"/>
    </row>
    <row r="7073" spans="1:5" ht="15.6">
      <c r="A7073">
        <v>7018</v>
      </c>
      <c r="B7073" s="166">
        <v>115.68408058549487</v>
      </c>
      <c r="D7073" s="39"/>
      <c r="E7073" s="39"/>
    </row>
    <row r="7074" spans="1:5" ht="15.6">
      <c r="A7074">
        <v>7019</v>
      </c>
      <c r="B7074" s="166">
        <v>105.18889621146432</v>
      </c>
      <c r="D7074" s="39"/>
      <c r="E7074" s="39"/>
    </row>
    <row r="7075" spans="1:5" ht="15.6">
      <c r="A7075">
        <v>7020</v>
      </c>
      <c r="B7075" s="166">
        <v>114.12471282746662</v>
      </c>
      <c r="D7075" s="39"/>
      <c r="E7075" s="39"/>
    </row>
    <row r="7076" spans="1:5" ht="15.6">
      <c r="A7076">
        <v>7021</v>
      </c>
      <c r="B7076" s="166">
        <v>102.4943493448135</v>
      </c>
      <c r="D7076" s="39"/>
      <c r="E7076" s="39"/>
    </row>
    <row r="7077" spans="1:5" ht="15.6">
      <c r="A7077">
        <v>7022</v>
      </c>
      <c r="B7077" s="166">
        <v>75.829194924814288</v>
      </c>
      <c r="D7077" s="39"/>
      <c r="E7077" s="39"/>
    </row>
    <row r="7078" spans="1:5" ht="15.6">
      <c r="A7078">
        <v>7023</v>
      </c>
      <c r="B7078" s="166">
        <v>166.42267838119557</v>
      </c>
      <c r="D7078" s="39"/>
      <c r="E7078" s="39"/>
    </row>
    <row r="7079" spans="1:5" ht="15.6">
      <c r="A7079">
        <v>7024</v>
      </c>
      <c r="B7079" s="166">
        <v>68.816305705942057</v>
      </c>
      <c r="D7079" s="39"/>
      <c r="E7079" s="39"/>
    </row>
    <row r="7080" spans="1:5" ht="15.6">
      <c r="A7080">
        <v>7025</v>
      </c>
      <c r="B7080" s="166">
        <v>110.21330767428368</v>
      </c>
      <c r="D7080" s="39"/>
      <c r="E7080" s="39"/>
    </row>
    <row r="7081" spans="1:5" ht="15.6">
      <c r="A7081">
        <v>7026</v>
      </c>
      <c r="B7081" s="166">
        <v>223.83172930234542</v>
      </c>
      <c r="D7081" s="39"/>
      <c r="E7081" s="39"/>
    </row>
    <row r="7082" spans="1:5" ht="15.6">
      <c r="A7082">
        <v>7027</v>
      </c>
      <c r="B7082" s="166">
        <v>83.671507672971956</v>
      </c>
      <c r="D7082" s="39"/>
      <c r="E7082" s="39"/>
    </row>
    <row r="7083" spans="1:5" ht="15.6">
      <c r="A7083">
        <v>7028</v>
      </c>
      <c r="B7083" s="166">
        <v>140.98178872143382</v>
      </c>
      <c r="D7083" s="39"/>
      <c r="E7083" s="39"/>
    </row>
    <row r="7084" spans="1:5" ht="15.6">
      <c r="A7084">
        <v>7029</v>
      </c>
      <c r="B7084" s="166">
        <v>110.51471642193859</v>
      </c>
      <c r="D7084" s="39"/>
      <c r="E7084" s="39"/>
    </row>
    <row r="7085" spans="1:5" ht="15.6">
      <c r="A7085">
        <v>7030</v>
      </c>
      <c r="B7085" s="166">
        <v>140.07989370304585</v>
      </c>
      <c r="D7085" s="39"/>
      <c r="E7085" s="39"/>
    </row>
    <row r="7086" spans="1:5" ht="15.6">
      <c r="A7086">
        <v>7031</v>
      </c>
      <c r="B7086" s="166">
        <v>97.381775030682434</v>
      </c>
      <c r="D7086" s="39"/>
      <c r="E7086" s="39"/>
    </row>
    <row r="7087" spans="1:5" ht="15.6">
      <c r="A7087">
        <v>7032</v>
      </c>
      <c r="B7087" s="166">
        <v>78.714284171326369</v>
      </c>
      <c r="D7087" s="39"/>
      <c r="E7087" s="39"/>
    </row>
    <row r="7088" spans="1:5" ht="15.6">
      <c r="A7088">
        <v>7033</v>
      </c>
      <c r="B7088" s="166">
        <v>93.555792410569993</v>
      </c>
      <c r="D7088" s="39"/>
      <c r="E7088" s="39"/>
    </row>
    <row r="7089" spans="1:5" ht="15.6">
      <c r="A7089">
        <v>7034</v>
      </c>
      <c r="B7089" s="166">
        <v>131.23613105905028</v>
      </c>
      <c r="D7089" s="39"/>
      <c r="E7089" s="39"/>
    </row>
    <row r="7090" spans="1:5" ht="15.6">
      <c r="A7090">
        <v>7035</v>
      </c>
      <c r="B7090" s="166">
        <v>131.92221316337231</v>
      </c>
      <c r="D7090" s="39"/>
      <c r="E7090" s="39"/>
    </row>
    <row r="7091" spans="1:5" ht="15.6">
      <c r="A7091">
        <v>7036</v>
      </c>
      <c r="B7091" s="166">
        <v>205.19040846736476</v>
      </c>
      <c r="D7091" s="39"/>
      <c r="E7091" s="39"/>
    </row>
    <row r="7092" spans="1:5" ht="15.6">
      <c r="A7092">
        <v>7037</v>
      </c>
      <c r="B7092" s="166">
        <v>87.236152234439473</v>
      </c>
      <c r="D7092" s="39"/>
      <c r="E7092" s="39"/>
    </row>
    <row r="7093" spans="1:5" ht="15.6">
      <c r="A7093">
        <v>7038</v>
      </c>
      <c r="B7093" s="166">
        <v>193.10189266404376</v>
      </c>
      <c r="D7093" s="39"/>
      <c r="E7093" s="39"/>
    </row>
    <row r="7094" spans="1:5" ht="15.6">
      <c r="A7094">
        <v>7039</v>
      </c>
      <c r="B7094" s="166">
        <v>88.273218392466191</v>
      </c>
      <c r="D7094" s="39"/>
      <c r="E7094" s="39"/>
    </row>
    <row r="7095" spans="1:5" ht="15.6">
      <c r="A7095">
        <v>7040</v>
      </c>
      <c r="B7095" s="166">
        <v>72.552714692733986</v>
      </c>
      <c r="D7095" s="39"/>
      <c r="E7095" s="39"/>
    </row>
    <row r="7096" spans="1:5" ht="15.6">
      <c r="A7096">
        <v>7041</v>
      </c>
      <c r="B7096" s="166">
        <v>115.15099390983721</v>
      </c>
      <c r="D7096" s="39"/>
      <c r="E7096" s="39"/>
    </row>
    <row r="7097" spans="1:5" ht="15.6">
      <c r="A7097">
        <v>7042</v>
      </c>
      <c r="B7097" s="166">
        <v>69.585394326400206</v>
      </c>
      <c r="D7097" s="39"/>
      <c r="E7097" s="39"/>
    </row>
    <row r="7098" spans="1:5" ht="15.6">
      <c r="A7098">
        <v>7043</v>
      </c>
      <c r="B7098" s="166">
        <v>76.532863111110984</v>
      </c>
      <c r="D7098" s="39"/>
      <c r="E7098" s="39"/>
    </row>
    <row r="7099" spans="1:5" ht="15.6">
      <c r="A7099">
        <v>7044</v>
      </c>
      <c r="B7099" s="166">
        <v>81.748303221615359</v>
      </c>
      <c r="D7099" s="39"/>
      <c r="E7099" s="39"/>
    </row>
    <row r="7100" spans="1:5" ht="15.6">
      <c r="A7100">
        <v>7045</v>
      </c>
      <c r="B7100" s="166">
        <v>102.76567433097939</v>
      </c>
      <c r="D7100" s="39"/>
      <c r="E7100" s="39"/>
    </row>
    <row r="7101" spans="1:5" ht="15.6">
      <c r="A7101">
        <v>7046</v>
      </c>
      <c r="B7101" s="166">
        <v>72.225911549394667</v>
      </c>
      <c r="D7101" s="39"/>
      <c r="E7101" s="39"/>
    </row>
    <row r="7102" spans="1:5" ht="15.6">
      <c r="A7102">
        <v>7047</v>
      </c>
      <c r="B7102" s="166">
        <v>200.06986024170726</v>
      </c>
      <c r="D7102" s="39"/>
      <c r="E7102" s="39"/>
    </row>
    <row r="7103" spans="1:5" ht="15.6">
      <c r="A7103">
        <v>7048</v>
      </c>
      <c r="B7103" s="166">
        <v>97.971059382433012</v>
      </c>
      <c r="D7103" s="39"/>
      <c r="E7103" s="39"/>
    </row>
    <row r="7104" spans="1:5" ht="15.6">
      <c r="A7104">
        <v>7049</v>
      </c>
      <c r="B7104" s="166">
        <v>141.7022193273082</v>
      </c>
      <c r="D7104" s="39"/>
      <c r="E7104" s="39"/>
    </row>
    <row r="7105" spans="1:5" ht="15.6">
      <c r="A7105">
        <v>7050</v>
      </c>
      <c r="B7105" s="166">
        <v>49.820159509515889</v>
      </c>
      <c r="D7105" s="39"/>
      <c r="E7105" s="39"/>
    </row>
    <row r="7106" spans="1:5" ht="15.6">
      <c r="A7106">
        <v>7051</v>
      </c>
      <c r="B7106" s="166">
        <v>112.98303096060069</v>
      </c>
      <c r="D7106" s="39"/>
      <c r="E7106" s="39"/>
    </row>
    <row r="7107" spans="1:5" ht="15.6">
      <c r="A7107">
        <v>7052</v>
      </c>
      <c r="B7107" s="166">
        <v>104.38681037804149</v>
      </c>
      <c r="D7107" s="39"/>
      <c r="E7107" s="39"/>
    </row>
    <row r="7108" spans="1:5" ht="15.6">
      <c r="A7108">
        <v>7053</v>
      </c>
      <c r="B7108" s="166">
        <v>89.268685500807734</v>
      </c>
      <c r="D7108" s="39"/>
      <c r="E7108" s="39"/>
    </row>
    <row r="7109" spans="1:5" ht="15.6">
      <c r="A7109">
        <v>7054</v>
      </c>
      <c r="B7109" s="166">
        <v>81.407024690430632</v>
      </c>
      <c r="D7109" s="39"/>
      <c r="E7109" s="39"/>
    </row>
    <row r="7110" spans="1:5" ht="15.6">
      <c r="A7110">
        <v>7055</v>
      </c>
      <c r="B7110" s="166">
        <v>114.45580691956954</v>
      </c>
      <c r="D7110" s="39"/>
      <c r="E7110" s="39"/>
    </row>
    <row r="7111" spans="1:5" ht="15.6">
      <c r="A7111">
        <v>7056</v>
      </c>
      <c r="B7111" s="166">
        <v>134.52107852124794</v>
      </c>
      <c r="D7111" s="39"/>
      <c r="E7111" s="39"/>
    </row>
    <row r="7112" spans="1:5" ht="15.6">
      <c r="A7112">
        <v>7057</v>
      </c>
      <c r="B7112" s="166">
        <v>75.709146582820594</v>
      </c>
      <c r="D7112" s="39"/>
      <c r="E7112" s="39"/>
    </row>
    <row r="7113" spans="1:5" ht="15.6">
      <c r="A7113">
        <v>7058</v>
      </c>
      <c r="B7113" s="166">
        <v>81.081064083168172</v>
      </c>
      <c r="D7113" s="39"/>
      <c r="E7113" s="39"/>
    </row>
    <row r="7114" spans="1:5" ht="15.6">
      <c r="A7114">
        <v>7059</v>
      </c>
      <c r="B7114" s="166">
        <v>64.463786037310541</v>
      </c>
      <c r="D7114" s="39"/>
      <c r="E7114" s="39"/>
    </row>
    <row r="7115" spans="1:5" ht="15.6">
      <c r="A7115">
        <v>7060</v>
      </c>
      <c r="B7115" s="166">
        <v>122.78651892311056</v>
      </c>
      <c r="D7115" s="39"/>
      <c r="E7115" s="39"/>
    </row>
    <row r="7116" spans="1:5" ht="15.6">
      <c r="A7116">
        <v>7061</v>
      </c>
      <c r="B7116" s="166">
        <v>123.7648969081196</v>
      </c>
      <c r="D7116" s="39"/>
      <c r="E7116" s="39"/>
    </row>
    <row r="7117" spans="1:5" ht="15.6">
      <c r="A7117">
        <v>7062</v>
      </c>
      <c r="B7117" s="166">
        <v>177.8532136142926</v>
      </c>
      <c r="D7117" s="39"/>
      <c r="E7117" s="39"/>
    </row>
    <row r="7118" spans="1:5" ht="15.6">
      <c r="A7118">
        <v>7063</v>
      </c>
      <c r="B7118" s="166">
        <v>170.20090403834038</v>
      </c>
      <c r="D7118" s="39"/>
      <c r="E7118" s="39"/>
    </row>
    <row r="7119" spans="1:5" ht="15.6">
      <c r="A7119">
        <v>7064</v>
      </c>
      <c r="B7119" s="166">
        <v>166.0096058518651</v>
      </c>
      <c r="D7119" s="39"/>
      <c r="E7119" s="39"/>
    </row>
    <row r="7120" spans="1:5" ht="15.6">
      <c r="A7120">
        <v>7065</v>
      </c>
      <c r="B7120" s="166">
        <v>68.969105542380248</v>
      </c>
      <c r="D7120" s="39"/>
      <c r="E7120" s="39"/>
    </row>
    <row r="7121" spans="1:5" ht="15.6">
      <c r="A7121">
        <v>7066</v>
      </c>
      <c r="B7121" s="166">
        <v>76.666122120237048</v>
      </c>
      <c r="D7121" s="39"/>
      <c r="E7121" s="39"/>
    </row>
    <row r="7122" spans="1:5" ht="15.6">
      <c r="A7122">
        <v>7067</v>
      </c>
      <c r="B7122" s="166">
        <v>125.29102509415928</v>
      </c>
      <c r="D7122" s="39"/>
      <c r="E7122" s="39"/>
    </row>
    <row r="7123" spans="1:5" ht="15.6">
      <c r="A7123">
        <v>7068</v>
      </c>
      <c r="B7123" s="166">
        <v>136.34876070127169</v>
      </c>
      <c r="D7123" s="39"/>
      <c r="E7123" s="39"/>
    </row>
    <row r="7124" spans="1:5" ht="15.6">
      <c r="A7124">
        <v>7069</v>
      </c>
      <c r="B7124" s="166">
        <v>53.828635200207088</v>
      </c>
      <c r="D7124" s="39"/>
      <c r="E7124" s="39"/>
    </row>
    <row r="7125" spans="1:5" ht="15.6">
      <c r="A7125">
        <v>7070</v>
      </c>
      <c r="B7125" s="166">
        <v>150.58992285190695</v>
      </c>
      <c r="D7125" s="39"/>
      <c r="E7125" s="39"/>
    </row>
    <row r="7126" spans="1:5" ht="15.6">
      <c r="A7126">
        <v>7071</v>
      </c>
      <c r="B7126" s="166">
        <v>96.176676227885977</v>
      </c>
      <c r="D7126" s="39"/>
      <c r="E7126" s="39"/>
    </row>
    <row r="7127" spans="1:5" ht="15.6">
      <c r="A7127">
        <v>7072</v>
      </c>
      <c r="B7127" s="166">
        <v>146.1704230510793</v>
      </c>
      <c r="D7127" s="39"/>
      <c r="E7127" s="39"/>
    </row>
    <row r="7128" spans="1:5" ht="15.6">
      <c r="A7128">
        <v>7073</v>
      </c>
      <c r="B7128" s="166">
        <v>100.01971973747131</v>
      </c>
      <c r="D7128" s="39"/>
      <c r="E7128" s="39"/>
    </row>
    <row r="7129" spans="1:5" ht="15.6">
      <c r="A7129">
        <v>7074</v>
      </c>
      <c r="B7129" s="166">
        <v>172.9680434715074</v>
      </c>
      <c r="D7129" s="39"/>
      <c r="E7129" s="39"/>
    </row>
    <row r="7130" spans="1:5" ht="15.6">
      <c r="A7130">
        <v>7075</v>
      </c>
      <c r="B7130" s="166">
        <v>110.34278310511532</v>
      </c>
      <c r="D7130" s="39"/>
      <c r="E7130" s="39"/>
    </row>
    <row r="7131" spans="1:5" ht="15.6">
      <c r="A7131">
        <v>7076</v>
      </c>
      <c r="B7131" s="166">
        <v>115.37472382346766</v>
      </c>
      <c r="D7131" s="39"/>
      <c r="E7131" s="39"/>
    </row>
    <row r="7132" spans="1:5" ht="15.6">
      <c r="A7132">
        <v>7077</v>
      </c>
      <c r="B7132" s="166">
        <v>119.29488522647911</v>
      </c>
      <c r="D7132" s="39"/>
      <c r="E7132" s="39"/>
    </row>
    <row r="7133" spans="1:5" ht="15.6">
      <c r="A7133">
        <v>7078</v>
      </c>
      <c r="B7133" s="166">
        <v>195.18080447313775</v>
      </c>
      <c r="D7133" s="39"/>
      <c r="E7133" s="39"/>
    </row>
    <row r="7134" spans="1:5" ht="15.6">
      <c r="A7134">
        <v>7079</v>
      </c>
      <c r="B7134" s="166">
        <v>71.609435477973193</v>
      </c>
      <c r="D7134" s="39"/>
      <c r="E7134" s="39"/>
    </row>
    <row r="7135" spans="1:5" ht="15.6">
      <c r="A7135">
        <v>7080</v>
      </c>
      <c r="B7135" s="166">
        <v>71.285823872291971</v>
      </c>
      <c r="D7135" s="39"/>
      <c r="E7135" s="39"/>
    </row>
    <row r="7136" spans="1:5" ht="15.6">
      <c r="A7136">
        <v>7081</v>
      </c>
      <c r="B7136" s="166">
        <v>130.34397354707414</v>
      </c>
      <c r="D7136" s="39"/>
      <c r="E7136" s="39"/>
    </row>
    <row r="7137" spans="1:5" ht="15.6">
      <c r="A7137">
        <v>7082</v>
      </c>
      <c r="B7137" s="166">
        <v>165.61975155093174</v>
      </c>
      <c r="D7137" s="39"/>
      <c r="E7137" s="39"/>
    </row>
    <row r="7138" spans="1:5" ht="15.6">
      <c r="A7138">
        <v>7083</v>
      </c>
      <c r="B7138" s="166">
        <v>102.88954145631072</v>
      </c>
      <c r="D7138" s="39"/>
      <c r="E7138" s="39"/>
    </row>
    <row r="7139" spans="1:5" ht="15.6">
      <c r="A7139">
        <v>7084</v>
      </c>
      <c r="B7139" s="166">
        <v>103.87542847293879</v>
      </c>
      <c r="D7139" s="39"/>
      <c r="E7139" s="39"/>
    </row>
    <row r="7140" spans="1:5" ht="15.6">
      <c r="A7140">
        <v>7085</v>
      </c>
      <c r="B7140" s="166">
        <v>110.65091051667875</v>
      </c>
      <c r="D7140" s="39"/>
      <c r="E7140" s="39"/>
    </row>
    <row r="7141" spans="1:5" ht="15.6">
      <c r="A7141">
        <v>7086</v>
      </c>
      <c r="B7141" s="166">
        <v>181.24564585604352</v>
      </c>
      <c r="D7141" s="39"/>
      <c r="E7141" s="39"/>
    </row>
    <row r="7142" spans="1:5" ht="15.6">
      <c r="A7142">
        <v>7087</v>
      </c>
      <c r="B7142" s="166">
        <v>150.69705114530385</v>
      </c>
      <c r="D7142" s="39"/>
      <c r="E7142" s="39"/>
    </row>
    <row r="7143" spans="1:5" ht="15.6">
      <c r="A7143">
        <v>7088</v>
      </c>
      <c r="B7143" s="166">
        <v>111.44267498972185</v>
      </c>
      <c r="D7143" s="39"/>
      <c r="E7143" s="39"/>
    </row>
    <row r="7144" spans="1:5" ht="15.6">
      <c r="A7144">
        <v>7089</v>
      </c>
      <c r="B7144" s="166">
        <v>86.968729534469659</v>
      </c>
      <c r="D7144" s="39"/>
      <c r="E7144" s="39"/>
    </row>
    <row r="7145" spans="1:5" ht="15.6">
      <c r="A7145">
        <v>7090</v>
      </c>
      <c r="B7145" s="166">
        <v>140.838750393922</v>
      </c>
      <c r="D7145" s="39"/>
      <c r="E7145" s="39"/>
    </row>
    <row r="7146" spans="1:5" ht="15.6">
      <c r="A7146">
        <v>7091</v>
      </c>
      <c r="B7146" s="166">
        <v>83.458990189685949</v>
      </c>
      <c r="D7146" s="39"/>
      <c r="E7146" s="39"/>
    </row>
    <row r="7147" spans="1:5" ht="15.6">
      <c r="A7147">
        <v>7092</v>
      </c>
      <c r="B7147" s="166">
        <v>75.940687435626103</v>
      </c>
      <c r="D7147" s="39"/>
      <c r="E7147" s="39"/>
    </row>
    <row r="7148" spans="1:5" ht="15.6">
      <c r="A7148">
        <v>7093</v>
      </c>
      <c r="B7148" s="166">
        <v>118.23110028748859</v>
      </c>
      <c r="D7148" s="39"/>
      <c r="E7148" s="39"/>
    </row>
    <row r="7149" spans="1:5" ht="15.6">
      <c r="A7149">
        <v>7094</v>
      </c>
      <c r="B7149" s="166">
        <v>58.593831144524749</v>
      </c>
      <c r="D7149" s="39"/>
      <c r="E7149" s="39"/>
    </row>
    <row r="7150" spans="1:5" ht="15.6">
      <c r="A7150">
        <v>7095</v>
      </c>
      <c r="B7150" s="166">
        <v>87.278208258281836</v>
      </c>
      <c r="D7150" s="39"/>
      <c r="E7150" s="39"/>
    </row>
    <row r="7151" spans="1:5" ht="15.6">
      <c r="A7151">
        <v>7096</v>
      </c>
      <c r="B7151" s="166">
        <v>127.74584309824563</v>
      </c>
      <c r="D7151" s="39"/>
      <c r="E7151" s="39"/>
    </row>
    <row r="7152" spans="1:5" ht="15.6">
      <c r="A7152">
        <v>7097</v>
      </c>
      <c r="B7152" s="166">
        <v>71.265949843464142</v>
      </c>
      <c r="D7152" s="39"/>
      <c r="E7152" s="39"/>
    </row>
    <row r="7153" spans="1:5" ht="15.6">
      <c r="A7153">
        <v>7098</v>
      </c>
      <c r="B7153" s="166">
        <v>81.380351660021873</v>
      </c>
      <c r="D7153" s="39"/>
      <c r="E7153" s="39"/>
    </row>
    <row r="7154" spans="1:5" ht="15.6">
      <c r="A7154">
        <v>7099</v>
      </c>
      <c r="B7154" s="166">
        <v>130.12191690725675</v>
      </c>
      <c r="D7154" s="39"/>
      <c r="E7154" s="39"/>
    </row>
    <row r="7155" spans="1:5" ht="15.6">
      <c r="A7155">
        <v>7100</v>
      </c>
      <c r="B7155" s="166">
        <v>72.112084279063936</v>
      </c>
      <c r="D7155" s="39"/>
      <c r="E7155" s="39"/>
    </row>
    <row r="7156" spans="1:5" ht="15.6">
      <c r="A7156">
        <v>7101</v>
      </c>
      <c r="B7156" s="166">
        <v>44.219691067626393</v>
      </c>
      <c r="D7156" s="39"/>
      <c r="E7156" s="39"/>
    </row>
    <row r="7157" spans="1:5" ht="15.6">
      <c r="A7157">
        <v>7102</v>
      </c>
      <c r="B7157" s="166">
        <v>70.667177104346791</v>
      </c>
      <c r="D7157" s="39"/>
      <c r="E7157" s="39"/>
    </row>
    <row r="7158" spans="1:5" ht="15.6">
      <c r="A7158">
        <v>7103</v>
      </c>
      <c r="B7158" s="166">
        <v>76.302448832558923</v>
      </c>
      <c r="D7158" s="39"/>
      <c r="E7158" s="39"/>
    </row>
    <row r="7159" spans="1:5" ht="15.6">
      <c r="A7159">
        <v>7104</v>
      </c>
      <c r="B7159" s="166">
        <v>140.67486218388999</v>
      </c>
      <c r="D7159" s="39"/>
      <c r="E7159" s="39"/>
    </row>
    <row r="7160" spans="1:5" ht="15.6">
      <c r="A7160">
        <v>7105</v>
      </c>
      <c r="B7160" s="166">
        <v>74.583328041696461</v>
      </c>
      <c r="D7160" s="39"/>
      <c r="E7160" s="39"/>
    </row>
    <row r="7161" spans="1:5" ht="15.6">
      <c r="A7161">
        <v>7106</v>
      </c>
      <c r="B7161" s="166">
        <v>60.69733881609757</v>
      </c>
      <c r="D7161" s="39"/>
      <c r="E7161" s="39"/>
    </row>
    <row r="7162" spans="1:5" ht="15.6">
      <c r="A7162">
        <v>7107</v>
      </c>
      <c r="B7162" s="166">
        <v>104.8678740059471</v>
      </c>
      <c r="D7162" s="39"/>
      <c r="E7162" s="39"/>
    </row>
    <row r="7163" spans="1:5" ht="15.6">
      <c r="A7163">
        <v>7108</v>
      </c>
      <c r="B7163" s="166">
        <v>103.58662276249859</v>
      </c>
      <c r="D7163" s="39"/>
      <c r="E7163" s="39"/>
    </row>
    <row r="7164" spans="1:5" ht="15.6">
      <c r="A7164">
        <v>7109</v>
      </c>
      <c r="B7164" s="166">
        <v>81.029447348947826</v>
      </c>
      <c r="D7164" s="39"/>
      <c r="E7164" s="39"/>
    </row>
    <row r="7165" spans="1:5" ht="15.6">
      <c r="A7165">
        <v>7110</v>
      </c>
      <c r="B7165" s="166">
        <v>68.780702400949835</v>
      </c>
      <c r="D7165" s="39"/>
      <c r="E7165" s="39"/>
    </row>
    <row r="7166" spans="1:5" ht="15.6">
      <c r="A7166">
        <v>7111</v>
      </c>
      <c r="B7166" s="166">
        <v>69.490623942172888</v>
      </c>
      <c r="D7166" s="39"/>
      <c r="E7166" s="39"/>
    </row>
    <row r="7167" spans="1:5" ht="15.6">
      <c r="A7167">
        <v>7112</v>
      </c>
      <c r="B7167" s="166">
        <v>140.15113791067716</v>
      </c>
      <c r="D7167" s="39"/>
      <c r="E7167" s="39"/>
    </row>
    <row r="7168" spans="1:5" ht="15.6">
      <c r="A7168">
        <v>7113</v>
      </c>
      <c r="B7168" s="166">
        <v>80.895441364772694</v>
      </c>
      <c r="D7168" s="39"/>
      <c r="E7168" s="39"/>
    </row>
    <row r="7169" spans="1:5" ht="15.6">
      <c r="A7169">
        <v>7114</v>
      </c>
      <c r="B7169" s="166">
        <v>90.196068337808697</v>
      </c>
      <c r="D7169" s="39"/>
      <c r="E7169" s="39"/>
    </row>
    <row r="7170" spans="1:5" ht="15.6">
      <c r="A7170">
        <v>7115</v>
      </c>
      <c r="B7170" s="166">
        <v>115.32278245186482</v>
      </c>
      <c r="D7170" s="39"/>
      <c r="E7170" s="39"/>
    </row>
    <row r="7171" spans="1:5" ht="15.6">
      <c r="A7171">
        <v>7116</v>
      </c>
      <c r="B7171" s="166">
        <v>74.474152163178218</v>
      </c>
      <c r="D7171" s="39"/>
      <c r="E7171" s="39"/>
    </row>
    <row r="7172" spans="1:5" ht="15.6">
      <c r="A7172">
        <v>7117</v>
      </c>
      <c r="B7172" s="166">
        <v>98.813101729742954</v>
      </c>
      <c r="D7172" s="39"/>
      <c r="E7172" s="39"/>
    </row>
    <row r="7173" spans="1:5" ht="15.6">
      <c r="A7173">
        <v>7118</v>
      </c>
      <c r="B7173" s="166">
        <v>297.51908265725166</v>
      </c>
      <c r="D7173" s="39"/>
      <c r="E7173" s="39"/>
    </row>
    <row r="7174" spans="1:5" ht="15.6">
      <c r="A7174">
        <v>7119</v>
      </c>
      <c r="B7174" s="166">
        <v>165.70061400240061</v>
      </c>
      <c r="D7174" s="39"/>
      <c r="E7174" s="39"/>
    </row>
    <row r="7175" spans="1:5" ht="15.6">
      <c r="A7175">
        <v>7120</v>
      </c>
      <c r="B7175" s="166">
        <v>122.21897611633507</v>
      </c>
      <c r="D7175" s="39"/>
      <c r="E7175" s="39"/>
    </row>
    <row r="7176" spans="1:5" ht="15.6">
      <c r="A7176">
        <v>7121</v>
      </c>
      <c r="B7176" s="166">
        <v>144.24217816186098</v>
      </c>
      <c r="D7176" s="39"/>
      <c r="E7176" s="39"/>
    </row>
    <row r="7177" spans="1:5" ht="15.6">
      <c r="A7177">
        <v>7122</v>
      </c>
      <c r="B7177" s="166">
        <v>126.29982548943543</v>
      </c>
      <c r="D7177" s="39"/>
      <c r="E7177" s="39"/>
    </row>
    <row r="7178" spans="1:5" ht="15.6">
      <c r="A7178">
        <v>7123</v>
      </c>
      <c r="B7178" s="166">
        <v>100.43294347192045</v>
      </c>
      <c r="D7178" s="39"/>
      <c r="E7178" s="39"/>
    </row>
    <row r="7179" spans="1:5" ht="15.6">
      <c r="A7179">
        <v>7124</v>
      </c>
      <c r="B7179" s="166">
        <v>61.117832684469747</v>
      </c>
      <c r="D7179" s="39"/>
      <c r="E7179" s="39"/>
    </row>
    <row r="7180" spans="1:5" ht="15.6">
      <c r="A7180">
        <v>7125</v>
      </c>
      <c r="B7180" s="166">
        <v>130.8756220244338</v>
      </c>
      <c r="D7180" s="39"/>
      <c r="E7180" s="39"/>
    </row>
    <row r="7181" spans="1:5" ht="15.6">
      <c r="A7181">
        <v>7126</v>
      </c>
      <c r="B7181" s="166">
        <v>199.31816537536531</v>
      </c>
      <c r="D7181" s="39"/>
      <c r="E7181" s="39"/>
    </row>
    <row r="7182" spans="1:5" ht="15.6">
      <c r="A7182">
        <v>7127</v>
      </c>
      <c r="B7182" s="166">
        <v>119.55716321214824</v>
      </c>
      <c r="D7182" s="39"/>
      <c r="E7182" s="39"/>
    </row>
    <row r="7183" spans="1:5" ht="15.6">
      <c r="A7183">
        <v>7128</v>
      </c>
      <c r="B7183" s="166">
        <v>119.19208308591722</v>
      </c>
      <c r="D7183" s="39"/>
      <c r="E7183" s="39"/>
    </row>
    <row r="7184" spans="1:5" ht="15.6">
      <c r="A7184">
        <v>7129</v>
      </c>
      <c r="B7184" s="166">
        <v>115.87974324508978</v>
      </c>
      <c r="D7184" s="39"/>
      <c r="E7184" s="39"/>
    </row>
    <row r="7185" spans="1:5" ht="15.6">
      <c r="A7185">
        <v>7130</v>
      </c>
      <c r="B7185" s="166">
        <v>95.62004809962751</v>
      </c>
      <c r="D7185" s="39"/>
      <c r="E7185" s="39"/>
    </row>
    <row r="7186" spans="1:5" ht="15.6">
      <c r="A7186">
        <v>7131</v>
      </c>
      <c r="B7186" s="166">
        <v>67.577141440977158</v>
      </c>
      <c r="D7186" s="39"/>
      <c r="E7186" s="39"/>
    </row>
    <row r="7187" spans="1:5" ht="15.6">
      <c r="A7187">
        <v>7132</v>
      </c>
      <c r="B7187" s="166">
        <v>215.39105502133802</v>
      </c>
      <c r="D7187" s="39"/>
      <c r="E7187" s="39"/>
    </row>
    <row r="7188" spans="1:5" ht="15.6">
      <c r="A7188">
        <v>7133</v>
      </c>
      <c r="B7188" s="166">
        <v>74.093004906371846</v>
      </c>
      <c r="D7188" s="39"/>
      <c r="E7188" s="39"/>
    </row>
    <row r="7189" spans="1:5" ht="15.6">
      <c r="A7189">
        <v>7134</v>
      </c>
      <c r="B7189" s="166">
        <v>87.51553361704272</v>
      </c>
      <c r="D7189" s="39"/>
      <c r="E7189" s="39"/>
    </row>
    <row r="7190" spans="1:5" ht="15.6">
      <c r="A7190">
        <v>7135</v>
      </c>
      <c r="B7190" s="166">
        <v>62.641656452760941</v>
      </c>
      <c r="D7190" s="39"/>
      <c r="E7190" s="39"/>
    </row>
    <row r="7191" spans="1:5" ht="15.6">
      <c r="A7191">
        <v>7136</v>
      </c>
      <c r="B7191" s="166">
        <v>77.121918862044225</v>
      </c>
      <c r="D7191" s="39"/>
      <c r="E7191" s="39"/>
    </row>
    <row r="7192" spans="1:5" ht="15.6">
      <c r="A7192">
        <v>7137</v>
      </c>
      <c r="B7192" s="166">
        <v>139.32260875298704</v>
      </c>
      <c r="D7192" s="39"/>
      <c r="E7192" s="39"/>
    </row>
    <row r="7193" spans="1:5" ht="15.6">
      <c r="A7193">
        <v>7138</v>
      </c>
      <c r="B7193" s="166">
        <v>225.10606576955533</v>
      </c>
      <c r="D7193" s="39"/>
      <c r="E7193" s="39"/>
    </row>
    <row r="7194" spans="1:5" ht="15.6">
      <c r="A7194">
        <v>7139</v>
      </c>
      <c r="B7194" s="166">
        <v>111.15671222648666</v>
      </c>
      <c r="D7194" s="39"/>
      <c r="E7194" s="39"/>
    </row>
    <row r="7195" spans="1:5" ht="15.6">
      <c r="A7195">
        <v>7140</v>
      </c>
      <c r="B7195" s="166">
        <v>68.994323696455993</v>
      </c>
      <c r="D7195" s="39"/>
      <c r="E7195" s="39"/>
    </row>
    <row r="7196" spans="1:5" ht="15.6">
      <c r="A7196">
        <v>7141</v>
      </c>
      <c r="B7196" s="166">
        <v>142.88968940022843</v>
      </c>
      <c r="D7196" s="39"/>
      <c r="E7196" s="39"/>
    </row>
    <row r="7197" spans="1:5" ht="15.6">
      <c r="A7197">
        <v>7142</v>
      </c>
      <c r="B7197" s="166">
        <v>146.04445572138007</v>
      </c>
      <c r="D7197" s="39"/>
      <c r="E7197" s="39"/>
    </row>
    <row r="7198" spans="1:5" ht="15.6">
      <c r="A7198">
        <v>7143</v>
      </c>
      <c r="B7198" s="166">
        <v>186.05155059029659</v>
      </c>
      <c r="D7198" s="39"/>
      <c r="E7198" s="39"/>
    </row>
    <row r="7199" spans="1:5" ht="15.6">
      <c r="A7199">
        <v>7144</v>
      </c>
      <c r="B7199" s="166">
        <v>93.93702745103441</v>
      </c>
      <c r="D7199" s="39"/>
      <c r="E7199" s="39"/>
    </row>
    <row r="7200" spans="1:5" ht="15.6">
      <c r="A7200">
        <v>7145</v>
      </c>
      <c r="B7200" s="166">
        <v>89.737291463196485</v>
      </c>
      <c r="D7200" s="39"/>
      <c r="E7200" s="39"/>
    </row>
    <row r="7201" spans="1:5" ht="15.6">
      <c r="A7201">
        <v>7146</v>
      </c>
      <c r="B7201" s="166">
        <v>98.344250360227676</v>
      </c>
      <c r="D7201" s="39"/>
      <c r="E7201" s="39"/>
    </row>
    <row r="7202" spans="1:5" ht="15.6">
      <c r="A7202">
        <v>7147</v>
      </c>
      <c r="B7202" s="166">
        <v>91.846744283358291</v>
      </c>
      <c r="D7202" s="39"/>
      <c r="E7202" s="39"/>
    </row>
    <row r="7203" spans="1:5" ht="15.6">
      <c r="A7203">
        <v>7148</v>
      </c>
      <c r="B7203" s="166">
        <v>140.31724910182027</v>
      </c>
      <c r="D7203" s="39"/>
      <c r="E7203" s="39"/>
    </row>
    <row r="7204" spans="1:5" ht="15.6">
      <c r="A7204">
        <v>7149</v>
      </c>
      <c r="B7204" s="166">
        <v>66.614071594729452</v>
      </c>
      <c r="D7204" s="39"/>
      <c r="E7204" s="39"/>
    </row>
    <row r="7205" spans="1:5" ht="15.6">
      <c r="A7205">
        <v>7150</v>
      </c>
      <c r="B7205" s="166">
        <v>54.169492715858624</v>
      </c>
      <c r="D7205" s="39"/>
      <c r="E7205" s="39"/>
    </row>
    <row r="7206" spans="1:5" ht="15.6">
      <c r="A7206">
        <v>7151</v>
      </c>
      <c r="B7206" s="166">
        <v>168.49138601164501</v>
      </c>
      <c r="D7206" s="39"/>
      <c r="E7206" s="39"/>
    </row>
    <row r="7207" spans="1:5" ht="15.6">
      <c r="A7207">
        <v>7152</v>
      </c>
      <c r="B7207" s="166">
        <v>108.60843005916726</v>
      </c>
      <c r="D7207" s="39"/>
      <c r="E7207" s="39"/>
    </row>
    <row r="7208" spans="1:5" ht="15.6">
      <c r="A7208">
        <v>7153</v>
      </c>
      <c r="B7208" s="166">
        <v>106.99483706498019</v>
      </c>
      <c r="D7208" s="39"/>
      <c r="E7208" s="39"/>
    </row>
    <row r="7209" spans="1:5" ht="15.6">
      <c r="A7209">
        <v>7154</v>
      </c>
      <c r="B7209" s="166">
        <v>123.32967936319243</v>
      </c>
      <c r="D7209" s="39"/>
      <c r="E7209" s="39"/>
    </row>
    <row r="7210" spans="1:5" ht="15.6">
      <c r="A7210">
        <v>7155</v>
      </c>
      <c r="B7210" s="166">
        <v>116.61040914792181</v>
      </c>
      <c r="D7210" s="39"/>
      <c r="E7210" s="39"/>
    </row>
    <row r="7211" spans="1:5" ht="15.6">
      <c r="A7211">
        <v>7156</v>
      </c>
      <c r="B7211" s="166">
        <v>153.88636729434947</v>
      </c>
      <c r="D7211" s="39"/>
      <c r="E7211" s="39"/>
    </row>
    <row r="7212" spans="1:5" ht="15.6">
      <c r="A7212">
        <v>7157</v>
      </c>
      <c r="B7212" s="166">
        <v>89.440818209390713</v>
      </c>
      <c r="D7212" s="39"/>
      <c r="E7212" s="39"/>
    </row>
    <row r="7213" spans="1:5" ht="15.6">
      <c r="A7213">
        <v>7158</v>
      </c>
      <c r="B7213" s="166">
        <v>137.82208999412154</v>
      </c>
      <c r="D7213" s="39"/>
      <c r="E7213" s="39"/>
    </row>
    <row r="7214" spans="1:5" ht="15.6">
      <c r="A7214">
        <v>7159</v>
      </c>
      <c r="B7214" s="166">
        <v>121.12834721743205</v>
      </c>
      <c r="D7214" s="39"/>
      <c r="E7214" s="39"/>
    </row>
    <row r="7215" spans="1:5" ht="15.6">
      <c r="A7215">
        <v>7160</v>
      </c>
      <c r="B7215" s="166">
        <v>150.20799320453244</v>
      </c>
      <c r="D7215" s="39"/>
      <c r="E7215" s="39"/>
    </row>
    <row r="7216" spans="1:5" ht="15.6">
      <c r="A7216">
        <v>7161</v>
      </c>
      <c r="B7216" s="166">
        <v>106.67936667618463</v>
      </c>
      <c r="D7216" s="39"/>
      <c r="E7216" s="39"/>
    </row>
    <row r="7217" spans="1:5" ht="15.6">
      <c r="A7217">
        <v>7162</v>
      </c>
      <c r="B7217" s="166">
        <v>173.15657441391832</v>
      </c>
      <c r="D7217" s="39"/>
      <c r="E7217" s="39"/>
    </row>
    <row r="7218" spans="1:5" ht="15.6">
      <c r="A7218">
        <v>7163</v>
      </c>
      <c r="B7218" s="166">
        <v>188.42882382384445</v>
      </c>
      <c r="D7218" s="39"/>
      <c r="E7218" s="39"/>
    </row>
    <row r="7219" spans="1:5" ht="15.6">
      <c r="A7219">
        <v>7164</v>
      </c>
      <c r="B7219" s="166">
        <v>97.303430690689098</v>
      </c>
      <c r="D7219" s="39"/>
      <c r="E7219" s="39"/>
    </row>
    <row r="7220" spans="1:5" ht="15.6">
      <c r="A7220">
        <v>7165</v>
      </c>
      <c r="B7220" s="166">
        <v>66.986620875524721</v>
      </c>
      <c r="D7220" s="39"/>
      <c r="E7220" s="39"/>
    </row>
    <row r="7221" spans="1:5" ht="15.6">
      <c r="A7221">
        <v>7166</v>
      </c>
      <c r="B7221" s="166">
        <v>138.94175637009596</v>
      </c>
      <c r="D7221" s="39"/>
      <c r="E7221" s="39"/>
    </row>
    <row r="7222" spans="1:5" ht="15.6">
      <c r="A7222">
        <v>7167</v>
      </c>
      <c r="B7222" s="166">
        <v>135.45740987336242</v>
      </c>
      <c r="D7222" s="39"/>
      <c r="E7222" s="39"/>
    </row>
    <row r="7223" spans="1:5" ht="15.6">
      <c r="A7223">
        <v>7168</v>
      </c>
      <c r="B7223" s="166">
        <v>211.59928695603136</v>
      </c>
      <c r="D7223" s="39"/>
      <c r="E7223" s="39"/>
    </row>
    <row r="7224" spans="1:5" ht="15.6">
      <c r="A7224">
        <v>7169</v>
      </c>
      <c r="B7224" s="166">
        <v>167.18113691775537</v>
      </c>
      <c r="D7224" s="39"/>
      <c r="E7224" s="39"/>
    </row>
    <row r="7225" spans="1:5" ht="15.6">
      <c r="A7225">
        <v>7170</v>
      </c>
      <c r="B7225" s="166">
        <v>81.942416545840842</v>
      </c>
      <c r="D7225" s="39"/>
      <c r="E7225" s="39"/>
    </row>
    <row r="7226" spans="1:5" ht="15.6">
      <c r="A7226">
        <v>7171</v>
      </c>
      <c r="B7226" s="166">
        <v>114.306016190821</v>
      </c>
      <c r="D7226" s="39"/>
      <c r="E7226" s="39"/>
    </row>
    <row r="7227" spans="1:5" ht="15.6">
      <c r="A7227">
        <v>7172</v>
      </c>
      <c r="B7227" s="166">
        <v>117.29529098591642</v>
      </c>
      <c r="D7227" s="39"/>
      <c r="E7227" s="39"/>
    </row>
    <row r="7228" spans="1:5" ht="15.6">
      <c r="A7228">
        <v>7173</v>
      </c>
      <c r="B7228" s="166">
        <v>164.10483509559103</v>
      </c>
      <c r="D7228" s="39"/>
      <c r="E7228" s="39"/>
    </row>
    <row r="7229" spans="1:5" ht="15.6">
      <c r="A7229">
        <v>7174</v>
      </c>
      <c r="B7229" s="166">
        <v>168.81276078953346</v>
      </c>
      <c r="D7229" s="39"/>
      <c r="E7229" s="39"/>
    </row>
    <row r="7230" spans="1:5" ht="15.6">
      <c r="A7230">
        <v>7175</v>
      </c>
      <c r="B7230" s="166">
        <v>261.95974240231499</v>
      </c>
      <c r="D7230" s="39"/>
      <c r="E7230" s="39"/>
    </row>
    <row r="7231" spans="1:5" ht="15.6">
      <c r="A7231">
        <v>7176</v>
      </c>
      <c r="B7231" s="166">
        <v>158.69618961103529</v>
      </c>
      <c r="D7231" s="39"/>
      <c r="E7231" s="39"/>
    </row>
    <row r="7232" spans="1:5" ht="15.6">
      <c r="A7232">
        <v>7177</v>
      </c>
      <c r="B7232" s="166">
        <v>93.272637301659827</v>
      </c>
      <c r="D7232" s="39"/>
      <c r="E7232" s="39"/>
    </row>
    <row r="7233" spans="1:5" ht="15.6">
      <c r="A7233">
        <v>7178</v>
      </c>
      <c r="B7233" s="166">
        <v>115.11848969807069</v>
      </c>
      <c r="D7233" s="39"/>
      <c r="E7233" s="39"/>
    </row>
    <row r="7234" spans="1:5" ht="15.6">
      <c r="A7234">
        <v>7179</v>
      </c>
      <c r="B7234" s="166">
        <v>109.09913988022747</v>
      </c>
      <c r="D7234" s="39"/>
      <c r="E7234" s="39"/>
    </row>
    <row r="7235" spans="1:5" ht="15.6">
      <c r="A7235">
        <v>7180</v>
      </c>
      <c r="B7235" s="166">
        <v>65.862034545225654</v>
      </c>
      <c r="D7235" s="39"/>
      <c r="E7235" s="39"/>
    </row>
    <row r="7236" spans="1:5" ht="15.6">
      <c r="A7236">
        <v>7181</v>
      </c>
      <c r="B7236" s="166">
        <v>149.91614478125874</v>
      </c>
      <c r="D7236" s="39"/>
      <c r="E7236" s="39"/>
    </row>
    <row r="7237" spans="1:5" ht="15.6">
      <c r="A7237">
        <v>7182</v>
      </c>
      <c r="B7237" s="166">
        <v>191.58677630805835</v>
      </c>
      <c r="D7237" s="39"/>
      <c r="E7237" s="39"/>
    </row>
    <row r="7238" spans="1:5" ht="15.6">
      <c r="A7238">
        <v>7183</v>
      </c>
      <c r="B7238" s="166">
        <v>65.783491547212861</v>
      </c>
      <c r="D7238" s="39"/>
      <c r="E7238" s="39"/>
    </row>
    <row r="7239" spans="1:5" ht="15.6">
      <c r="A7239">
        <v>7184</v>
      </c>
      <c r="B7239" s="166">
        <v>82.66224197930346</v>
      </c>
      <c r="D7239" s="39"/>
      <c r="E7239" s="39"/>
    </row>
    <row r="7240" spans="1:5" ht="15.6">
      <c r="A7240">
        <v>7185</v>
      </c>
      <c r="B7240" s="166">
        <v>274.20099041205947</v>
      </c>
      <c r="D7240" s="39"/>
      <c r="E7240" s="39"/>
    </row>
    <row r="7241" spans="1:5" ht="15.6">
      <c r="A7241">
        <v>7186</v>
      </c>
      <c r="B7241" s="166">
        <v>81.471076068759061</v>
      </c>
      <c r="D7241" s="39"/>
      <c r="E7241" s="39"/>
    </row>
    <row r="7242" spans="1:5" ht="15.6">
      <c r="A7242">
        <v>7187</v>
      </c>
      <c r="B7242" s="166">
        <v>53.447266029504618</v>
      </c>
      <c r="D7242" s="39"/>
      <c r="E7242" s="39"/>
    </row>
    <row r="7243" spans="1:5" ht="15.6">
      <c r="A7243">
        <v>7188</v>
      </c>
      <c r="B7243" s="166">
        <v>125.52025271282001</v>
      </c>
      <c r="D7243" s="39"/>
      <c r="E7243" s="39"/>
    </row>
    <row r="7244" spans="1:5" ht="15.6">
      <c r="A7244">
        <v>7189</v>
      </c>
      <c r="B7244" s="166">
        <v>88.947888653885826</v>
      </c>
      <c r="D7244" s="39"/>
      <c r="E7244" s="39"/>
    </row>
    <row r="7245" spans="1:5" ht="15.6">
      <c r="A7245">
        <v>7190</v>
      </c>
      <c r="B7245" s="166">
        <v>166.09529554421096</v>
      </c>
      <c r="D7245" s="39"/>
      <c r="E7245" s="39"/>
    </row>
    <row r="7246" spans="1:5" ht="15.6">
      <c r="A7246">
        <v>7191</v>
      </c>
      <c r="B7246" s="166">
        <v>126.36345573986165</v>
      </c>
      <c r="D7246" s="39"/>
      <c r="E7246" s="39"/>
    </row>
    <row r="7247" spans="1:5" ht="15.6">
      <c r="A7247">
        <v>7192</v>
      </c>
      <c r="B7247" s="166">
        <v>73.3285827004471</v>
      </c>
      <c r="D7247" s="39"/>
      <c r="E7247" s="39"/>
    </row>
    <row r="7248" spans="1:5" ht="15.6">
      <c r="A7248">
        <v>7193</v>
      </c>
      <c r="B7248" s="166">
        <v>139.3070504536843</v>
      </c>
      <c r="D7248" s="39"/>
      <c r="E7248" s="39"/>
    </row>
    <row r="7249" spans="1:5" ht="15.6">
      <c r="A7249">
        <v>7194</v>
      </c>
      <c r="B7249" s="166">
        <v>67.474667293623867</v>
      </c>
      <c r="D7249" s="39"/>
      <c r="E7249" s="39"/>
    </row>
    <row r="7250" spans="1:5" ht="15.6">
      <c r="A7250">
        <v>7195</v>
      </c>
      <c r="B7250" s="166">
        <v>74.975191427910133</v>
      </c>
      <c r="D7250" s="39"/>
      <c r="E7250" s="39"/>
    </row>
    <row r="7251" spans="1:5" ht="15.6">
      <c r="A7251">
        <v>7196</v>
      </c>
      <c r="B7251" s="166">
        <v>78.24006119394285</v>
      </c>
      <c r="D7251" s="39"/>
      <c r="E7251" s="39"/>
    </row>
    <row r="7252" spans="1:5" ht="15.6">
      <c r="A7252">
        <v>7197</v>
      </c>
      <c r="B7252" s="166">
        <v>165.42010586980169</v>
      </c>
      <c r="D7252" s="39"/>
      <c r="E7252" s="39"/>
    </row>
    <row r="7253" spans="1:5" ht="15.6">
      <c r="A7253">
        <v>7198</v>
      </c>
      <c r="B7253" s="166">
        <v>83.956125008755919</v>
      </c>
      <c r="D7253" s="39"/>
      <c r="E7253" s="39"/>
    </row>
    <row r="7254" spans="1:5" ht="15.6">
      <c r="A7254">
        <v>7199</v>
      </c>
      <c r="B7254" s="166">
        <v>91.496594312001406</v>
      </c>
      <c r="D7254" s="39"/>
      <c r="E7254" s="39"/>
    </row>
    <row r="7255" spans="1:5" ht="15.6">
      <c r="A7255">
        <v>7200</v>
      </c>
      <c r="B7255" s="166">
        <v>98.714771594948303</v>
      </c>
      <c r="D7255" s="39"/>
      <c r="E7255" s="39"/>
    </row>
    <row r="7256" spans="1:5" ht="15.6">
      <c r="A7256">
        <v>7201</v>
      </c>
      <c r="B7256" s="166">
        <v>181.21257887747376</v>
      </c>
      <c r="D7256" s="39"/>
      <c r="E7256" s="39"/>
    </row>
    <row r="7257" spans="1:5" ht="15.6">
      <c r="A7257">
        <v>7202</v>
      </c>
      <c r="B7257" s="166">
        <v>80.378052026785483</v>
      </c>
      <c r="D7257" s="39"/>
      <c r="E7257" s="39"/>
    </row>
    <row r="7258" spans="1:5" ht="15.6">
      <c r="A7258">
        <v>7203</v>
      </c>
      <c r="B7258" s="166">
        <v>105.84562906969263</v>
      </c>
      <c r="D7258" s="39"/>
      <c r="E7258" s="39"/>
    </row>
    <row r="7259" spans="1:5" ht="15.6">
      <c r="A7259">
        <v>7204</v>
      </c>
      <c r="B7259" s="166">
        <v>93.379625376704169</v>
      </c>
      <c r="D7259" s="39"/>
      <c r="E7259" s="39"/>
    </row>
    <row r="7260" spans="1:5" ht="15.6">
      <c r="A7260">
        <v>7205</v>
      </c>
      <c r="B7260" s="166">
        <v>95.635570263467031</v>
      </c>
      <c r="D7260" s="39"/>
      <c r="E7260" s="39"/>
    </row>
    <row r="7261" spans="1:5" ht="15.6">
      <c r="A7261">
        <v>7206</v>
      </c>
      <c r="B7261" s="166">
        <v>196.9617425732425</v>
      </c>
      <c r="D7261" s="39"/>
      <c r="E7261" s="39"/>
    </row>
    <row r="7262" spans="1:5" ht="15.6">
      <c r="A7262">
        <v>7207</v>
      </c>
      <c r="B7262" s="166">
        <v>145.06967936138045</v>
      </c>
      <c r="D7262" s="39"/>
      <c r="E7262" s="39"/>
    </row>
    <row r="7263" spans="1:5" ht="15.6">
      <c r="A7263">
        <v>7208</v>
      </c>
      <c r="B7263" s="166">
        <v>64.916962250757308</v>
      </c>
      <c r="D7263" s="39"/>
      <c r="E7263" s="39"/>
    </row>
    <row r="7264" spans="1:5" ht="15.6">
      <c r="A7264">
        <v>7209</v>
      </c>
      <c r="B7264" s="166">
        <v>77.622866245927042</v>
      </c>
      <c r="D7264" s="39"/>
      <c r="E7264" s="39"/>
    </row>
    <row r="7265" spans="1:5" ht="15.6">
      <c r="A7265">
        <v>7210</v>
      </c>
      <c r="B7265" s="166">
        <v>109.04170446506052</v>
      </c>
      <c r="D7265" s="39"/>
      <c r="E7265" s="39"/>
    </row>
    <row r="7266" spans="1:5" ht="15.6">
      <c r="A7266">
        <v>7211</v>
      </c>
      <c r="B7266" s="166">
        <v>78.003794907514703</v>
      </c>
      <c r="D7266" s="39"/>
      <c r="E7266" s="39"/>
    </row>
    <row r="7267" spans="1:5" ht="15.6">
      <c r="A7267">
        <v>7212</v>
      </c>
      <c r="B7267" s="166">
        <v>65.508183887474331</v>
      </c>
      <c r="D7267" s="39"/>
      <c r="E7267" s="39"/>
    </row>
    <row r="7268" spans="1:5" ht="15.6">
      <c r="A7268">
        <v>7213</v>
      </c>
      <c r="B7268" s="166">
        <v>57.285272966035009</v>
      </c>
      <c r="D7268" s="39"/>
      <c r="E7268" s="39"/>
    </row>
    <row r="7269" spans="1:5" ht="15.6">
      <c r="A7269">
        <v>7214</v>
      </c>
      <c r="B7269" s="166">
        <v>72.291921427315145</v>
      </c>
      <c r="D7269" s="39"/>
      <c r="E7269" s="39"/>
    </row>
    <row r="7270" spans="1:5" ht="15.6">
      <c r="A7270">
        <v>7215</v>
      </c>
      <c r="B7270" s="166">
        <v>147.03581153033051</v>
      </c>
      <c r="D7270" s="39"/>
      <c r="E7270" s="39"/>
    </row>
    <row r="7271" spans="1:5" ht="15.6">
      <c r="A7271">
        <v>7216</v>
      </c>
      <c r="B7271" s="166">
        <v>62.267660238392004</v>
      </c>
      <c r="D7271" s="39"/>
      <c r="E7271" s="39"/>
    </row>
    <row r="7272" spans="1:5" ht="15.6">
      <c r="A7272">
        <v>7217</v>
      </c>
      <c r="B7272" s="166">
        <v>127.85172994311093</v>
      </c>
      <c r="D7272" s="39"/>
      <c r="E7272" s="39"/>
    </row>
    <row r="7273" spans="1:5" ht="15.6">
      <c r="A7273">
        <v>7218</v>
      </c>
      <c r="B7273" s="166">
        <v>129.69946496584751</v>
      </c>
      <c r="D7273" s="39"/>
      <c r="E7273" s="39"/>
    </row>
    <row r="7274" spans="1:5" ht="15.6">
      <c r="A7274">
        <v>7219</v>
      </c>
      <c r="B7274" s="166">
        <v>116.34190668583048</v>
      </c>
      <c r="D7274" s="39"/>
      <c r="E7274" s="39"/>
    </row>
    <row r="7275" spans="1:5" ht="15.6">
      <c r="A7275">
        <v>7220</v>
      </c>
      <c r="B7275" s="166">
        <v>59.281679392342809</v>
      </c>
      <c r="D7275" s="39"/>
      <c r="E7275" s="39"/>
    </row>
    <row r="7276" spans="1:5" ht="15.6">
      <c r="A7276">
        <v>7221</v>
      </c>
      <c r="B7276" s="166">
        <v>327.02158945428187</v>
      </c>
      <c r="D7276" s="39"/>
      <c r="E7276" s="39"/>
    </row>
    <row r="7277" spans="1:5" ht="15.6">
      <c r="A7277">
        <v>7222</v>
      </c>
      <c r="B7277" s="166">
        <v>134.7108955305718</v>
      </c>
      <c r="D7277" s="39"/>
      <c r="E7277" s="39"/>
    </row>
    <row r="7278" spans="1:5" ht="15.6">
      <c r="A7278">
        <v>7223</v>
      </c>
      <c r="B7278" s="166">
        <v>92.686333469180852</v>
      </c>
      <c r="D7278" s="39"/>
      <c r="E7278" s="39"/>
    </row>
    <row r="7279" spans="1:5" ht="15.6">
      <c r="A7279">
        <v>7224</v>
      </c>
      <c r="B7279" s="166">
        <v>100.01323264232238</v>
      </c>
      <c r="D7279" s="39"/>
      <c r="E7279" s="39"/>
    </row>
    <row r="7280" spans="1:5" ht="15.6">
      <c r="A7280">
        <v>7225</v>
      </c>
      <c r="B7280" s="166">
        <v>90.526497629855399</v>
      </c>
      <c r="D7280" s="39"/>
      <c r="E7280" s="39"/>
    </row>
    <row r="7281" spans="1:5" ht="15.6">
      <c r="A7281">
        <v>7226</v>
      </c>
      <c r="B7281" s="166">
        <v>111.77556259149479</v>
      </c>
      <c r="D7281" s="39"/>
      <c r="E7281" s="39"/>
    </row>
    <row r="7282" spans="1:5" ht="15.6">
      <c r="A7282">
        <v>7227</v>
      </c>
      <c r="B7282" s="166">
        <v>112.41055966883172</v>
      </c>
      <c r="D7282" s="39"/>
      <c r="E7282" s="39"/>
    </row>
    <row r="7283" spans="1:5" ht="15.6">
      <c r="A7283">
        <v>7228</v>
      </c>
      <c r="B7283" s="166">
        <v>87.257017122468071</v>
      </c>
      <c r="D7283" s="39"/>
      <c r="E7283" s="39"/>
    </row>
    <row r="7284" spans="1:5" ht="15.6">
      <c r="A7284">
        <v>7229</v>
      </c>
      <c r="B7284" s="166">
        <v>70.709885411241231</v>
      </c>
      <c r="D7284" s="39"/>
      <c r="E7284" s="39"/>
    </row>
    <row r="7285" spans="1:5" ht="15.6">
      <c r="A7285">
        <v>7230</v>
      </c>
      <c r="B7285" s="166">
        <v>72.345459422543414</v>
      </c>
      <c r="D7285" s="39"/>
      <c r="E7285" s="39"/>
    </row>
    <row r="7286" spans="1:5" ht="15.6">
      <c r="A7286">
        <v>7231</v>
      </c>
      <c r="B7286" s="166">
        <v>53.931158428385288</v>
      </c>
      <c r="D7286" s="39"/>
      <c r="E7286" s="39"/>
    </row>
    <row r="7287" spans="1:5" ht="15.6">
      <c r="A7287">
        <v>7232</v>
      </c>
      <c r="B7287" s="166">
        <v>147.31581867584481</v>
      </c>
      <c r="D7287" s="39"/>
      <c r="E7287" s="39"/>
    </row>
    <row r="7288" spans="1:5" ht="15.6">
      <c r="A7288">
        <v>7233</v>
      </c>
      <c r="B7288" s="166">
        <v>76.303574477757451</v>
      </c>
      <c r="D7288" s="39"/>
      <c r="E7288" s="39"/>
    </row>
    <row r="7289" spans="1:5" ht="15.6">
      <c r="A7289">
        <v>7234</v>
      </c>
      <c r="B7289" s="166">
        <v>124.57947739449664</v>
      </c>
      <c r="D7289" s="39"/>
      <c r="E7289" s="39"/>
    </row>
    <row r="7290" spans="1:5" ht="15.6">
      <c r="A7290">
        <v>7235</v>
      </c>
      <c r="B7290" s="166">
        <v>126.00029645072424</v>
      </c>
      <c r="D7290" s="39"/>
      <c r="E7290" s="39"/>
    </row>
    <row r="7291" spans="1:5" ht="15.6">
      <c r="A7291">
        <v>7236</v>
      </c>
      <c r="B7291" s="166">
        <v>142.4875100001664</v>
      </c>
      <c r="D7291" s="39"/>
      <c r="E7291" s="39"/>
    </row>
    <row r="7292" spans="1:5" ht="15.6">
      <c r="A7292">
        <v>7237</v>
      </c>
      <c r="B7292" s="166">
        <v>79.330325703167631</v>
      </c>
      <c r="D7292" s="39"/>
      <c r="E7292" s="39"/>
    </row>
    <row r="7293" spans="1:5" ht="15.6">
      <c r="A7293">
        <v>7238</v>
      </c>
      <c r="B7293" s="166">
        <v>206.12753487067081</v>
      </c>
      <c r="D7293" s="39"/>
      <c r="E7293" s="39"/>
    </row>
    <row r="7294" spans="1:5" ht="15.6">
      <c r="A7294">
        <v>7239</v>
      </c>
      <c r="B7294" s="166">
        <v>73.907804672712885</v>
      </c>
      <c r="D7294" s="39"/>
      <c r="E7294" s="39"/>
    </row>
    <row r="7295" spans="1:5" ht="15.6">
      <c r="A7295">
        <v>7240</v>
      </c>
      <c r="B7295" s="166">
        <v>145.85531704833841</v>
      </c>
      <c r="D7295" s="39"/>
      <c r="E7295" s="39"/>
    </row>
    <row r="7296" spans="1:5" ht="15.6">
      <c r="A7296">
        <v>7241</v>
      </c>
      <c r="B7296" s="166">
        <v>113.45180302361035</v>
      </c>
      <c r="D7296" s="39"/>
      <c r="E7296" s="39"/>
    </row>
    <row r="7297" spans="1:5" ht="15.6">
      <c r="A7297">
        <v>7242</v>
      </c>
      <c r="B7297" s="166">
        <v>57.308895275428725</v>
      </c>
      <c r="D7297" s="39"/>
      <c r="E7297" s="39"/>
    </row>
    <row r="7298" spans="1:5" ht="15.6">
      <c r="A7298">
        <v>7243</v>
      </c>
      <c r="B7298" s="166">
        <v>165.79966255626482</v>
      </c>
      <c r="D7298" s="39"/>
      <c r="E7298" s="39"/>
    </row>
    <row r="7299" spans="1:5" ht="15.6">
      <c r="A7299">
        <v>7244</v>
      </c>
      <c r="B7299" s="166">
        <v>100.92503822681776</v>
      </c>
      <c r="D7299" s="39"/>
      <c r="E7299" s="39"/>
    </row>
    <row r="7300" spans="1:5" ht="15.6">
      <c r="A7300">
        <v>7245</v>
      </c>
      <c r="B7300" s="166">
        <v>208.87700079490082</v>
      </c>
      <c r="D7300" s="39"/>
      <c r="E7300" s="39"/>
    </row>
    <row r="7301" spans="1:5" ht="15.6">
      <c r="A7301">
        <v>7246</v>
      </c>
      <c r="B7301" s="166">
        <v>105.20207276571509</v>
      </c>
      <c r="D7301" s="39"/>
      <c r="E7301" s="39"/>
    </row>
    <row r="7302" spans="1:5" ht="15.6">
      <c r="A7302">
        <v>7247</v>
      </c>
      <c r="B7302" s="166">
        <v>63.193937961499728</v>
      </c>
      <c r="D7302" s="39"/>
      <c r="E7302" s="39"/>
    </row>
    <row r="7303" spans="1:5" ht="15.6">
      <c r="A7303">
        <v>7248</v>
      </c>
      <c r="B7303" s="166">
        <v>82.458676085349765</v>
      </c>
      <c r="D7303" s="39"/>
      <c r="E7303" s="39"/>
    </row>
    <row r="7304" spans="1:5" ht="15.6">
      <c r="A7304">
        <v>7249</v>
      </c>
      <c r="B7304" s="166">
        <v>86.867265586652152</v>
      </c>
      <c r="D7304" s="39"/>
      <c r="E7304" s="39"/>
    </row>
    <row r="7305" spans="1:5" ht="15.6">
      <c r="A7305">
        <v>7250</v>
      </c>
      <c r="B7305" s="166">
        <v>83.436857418573169</v>
      </c>
      <c r="D7305" s="39"/>
      <c r="E7305" s="39"/>
    </row>
    <row r="7306" spans="1:5" ht="15.6">
      <c r="A7306">
        <v>7251</v>
      </c>
      <c r="B7306" s="166">
        <v>73.621595268655227</v>
      </c>
      <c r="D7306" s="39"/>
      <c r="E7306" s="39"/>
    </row>
    <row r="7307" spans="1:5" ht="15.6">
      <c r="A7307">
        <v>7252</v>
      </c>
      <c r="B7307" s="166">
        <v>97.523991039472179</v>
      </c>
      <c r="D7307" s="39"/>
      <c r="E7307" s="39"/>
    </row>
    <row r="7308" spans="1:5" ht="15.6">
      <c r="A7308">
        <v>7253</v>
      </c>
      <c r="B7308" s="166">
        <v>130.2398687243689</v>
      </c>
      <c r="D7308" s="39"/>
      <c r="E7308" s="39"/>
    </row>
    <row r="7309" spans="1:5" ht="15.6">
      <c r="A7309">
        <v>7254</v>
      </c>
      <c r="B7309" s="166">
        <v>182.9571254084573</v>
      </c>
      <c r="D7309" s="39"/>
      <c r="E7309" s="39"/>
    </row>
    <row r="7310" spans="1:5" ht="15.6">
      <c r="A7310">
        <v>7255</v>
      </c>
      <c r="B7310" s="166">
        <v>84.49410150994737</v>
      </c>
      <c r="D7310" s="39"/>
      <c r="E7310" s="39"/>
    </row>
    <row r="7311" spans="1:5" ht="15.6">
      <c r="A7311">
        <v>7256</v>
      </c>
      <c r="B7311" s="166">
        <v>164.35059514621349</v>
      </c>
      <c r="D7311" s="39"/>
      <c r="E7311" s="39"/>
    </row>
    <row r="7312" spans="1:5" ht="15.6">
      <c r="A7312">
        <v>7257</v>
      </c>
      <c r="B7312" s="166">
        <v>135.41771219609109</v>
      </c>
      <c r="D7312" s="39"/>
      <c r="E7312" s="39"/>
    </row>
    <row r="7313" spans="1:5" ht="15.6">
      <c r="A7313">
        <v>7258</v>
      </c>
      <c r="B7313" s="166">
        <v>161.53716872839033</v>
      </c>
      <c r="D7313" s="39"/>
      <c r="E7313" s="39"/>
    </row>
    <row r="7314" spans="1:5" ht="15.6">
      <c r="A7314">
        <v>7259</v>
      </c>
      <c r="B7314" s="166">
        <v>98.983038532512211</v>
      </c>
      <c r="D7314" s="39"/>
      <c r="E7314" s="39"/>
    </row>
    <row r="7315" spans="1:5" ht="15.6">
      <c r="A7315">
        <v>7260</v>
      </c>
      <c r="B7315" s="166">
        <v>80.438802999806128</v>
      </c>
      <c r="D7315" s="39"/>
      <c r="E7315" s="39"/>
    </row>
    <row r="7316" spans="1:5" ht="15.6">
      <c r="A7316">
        <v>7261</v>
      </c>
      <c r="B7316" s="166">
        <v>62.85742989792746</v>
      </c>
      <c r="D7316" s="39"/>
      <c r="E7316" s="39"/>
    </row>
    <row r="7317" spans="1:5" ht="15.6">
      <c r="A7317">
        <v>7262</v>
      </c>
      <c r="B7317" s="166">
        <v>47.554241960792581</v>
      </c>
      <c r="D7317" s="39"/>
      <c r="E7317" s="39"/>
    </row>
    <row r="7318" spans="1:5" ht="15.6">
      <c r="A7318">
        <v>7263</v>
      </c>
      <c r="B7318" s="166">
        <v>144.90017440321611</v>
      </c>
      <c r="D7318" s="39"/>
      <c r="E7318" s="39"/>
    </row>
    <row r="7319" spans="1:5" ht="15.6">
      <c r="A7319">
        <v>7264</v>
      </c>
      <c r="B7319" s="166">
        <v>92.036935232347318</v>
      </c>
      <c r="D7319" s="39"/>
      <c r="E7319" s="39"/>
    </row>
    <row r="7320" spans="1:5" ht="15.6">
      <c r="A7320">
        <v>7265</v>
      </c>
      <c r="B7320" s="166">
        <v>101.57077295902613</v>
      </c>
      <c r="D7320" s="39"/>
      <c r="E7320" s="39"/>
    </row>
    <row r="7321" spans="1:5" ht="15.6">
      <c r="A7321">
        <v>7266</v>
      </c>
      <c r="B7321" s="166">
        <v>188.06386163613416</v>
      </c>
      <c r="D7321" s="39"/>
      <c r="E7321" s="39"/>
    </row>
    <row r="7322" spans="1:5" ht="15.6">
      <c r="A7322">
        <v>7267</v>
      </c>
      <c r="B7322" s="166">
        <v>228.38095181564259</v>
      </c>
      <c r="D7322" s="39"/>
      <c r="E7322" s="39"/>
    </row>
    <row r="7323" spans="1:5" ht="15.6">
      <c r="A7323">
        <v>7268</v>
      </c>
      <c r="B7323" s="166">
        <v>121.76091287234361</v>
      </c>
      <c r="D7323" s="39"/>
      <c r="E7323" s="39"/>
    </row>
    <row r="7324" spans="1:5" ht="15.6">
      <c r="A7324">
        <v>7269</v>
      </c>
      <c r="B7324" s="166">
        <v>88.155962851155408</v>
      </c>
      <c r="D7324" s="39"/>
      <c r="E7324" s="39"/>
    </row>
    <row r="7325" spans="1:5" ht="15.6">
      <c r="A7325">
        <v>7270</v>
      </c>
      <c r="B7325" s="166">
        <v>61.421314607356592</v>
      </c>
      <c r="D7325" s="39"/>
      <c r="E7325" s="39"/>
    </row>
    <row r="7326" spans="1:5" ht="15.6">
      <c r="A7326">
        <v>7271</v>
      </c>
      <c r="B7326" s="166">
        <v>58.117793628984657</v>
      </c>
      <c r="D7326" s="39"/>
      <c r="E7326" s="39"/>
    </row>
    <row r="7327" spans="1:5" ht="15.6">
      <c r="A7327">
        <v>7272</v>
      </c>
      <c r="B7327" s="166">
        <v>126.14467258311976</v>
      </c>
      <c r="D7327" s="39"/>
      <c r="E7327" s="39"/>
    </row>
    <row r="7328" spans="1:5" ht="15.6">
      <c r="A7328">
        <v>7273</v>
      </c>
      <c r="B7328" s="166">
        <v>93.726450172157854</v>
      </c>
      <c r="D7328" s="39"/>
      <c r="E7328" s="39"/>
    </row>
    <row r="7329" spans="1:5" ht="15.6">
      <c r="A7329">
        <v>7274</v>
      </c>
      <c r="B7329" s="166">
        <v>87.367359395888244</v>
      </c>
      <c r="D7329" s="39"/>
      <c r="E7329" s="39"/>
    </row>
    <row r="7330" spans="1:5" ht="15.6">
      <c r="A7330">
        <v>7275</v>
      </c>
      <c r="B7330" s="166">
        <v>160.79106807967185</v>
      </c>
      <c r="D7330" s="39"/>
      <c r="E7330" s="39"/>
    </row>
    <row r="7331" spans="1:5" ht="15.6">
      <c r="A7331">
        <v>7276</v>
      </c>
      <c r="B7331" s="166">
        <v>171.27352096295391</v>
      </c>
      <c r="D7331" s="39"/>
      <c r="E7331" s="39"/>
    </row>
    <row r="7332" spans="1:5" ht="15.6">
      <c r="A7332">
        <v>7277</v>
      </c>
      <c r="B7332" s="166">
        <v>76.725943009121394</v>
      </c>
      <c r="D7332" s="39"/>
      <c r="E7332" s="39"/>
    </row>
    <row r="7333" spans="1:5" ht="15.6">
      <c r="A7333">
        <v>7278</v>
      </c>
      <c r="B7333" s="166">
        <v>150.7819961159764</v>
      </c>
      <c r="D7333" s="39"/>
      <c r="E7333" s="39"/>
    </row>
    <row r="7334" spans="1:5" ht="15.6">
      <c r="A7334">
        <v>7279</v>
      </c>
      <c r="B7334" s="166">
        <v>62.720863794439005</v>
      </c>
      <c r="D7334" s="39"/>
      <c r="E7334" s="39"/>
    </row>
    <row r="7335" spans="1:5" ht="15.6">
      <c r="A7335">
        <v>7280</v>
      </c>
      <c r="B7335" s="166">
        <v>72.657212618708257</v>
      </c>
      <c r="D7335" s="39"/>
      <c r="E7335" s="39"/>
    </row>
    <row r="7336" spans="1:5" ht="15.6">
      <c r="A7336">
        <v>7281</v>
      </c>
      <c r="B7336" s="166">
        <v>110.91817944010606</v>
      </c>
      <c r="D7336" s="39"/>
      <c r="E7336" s="39"/>
    </row>
    <row r="7337" spans="1:5" ht="15.6">
      <c r="A7337">
        <v>7282</v>
      </c>
      <c r="B7337" s="166">
        <v>135.72707323080886</v>
      </c>
      <c r="D7337" s="39"/>
      <c r="E7337" s="39"/>
    </row>
    <row r="7338" spans="1:5" ht="15.6">
      <c r="A7338">
        <v>7283</v>
      </c>
      <c r="B7338" s="166">
        <v>181.05931012006923</v>
      </c>
      <c r="D7338" s="39"/>
      <c r="E7338" s="39"/>
    </row>
    <row r="7339" spans="1:5" ht="15.6">
      <c r="A7339">
        <v>7284</v>
      </c>
      <c r="B7339" s="166">
        <v>117.8656928337995</v>
      </c>
      <c r="D7339" s="39"/>
      <c r="E7339" s="39"/>
    </row>
    <row r="7340" spans="1:5" ht="15.6">
      <c r="A7340">
        <v>7285</v>
      </c>
      <c r="B7340" s="166">
        <v>149.67489364696664</v>
      </c>
      <c r="D7340" s="39"/>
      <c r="E7340" s="39"/>
    </row>
    <row r="7341" spans="1:5" ht="15.6">
      <c r="A7341">
        <v>7286</v>
      </c>
      <c r="B7341" s="166">
        <v>48.991764794782775</v>
      </c>
      <c r="D7341" s="39"/>
      <c r="E7341" s="39"/>
    </row>
    <row r="7342" spans="1:5" ht="15.6">
      <c r="A7342">
        <v>7287</v>
      </c>
      <c r="B7342" s="166">
        <v>87.271944780711266</v>
      </c>
      <c r="D7342" s="39"/>
      <c r="E7342" s="39"/>
    </row>
    <row r="7343" spans="1:5" ht="15.6">
      <c r="A7343">
        <v>7288</v>
      </c>
      <c r="B7343" s="166">
        <v>48.502704083173221</v>
      </c>
      <c r="D7343" s="39"/>
      <c r="E7343" s="39"/>
    </row>
    <row r="7344" spans="1:5" ht="15.6">
      <c r="A7344">
        <v>7289</v>
      </c>
      <c r="B7344" s="166">
        <v>156.37206684623783</v>
      </c>
      <c r="D7344" s="39"/>
      <c r="E7344" s="39"/>
    </row>
    <row r="7345" spans="1:5" ht="15.6">
      <c r="A7345">
        <v>7290</v>
      </c>
      <c r="B7345" s="166">
        <v>98.171243156091109</v>
      </c>
      <c r="D7345" s="39"/>
      <c r="E7345" s="39"/>
    </row>
    <row r="7346" spans="1:5" ht="15.6">
      <c r="A7346">
        <v>7291</v>
      </c>
      <c r="B7346" s="166">
        <v>166.90493488229004</v>
      </c>
      <c r="D7346" s="39"/>
      <c r="E7346" s="39"/>
    </row>
    <row r="7347" spans="1:5" ht="15.6">
      <c r="A7347">
        <v>7292</v>
      </c>
      <c r="B7347" s="166">
        <v>123.68899345660732</v>
      </c>
      <c r="D7347" s="39"/>
      <c r="E7347" s="39"/>
    </row>
    <row r="7348" spans="1:5" ht="15.6">
      <c r="A7348">
        <v>7293</v>
      </c>
      <c r="B7348" s="166">
        <v>112.9192747243853</v>
      </c>
      <c r="D7348" s="39"/>
      <c r="E7348" s="39"/>
    </row>
    <row r="7349" spans="1:5" ht="15.6">
      <c r="A7349">
        <v>7294</v>
      </c>
      <c r="B7349" s="166">
        <v>67.858506312776839</v>
      </c>
      <c r="D7349" s="39"/>
      <c r="E7349" s="39"/>
    </row>
    <row r="7350" spans="1:5" ht="15.6">
      <c r="A7350">
        <v>7295</v>
      </c>
      <c r="B7350" s="166">
        <v>138.77120538407155</v>
      </c>
      <c r="D7350" s="39"/>
      <c r="E7350" s="39"/>
    </row>
    <row r="7351" spans="1:5" ht="15.6">
      <c r="A7351">
        <v>7296</v>
      </c>
      <c r="B7351" s="166">
        <v>209.7692795652658</v>
      </c>
      <c r="D7351" s="39"/>
      <c r="E7351" s="39"/>
    </row>
    <row r="7352" spans="1:5" ht="15.6">
      <c r="A7352">
        <v>7297</v>
      </c>
      <c r="B7352" s="166">
        <v>164.60122502459552</v>
      </c>
      <c r="D7352" s="39"/>
      <c r="E7352" s="39"/>
    </row>
    <row r="7353" spans="1:5" ht="15.6">
      <c r="A7353">
        <v>7298</v>
      </c>
      <c r="B7353" s="166">
        <v>87.17340523386342</v>
      </c>
      <c r="D7353" s="39"/>
      <c r="E7353" s="39"/>
    </row>
    <row r="7354" spans="1:5" ht="15.6">
      <c r="A7354">
        <v>7299</v>
      </c>
      <c r="B7354" s="166">
        <v>81.15170472925314</v>
      </c>
      <c r="D7354" s="39"/>
      <c r="E7354" s="39"/>
    </row>
    <row r="7355" spans="1:5" ht="15.6">
      <c r="A7355">
        <v>7300</v>
      </c>
      <c r="B7355" s="166">
        <v>68.570046319986048</v>
      </c>
      <c r="D7355" s="39"/>
      <c r="E7355" s="39"/>
    </row>
    <row r="7356" spans="1:5" ht="15.6">
      <c r="A7356">
        <v>7301</v>
      </c>
      <c r="B7356" s="166">
        <v>156.256254360913</v>
      </c>
      <c r="D7356" s="39"/>
      <c r="E7356" s="39"/>
    </row>
    <row r="7357" spans="1:5" ht="15.6">
      <c r="A7357">
        <v>7302</v>
      </c>
      <c r="B7357" s="166">
        <v>98.667492150730865</v>
      </c>
      <c r="D7357" s="39"/>
      <c r="E7357" s="39"/>
    </row>
    <row r="7358" spans="1:5" ht="15.6">
      <c r="A7358">
        <v>7303</v>
      </c>
      <c r="B7358" s="166">
        <v>90.332568409880338</v>
      </c>
      <c r="D7358" s="39"/>
      <c r="E7358" s="39"/>
    </row>
    <row r="7359" spans="1:5" ht="15.6">
      <c r="A7359">
        <v>7304</v>
      </c>
      <c r="B7359" s="166">
        <v>89.109850321913754</v>
      </c>
      <c r="D7359" s="39"/>
      <c r="E7359" s="39"/>
    </row>
    <row r="7360" spans="1:5" ht="15.6">
      <c r="A7360">
        <v>7305</v>
      </c>
      <c r="B7360" s="166">
        <v>75.17662379973217</v>
      </c>
      <c r="D7360" s="39"/>
      <c r="E7360" s="39"/>
    </row>
    <row r="7361" spans="1:5" ht="15.6">
      <c r="A7361">
        <v>7306</v>
      </c>
      <c r="B7361" s="166">
        <v>132.57900609097521</v>
      </c>
      <c r="D7361" s="39"/>
      <c r="E7361" s="39"/>
    </row>
    <row r="7362" spans="1:5" ht="15.6">
      <c r="A7362">
        <v>7307</v>
      </c>
      <c r="B7362" s="166">
        <v>66.519398437451613</v>
      </c>
      <c r="D7362" s="39"/>
      <c r="E7362" s="39"/>
    </row>
    <row r="7363" spans="1:5" ht="15.6">
      <c r="A7363">
        <v>7308</v>
      </c>
      <c r="B7363" s="166">
        <v>171.09277153001563</v>
      </c>
      <c r="D7363" s="39"/>
      <c r="E7363" s="39"/>
    </row>
    <row r="7364" spans="1:5" ht="15.6">
      <c r="A7364">
        <v>7309</v>
      </c>
      <c r="B7364" s="166">
        <v>56.419192820356884</v>
      </c>
      <c r="D7364" s="39"/>
      <c r="E7364" s="39"/>
    </row>
    <row r="7365" spans="1:5" ht="15.6">
      <c r="A7365">
        <v>7310</v>
      </c>
      <c r="B7365" s="166">
        <v>103.4717488922884</v>
      </c>
      <c r="D7365" s="39"/>
      <c r="E7365" s="39"/>
    </row>
    <row r="7366" spans="1:5" ht="15.6">
      <c r="A7366">
        <v>7311</v>
      </c>
      <c r="B7366" s="166">
        <v>103.24487706142284</v>
      </c>
      <c r="D7366" s="39"/>
      <c r="E7366" s="39"/>
    </row>
    <row r="7367" spans="1:5" ht="15.6">
      <c r="A7367">
        <v>7312</v>
      </c>
      <c r="B7367" s="166">
        <v>117.88984501046644</v>
      </c>
      <c r="D7367" s="39"/>
      <c r="E7367" s="39"/>
    </row>
    <row r="7368" spans="1:5" ht="15.6">
      <c r="A7368">
        <v>7313</v>
      </c>
      <c r="B7368" s="166">
        <v>90.816296387460099</v>
      </c>
      <c r="D7368" s="39"/>
      <c r="E7368" s="39"/>
    </row>
    <row r="7369" spans="1:5" ht="15.6">
      <c r="A7369">
        <v>7314</v>
      </c>
      <c r="B7369" s="166">
        <v>163.16016596538711</v>
      </c>
      <c r="D7369" s="39"/>
      <c r="E7369" s="39"/>
    </row>
    <row r="7370" spans="1:5" ht="15.6">
      <c r="A7370">
        <v>7315</v>
      </c>
      <c r="B7370" s="166">
        <v>96.097243671530535</v>
      </c>
      <c r="D7370" s="39"/>
      <c r="E7370" s="39"/>
    </row>
    <row r="7371" spans="1:5" ht="15.6">
      <c r="A7371">
        <v>7316</v>
      </c>
      <c r="B7371" s="166">
        <v>85.829202761159749</v>
      </c>
      <c r="D7371" s="39"/>
      <c r="E7371" s="39"/>
    </row>
    <row r="7372" spans="1:5" ht="15.6">
      <c r="A7372">
        <v>7317</v>
      </c>
      <c r="B7372" s="166">
        <v>189.92877248129309</v>
      </c>
      <c r="D7372" s="39"/>
      <c r="E7372" s="39"/>
    </row>
    <row r="7373" spans="1:5" ht="15.6">
      <c r="A7373">
        <v>7318</v>
      </c>
      <c r="B7373" s="166">
        <v>126.92595906423554</v>
      </c>
      <c r="D7373" s="39"/>
      <c r="E7373" s="39"/>
    </row>
    <row r="7374" spans="1:5" ht="15.6">
      <c r="A7374">
        <v>7319</v>
      </c>
      <c r="B7374" s="166">
        <v>126.98891597169319</v>
      </c>
      <c r="D7374" s="39"/>
      <c r="E7374" s="39"/>
    </row>
    <row r="7375" spans="1:5" ht="15.6">
      <c r="A7375">
        <v>7320</v>
      </c>
      <c r="B7375" s="166">
        <v>101.36912119656594</v>
      </c>
      <c r="D7375" s="39"/>
      <c r="E7375" s="39"/>
    </row>
    <row r="7376" spans="1:5" ht="15.6">
      <c r="A7376">
        <v>7321</v>
      </c>
      <c r="B7376" s="166">
        <v>114.5643355046839</v>
      </c>
      <c r="D7376" s="39"/>
      <c r="E7376" s="39"/>
    </row>
    <row r="7377" spans="1:5" ht="15.6">
      <c r="A7377">
        <v>7322</v>
      </c>
      <c r="B7377" s="166">
        <v>192.0086983737549</v>
      </c>
      <c r="D7377" s="39"/>
      <c r="E7377" s="39"/>
    </row>
    <row r="7378" spans="1:5" ht="15.6">
      <c r="A7378">
        <v>7323</v>
      </c>
      <c r="B7378" s="166">
        <v>161.82069920380155</v>
      </c>
      <c r="D7378" s="39"/>
      <c r="E7378" s="39"/>
    </row>
    <row r="7379" spans="1:5" ht="15.6">
      <c r="A7379">
        <v>7324</v>
      </c>
      <c r="B7379" s="166">
        <v>184.38961834028396</v>
      </c>
      <c r="D7379" s="39"/>
      <c r="E7379" s="39"/>
    </row>
    <row r="7380" spans="1:5" ht="15.6">
      <c r="A7380">
        <v>7325</v>
      </c>
      <c r="B7380" s="166">
        <v>130.92146761934177</v>
      </c>
      <c r="D7380" s="39"/>
      <c r="E7380" s="39"/>
    </row>
    <row r="7381" spans="1:5" ht="15.6">
      <c r="A7381">
        <v>7326</v>
      </c>
      <c r="B7381" s="166">
        <v>78.730252287504925</v>
      </c>
      <c r="D7381" s="39"/>
      <c r="E7381" s="39"/>
    </row>
    <row r="7382" spans="1:5" ht="15.6">
      <c r="A7382">
        <v>7327</v>
      </c>
      <c r="B7382" s="166">
        <v>154.82109400294175</v>
      </c>
      <c r="D7382" s="39"/>
      <c r="E7382" s="39"/>
    </row>
    <row r="7383" spans="1:5" ht="15.6">
      <c r="A7383">
        <v>7328</v>
      </c>
      <c r="B7383" s="166">
        <v>61.796730712307863</v>
      </c>
      <c r="D7383" s="39"/>
      <c r="E7383" s="39"/>
    </row>
    <row r="7384" spans="1:5" ht="15.6">
      <c r="A7384">
        <v>7329</v>
      </c>
      <c r="B7384" s="166">
        <v>87.602729700393596</v>
      </c>
      <c r="D7384" s="39"/>
      <c r="E7384" s="39"/>
    </row>
    <row r="7385" spans="1:5" ht="15.6">
      <c r="A7385">
        <v>7330</v>
      </c>
      <c r="B7385" s="166">
        <v>54.617950398832335</v>
      </c>
      <c r="D7385" s="39"/>
      <c r="E7385" s="39"/>
    </row>
    <row r="7386" spans="1:5" ht="15.6">
      <c r="A7386">
        <v>7331</v>
      </c>
      <c r="B7386" s="166">
        <v>77.201245809243332</v>
      </c>
      <c r="D7386" s="39"/>
      <c r="E7386" s="39"/>
    </row>
    <row r="7387" spans="1:5" ht="15.6">
      <c r="A7387">
        <v>7332</v>
      </c>
      <c r="B7387" s="166">
        <v>132.65084278656755</v>
      </c>
      <c r="D7387" s="39"/>
      <c r="E7387" s="39"/>
    </row>
    <row r="7388" spans="1:5" ht="15.6">
      <c r="A7388">
        <v>7333</v>
      </c>
      <c r="B7388" s="166">
        <v>104.15654627004389</v>
      </c>
      <c r="D7388" s="39"/>
      <c r="E7388" s="39"/>
    </row>
    <row r="7389" spans="1:5" ht="15.6">
      <c r="A7389">
        <v>7334</v>
      </c>
      <c r="B7389" s="166">
        <v>172.53452037838619</v>
      </c>
      <c r="D7389" s="39"/>
      <c r="E7389" s="39"/>
    </row>
    <row r="7390" spans="1:5" ht="15.6">
      <c r="A7390">
        <v>7335</v>
      </c>
      <c r="B7390" s="166">
        <v>94.819239856554489</v>
      </c>
      <c r="D7390" s="39"/>
      <c r="E7390" s="39"/>
    </row>
    <row r="7391" spans="1:5" ht="15.6">
      <c r="A7391">
        <v>7336</v>
      </c>
      <c r="B7391" s="166">
        <v>92.878882155003112</v>
      </c>
      <c r="D7391" s="39"/>
      <c r="E7391" s="39"/>
    </row>
    <row r="7392" spans="1:5" ht="15.6">
      <c r="A7392">
        <v>7337</v>
      </c>
      <c r="B7392" s="166">
        <v>75.875975599480583</v>
      </c>
      <c r="D7392" s="39"/>
      <c r="E7392" s="39"/>
    </row>
    <row r="7393" spans="1:5" ht="15.6">
      <c r="A7393">
        <v>7338</v>
      </c>
      <c r="B7393" s="166">
        <v>96.625063634139835</v>
      </c>
      <c r="D7393" s="39"/>
      <c r="E7393" s="39"/>
    </row>
    <row r="7394" spans="1:5" ht="15.6">
      <c r="A7394">
        <v>7339</v>
      </c>
      <c r="B7394" s="166">
        <v>145.36868930171605</v>
      </c>
      <c r="D7394" s="39"/>
      <c r="E7394" s="39"/>
    </row>
    <row r="7395" spans="1:5" ht="15.6">
      <c r="A7395">
        <v>7340</v>
      </c>
      <c r="B7395" s="166">
        <v>68.544505824946626</v>
      </c>
      <c r="D7395" s="39"/>
      <c r="E7395" s="39"/>
    </row>
    <row r="7396" spans="1:5" ht="15.6">
      <c r="A7396">
        <v>7341</v>
      </c>
      <c r="B7396" s="166">
        <v>83.615956490616171</v>
      </c>
      <c r="D7396" s="39"/>
      <c r="E7396" s="39"/>
    </row>
    <row r="7397" spans="1:5" ht="15.6">
      <c r="A7397">
        <v>7342</v>
      </c>
      <c r="B7397" s="166">
        <v>74.094619118349854</v>
      </c>
      <c r="D7397" s="39"/>
      <c r="E7397" s="39"/>
    </row>
    <row r="7398" spans="1:5" ht="15.6">
      <c r="A7398">
        <v>7343</v>
      </c>
      <c r="B7398" s="166">
        <v>95.321069252648442</v>
      </c>
      <c r="D7398" s="39"/>
      <c r="E7398" s="39"/>
    </row>
    <row r="7399" spans="1:5" ht="15.6">
      <c r="A7399">
        <v>7344</v>
      </c>
      <c r="B7399" s="166">
        <v>158.0313641564461</v>
      </c>
      <c r="D7399" s="39"/>
      <c r="E7399" s="39"/>
    </row>
    <row r="7400" spans="1:5" ht="15.6">
      <c r="A7400">
        <v>7345</v>
      </c>
      <c r="B7400" s="166">
        <v>74.261932811589901</v>
      </c>
      <c r="D7400" s="39"/>
      <c r="E7400" s="39"/>
    </row>
    <row r="7401" spans="1:5" ht="15.6">
      <c r="A7401">
        <v>7346</v>
      </c>
      <c r="B7401" s="166">
        <v>88.329431560900503</v>
      </c>
      <c r="D7401" s="39"/>
      <c r="E7401" s="39"/>
    </row>
    <row r="7402" spans="1:5" ht="15.6">
      <c r="A7402">
        <v>7347</v>
      </c>
      <c r="B7402" s="166">
        <v>146.45568381989102</v>
      </c>
      <c r="D7402" s="39"/>
      <c r="E7402" s="39"/>
    </row>
    <row r="7403" spans="1:5" ht="15.6">
      <c r="A7403">
        <v>7348</v>
      </c>
      <c r="B7403" s="166">
        <v>109.39952093956104</v>
      </c>
      <c r="D7403" s="39"/>
      <c r="E7403" s="39"/>
    </row>
    <row r="7404" spans="1:5" ht="15.6">
      <c r="A7404">
        <v>7349</v>
      </c>
      <c r="B7404" s="166">
        <v>79.490102456932007</v>
      </c>
      <c r="D7404" s="39"/>
      <c r="E7404" s="39"/>
    </row>
    <row r="7405" spans="1:5" ht="15.6">
      <c r="A7405">
        <v>7350</v>
      </c>
      <c r="B7405" s="166">
        <v>117.6227084540843</v>
      </c>
      <c r="D7405" s="39"/>
      <c r="E7405" s="39"/>
    </row>
    <row r="7406" spans="1:5" ht="15.6">
      <c r="A7406">
        <v>7351</v>
      </c>
      <c r="B7406" s="166">
        <v>131.19233119949732</v>
      </c>
      <c r="D7406" s="39"/>
      <c r="E7406" s="39"/>
    </row>
    <row r="7407" spans="1:5" ht="15.6">
      <c r="A7407">
        <v>7352</v>
      </c>
      <c r="B7407" s="166">
        <v>66.432268372263735</v>
      </c>
      <c r="D7407" s="39"/>
      <c r="E7407" s="39"/>
    </row>
    <row r="7408" spans="1:5" ht="15.6">
      <c r="A7408">
        <v>7353</v>
      </c>
      <c r="B7408" s="166">
        <v>112.78090833856218</v>
      </c>
      <c r="D7408" s="39"/>
      <c r="E7408" s="39"/>
    </row>
    <row r="7409" spans="1:5" ht="15.6">
      <c r="A7409">
        <v>7354</v>
      </c>
      <c r="B7409" s="166">
        <v>152.32442710050711</v>
      </c>
      <c r="D7409" s="39"/>
      <c r="E7409" s="39"/>
    </row>
    <row r="7410" spans="1:5" ht="15.6">
      <c r="A7410">
        <v>7355</v>
      </c>
      <c r="B7410" s="166">
        <v>134.2882182580646</v>
      </c>
      <c r="D7410" s="39"/>
      <c r="E7410" s="39"/>
    </row>
    <row r="7411" spans="1:5" ht="15.6">
      <c r="A7411">
        <v>7356</v>
      </c>
      <c r="B7411" s="166">
        <v>112.2638845919562</v>
      </c>
      <c r="D7411" s="39"/>
      <c r="E7411" s="39"/>
    </row>
    <row r="7412" spans="1:5" ht="15.6">
      <c r="A7412">
        <v>7357</v>
      </c>
      <c r="B7412" s="166">
        <v>56.527023108588146</v>
      </c>
      <c r="D7412" s="39"/>
      <c r="E7412" s="39"/>
    </row>
    <row r="7413" spans="1:5" ht="15.6">
      <c r="A7413">
        <v>7358</v>
      </c>
      <c r="B7413" s="166">
        <v>90.188979862392287</v>
      </c>
      <c r="D7413" s="39"/>
      <c r="E7413" s="39"/>
    </row>
    <row r="7414" spans="1:5" ht="15.6">
      <c r="A7414">
        <v>7359</v>
      </c>
      <c r="B7414" s="166">
        <v>55.062149553741499</v>
      </c>
      <c r="D7414" s="39"/>
      <c r="E7414" s="39"/>
    </row>
    <row r="7415" spans="1:5" ht="15.6">
      <c r="A7415">
        <v>7360</v>
      </c>
      <c r="B7415" s="166">
        <v>85.428798051308476</v>
      </c>
      <c r="D7415" s="39"/>
      <c r="E7415" s="39"/>
    </row>
    <row r="7416" spans="1:5" ht="15.6">
      <c r="A7416">
        <v>7361</v>
      </c>
      <c r="B7416" s="166">
        <v>54.510677241508269</v>
      </c>
      <c r="D7416" s="39"/>
      <c r="E7416" s="39"/>
    </row>
    <row r="7417" spans="1:5" ht="15.6">
      <c r="A7417">
        <v>7362</v>
      </c>
      <c r="B7417" s="166">
        <v>125.15517094719976</v>
      </c>
      <c r="D7417" s="39"/>
      <c r="E7417" s="39"/>
    </row>
    <row r="7418" spans="1:5" ht="15.6">
      <c r="A7418">
        <v>7363</v>
      </c>
      <c r="B7418" s="166">
        <v>80.307931972288173</v>
      </c>
      <c r="D7418" s="39"/>
      <c r="E7418" s="39"/>
    </row>
    <row r="7419" spans="1:5" ht="15.6">
      <c r="A7419">
        <v>7364</v>
      </c>
      <c r="B7419" s="166">
        <v>154.55545532654406</v>
      </c>
      <c r="D7419" s="39"/>
      <c r="E7419" s="39"/>
    </row>
    <row r="7420" spans="1:5" ht="15.6">
      <c r="A7420">
        <v>7365</v>
      </c>
      <c r="B7420" s="166">
        <v>101.16112913061731</v>
      </c>
      <c r="D7420" s="39"/>
      <c r="E7420" s="39"/>
    </row>
    <row r="7421" spans="1:5" ht="15.6">
      <c r="A7421">
        <v>7366</v>
      </c>
      <c r="B7421" s="166">
        <v>90.378471305311109</v>
      </c>
      <c r="D7421" s="39"/>
      <c r="E7421" s="39"/>
    </row>
    <row r="7422" spans="1:5" ht="15.6">
      <c r="A7422">
        <v>7367</v>
      </c>
      <c r="B7422" s="166">
        <v>93.425596869446977</v>
      </c>
      <c r="D7422" s="39"/>
      <c r="E7422" s="39"/>
    </row>
    <row r="7423" spans="1:5" ht="15.6">
      <c r="A7423">
        <v>7368</v>
      </c>
      <c r="B7423" s="166">
        <v>172.15325116464714</v>
      </c>
      <c r="D7423" s="39"/>
      <c r="E7423" s="39"/>
    </row>
    <row r="7424" spans="1:5" ht="15.6">
      <c r="A7424">
        <v>7369</v>
      </c>
      <c r="B7424" s="166">
        <v>118.04805814887395</v>
      </c>
      <c r="D7424" s="39"/>
      <c r="E7424" s="39"/>
    </row>
    <row r="7425" spans="1:5" ht="15.6">
      <c r="A7425">
        <v>7370</v>
      </c>
      <c r="B7425" s="166">
        <v>90.74981832492719</v>
      </c>
      <c r="D7425" s="39"/>
      <c r="E7425" s="39"/>
    </row>
    <row r="7426" spans="1:5" ht="15.6">
      <c r="A7426">
        <v>7371</v>
      </c>
      <c r="B7426" s="166">
        <v>123.10515209701359</v>
      </c>
      <c r="D7426" s="39"/>
      <c r="E7426" s="39"/>
    </row>
    <row r="7427" spans="1:5" ht="15.6">
      <c r="A7427">
        <v>7372</v>
      </c>
      <c r="B7427" s="166">
        <v>177.7268769480408</v>
      </c>
      <c r="D7427" s="39"/>
      <c r="E7427" s="39"/>
    </row>
    <row r="7428" spans="1:5" ht="15.6">
      <c r="A7428">
        <v>7373</v>
      </c>
      <c r="B7428" s="166">
        <v>68.889589157298403</v>
      </c>
      <c r="D7428" s="39"/>
      <c r="E7428" s="39"/>
    </row>
    <row r="7429" spans="1:5" ht="15.6">
      <c r="A7429">
        <v>7374</v>
      </c>
      <c r="B7429" s="166">
        <v>101.46103601097137</v>
      </c>
      <c r="D7429" s="39"/>
      <c r="E7429" s="39"/>
    </row>
    <row r="7430" spans="1:5" ht="15.6">
      <c r="A7430">
        <v>7375</v>
      </c>
      <c r="B7430" s="166">
        <v>75.543918718422844</v>
      </c>
      <c r="D7430" s="39"/>
      <c r="E7430" s="39"/>
    </row>
    <row r="7431" spans="1:5" ht="15.6">
      <c r="A7431">
        <v>7376</v>
      </c>
      <c r="B7431" s="166">
        <v>61.843729207130131</v>
      </c>
      <c r="D7431" s="39"/>
      <c r="E7431" s="39"/>
    </row>
    <row r="7432" spans="1:5" ht="15.6">
      <c r="A7432">
        <v>7377</v>
      </c>
      <c r="B7432" s="166">
        <v>105.06904362272972</v>
      </c>
      <c r="D7432" s="39"/>
      <c r="E7432" s="39"/>
    </row>
    <row r="7433" spans="1:5" ht="15.6">
      <c r="A7433">
        <v>7378</v>
      </c>
      <c r="B7433" s="166">
        <v>148.8654361474662</v>
      </c>
      <c r="D7433" s="39"/>
      <c r="E7433" s="39"/>
    </row>
    <row r="7434" spans="1:5" ht="15.6">
      <c r="A7434">
        <v>7379</v>
      </c>
      <c r="B7434" s="166">
        <v>121.11297457960222</v>
      </c>
      <c r="D7434" s="39"/>
      <c r="E7434" s="39"/>
    </row>
    <row r="7435" spans="1:5" ht="15.6">
      <c r="A7435">
        <v>7380</v>
      </c>
      <c r="B7435" s="166">
        <v>47.763252290680768</v>
      </c>
      <c r="D7435" s="39"/>
      <c r="E7435" s="39"/>
    </row>
    <row r="7436" spans="1:5" ht="15.6">
      <c r="A7436">
        <v>7381</v>
      </c>
      <c r="B7436" s="166">
        <v>106.47475263348188</v>
      </c>
      <c r="D7436" s="39"/>
      <c r="E7436" s="39"/>
    </row>
    <row r="7437" spans="1:5" ht="15.6">
      <c r="A7437">
        <v>7382</v>
      </c>
      <c r="B7437" s="166">
        <v>74.448643004259552</v>
      </c>
      <c r="D7437" s="39"/>
      <c r="E7437" s="39"/>
    </row>
    <row r="7438" spans="1:5" ht="15.6">
      <c r="A7438">
        <v>7383</v>
      </c>
      <c r="B7438" s="166">
        <v>100.93109336163369</v>
      </c>
      <c r="D7438" s="39"/>
      <c r="E7438" s="39"/>
    </row>
    <row r="7439" spans="1:5" ht="15.6">
      <c r="A7439">
        <v>7384</v>
      </c>
      <c r="B7439" s="166">
        <v>106.28689563426158</v>
      </c>
      <c r="D7439" s="39"/>
      <c r="E7439" s="39"/>
    </row>
    <row r="7440" spans="1:5" ht="15.6">
      <c r="A7440">
        <v>7385</v>
      </c>
      <c r="B7440" s="166">
        <v>67.661495618961339</v>
      </c>
      <c r="D7440" s="39"/>
      <c r="E7440" s="39"/>
    </row>
    <row r="7441" spans="1:5" ht="15.6">
      <c r="A7441">
        <v>7386</v>
      </c>
      <c r="B7441" s="166">
        <v>72.743847655340502</v>
      </c>
      <c r="D7441" s="39"/>
      <c r="E7441" s="39"/>
    </row>
    <row r="7442" spans="1:5" ht="15.6">
      <c r="A7442">
        <v>7387</v>
      </c>
      <c r="B7442" s="166">
        <v>115.10589151220285</v>
      </c>
      <c r="D7442" s="39"/>
      <c r="E7442" s="39"/>
    </row>
    <row r="7443" spans="1:5" ht="15.6">
      <c r="A7443">
        <v>7388</v>
      </c>
      <c r="B7443" s="166">
        <v>165.67483925692346</v>
      </c>
      <c r="D7443" s="39"/>
      <c r="E7443" s="39"/>
    </row>
    <row r="7444" spans="1:5" ht="15.6">
      <c r="A7444">
        <v>7389</v>
      </c>
      <c r="B7444" s="166">
        <v>80.876670013383347</v>
      </c>
      <c r="D7444" s="39"/>
      <c r="E7444" s="39"/>
    </row>
    <row r="7445" spans="1:5" ht="15.6">
      <c r="A7445">
        <v>7390</v>
      </c>
      <c r="B7445" s="166">
        <v>110.05484676915123</v>
      </c>
      <c r="D7445" s="39"/>
      <c r="E7445" s="39"/>
    </row>
    <row r="7446" spans="1:5" ht="15.6">
      <c r="A7446">
        <v>7391</v>
      </c>
      <c r="B7446" s="166">
        <v>80.054022078926693</v>
      </c>
      <c r="D7446" s="39"/>
      <c r="E7446" s="39"/>
    </row>
    <row r="7447" spans="1:5" ht="15.6">
      <c r="A7447">
        <v>7392</v>
      </c>
      <c r="B7447" s="166">
        <v>89.635952314181111</v>
      </c>
      <c r="D7447" s="39"/>
      <c r="E7447" s="39"/>
    </row>
    <row r="7448" spans="1:5" ht="15.6">
      <c r="A7448">
        <v>7393</v>
      </c>
      <c r="B7448" s="166">
        <v>101.90763764876972</v>
      </c>
      <c r="D7448" s="39"/>
      <c r="E7448" s="39"/>
    </row>
    <row r="7449" spans="1:5" ht="15.6">
      <c r="A7449">
        <v>7394</v>
      </c>
      <c r="B7449" s="166">
        <v>127.50144343209871</v>
      </c>
      <c r="D7449" s="39"/>
      <c r="E7449" s="39"/>
    </row>
    <row r="7450" spans="1:5" ht="15.6">
      <c r="A7450">
        <v>7395</v>
      </c>
      <c r="B7450" s="166">
        <v>89.486259933183192</v>
      </c>
      <c r="D7450" s="39"/>
      <c r="E7450" s="39"/>
    </row>
    <row r="7451" spans="1:5" ht="15.6">
      <c r="A7451">
        <v>7396</v>
      </c>
      <c r="B7451" s="166">
        <v>84.76446921795943</v>
      </c>
      <c r="D7451" s="39"/>
      <c r="E7451" s="39"/>
    </row>
    <row r="7452" spans="1:5" ht="15.6">
      <c r="A7452">
        <v>7397</v>
      </c>
      <c r="B7452" s="166">
        <v>127.97455126294254</v>
      </c>
      <c r="D7452" s="39"/>
      <c r="E7452" s="39"/>
    </row>
    <row r="7453" spans="1:5" ht="15.6">
      <c r="A7453">
        <v>7398</v>
      </c>
      <c r="B7453" s="166">
        <v>71.244367878677039</v>
      </c>
      <c r="D7453" s="39"/>
      <c r="E7453" s="39"/>
    </row>
    <row r="7454" spans="1:5" ht="15.6">
      <c r="A7454">
        <v>7399</v>
      </c>
      <c r="B7454" s="166">
        <v>132.06644410564738</v>
      </c>
      <c r="D7454" s="39"/>
      <c r="E7454" s="39"/>
    </row>
    <row r="7455" spans="1:5" ht="15.6">
      <c r="A7455">
        <v>7400</v>
      </c>
      <c r="B7455" s="166">
        <v>72.332926327547924</v>
      </c>
      <c r="D7455" s="39"/>
      <c r="E7455" s="39"/>
    </row>
    <row r="7456" spans="1:5" ht="15.6">
      <c r="A7456">
        <v>7401</v>
      </c>
      <c r="B7456" s="166">
        <v>157.90662450393876</v>
      </c>
      <c r="D7456" s="39"/>
      <c r="E7456" s="39"/>
    </row>
    <row r="7457" spans="1:5" ht="15.6">
      <c r="A7457">
        <v>7402</v>
      </c>
      <c r="B7457" s="166">
        <v>135.43887838102088</v>
      </c>
      <c r="D7457" s="39"/>
      <c r="E7457" s="39"/>
    </row>
    <row r="7458" spans="1:5" ht="15.6">
      <c r="A7458">
        <v>7403</v>
      </c>
      <c r="B7458" s="166">
        <v>127.51306533168572</v>
      </c>
      <c r="D7458" s="39"/>
      <c r="E7458" s="39"/>
    </row>
    <row r="7459" spans="1:5" ht="15.6">
      <c r="A7459">
        <v>7404</v>
      </c>
      <c r="B7459" s="166">
        <v>87.944091045639297</v>
      </c>
      <c r="D7459" s="39"/>
      <c r="E7459" s="39"/>
    </row>
    <row r="7460" spans="1:5" ht="15.6">
      <c r="A7460">
        <v>7405</v>
      </c>
      <c r="B7460" s="166">
        <v>86.042108137483197</v>
      </c>
      <c r="D7460" s="39"/>
      <c r="E7460" s="39"/>
    </row>
    <row r="7461" spans="1:5" ht="15.6">
      <c r="A7461">
        <v>7406</v>
      </c>
      <c r="B7461" s="166">
        <v>93.376984117412249</v>
      </c>
      <c r="D7461" s="39"/>
      <c r="E7461" s="39"/>
    </row>
    <row r="7462" spans="1:5" ht="15.6">
      <c r="A7462">
        <v>7407</v>
      </c>
      <c r="B7462" s="166">
        <v>97.922274938606137</v>
      </c>
      <c r="D7462" s="39"/>
      <c r="E7462" s="39"/>
    </row>
    <row r="7463" spans="1:5" ht="15.6">
      <c r="A7463">
        <v>7408</v>
      </c>
      <c r="B7463" s="166">
        <v>71.777691973484181</v>
      </c>
      <c r="D7463" s="39"/>
      <c r="E7463" s="39"/>
    </row>
    <row r="7464" spans="1:5" ht="15.6">
      <c r="A7464">
        <v>7409</v>
      </c>
      <c r="B7464" s="166">
        <v>104.86314460034293</v>
      </c>
      <c r="D7464" s="39"/>
      <c r="E7464" s="39"/>
    </row>
    <row r="7465" spans="1:5" ht="15.6">
      <c r="A7465">
        <v>7410</v>
      </c>
      <c r="B7465" s="166">
        <v>102.63387620185986</v>
      </c>
      <c r="D7465" s="39"/>
      <c r="E7465" s="39"/>
    </row>
    <row r="7466" spans="1:5" ht="15.6">
      <c r="A7466">
        <v>7411</v>
      </c>
      <c r="B7466" s="166">
        <v>66.254770371297667</v>
      </c>
      <c r="D7466" s="39"/>
      <c r="E7466" s="39"/>
    </row>
    <row r="7467" spans="1:5" ht="15.6">
      <c r="A7467">
        <v>7412</v>
      </c>
      <c r="B7467" s="166">
        <v>136.58084853385316</v>
      </c>
      <c r="D7467" s="39"/>
      <c r="E7467" s="39"/>
    </row>
    <row r="7468" spans="1:5" ht="15.6">
      <c r="A7468">
        <v>7413</v>
      </c>
      <c r="B7468" s="166">
        <v>100.17563320587344</v>
      </c>
      <c r="D7468" s="39"/>
      <c r="E7468" s="39"/>
    </row>
    <row r="7469" spans="1:5" ht="15.6">
      <c r="A7469">
        <v>7414</v>
      </c>
      <c r="B7469" s="166">
        <v>108.65972346997009</v>
      </c>
      <c r="D7469" s="39"/>
      <c r="E7469" s="39"/>
    </row>
    <row r="7470" spans="1:5" ht="15.6">
      <c r="A7470">
        <v>7415</v>
      </c>
      <c r="B7470" s="166">
        <v>86.075020040496852</v>
      </c>
      <c r="D7470" s="39"/>
      <c r="E7470" s="39"/>
    </row>
    <row r="7471" spans="1:5" ht="15.6">
      <c r="A7471">
        <v>7416</v>
      </c>
      <c r="B7471" s="166">
        <v>100.71667324866627</v>
      </c>
      <c r="D7471" s="39"/>
      <c r="E7471" s="39"/>
    </row>
    <row r="7472" spans="1:5" ht="15.6">
      <c r="A7472">
        <v>7417</v>
      </c>
      <c r="B7472" s="166">
        <v>116.33712923137865</v>
      </c>
      <c r="D7472" s="39"/>
      <c r="E7472" s="39"/>
    </row>
    <row r="7473" spans="1:5" ht="15.6">
      <c r="A7473">
        <v>7418</v>
      </c>
      <c r="B7473" s="166">
        <v>62.110024301099209</v>
      </c>
      <c r="D7473" s="39"/>
      <c r="E7473" s="39"/>
    </row>
    <row r="7474" spans="1:5" ht="15.6">
      <c r="A7474">
        <v>7419</v>
      </c>
      <c r="B7474" s="166">
        <v>85.113708120253364</v>
      </c>
      <c r="D7474" s="39"/>
      <c r="E7474" s="39"/>
    </row>
    <row r="7475" spans="1:5" ht="15.6">
      <c r="A7475">
        <v>7420</v>
      </c>
      <c r="B7475" s="166">
        <v>118.95256464935837</v>
      </c>
      <c r="D7475" s="39"/>
      <c r="E7475" s="39"/>
    </row>
    <row r="7476" spans="1:5" ht="15.6">
      <c r="A7476">
        <v>7421</v>
      </c>
      <c r="B7476" s="166">
        <v>177.19017069015453</v>
      </c>
      <c r="D7476" s="39"/>
      <c r="E7476" s="39"/>
    </row>
    <row r="7477" spans="1:5" ht="15.6">
      <c r="A7477">
        <v>7422</v>
      </c>
      <c r="B7477" s="166">
        <v>53.707049990989532</v>
      </c>
      <c r="D7477" s="39"/>
      <c r="E7477" s="39"/>
    </row>
    <row r="7478" spans="1:5" ht="15.6">
      <c r="A7478">
        <v>7423</v>
      </c>
      <c r="B7478" s="166">
        <v>137.62863417669209</v>
      </c>
      <c r="D7478" s="39"/>
      <c r="E7478" s="39"/>
    </row>
    <row r="7479" spans="1:5" ht="15.6">
      <c r="A7479">
        <v>7424</v>
      </c>
      <c r="B7479" s="166">
        <v>111.36345796616141</v>
      </c>
      <c r="D7479" s="39"/>
      <c r="E7479" s="39"/>
    </row>
    <row r="7480" spans="1:5" ht="15.6">
      <c r="A7480">
        <v>7425</v>
      </c>
      <c r="B7480" s="166">
        <v>147.6496415586235</v>
      </c>
      <c r="D7480" s="39"/>
      <c r="E7480" s="39"/>
    </row>
    <row r="7481" spans="1:5" ht="15.6">
      <c r="A7481">
        <v>7426</v>
      </c>
      <c r="B7481" s="166">
        <v>238.36994985781425</v>
      </c>
      <c r="D7481" s="39"/>
      <c r="E7481" s="39"/>
    </row>
    <row r="7482" spans="1:5" ht="15.6">
      <c r="A7482">
        <v>7427</v>
      </c>
      <c r="B7482" s="166">
        <v>194.11757370179913</v>
      </c>
      <c r="D7482" s="39"/>
      <c r="E7482" s="39"/>
    </row>
    <row r="7483" spans="1:5" ht="15.6">
      <c r="A7483">
        <v>7428</v>
      </c>
      <c r="B7483" s="166">
        <v>86.913515864949943</v>
      </c>
      <c r="D7483" s="39"/>
      <c r="E7483" s="39"/>
    </row>
    <row r="7484" spans="1:5" ht="15.6">
      <c r="A7484">
        <v>7429</v>
      </c>
      <c r="B7484" s="166">
        <v>172.50758628904279</v>
      </c>
      <c r="D7484" s="39"/>
      <c r="E7484" s="39"/>
    </row>
    <row r="7485" spans="1:5" ht="15.6">
      <c r="A7485">
        <v>7430</v>
      </c>
      <c r="B7485" s="166">
        <v>75.681736720283709</v>
      </c>
      <c r="D7485" s="39"/>
      <c r="E7485" s="39"/>
    </row>
    <row r="7486" spans="1:5" ht="15.6">
      <c r="A7486">
        <v>7431</v>
      </c>
      <c r="B7486" s="166">
        <v>174.08069541812856</v>
      </c>
      <c r="D7486" s="39"/>
      <c r="E7486" s="39"/>
    </row>
    <row r="7487" spans="1:5" ht="15.6">
      <c r="A7487">
        <v>7432</v>
      </c>
      <c r="B7487" s="166">
        <v>183.59426277302265</v>
      </c>
      <c r="D7487" s="39"/>
      <c r="E7487" s="39"/>
    </row>
    <row r="7488" spans="1:5" ht="15.6">
      <c r="A7488">
        <v>7433</v>
      </c>
      <c r="B7488" s="166">
        <v>80.092840004393736</v>
      </c>
      <c r="D7488" s="39"/>
      <c r="E7488" s="39"/>
    </row>
    <row r="7489" spans="1:5" ht="15.6">
      <c r="A7489">
        <v>7434</v>
      </c>
      <c r="B7489" s="166">
        <v>207.56003063802788</v>
      </c>
      <c r="D7489" s="39"/>
      <c r="E7489" s="39"/>
    </row>
    <row r="7490" spans="1:5" ht="15.6">
      <c r="A7490">
        <v>7435</v>
      </c>
      <c r="B7490" s="166">
        <v>78.464216795983077</v>
      </c>
      <c r="D7490" s="39"/>
      <c r="E7490" s="39"/>
    </row>
    <row r="7491" spans="1:5" ht="15.6">
      <c r="A7491">
        <v>7436</v>
      </c>
      <c r="B7491" s="166">
        <v>89.394896549103123</v>
      </c>
      <c r="D7491" s="39"/>
      <c r="E7491" s="39"/>
    </row>
    <row r="7492" spans="1:5" ht="15.6">
      <c r="A7492">
        <v>7437</v>
      </c>
      <c r="B7492" s="166">
        <v>111.78757284823806</v>
      </c>
      <c r="D7492" s="39"/>
      <c r="E7492" s="39"/>
    </row>
    <row r="7493" spans="1:5" ht="15.6">
      <c r="A7493">
        <v>7438</v>
      </c>
      <c r="B7493" s="166">
        <v>76.255493318316596</v>
      </c>
      <c r="D7493" s="39"/>
      <c r="E7493" s="39"/>
    </row>
    <row r="7494" spans="1:5" ht="15.6">
      <c r="A7494">
        <v>7439</v>
      </c>
      <c r="B7494" s="166">
        <v>257.97675836164717</v>
      </c>
      <c r="D7494" s="39"/>
      <c r="E7494" s="39"/>
    </row>
    <row r="7495" spans="1:5" ht="15.6">
      <c r="A7495">
        <v>7440</v>
      </c>
      <c r="B7495" s="166">
        <v>93.365873885737599</v>
      </c>
      <c r="D7495" s="39"/>
      <c r="E7495" s="39"/>
    </row>
    <row r="7496" spans="1:5" ht="15.6">
      <c r="A7496">
        <v>7441</v>
      </c>
      <c r="B7496" s="166">
        <v>204.17465704427875</v>
      </c>
      <c r="D7496" s="39"/>
      <c r="E7496" s="39"/>
    </row>
    <row r="7497" spans="1:5" ht="15.6">
      <c r="A7497">
        <v>7442</v>
      </c>
      <c r="B7497" s="166">
        <v>86.195988673078702</v>
      </c>
      <c r="D7497" s="39"/>
      <c r="E7497" s="39"/>
    </row>
    <row r="7498" spans="1:5" ht="15.6">
      <c r="A7498">
        <v>7443</v>
      </c>
      <c r="B7498" s="166">
        <v>92.029355767545979</v>
      </c>
      <c r="D7498" s="39"/>
      <c r="E7498" s="39"/>
    </row>
    <row r="7499" spans="1:5" ht="15.6">
      <c r="A7499">
        <v>7444</v>
      </c>
      <c r="B7499" s="166">
        <v>67.408632408063141</v>
      </c>
      <c r="D7499" s="39"/>
      <c r="E7499" s="39"/>
    </row>
    <row r="7500" spans="1:5" ht="15.6">
      <c r="A7500">
        <v>7445</v>
      </c>
      <c r="B7500" s="166">
        <v>130.72182344994428</v>
      </c>
      <c r="D7500" s="39"/>
      <c r="E7500" s="39"/>
    </row>
    <row r="7501" spans="1:5" ht="15.6">
      <c r="A7501">
        <v>7446</v>
      </c>
      <c r="B7501" s="166">
        <v>165.28134634414766</v>
      </c>
      <c r="D7501" s="39"/>
      <c r="E7501" s="39"/>
    </row>
    <row r="7502" spans="1:5" ht="15.6">
      <c r="A7502">
        <v>7447</v>
      </c>
      <c r="B7502" s="166">
        <v>147.37817390921603</v>
      </c>
      <c r="D7502" s="39"/>
      <c r="E7502" s="39"/>
    </row>
    <row r="7503" spans="1:5" ht="15.6">
      <c r="A7503">
        <v>7448</v>
      </c>
      <c r="B7503" s="166">
        <v>76.499967643881121</v>
      </c>
      <c r="D7503" s="39"/>
      <c r="E7503" s="39"/>
    </row>
    <row r="7504" spans="1:5" ht="15.6">
      <c r="A7504">
        <v>7449</v>
      </c>
      <c r="B7504" s="166">
        <v>67.517815015118629</v>
      </c>
      <c r="D7504" s="39"/>
      <c r="E7504" s="39"/>
    </row>
    <row r="7505" spans="1:5" ht="15.6">
      <c r="A7505">
        <v>7450</v>
      </c>
      <c r="B7505" s="166">
        <v>141.61334779725192</v>
      </c>
      <c r="D7505" s="39"/>
      <c r="E7505" s="39"/>
    </row>
    <row r="7506" spans="1:5" ht="15.6">
      <c r="A7506">
        <v>7451</v>
      </c>
      <c r="B7506" s="166">
        <v>99.752432765270797</v>
      </c>
      <c r="D7506" s="39"/>
      <c r="E7506" s="39"/>
    </row>
    <row r="7507" spans="1:5" ht="15.6">
      <c r="A7507">
        <v>7452</v>
      </c>
      <c r="B7507" s="166">
        <v>113.59001098711697</v>
      </c>
      <c r="D7507" s="39"/>
      <c r="E7507" s="39"/>
    </row>
    <row r="7508" spans="1:5" ht="15.6">
      <c r="A7508">
        <v>7453</v>
      </c>
      <c r="B7508" s="166">
        <v>130.57943339862533</v>
      </c>
      <c r="D7508" s="39"/>
      <c r="E7508" s="39"/>
    </row>
    <row r="7509" spans="1:5" ht="15.6">
      <c r="A7509">
        <v>7454</v>
      </c>
      <c r="B7509" s="166">
        <v>174.71142254735227</v>
      </c>
      <c r="D7509" s="39"/>
      <c r="E7509" s="39"/>
    </row>
    <row r="7510" spans="1:5" ht="15.6">
      <c r="A7510">
        <v>7455</v>
      </c>
      <c r="B7510" s="166">
        <v>69.935506307979736</v>
      </c>
      <c r="D7510" s="39"/>
      <c r="E7510" s="39"/>
    </row>
    <row r="7511" spans="1:5" ht="15.6">
      <c r="A7511">
        <v>7456</v>
      </c>
      <c r="B7511" s="166">
        <v>144.71042187103353</v>
      </c>
      <c r="D7511" s="39"/>
      <c r="E7511" s="39"/>
    </row>
    <row r="7512" spans="1:5" ht="15.6">
      <c r="A7512">
        <v>7457</v>
      </c>
      <c r="B7512" s="166">
        <v>209.40802346467208</v>
      </c>
      <c r="D7512" s="39"/>
      <c r="E7512" s="39"/>
    </row>
    <row r="7513" spans="1:5" ht="15.6">
      <c r="A7513">
        <v>7458</v>
      </c>
      <c r="B7513" s="166">
        <v>175.00220618578987</v>
      </c>
      <c r="D7513" s="39"/>
      <c r="E7513" s="39"/>
    </row>
    <row r="7514" spans="1:5" ht="15.6">
      <c r="A7514">
        <v>7459</v>
      </c>
      <c r="B7514" s="166">
        <v>120.45717057446257</v>
      </c>
      <c r="D7514" s="39"/>
      <c r="E7514" s="39"/>
    </row>
    <row r="7515" spans="1:5" ht="15.6">
      <c r="A7515">
        <v>7460</v>
      </c>
      <c r="B7515" s="166">
        <v>91.648546639417958</v>
      </c>
      <c r="D7515" s="39"/>
      <c r="E7515" s="39"/>
    </row>
    <row r="7516" spans="1:5" ht="15.6">
      <c r="A7516">
        <v>7461</v>
      </c>
      <c r="B7516" s="166">
        <v>88.11092766179361</v>
      </c>
      <c r="D7516" s="39"/>
      <c r="E7516" s="39"/>
    </row>
    <row r="7517" spans="1:5" ht="15.6">
      <c r="A7517">
        <v>7462</v>
      </c>
      <c r="B7517" s="166">
        <v>126.56218995180639</v>
      </c>
      <c r="D7517" s="39"/>
      <c r="E7517" s="39"/>
    </row>
    <row r="7518" spans="1:5" ht="15.6">
      <c r="A7518">
        <v>7463</v>
      </c>
      <c r="B7518" s="166">
        <v>83.885545082419526</v>
      </c>
      <c r="D7518" s="39"/>
      <c r="E7518" s="39"/>
    </row>
    <row r="7519" spans="1:5" ht="15.6">
      <c r="A7519">
        <v>7464</v>
      </c>
      <c r="B7519" s="166">
        <v>82.009610539405045</v>
      </c>
      <c r="D7519" s="39"/>
      <c r="E7519" s="39"/>
    </row>
    <row r="7520" spans="1:5" ht="15.6">
      <c r="A7520">
        <v>7465</v>
      </c>
      <c r="B7520" s="166">
        <v>98.049635201021033</v>
      </c>
      <c r="D7520" s="39"/>
      <c r="E7520" s="39"/>
    </row>
    <row r="7521" spans="1:5" ht="15.6">
      <c r="A7521">
        <v>7466</v>
      </c>
      <c r="B7521" s="166">
        <v>93.252239717732309</v>
      </c>
      <c r="D7521" s="39"/>
      <c r="E7521" s="39"/>
    </row>
    <row r="7522" spans="1:5" ht="15.6">
      <c r="A7522">
        <v>7467</v>
      </c>
      <c r="B7522" s="166">
        <v>83.357561018710072</v>
      </c>
      <c r="D7522" s="39"/>
      <c r="E7522" s="39"/>
    </row>
    <row r="7523" spans="1:5" ht="15.6">
      <c r="A7523">
        <v>7468</v>
      </c>
      <c r="B7523" s="166">
        <v>97.103207575791458</v>
      </c>
      <c r="D7523" s="39"/>
      <c r="E7523" s="39"/>
    </row>
    <row r="7524" spans="1:5" ht="15.6">
      <c r="A7524">
        <v>7469</v>
      </c>
      <c r="B7524" s="166">
        <v>54.639743935330323</v>
      </c>
      <c r="D7524" s="39"/>
      <c r="E7524" s="39"/>
    </row>
    <row r="7525" spans="1:5" ht="15.6">
      <c r="A7525">
        <v>7470</v>
      </c>
      <c r="B7525" s="166">
        <v>60.443582300419713</v>
      </c>
      <c r="D7525" s="39"/>
      <c r="E7525" s="39"/>
    </row>
    <row r="7526" spans="1:5" ht="15.6">
      <c r="A7526">
        <v>7471</v>
      </c>
      <c r="B7526" s="166">
        <v>90.22742760295958</v>
      </c>
      <c r="D7526" s="39"/>
      <c r="E7526" s="39"/>
    </row>
    <row r="7527" spans="1:5" ht="15.6">
      <c r="A7527">
        <v>7472</v>
      </c>
      <c r="B7527" s="166">
        <v>115.66645936022393</v>
      </c>
      <c r="D7527" s="39"/>
      <c r="E7527" s="39"/>
    </row>
    <row r="7528" spans="1:5" ht="15.6">
      <c r="A7528">
        <v>7473</v>
      </c>
      <c r="B7528" s="166">
        <v>127.20415047696312</v>
      </c>
      <c r="D7528" s="39"/>
      <c r="E7528" s="39"/>
    </row>
    <row r="7529" spans="1:5" ht="15.6">
      <c r="A7529">
        <v>7474</v>
      </c>
      <c r="B7529" s="166">
        <v>101.95491286656753</v>
      </c>
      <c r="D7529" s="39"/>
      <c r="E7529" s="39"/>
    </row>
    <row r="7530" spans="1:5" ht="15.6">
      <c r="A7530">
        <v>7475</v>
      </c>
      <c r="B7530" s="166">
        <v>123.61930892553949</v>
      </c>
      <c r="D7530" s="39"/>
      <c r="E7530" s="39"/>
    </row>
    <row r="7531" spans="1:5" ht="15.6">
      <c r="A7531">
        <v>7476</v>
      </c>
      <c r="B7531" s="166">
        <v>213.84633892600593</v>
      </c>
      <c r="D7531" s="39"/>
      <c r="E7531" s="39"/>
    </row>
    <row r="7532" spans="1:5" ht="15.6">
      <c r="A7532">
        <v>7477</v>
      </c>
      <c r="B7532" s="166">
        <v>59.379860984791733</v>
      </c>
      <c r="D7532" s="39"/>
      <c r="E7532" s="39"/>
    </row>
    <row r="7533" spans="1:5" ht="15.6">
      <c r="A7533">
        <v>7478</v>
      </c>
      <c r="B7533" s="166">
        <v>168.94439737262809</v>
      </c>
      <c r="D7533" s="39"/>
      <c r="E7533" s="39"/>
    </row>
    <row r="7534" spans="1:5" ht="15.6">
      <c r="A7534">
        <v>7479</v>
      </c>
      <c r="B7534" s="166">
        <v>144.57038794568649</v>
      </c>
      <c r="D7534" s="39"/>
      <c r="E7534" s="39"/>
    </row>
    <row r="7535" spans="1:5" ht="15.6">
      <c r="A7535">
        <v>7480</v>
      </c>
      <c r="B7535" s="166">
        <v>140.46785298126727</v>
      </c>
      <c r="D7535" s="39"/>
      <c r="E7535" s="39"/>
    </row>
    <row r="7536" spans="1:5" ht="15.6">
      <c r="A7536">
        <v>7481</v>
      </c>
      <c r="B7536" s="166">
        <v>176.90695476924921</v>
      </c>
      <c r="D7536" s="39"/>
      <c r="E7536" s="39"/>
    </row>
    <row r="7537" spans="1:5" ht="15.6">
      <c r="A7537">
        <v>7482</v>
      </c>
      <c r="B7537" s="166">
        <v>65.057590703069593</v>
      </c>
      <c r="D7537" s="39"/>
      <c r="E7537" s="39"/>
    </row>
    <row r="7538" spans="1:5" ht="15.6">
      <c r="A7538">
        <v>7483</v>
      </c>
      <c r="B7538" s="166">
        <v>69.367146355131197</v>
      </c>
      <c r="D7538" s="39"/>
      <c r="E7538" s="39"/>
    </row>
    <row r="7539" spans="1:5" ht="15.6">
      <c r="A7539">
        <v>7484</v>
      </c>
      <c r="B7539" s="166">
        <v>114.88771621895027</v>
      </c>
      <c r="D7539" s="39"/>
      <c r="E7539" s="39"/>
    </row>
    <row r="7540" spans="1:5" ht="15.6">
      <c r="A7540">
        <v>7485</v>
      </c>
      <c r="B7540" s="166">
        <v>76.951719757553803</v>
      </c>
      <c r="D7540" s="39"/>
      <c r="E7540" s="39"/>
    </row>
    <row r="7541" spans="1:5" ht="15.6">
      <c r="A7541">
        <v>7486</v>
      </c>
      <c r="B7541" s="166">
        <v>157.94344771401043</v>
      </c>
      <c r="D7541" s="39"/>
      <c r="E7541" s="39"/>
    </row>
    <row r="7542" spans="1:5" ht="15.6">
      <c r="A7542">
        <v>7487</v>
      </c>
      <c r="B7542" s="166">
        <v>111.20834078610953</v>
      </c>
      <c r="D7542" s="39"/>
      <c r="E7542" s="39"/>
    </row>
    <row r="7543" spans="1:5" ht="15.6">
      <c r="A7543">
        <v>7488</v>
      </c>
      <c r="B7543" s="166">
        <v>85.749100809093918</v>
      </c>
      <c r="D7543" s="39"/>
      <c r="E7543" s="39"/>
    </row>
    <row r="7544" spans="1:5" ht="15.6">
      <c r="A7544">
        <v>7489</v>
      </c>
      <c r="B7544" s="166">
        <v>100.19262807879396</v>
      </c>
      <c r="D7544" s="39"/>
      <c r="E7544" s="39"/>
    </row>
    <row r="7545" spans="1:5" ht="15.6">
      <c r="A7545">
        <v>7490</v>
      </c>
      <c r="B7545" s="166">
        <v>143.34936414916297</v>
      </c>
      <c r="D7545" s="39"/>
      <c r="E7545" s="39"/>
    </row>
    <row r="7546" spans="1:5" ht="15.6">
      <c r="A7546">
        <v>7491</v>
      </c>
      <c r="B7546" s="166">
        <v>101.02202806357712</v>
      </c>
      <c r="D7546" s="39"/>
      <c r="E7546" s="39"/>
    </row>
    <row r="7547" spans="1:5" ht="15.6">
      <c r="A7547">
        <v>7492</v>
      </c>
      <c r="B7547" s="166">
        <v>198.93816937461011</v>
      </c>
      <c r="D7547" s="39"/>
      <c r="E7547" s="39"/>
    </row>
    <row r="7548" spans="1:5" ht="15.6">
      <c r="A7548">
        <v>7493</v>
      </c>
      <c r="B7548" s="166">
        <v>71.185126644200182</v>
      </c>
      <c r="D7548" s="39"/>
      <c r="E7548" s="39"/>
    </row>
    <row r="7549" spans="1:5" ht="15.6">
      <c r="A7549">
        <v>7494</v>
      </c>
      <c r="B7549" s="166">
        <v>74.186055421561761</v>
      </c>
      <c r="D7549" s="39"/>
      <c r="E7549" s="39"/>
    </row>
    <row r="7550" spans="1:5" ht="15.6">
      <c r="A7550">
        <v>7495</v>
      </c>
      <c r="B7550" s="166">
        <v>164.11441511318529</v>
      </c>
      <c r="D7550" s="39"/>
      <c r="E7550" s="39"/>
    </row>
    <row r="7551" spans="1:5" ht="15.6">
      <c r="A7551">
        <v>7496</v>
      </c>
      <c r="B7551" s="166">
        <v>72.311392805792408</v>
      </c>
      <c r="D7551" s="39"/>
      <c r="E7551" s="39"/>
    </row>
    <row r="7552" spans="1:5" ht="15.6">
      <c r="A7552">
        <v>7497</v>
      </c>
      <c r="B7552" s="166">
        <v>81.614023833766083</v>
      </c>
      <c r="D7552" s="39"/>
      <c r="E7552" s="39"/>
    </row>
    <row r="7553" spans="1:5" ht="15.6">
      <c r="A7553">
        <v>7498</v>
      </c>
      <c r="B7553" s="166">
        <v>93.680906182639248</v>
      </c>
      <c r="D7553" s="39"/>
      <c r="E7553" s="39"/>
    </row>
    <row r="7554" spans="1:5" ht="15.6">
      <c r="A7554">
        <v>7499</v>
      </c>
      <c r="B7554" s="166">
        <v>112.45310143129777</v>
      </c>
      <c r="D7554" s="39"/>
      <c r="E7554" s="39"/>
    </row>
    <row r="7555" spans="1:5" ht="15.6">
      <c r="A7555">
        <v>7500</v>
      </c>
      <c r="B7555" s="166">
        <v>134.11043464831278</v>
      </c>
      <c r="D7555" s="39"/>
      <c r="E7555" s="39"/>
    </row>
    <row r="7556" spans="1:5" ht="15.6">
      <c r="A7556">
        <v>7501</v>
      </c>
      <c r="B7556" s="166">
        <v>74.130443626485814</v>
      </c>
      <c r="D7556" s="39"/>
      <c r="E7556" s="39"/>
    </row>
    <row r="7557" spans="1:5" ht="15.6">
      <c r="A7557">
        <v>7502</v>
      </c>
      <c r="B7557" s="166">
        <v>146.84670409605653</v>
      </c>
      <c r="D7557" s="39"/>
      <c r="E7557" s="39"/>
    </row>
    <row r="7558" spans="1:5" ht="15.6">
      <c r="A7558">
        <v>7503</v>
      </c>
      <c r="B7558" s="166">
        <v>96.2967308271121</v>
      </c>
      <c r="D7558" s="39"/>
      <c r="E7558" s="39"/>
    </row>
    <row r="7559" spans="1:5" ht="15.6">
      <c r="A7559">
        <v>7504</v>
      </c>
      <c r="B7559" s="166">
        <v>45.554553806895612</v>
      </c>
      <c r="D7559" s="39"/>
      <c r="E7559" s="39"/>
    </row>
    <row r="7560" spans="1:5" ht="15.6">
      <c r="A7560">
        <v>7505</v>
      </c>
      <c r="B7560" s="166">
        <v>100.14347563995187</v>
      </c>
      <c r="D7560" s="39"/>
      <c r="E7560" s="39"/>
    </row>
    <row r="7561" spans="1:5" ht="15.6">
      <c r="A7561">
        <v>7506</v>
      </c>
      <c r="B7561" s="166">
        <v>52.407947055169146</v>
      </c>
      <c r="D7561" s="39"/>
      <c r="E7561" s="39"/>
    </row>
    <row r="7562" spans="1:5" ht="15.6">
      <c r="A7562">
        <v>7507</v>
      </c>
      <c r="B7562" s="166">
        <v>124.72257301244112</v>
      </c>
      <c r="D7562" s="39"/>
      <c r="E7562" s="39"/>
    </row>
    <row r="7563" spans="1:5" ht="15.6">
      <c r="A7563">
        <v>7508</v>
      </c>
      <c r="B7563" s="166">
        <v>93.200084796034446</v>
      </c>
      <c r="D7563" s="39"/>
      <c r="E7563" s="39"/>
    </row>
    <row r="7564" spans="1:5" ht="15.6">
      <c r="A7564">
        <v>7509</v>
      </c>
      <c r="B7564" s="166">
        <v>54.176312236539921</v>
      </c>
      <c r="D7564" s="39"/>
      <c r="E7564" s="39"/>
    </row>
    <row r="7565" spans="1:5" ht="15.6">
      <c r="A7565">
        <v>7510</v>
      </c>
      <c r="B7565" s="166">
        <v>106.20154896243692</v>
      </c>
      <c r="D7565" s="39"/>
      <c r="E7565" s="39"/>
    </row>
    <row r="7566" spans="1:5" ht="15.6">
      <c r="A7566">
        <v>7511</v>
      </c>
      <c r="B7566" s="166">
        <v>96.676959327378881</v>
      </c>
      <c r="D7566" s="39"/>
      <c r="E7566" s="39"/>
    </row>
    <row r="7567" spans="1:5" ht="15.6">
      <c r="A7567">
        <v>7512</v>
      </c>
      <c r="B7567" s="166">
        <v>60.630573985837508</v>
      </c>
      <c r="D7567" s="39"/>
      <c r="E7567" s="39"/>
    </row>
    <row r="7568" spans="1:5" ht="15.6">
      <c r="A7568">
        <v>7513</v>
      </c>
      <c r="B7568" s="166">
        <v>213.41794663475022</v>
      </c>
      <c r="D7568" s="39"/>
      <c r="E7568" s="39"/>
    </row>
    <row r="7569" spans="1:5" ht="15.6">
      <c r="A7569">
        <v>7514</v>
      </c>
      <c r="B7569" s="166">
        <v>48.22501615245509</v>
      </c>
      <c r="D7569" s="39"/>
      <c r="E7569" s="39"/>
    </row>
    <row r="7570" spans="1:5" ht="15.6">
      <c r="A7570">
        <v>7515</v>
      </c>
      <c r="B7570" s="166">
        <v>171.49627327851931</v>
      </c>
      <c r="D7570" s="39"/>
      <c r="E7570" s="39"/>
    </row>
    <row r="7571" spans="1:5" ht="15.6">
      <c r="A7571">
        <v>7516</v>
      </c>
      <c r="B7571" s="166">
        <v>180.14552379133735</v>
      </c>
      <c r="D7571" s="39"/>
      <c r="E7571" s="39"/>
    </row>
    <row r="7572" spans="1:5" ht="15.6">
      <c r="A7572">
        <v>7517</v>
      </c>
      <c r="B7572" s="166">
        <v>142.88346655539627</v>
      </c>
      <c r="D7572" s="39"/>
      <c r="E7572" s="39"/>
    </row>
    <row r="7573" spans="1:5" ht="15.6">
      <c r="A7573">
        <v>7518</v>
      </c>
      <c r="B7573" s="166">
        <v>114.63223791768998</v>
      </c>
      <c r="D7573" s="39"/>
      <c r="E7573" s="39"/>
    </row>
    <row r="7574" spans="1:5" ht="15.6">
      <c r="A7574">
        <v>7519</v>
      </c>
      <c r="B7574" s="166">
        <v>92.873995959794641</v>
      </c>
      <c r="D7574" s="39"/>
      <c r="E7574" s="39"/>
    </row>
    <row r="7575" spans="1:5" ht="15.6">
      <c r="A7575">
        <v>7520</v>
      </c>
      <c r="B7575" s="166">
        <v>65.459458506532258</v>
      </c>
      <c r="D7575" s="39"/>
      <c r="E7575" s="39"/>
    </row>
    <row r="7576" spans="1:5" ht="15.6">
      <c r="A7576">
        <v>7521</v>
      </c>
      <c r="B7576" s="166">
        <v>114.72533811072343</v>
      </c>
      <c r="D7576" s="39"/>
      <c r="E7576" s="39"/>
    </row>
    <row r="7577" spans="1:5" ht="15.6">
      <c r="A7577">
        <v>7522</v>
      </c>
      <c r="B7577" s="166">
        <v>76.00754162015383</v>
      </c>
      <c r="D7577" s="39"/>
      <c r="E7577" s="39"/>
    </row>
    <row r="7578" spans="1:5" ht="15.6">
      <c r="A7578">
        <v>7523</v>
      </c>
      <c r="B7578" s="166">
        <v>108.29035044587378</v>
      </c>
      <c r="D7578" s="39"/>
      <c r="E7578" s="39"/>
    </row>
    <row r="7579" spans="1:5" ht="15.6">
      <c r="A7579">
        <v>7524</v>
      </c>
      <c r="B7579" s="166">
        <v>91.181205674489149</v>
      </c>
      <c r="D7579" s="39"/>
      <c r="E7579" s="39"/>
    </row>
    <row r="7580" spans="1:5" ht="15.6">
      <c r="A7580">
        <v>7525</v>
      </c>
      <c r="B7580" s="166">
        <v>77.267156070143699</v>
      </c>
      <c r="D7580" s="39"/>
      <c r="E7580" s="39"/>
    </row>
    <row r="7581" spans="1:5" ht="15.6">
      <c r="A7581">
        <v>7526</v>
      </c>
      <c r="B7581" s="166">
        <v>110.58446564997304</v>
      </c>
      <c r="D7581" s="39"/>
      <c r="E7581" s="39"/>
    </row>
    <row r="7582" spans="1:5" ht="15.6">
      <c r="A7582">
        <v>7527</v>
      </c>
      <c r="B7582" s="166">
        <v>89.004742178670483</v>
      </c>
      <c r="D7582" s="39"/>
      <c r="E7582" s="39"/>
    </row>
    <row r="7583" spans="1:5" ht="15.6">
      <c r="A7583">
        <v>7528</v>
      </c>
      <c r="B7583" s="166">
        <v>54.834752630167557</v>
      </c>
      <c r="D7583" s="39"/>
      <c r="E7583" s="39"/>
    </row>
    <row r="7584" spans="1:5" ht="15.6">
      <c r="A7584">
        <v>7529</v>
      </c>
      <c r="B7584" s="166">
        <v>100.82849943734259</v>
      </c>
      <c r="D7584" s="39"/>
      <c r="E7584" s="39"/>
    </row>
    <row r="7585" spans="1:5" ht="15.6">
      <c r="A7585">
        <v>7530</v>
      </c>
      <c r="B7585" s="166">
        <v>160.51867221164483</v>
      </c>
      <c r="D7585" s="39"/>
      <c r="E7585" s="39"/>
    </row>
    <row r="7586" spans="1:5" ht="15.6">
      <c r="A7586">
        <v>7531</v>
      </c>
      <c r="B7586" s="166">
        <v>105.43950220247885</v>
      </c>
      <c r="D7586" s="39"/>
      <c r="E7586" s="39"/>
    </row>
    <row r="7587" spans="1:5" ht="15.6">
      <c r="A7587">
        <v>7532</v>
      </c>
      <c r="B7587" s="166">
        <v>92.178749759925552</v>
      </c>
      <c r="D7587" s="39"/>
      <c r="E7587" s="39"/>
    </row>
    <row r="7588" spans="1:5" ht="15.6">
      <c r="A7588">
        <v>7533</v>
      </c>
      <c r="B7588" s="166">
        <v>73.848822425751862</v>
      </c>
      <c r="D7588" s="39"/>
      <c r="E7588" s="39"/>
    </row>
    <row r="7589" spans="1:5" ht="15.6">
      <c r="A7589">
        <v>7534</v>
      </c>
      <c r="B7589" s="166">
        <v>92.05729342142763</v>
      </c>
      <c r="D7589" s="39"/>
      <c r="E7589" s="39"/>
    </row>
    <row r="7590" spans="1:5" ht="15.6">
      <c r="A7590">
        <v>7535</v>
      </c>
      <c r="B7590" s="166">
        <v>48.982888383258071</v>
      </c>
      <c r="D7590" s="39"/>
      <c r="E7590" s="39"/>
    </row>
    <row r="7591" spans="1:5" ht="15.6">
      <c r="A7591">
        <v>7536</v>
      </c>
      <c r="B7591" s="166">
        <v>98.945235562351741</v>
      </c>
      <c r="D7591" s="39"/>
      <c r="E7591" s="39"/>
    </row>
    <row r="7592" spans="1:5" ht="15.6">
      <c r="A7592">
        <v>7537</v>
      </c>
      <c r="B7592" s="166">
        <v>172.12322858211704</v>
      </c>
      <c r="D7592" s="39"/>
      <c r="E7592" s="39"/>
    </row>
    <row r="7593" spans="1:5" ht="15.6">
      <c r="A7593">
        <v>7538</v>
      </c>
      <c r="B7593" s="166">
        <v>93.772579681712259</v>
      </c>
      <c r="D7593" s="39"/>
      <c r="E7593" s="39"/>
    </row>
    <row r="7594" spans="1:5" ht="15.6">
      <c r="A7594">
        <v>7539</v>
      </c>
      <c r="B7594" s="166">
        <v>97.742853450998624</v>
      </c>
      <c r="D7594" s="39"/>
      <c r="E7594" s="39"/>
    </row>
    <row r="7595" spans="1:5" ht="15.6">
      <c r="A7595">
        <v>7540</v>
      </c>
      <c r="B7595" s="166">
        <v>106.66833265513662</v>
      </c>
      <c r="D7595" s="39"/>
      <c r="E7595" s="39"/>
    </row>
    <row r="7596" spans="1:5" ht="15.6">
      <c r="A7596">
        <v>7541</v>
      </c>
      <c r="B7596" s="166">
        <v>163.87471174499248</v>
      </c>
      <c r="D7596" s="39"/>
      <c r="E7596" s="39"/>
    </row>
    <row r="7597" spans="1:5" ht="15.6">
      <c r="A7597">
        <v>7542</v>
      </c>
      <c r="B7597" s="166">
        <v>150.45061261368622</v>
      </c>
      <c r="D7597" s="39"/>
      <c r="E7597" s="39"/>
    </row>
    <row r="7598" spans="1:5" ht="15.6">
      <c r="A7598">
        <v>7543</v>
      </c>
      <c r="B7598" s="166">
        <v>61.788705300422976</v>
      </c>
      <c r="D7598" s="39"/>
      <c r="E7598" s="39"/>
    </row>
    <row r="7599" spans="1:5" ht="15.6">
      <c r="A7599">
        <v>7544</v>
      </c>
      <c r="B7599" s="166">
        <v>95.809660435138341</v>
      </c>
      <c r="D7599" s="39"/>
      <c r="E7599" s="39"/>
    </row>
    <row r="7600" spans="1:5" ht="15.6">
      <c r="A7600">
        <v>7545</v>
      </c>
      <c r="B7600" s="166">
        <v>95.068045537213479</v>
      </c>
      <c r="D7600" s="39"/>
      <c r="E7600" s="39"/>
    </row>
    <row r="7601" spans="1:5" ht="15.6">
      <c r="A7601">
        <v>7546</v>
      </c>
      <c r="B7601" s="166">
        <v>159.03850225426464</v>
      </c>
      <c r="D7601" s="39"/>
      <c r="E7601" s="39"/>
    </row>
    <row r="7602" spans="1:5" ht="15.6">
      <c r="A7602">
        <v>7547</v>
      </c>
      <c r="B7602" s="166">
        <v>75.556285279732009</v>
      </c>
      <c r="D7602" s="39"/>
      <c r="E7602" s="39"/>
    </row>
    <row r="7603" spans="1:5" ht="15.6">
      <c r="A7603">
        <v>7548</v>
      </c>
      <c r="B7603" s="166">
        <v>205.15268181429747</v>
      </c>
      <c r="D7603" s="39"/>
      <c r="E7603" s="39"/>
    </row>
    <row r="7604" spans="1:5" ht="15.6">
      <c r="A7604">
        <v>7549</v>
      </c>
      <c r="B7604" s="166">
        <v>64.451713014241989</v>
      </c>
      <c r="D7604" s="39"/>
      <c r="E7604" s="39"/>
    </row>
    <row r="7605" spans="1:5" ht="15.6">
      <c r="A7605">
        <v>7550</v>
      </c>
      <c r="B7605" s="166">
        <v>102.92711546561831</v>
      </c>
      <c r="D7605" s="39"/>
      <c r="E7605" s="39"/>
    </row>
    <row r="7606" spans="1:5" ht="15.6">
      <c r="A7606">
        <v>7551</v>
      </c>
      <c r="B7606" s="166">
        <v>68.603340548917529</v>
      </c>
      <c r="D7606" s="39"/>
      <c r="E7606" s="39"/>
    </row>
    <row r="7607" spans="1:5" ht="15.6">
      <c r="A7607">
        <v>7552</v>
      </c>
      <c r="B7607" s="166">
        <v>140.22293337505278</v>
      </c>
      <c r="D7607" s="39"/>
      <c r="E7607" s="39"/>
    </row>
    <row r="7608" spans="1:5" ht="15.6">
      <c r="A7608">
        <v>7553</v>
      </c>
      <c r="B7608" s="166">
        <v>126.6877520605742</v>
      </c>
      <c r="D7608" s="39"/>
      <c r="E7608" s="39"/>
    </row>
    <row r="7609" spans="1:5" ht="15.6">
      <c r="A7609">
        <v>7554</v>
      </c>
      <c r="B7609" s="166">
        <v>90.368680932368605</v>
      </c>
      <c r="D7609" s="39"/>
      <c r="E7609" s="39"/>
    </row>
    <row r="7610" spans="1:5" ht="15.6">
      <c r="A7610">
        <v>7555</v>
      </c>
      <c r="B7610" s="166">
        <v>71.283974737418376</v>
      </c>
      <c r="D7610" s="39"/>
      <c r="E7610" s="39"/>
    </row>
    <row r="7611" spans="1:5" ht="15.6">
      <c r="A7611">
        <v>7556</v>
      </c>
      <c r="B7611" s="166">
        <v>89.997494982526518</v>
      </c>
      <c r="D7611" s="39"/>
      <c r="E7611" s="39"/>
    </row>
    <row r="7612" spans="1:5" ht="15.6">
      <c r="A7612">
        <v>7557</v>
      </c>
      <c r="B7612" s="166">
        <v>91.147573569784697</v>
      </c>
      <c r="D7612" s="39"/>
      <c r="E7612" s="39"/>
    </row>
    <row r="7613" spans="1:5" ht="15.6">
      <c r="A7613">
        <v>7558</v>
      </c>
      <c r="B7613" s="166">
        <v>71.301891069342901</v>
      </c>
      <c r="D7613" s="39"/>
      <c r="E7613" s="39"/>
    </row>
    <row r="7614" spans="1:5" ht="15.6">
      <c r="A7614">
        <v>7559</v>
      </c>
      <c r="B7614" s="166">
        <v>140.45325183052083</v>
      </c>
      <c r="D7614" s="39"/>
      <c r="E7614" s="39"/>
    </row>
    <row r="7615" spans="1:5" ht="15.6">
      <c r="A7615">
        <v>7560</v>
      </c>
      <c r="B7615" s="166">
        <v>89.189931591156167</v>
      </c>
      <c r="D7615" s="39"/>
      <c r="E7615" s="39"/>
    </row>
    <row r="7616" spans="1:5" ht="15.6">
      <c r="A7616">
        <v>7561</v>
      </c>
      <c r="B7616" s="166">
        <v>131.47112329298514</v>
      </c>
      <c r="D7616" s="39"/>
      <c r="E7616" s="39"/>
    </row>
    <row r="7617" spans="1:5" ht="15.6">
      <c r="A7617">
        <v>7562</v>
      </c>
      <c r="B7617" s="166">
        <v>150.71089517468485</v>
      </c>
      <c r="D7617" s="39"/>
      <c r="E7617" s="39"/>
    </row>
    <row r="7618" spans="1:5" ht="15.6">
      <c r="A7618">
        <v>7563</v>
      </c>
      <c r="B7618" s="166">
        <v>134.92324336123258</v>
      </c>
      <c r="D7618" s="39"/>
      <c r="E7618" s="39"/>
    </row>
    <row r="7619" spans="1:5" ht="15.6">
      <c r="A7619">
        <v>7564</v>
      </c>
      <c r="B7619" s="166">
        <v>96.989204905180941</v>
      </c>
      <c r="D7619" s="39"/>
      <c r="E7619" s="39"/>
    </row>
    <row r="7620" spans="1:5" ht="15.6">
      <c r="A7620">
        <v>7565</v>
      </c>
      <c r="B7620" s="166">
        <v>95.308286112814741</v>
      </c>
      <c r="D7620" s="39"/>
      <c r="E7620" s="39"/>
    </row>
    <row r="7621" spans="1:5" ht="15.6">
      <c r="A7621">
        <v>7566</v>
      </c>
      <c r="B7621" s="166">
        <v>127.35917920756353</v>
      </c>
      <c r="D7621" s="39"/>
      <c r="E7621" s="39"/>
    </row>
    <row r="7622" spans="1:5" ht="15.6">
      <c r="A7622">
        <v>7567</v>
      </c>
      <c r="B7622" s="166">
        <v>136.1145075152904</v>
      </c>
      <c r="D7622" s="39"/>
      <c r="E7622" s="39"/>
    </row>
    <row r="7623" spans="1:5" ht="15.6">
      <c r="A7623">
        <v>7568</v>
      </c>
      <c r="B7623" s="166">
        <v>108.18090388269734</v>
      </c>
      <c r="D7623" s="39"/>
      <c r="E7623" s="39"/>
    </row>
    <row r="7624" spans="1:5" ht="15.6">
      <c r="A7624">
        <v>7569</v>
      </c>
      <c r="B7624" s="166">
        <v>91.951168767941454</v>
      </c>
      <c r="D7624" s="39"/>
      <c r="E7624" s="39"/>
    </row>
    <row r="7625" spans="1:5" ht="15.6">
      <c r="A7625">
        <v>7570</v>
      </c>
      <c r="B7625" s="166">
        <v>110.54043477368151</v>
      </c>
      <c r="D7625" s="39"/>
      <c r="E7625" s="39"/>
    </row>
    <row r="7626" spans="1:5" ht="15.6">
      <c r="A7626">
        <v>7571</v>
      </c>
      <c r="B7626" s="166">
        <v>68.452267144492367</v>
      </c>
      <c r="D7626" s="39"/>
      <c r="E7626" s="39"/>
    </row>
    <row r="7627" spans="1:5" ht="15.6">
      <c r="A7627">
        <v>7572</v>
      </c>
      <c r="B7627" s="166">
        <v>114.95995368967564</v>
      </c>
      <c r="D7627" s="39"/>
      <c r="E7627" s="39"/>
    </row>
    <row r="7628" spans="1:5" ht="15.6">
      <c r="A7628">
        <v>7573</v>
      </c>
      <c r="B7628" s="166">
        <v>151.52290578322697</v>
      </c>
      <c r="D7628" s="39"/>
      <c r="E7628" s="39"/>
    </row>
    <row r="7629" spans="1:5" ht="15.6">
      <c r="A7629">
        <v>7574</v>
      </c>
      <c r="B7629" s="166">
        <v>145.38369208041263</v>
      </c>
      <c r="D7629" s="39"/>
      <c r="E7629" s="39"/>
    </row>
    <row r="7630" spans="1:5" ht="15.6">
      <c r="A7630">
        <v>7575</v>
      </c>
      <c r="B7630" s="166">
        <v>133.95103383418291</v>
      </c>
      <c r="D7630" s="39"/>
      <c r="E7630" s="39"/>
    </row>
    <row r="7631" spans="1:5" ht="15.6">
      <c r="A7631">
        <v>7576</v>
      </c>
      <c r="B7631" s="166">
        <v>129.05712637670317</v>
      </c>
      <c r="D7631" s="39"/>
      <c r="E7631" s="39"/>
    </row>
    <row r="7632" spans="1:5" ht="15.6">
      <c r="A7632">
        <v>7577</v>
      </c>
      <c r="B7632" s="166">
        <v>129.58424487298657</v>
      </c>
      <c r="D7632" s="39"/>
      <c r="E7632" s="39"/>
    </row>
    <row r="7633" spans="1:5" ht="15.6">
      <c r="A7633">
        <v>7578</v>
      </c>
      <c r="B7633" s="166">
        <v>130.55128360244092</v>
      </c>
      <c r="D7633" s="39"/>
      <c r="E7633" s="39"/>
    </row>
    <row r="7634" spans="1:5" ht="15.6">
      <c r="A7634">
        <v>7579</v>
      </c>
      <c r="B7634" s="166">
        <v>156.13472679585462</v>
      </c>
      <c r="D7634" s="39"/>
      <c r="E7634" s="39"/>
    </row>
    <row r="7635" spans="1:5" ht="15.6">
      <c r="A7635">
        <v>7580</v>
      </c>
      <c r="B7635" s="166">
        <v>86.175283762318358</v>
      </c>
      <c r="D7635" s="39"/>
      <c r="E7635" s="39"/>
    </row>
    <row r="7636" spans="1:5" ht="15.6">
      <c r="A7636">
        <v>7581</v>
      </c>
      <c r="B7636" s="166">
        <v>84.322323182918851</v>
      </c>
      <c r="D7636" s="39"/>
      <c r="E7636" s="39"/>
    </row>
    <row r="7637" spans="1:5" ht="15.6">
      <c r="A7637">
        <v>7582</v>
      </c>
      <c r="B7637" s="166">
        <v>117.77436718906851</v>
      </c>
      <c r="D7637" s="39"/>
      <c r="E7637" s="39"/>
    </row>
    <row r="7638" spans="1:5" ht="15.6">
      <c r="A7638">
        <v>7583</v>
      </c>
      <c r="B7638" s="166">
        <v>65.221191104446433</v>
      </c>
      <c r="D7638" s="39"/>
      <c r="E7638" s="39"/>
    </row>
    <row r="7639" spans="1:5" ht="15.6">
      <c r="A7639">
        <v>7584</v>
      </c>
      <c r="B7639" s="166">
        <v>97.741815682184722</v>
      </c>
      <c r="D7639" s="39"/>
      <c r="E7639" s="39"/>
    </row>
    <row r="7640" spans="1:5" ht="15.6">
      <c r="A7640">
        <v>7585</v>
      </c>
      <c r="B7640" s="166">
        <v>240.37043100402738</v>
      </c>
      <c r="D7640" s="39"/>
      <c r="E7640" s="39"/>
    </row>
    <row r="7641" spans="1:5" ht="15.6">
      <c r="A7641">
        <v>7586</v>
      </c>
      <c r="B7641" s="166">
        <v>220.00722518393641</v>
      </c>
      <c r="D7641" s="39"/>
      <c r="E7641" s="39"/>
    </row>
    <row r="7642" spans="1:5" ht="15.6">
      <c r="A7642">
        <v>7587</v>
      </c>
      <c r="B7642" s="166">
        <v>197.67678680116862</v>
      </c>
      <c r="D7642" s="39"/>
      <c r="E7642" s="39"/>
    </row>
    <row r="7643" spans="1:5" ht="15.6">
      <c r="A7643">
        <v>7588</v>
      </c>
      <c r="B7643" s="166">
        <v>99.914887792254433</v>
      </c>
      <c r="D7643" s="39"/>
      <c r="E7643" s="39"/>
    </row>
    <row r="7644" spans="1:5" ht="15.6">
      <c r="A7644">
        <v>7589</v>
      </c>
      <c r="B7644" s="166">
        <v>178.97854405124036</v>
      </c>
      <c r="D7644" s="39"/>
      <c r="E7644" s="39"/>
    </row>
    <row r="7645" spans="1:5" ht="15.6">
      <c r="A7645">
        <v>7590</v>
      </c>
      <c r="B7645" s="166">
        <v>56.779324903045868</v>
      </c>
      <c r="D7645" s="39"/>
      <c r="E7645" s="39"/>
    </row>
    <row r="7646" spans="1:5" ht="15.6">
      <c r="A7646">
        <v>7591</v>
      </c>
      <c r="B7646" s="166">
        <v>86.674389176018764</v>
      </c>
      <c r="D7646" s="39"/>
      <c r="E7646" s="39"/>
    </row>
    <row r="7647" spans="1:5" ht="15.6">
      <c r="A7647">
        <v>7592</v>
      </c>
      <c r="B7647" s="166">
        <v>65.801450071445387</v>
      </c>
      <c r="D7647" s="39"/>
      <c r="E7647" s="39"/>
    </row>
    <row r="7648" spans="1:5" ht="15.6">
      <c r="A7648">
        <v>7593</v>
      </c>
      <c r="B7648" s="166">
        <v>86.93860876265849</v>
      </c>
      <c r="D7648" s="39"/>
      <c r="E7648" s="39"/>
    </row>
    <row r="7649" spans="1:5" ht="15.6">
      <c r="A7649">
        <v>7594</v>
      </c>
      <c r="B7649" s="166">
        <v>88.447206394491729</v>
      </c>
      <c r="D7649" s="39"/>
      <c r="E7649" s="39"/>
    </row>
    <row r="7650" spans="1:5" ht="15.6">
      <c r="A7650">
        <v>7595</v>
      </c>
      <c r="B7650" s="166">
        <v>97.347548960708082</v>
      </c>
      <c r="D7650" s="39"/>
      <c r="E7650" s="39"/>
    </row>
    <row r="7651" spans="1:5" ht="15.6">
      <c r="A7651">
        <v>7596</v>
      </c>
      <c r="B7651" s="166">
        <v>125.98840543649463</v>
      </c>
      <c r="D7651" s="39"/>
      <c r="E7651" s="39"/>
    </row>
    <row r="7652" spans="1:5" ht="15.6">
      <c r="A7652">
        <v>7597</v>
      </c>
      <c r="B7652" s="166">
        <v>77.113407407398313</v>
      </c>
      <c r="D7652" s="39"/>
      <c r="E7652" s="39"/>
    </row>
    <row r="7653" spans="1:5" ht="15.6">
      <c r="A7653">
        <v>7598</v>
      </c>
      <c r="B7653" s="166">
        <v>131.12354494113254</v>
      </c>
      <c r="D7653" s="39"/>
      <c r="E7653" s="39"/>
    </row>
    <row r="7654" spans="1:5" ht="15.6">
      <c r="A7654">
        <v>7599</v>
      </c>
      <c r="B7654" s="166">
        <v>72.328391111727385</v>
      </c>
      <c r="D7654" s="39"/>
      <c r="E7654" s="39"/>
    </row>
    <row r="7655" spans="1:5" ht="15.6">
      <c r="A7655">
        <v>7600</v>
      </c>
      <c r="B7655" s="166">
        <v>96.683709735675734</v>
      </c>
      <c r="D7655" s="39"/>
      <c r="E7655" s="39"/>
    </row>
    <row r="7656" spans="1:5" ht="15.6">
      <c r="A7656">
        <v>7601</v>
      </c>
      <c r="B7656" s="166">
        <v>71.423633163846418</v>
      </c>
      <c r="D7656" s="39"/>
      <c r="E7656" s="39"/>
    </row>
    <row r="7657" spans="1:5" ht="15.6">
      <c r="A7657">
        <v>7602</v>
      </c>
      <c r="B7657" s="166">
        <v>106.09986737073999</v>
      </c>
      <c r="D7657" s="39"/>
      <c r="E7657" s="39"/>
    </row>
    <row r="7658" spans="1:5" ht="15.6">
      <c r="A7658">
        <v>7603</v>
      </c>
      <c r="B7658" s="166">
        <v>70.396328658351777</v>
      </c>
      <c r="D7658" s="39"/>
      <c r="E7658" s="39"/>
    </row>
    <row r="7659" spans="1:5" ht="15.6">
      <c r="A7659">
        <v>7604</v>
      </c>
      <c r="B7659" s="166">
        <v>113.22576551093367</v>
      </c>
      <c r="D7659" s="39"/>
      <c r="E7659" s="39"/>
    </row>
    <row r="7660" spans="1:5" ht="15.6">
      <c r="A7660">
        <v>7605</v>
      </c>
      <c r="B7660" s="166">
        <v>170.52773987053337</v>
      </c>
      <c r="D7660" s="39"/>
      <c r="E7660" s="39"/>
    </row>
    <row r="7661" spans="1:5" ht="15.6">
      <c r="A7661">
        <v>7606</v>
      </c>
      <c r="B7661" s="166">
        <v>83.234169072512245</v>
      </c>
      <c r="D7661" s="39"/>
      <c r="E7661" s="39"/>
    </row>
    <row r="7662" spans="1:5" ht="15.6">
      <c r="A7662">
        <v>7607</v>
      </c>
      <c r="B7662" s="166">
        <v>79.412727265149897</v>
      </c>
      <c r="D7662" s="39"/>
      <c r="E7662" s="39"/>
    </row>
    <row r="7663" spans="1:5" ht="15.6">
      <c r="A7663">
        <v>7608</v>
      </c>
      <c r="B7663" s="166">
        <v>116.45337188776787</v>
      </c>
      <c r="D7663" s="39"/>
      <c r="E7663" s="39"/>
    </row>
    <row r="7664" spans="1:5" ht="15.6">
      <c r="A7664">
        <v>7609</v>
      </c>
      <c r="B7664" s="166">
        <v>95.917143539583421</v>
      </c>
      <c r="D7664" s="39"/>
      <c r="E7664" s="39"/>
    </row>
    <row r="7665" spans="1:5" ht="15.6">
      <c r="A7665">
        <v>7610</v>
      </c>
      <c r="B7665" s="166">
        <v>100.85280001194316</v>
      </c>
      <c r="D7665" s="39"/>
      <c r="E7665" s="39"/>
    </row>
    <row r="7666" spans="1:5" ht="15.6">
      <c r="A7666">
        <v>7611</v>
      </c>
      <c r="B7666" s="166">
        <v>80.846394766402469</v>
      </c>
      <c r="D7666" s="39"/>
      <c r="E7666" s="39"/>
    </row>
    <row r="7667" spans="1:5" ht="15.6">
      <c r="A7667">
        <v>7612</v>
      </c>
      <c r="B7667" s="166">
        <v>167.69995192137037</v>
      </c>
      <c r="D7667" s="39"/>
      <c r="E7667" s="39"/>
    </row>
    <row r="7668" spans="1:5" ht="15.6">
      <c r="A7668">
        <v>7613</v>
      </c>
      <c r="B7668" s="166">
        <v>85.463140543719874</v>
      </c>
      <c r="D7668" s="39"/>
      <c r="E7668" s="39"/>
    </row>
    <row r="7669" spans="1:5" ht="15.6">
      <c r="A7669">
        <v>7614</v>
      </c>
      <c r="B7669" s="166">
        <v>85.901225970951643</v>
      </c>
      <c r="D7669" s="39"/>
      <c r="E7669" s="39"/>
    </row>
    <row r="7670" spans="1:5" ht="15.6">
      <c r="A7670">
        <v>7615</v>
      </c>
      <c r="B7670" s="166">
        <v>81.301834630128837</v>
      </c>
      <c r="D7670" s="39"/>
      <c r="E7670" s="39"/>
    </row>
    <row r="7671" spans="1:5" ht="15.6">
      <c r="A7671">
        <v>7616</v>
      </c>
      <c r="B7671" s="166">
        <v>52.94705530982926</v>
      </c>
      <c r="D7671" s="39"/>
      <c r="E7671" s="39"/>
    </row>
    <row r="7672" spans="1:5" ht="15.6">
      <c r="A7672">
        <v>7617</v>
      </c>
      <c r="B7672" s="166">
        <v>91.892167575072335</v>
      </c>
      <c r="D7672" s="39"/>
      <c r="E7672" s="39"/>
    </row>
    <row r="7673" spans="1:5" ht="15.6">
      <c r="A7673">
        <v>7618</v>
      </c>
      <c r="B7673" s="166">
        <v>88.814143270088636</v>
      </c>
      <c r="D7673" s="39"/>
      <c r="E7673" s="39"/>
    </row>
    <row r="7674" spans="1:5" ht="15.6">
      <c r="A7674">
        <v>7619</v>
      </c>
      <c r="B7674" s="166">
        <v>117.92972129029019</v>
      </c>
      <c r="D7674" s="39"/>
      <c r="E7674" s="39"/>
    </row>
    <row r="7675" spans="1:5" ht="15.6">
      <c r="A7675">
        <v>7620</v>
      </c>
      <c r="B7675" s="166">
        <v>59.575765057511333</v>
      </c>
      <c r="D7675" s="39"/>
      <c r="E7675" s="39"/>
    </row>
    <row r="7676" spans="1:5" ht="15.6">
      <c r="A7676">
        <v>7621</v>
      </c>
      <c r="B7676" s="166">
        <v>121.74752302239277</v>
      </c>
      <c r="D7676" s="39"/>
      <c r="E7676" s="39"/>
    </row>
    <row r="7677" spans="1:5" ht="15.6">
      <c r="A7677">
        <v>7622</v>
      </c>
      <c r="B7677" s="166">
        <v>98.12388655434188</v>
      </c>
      <c r="D7677" s="39"/>
      <c r="E7677" s="39"/>
    </row>
    <row r="7678" spans="1:5" ht="15.6">
      <c r="A7678">
        <v>7623</v>
      </c>
      <c r="B7678" s="166">
        <v>182.8344276313272</v>
      </c>
      <c r="D7678" s="39"/>
      <c r="E7678" s="39"/>
    </row>
    <row r="7679" spans="1:5" ht="15.6">
      <c r="A7679">
        <v>7624</v>
      </c>
      <c r="B7679" s="166">
        <v>120.80898602039683</v>
      </c>
      <c r="D7679" s="39"/>
      <c r="E7679" s="39"/>
    </row>
    <row r="7680" spans="1:5" ht="15.6">
      <c r="A7680">
        <v>7625</v>
      </c>
      <c r="B7680" s="166">
        <v>87.956125256295806</v>
      </c>
      <c r="D7680" s="39"/>
      <c r="E7680" s="39"/>
    </row>
    <row r="7681" spans="1:5" ht="15.6">
      <c r="A7681">
        <v>7626</v>
      </c>
      <c r="B7681" s="166">
        <v>80.2604246558477</v>
      </c>
      <c r="D7681" s="39"/>
      <c r="E7681" s="39"/>
    </row>
    <row r="7682" spans="1:5" ht="15.6">
      <c r="A7682">
        <v>7627</v>
      </c>
      <c r="B7682" s="166">
        <v>172.60988079169653</v>
      </c>
      <c r="D7682" s="39"/>
      <c r="E7682" s="39"/>
    </row>
    <row r="7683" spans="1:5" ht="15.6">
      <c r="A7683">
        <v>7628</v>
      </c>
      <c r="B7683" s="166">
        <v>101.8733350518398</v>
      </c>
      <c r="D7683" s="39"/>
      <c r="E7683" s="39"/>
    </row>
    <row r="7684" spans="1:5" ht="15.6">
      <c r="A7684">
        <v>7629</v>
      </c>
      <c r="B7684" s="166">
        <v>94.251024428963461</v>
      </c>
      <c r="D7684" s="39"/>
      <c r="E7684" s="39"/>
    </row>
    <row r="7685" spans="1:5" ht="15.6">
      <c r="A7685">
        <v>7630</v>
      </c>
      <c r="B7685" s="166">
        <v>221.78556523535451</v>
      </c>
      <c r="D7685" s="39"/>
      <c r="E7685" s="39"/>
    </row>
    <row r="7686" spans="1:5" ht="15.6">
      <c r="A7686">
        <v>7631</v>
      </c>
      <c r="B7686" s="166">
        <v>104.53632075156582</v>
      </c>
      <c r="D7686" s="39"/>
      <c r="E7686" s="39"/>
    </row>
    <row r="7687" spans="1:5" ht="15.6">
      <c r="A7687">
        <v>7632</v>
      </c>
      <c r="B7687" s="166">
        <v>94.691995342671518</v>
      </c>
      <c r="D7687" s="39"/>
      <c r="E7687" s="39"/>
    </row>
    <row r="7688" spans="1:5" ht="15.6">
      <c r="A7688">
        <v>7633</v>
      </c>
      <c r="B7688" s="166">
        <v>86.191171944303264</v>
      </c>
      <c r="D7688" s="39"/>
      <c r="E7688" s="39"/>
    </row>
    <row r="7689" spans="1:5" ht="15.6">
      <c r="A7689">
        <v>7634</v>
      </c>
      <c r="B7689" s="166">
        <v>148.75998386688676</v>
      </c>
      <c r="D7689" s="39"/>
      <c r="E7689" s="39"/>
    </row>
    <row r="7690" spans="1:5" ht="15.6">
      <c r="A7690">
        <v>7635</v>
      </c>
      <c r="B7690" s="166">
        <v>63.363775125641233</v>
      </c>
      <c r="D7690" s="39"/>
      <c r="E7690" s="39"/>
    </row>
    <row r="7691" spans="1:5" ht="15.6">
      <c r="A7691">
        <v>7636</v>
      </c>
      <c r="B7691" s="166">
        <v>111.26828762461074</v>
      </c>
      <c r="D7691" s="39"/>
      <c r="E7691" s="39"/>
    </row>
    <row r="7692" spans="1:5" ht="15.6">
      <c r="A7692">
        <v>7637</v>
      </c>
      <c r="B7692" s="166">
        <v>78.09081288757892</v>
      </c>
      <c r="D7692" s="39"/>
      <c r="E7692" s="39"/>
    </row>
    <row r="7693" spans="1:5" ht="15.6">
      <c r="A7693">
        <v>7638</v>
      </c>
      <c r="B7693" s="166">
        <v>120.74931288850139</v>
      </c>
      <c r="D7693" s="39"/>
      <c r="E7693" s="39"/>
    </row>
    <row r="7694" spans="1:5" ht="15.6">
      <c r="A7694">
        <v>7639</v>
      </c>
      <c r="B7694" s="166">
        <v>110.29145252983741</v>
      </c>
      <c r="D7694" s="39"/>
      <c r="E7694" s="39"/>
    </row>
    <row r="7695" spans="1:5" ht="15.6">
      <c r="A7695">
        <v>7640</v>
      </c>
      <c r="B7695" s="166">
        <v>124.87512101448999</v>
      </c>
      <c r="D7695" s="39"/>
      <c r="E7695" s="39"/>
    </row>
    <row r="7696" spans="1:5" ht="15.6">
      <c r="A7696">
        <v>7641</v>
      </c>
      <c r="B7696" s="166">
        <v>73.009164912695624</v>
      </c>
      <c r="D7696" s="39"/>
      <c r="E7696" s="39"/>
    </row>
    <row r="7697" spans="1:5" ht="15.6">
      <c r="A7697">
        <v>7642</v>
      </c>
      <c r="B7697" s="166">
        <v>132.06922373293432</v>
      </c>
      <c r="D7697" s="39"/>
      <c r="E7697" s="39"/>
    </row>
    <row r="7698" spans="1:5" ht="15.6">
      <c r="A7698">
        <v>7643</v>
      </c>
      <c r="B7698" s="166">
        <v>76.23925290119675</v>
      </c>
      <c r="D7698" s="39"/>
      <c r="E7698" s="39"/>
    </row>
    <row r="7699" spans="1:5" ht="15.6">
      <c r="A7699">
        <v>7644</v>
      </c>
      <c r="B7699" s="166">
        <v>75.937618773753726</v>
      </c>
      <c r="D7699" s="39"/>
      <c r="E7699" s="39"/>
    </row>
    <row r="7700" spans="1:5" ht="15.6">
      <c r="A7700">
        <v>7645</v>
      </c>
      <c r="B7700" s="166">
        <v>75.532911751240235</v>
      </c>
      <c r="D7700" s="39"/>
      <c r="E7700" s="39"/>
    </row>
    <row r="7701" spans="1:5" ht="15.6">
      <c r="A7701">
        <v>7646</v>
      </c>
      <c r="B7701" s="166">
        <v>102.85780407588553</v>
      </c>
      <c r="D7701" s="39"/>
      <c r="E7701" s="39"/>
    </row>
    <row r="7702" spans="1:5" ht="15.6">
      <c r="A7702">
        <v>7647</v>
      </c>
      <c r="B7702" s="166">
        <v>81.546877681902103</v>
      </c>
      <c r="D7702" s="39"/>
      <c r="E7702" s="39"/>
    </row>
    <row r="7703" spans="1:5" ht="15.6">
      <c r="A7703">
        <v>7648</v>
      </c>
      <c r="B7703" s="166">
        <v>75.759069522491245</v>
      </c>
      <c r="D7703" s="39"/>
      <c r="E7703" s="39"/>
    </row>
    <row r="7704" spans="1:5" ht="15.6">
      <c r="A7704">
        <v>7649</v>
      </c>
      <c r="B7704" s="166">
        <v>48.320135377592727</v>
      </c>
      <c r="D7704" s="39"/>
      <c r="E7704" s="39"/>
    </row>
    <row r="7705" spans="1:5" ht="15.6">
      <c r="A7705">
        <v>7650</v>
      </c>
      <c r="B7705" s="166">
        <v>134.39111050220794</v>
      </c>
      <c r="D7705" s="39"/>
      <c r="E7705" s="39"/>
    </row>
    <row r="7706" spans="1:5" ht="15.6">
      <c r="A7706">
        <v>7651</v>
      </c>
      <c r="B7706" s="166">
        <v>109.72359617494462</v>
      </c>
      <c r="D7706" s="39"/>
      <c r="E7706" s="39"/>
    </row>
    <row r="7707" spans="1:5" ht="15.6">
      <c r="A7707">
        <v>7652</v>
      </c>
      <c r="B7707" s="166">
        <v>77.690418846048885</v>
      </c>
      <c r="D7707" s="39"/>
      <c r="E7707" s="39"/>
    </row>
    <row r="7708" spans="1:5" ht="15.6">
      <c r="A7708">
        <v>7653</v>
      </c>
      <c r="B7708" s="166">
        <v>63.546440330074667</v>
      </c>
      <c r="D7708" s="39"/>
      <c r="E7708" s="39"/>
    </row>
    <row r="7709" spans="1:5" ht="15.6">
      <c r="A7709">
        <v>7654</v>
      </c>
      <c r="B7709" s="166">
        <v>50.755202597410538</v>
      </c>
      <c r="D7709" s="39"/>
      <c r="E7709" s="39"/>
    </row>
    <row r="7710" spans="1:5" ht="15.6">
      <c r="A7710">
        <v>7655</v>
      </c>
      <c r="B7710" s="166">
        <v>168.20553953225127</v>
      </c>
      <c r="D7710" s="39"/>
      <c r="E7710" s="39"/>
    </row>
    <row r="7711" spans="1:5" ht="15.6">
      <c r="A7711">
        <v>7656</v>
      </c>
      <c r="B7711" s="166">
        <v>204.4794929546012</v>
      </c>
      <c r="D7711" s="39"/>
      <c r="E7711" s="39"/>
    </row>
    <row r="7712" spans="1:5" ht="15.6">
      <c r="A7712">
        <v>7657</v>
      </c>
      <c r="B7712" s="166">
        <v>180.05307927774132</v>
      </c>
      <c r="D7712" s="39"/>
      <c r="E7712" s="39"/>
    </row>
    <row r="7713" spans="1:5" ht="15.6">
      <c r="A7713">
        <v>7658</v>
      </c>
      <c r="B7713" s="166">
        <v>131.50116164940238</v>
      </c>
      <c r="D7713" s="39"/>
      <c r="E7713" s="39"/>
    </row>
    <row r="7714" spans="1:5" ht="15.6">
      <c r="A7714">
        <v>7659</v>
      </c>
      <c r="B7714" s="166">
        <v>201.07337833583648</v>
      </c>
      <c r="D7714" s="39"/>
      <c r="E7714" s="39"/>
    </row>
    <row r="7715" spans="1:5" ht="15.6">
      <c r="A7715">
        <v>7660</v>
      </c>
      <c r="B7715" s="166">
        <v>99.292677583397648</v>
      </c>
      <c r="D7715" s="39"/>
      <c r="E7715" s="39"/>
    </row>
    <row r="7716" spans="1:5" ht="15.6">
      <c r="A7716">
        <v>7661</v>
      </c>
      <c r="B7716" s="166">
        <v>119.26615251120771</v>
      </c>
      <c r="D7716" s="39"/>
      <c r="E7716" s="39"/>
    </row>
    <row r="7717" spans="1:5" ht="15.6">
      <c r="A7717">
        <v>7662</v>
      </c>
      <c r="B7717" s="166">
        <v>301.42670496211912</v>
      </c>
      <c r="D7717" s="39"/>
      <c r="E7717" s="39"/>
    </row>
    <row r="7718" spans="1:5" ht="15.6">
      <c r="A7718">
        <v>7663</v>
      </c>
      <c r="B7718" s="166">
        <v>97.16351777547942</v>
      </c>
      <c r="D7718" s="39"/>
      <c r="E7718" s="39"/>
    </row>
    <row r="7719" spans="1:5" ht="15.6">
      <c r="A7719">
        <v>7664</v>
      </c>
      <c r="B7719" s="166">
        <v>137.63987888536604</v>
      </c>
      <c r="D7719" s="39"/>
      <c r="E7719" s="39"/>
    </row>
    <row r="7720" spans="1:5" ht="15.6">
      <c r="A7720">
        <v>7665</v>
      </c>
      <c r="B7720" s="166">
        <v>109.59534311915158</v>
      </c>
      <c r="D7720" s="39"/>
      <c r="E7720" s="39"/>
    </row>
    <row r="7721" spans="1:5" ht="15.6">
      <c r="A7721">
        <v>7666</v>
      </c>
      <c r="B7721" s="166">
        <v>83.802147772286034</v>
      </c>
      <c r="D7721" s="39"/>
      <c r="E7721" s="39"/>
    </row>
    <row r="7722" spans="1:5" ht="15.6">
      <c r="A7722">
        <v>7667</v>
      </c>
      <c r="B7722" s="166">
        <v>102.33487751104597</v>
      </c>
      <c r="D7722" s="39"/>
      <c r="E7722" s="39"/>
    </row>
    <row r="7723" spans="1:5" ht="15.6">
      <c r="A7723">
        <v>7668</v>
      </c>
      <c r="B7723" s="166">
        <v>92.55126448855971</v>
      </c>
      <c r="D7723" s="39"/>
      <c r="E7723" s="39"/>
    </row>
    <row r="7724" spans="1:5" ht="15.6">
      <c r="A7724">
        <v>7669</v>
      </c>
      <c r="B7724" s="166">
        <v>101.73714045988658</v>
      </c>
      <c r="D7724" s="39"/>
      <c r="E7724" s="39"/>
    </row>
    <row r="7725" spans="1:5" ht="15.6">
      <c r="A7725">
        <v>7670</v>
      </c>
      <c r="B7725" s="166">
        <v>107.62447425951922</v>
      </c>
      <c r="D7725" s="39"/>
      <c r="E7725" s="39"/>
    </row>
    <row r="7726" spans="1:5" ht="15.6">
      <c r="A7726">
        <v>7671</v>
      </c>
      <c r="B7726" s="166">
        <v>102.3866657208486</v>
      </c>
      <c r="D7726" s="39"/>
      <c r="E7726" s="39"/>
    </row>
    <row r="7727" spans="1:5" ht="15.6">
      <c r="A7727">
        <v>7672</v>
      </c>
      <c r="B7727" s="166">
        <v>73.960856711125984</v>
      </c>
      <c r="D7727" s="39"/>
      <c r="E7727" s="39"/>
    </row>
    <row r="7728" spans="1:5" ht="15.6">
      <c r="A7728">
        <v>7673</v>
      </c>
      <c r="B7728" s="166">
        <v>75.941295264205294</v>
      </c>
      <c r="D7728" s="39"/>
      <c r="E7728" s="39"/>
    </row>
    <row r="7729" spans="1:5" ht="15.6">
      <c r="A7729">
        <v>7674</v>
      </c>
      <c r="B7729" s="166">
        <v>98.185996966119902</v>
      </c>
      <c r="D7729" s="39"/>
      <c r="E7729" s="39"/>
    </row>
    <row r="7730" spans="1:5" ht="15.6">
      <c r="A7730">
        <v>7675</v>
      </c>
      <c r="B7730" s="166">
        <v>111.2734951875845</v>
      </c>
      <c r="D7730" s="39"/>
      <c r="E7730" s="39"/>
    </row>
    <row r="7731" spans="1:5" ht="15.6">
      <c r="A7731">
        <v>7676</v>
      </c>
      <c r="B7731" s="166">
        <v>129.66203944461003</v>
      </c>
      <c r="D7731" s="39"/>
      <c r="E7731" s="39"/>
    </row>
    <row r="7732" spans="1:5" ht="15.6">
      <c r="A7732">
        <v>7677</v>
      </c>
      <c r="B7732" s="166">
        <v>122.90429997945027</v>
      </c>
      <c r="D7732" s="39"/>
      <c r="E7732" s="39"/>
    </row>
    <row r="7733" spans="1:5" ht="15.6">
      <c r="A7733">
        <v>7678</v>
      </c>
      <c r="B7733" s="166">
        <v>83.073383698829971</v>
      </c>
      <c r="D7733" s="39"/>
      <c r="E7733" s="39"/>
    </row>
    <row r="7734" spans="1:5" ht="15.6">
      <c r="A7734">
        <v>7679</v>
      </c>
      <c r="B7734" s="166">
        <v>99.652616891430171</v>
      </c>
      <c r="D7734" s="39"/>
      <c r="E7734" s="39"/>
    </row>
    <row r="7735" spans="1:5" ht="15.6">
      <c r="A7735">
        <v>7680</v>
      </c>
      <c r="B7735" s="166">
        <v>119.97436387434531</v>
      </c>
      <c r="D7735" s="39"/>
      <c r="E7735" s="39"/>
    </row>
    <row r="7736" spans="1:5" ht="15.6">
      <c r="A7736">
        <v>7681</v>
      </c>
      <c r="B7736" s="166">
        <v>75.082988928097905</v>
      </c>
      <c r="D7736" s="39"/>
      <c r="E7736" s="39"/>
    </row>
    <row r="7737" spans="1:5" ht="15.6">
      <c r="A7737">
        <v>7682</v>
      </c>
      <c r="B7737" s="166">
        <v>62.260830928688129</v>
      </c>
      <c r="D7737" s="39"/>
      <c r="E7737" s="39"/>
    </row>
    <row r="7738" spans="1:5" ht="15.6">
      <c r="A7738">
        <v>7683</v>
      </c>
      <c r="B7738" s="166">
        <v>94.419845518662129</v>
      </c>
      <c r="D7738" s="39"/>
      <c r="E7738" s="39"/>
    </row>
    <row r="7739" spans="1:5" ht="15.6">
      <c r="A7739">
        <v>7684</v>
      </c>
      <c r="B7739" s="166">
        <v>64.063674096164391</v>
      </c>
      <c r="D7739" s="39"/>
      <c r="E7739" s="39"/>
    </row>
    <row r="7740" spans="1:5" ht="15.6">
      <c r="A7740">
        <v>7685</v>
      </c>
      <c r="B7740" s="166">
        <v>81.923654939031593</v>
      </c>
      <c r="D7740" s="39"/>
      <c r="E7740" s="39"/>
    </row>
    <row r="7741" spans="1:5" ht="15.6">
      <c r="A7741">
        <v>7686</v>
      </c>
      <c r="B7741" s="166">
        <v>80.017302090312796</v>
      </c>
      <c r="D7741" s="39"/>
      <c r="E7741" s="39"/>
    </row>
    <row r="7742" spans="1:5" ht="15.6">
      <c r="A7742">
        <v>7687</v>
      </c>
      <c r="B7742" s="166">
        <v>154.73580701594435</v>
      </c>
      <c r="D7742" s="39"/>
      <c r="E7742" s="39"/>
    </row>
    <row r="7743" spans="1:5" ht="15.6">
      <c r="A7743">
        <v>7688</v>
      </c>
      <c r="B7743" s="166">
        <v>122.62389225912727</v>
      </c>
      <c r="D7743" s="39"/>
      <c r="E7743" s="39"/>
    </row>
    <row r="7744" spans="1:5" ht="15.6">
      <c r="A7744">
        <v>7689</v>
      </c>
      <c r="B7744" s="166">
        <v>69.924178573592499</v>
      </c>
      <c r="D7744" s="39"/>
      <c r="E7744" s="39"/>
    </row>
    <row r="7745" spans="1:5" ht="15.6">
      <c r="A7745">
        <v>7690</v>
      </c>
      <c r="B7745" s="166">
        <v>220.36999669942591</v>
      </c>
      <c r="D7745" s="39"/>
      <c r="E7745" s="39"/>
    </row>
    <row r="7746" spans="1:5" ht="15.6">
      <c r="A7746">
        <v>7691</v>
      </c>
      <c r="B7746" s="166">
        <v>82.521998338128498</v>
      </c>
      <c r="D7746" s="39"/>
      <c r="E7746" s="39"/>
    </row>
    <row r="7747" spans="1:5" ht="15.6">
      <c r="A7747">
        <v>7692</v>
      </c>
      <c r="B7747" s="166">
        <v>121.05399265503073</v>
      </c>
      <c r="D7747" s="39"/>
      <c r="E7747" s="39"/>
    </row>
    <row r="7748" spans="1:5" ht="15.6">
      <c r="A7748">
        <v>7693</v>
      </c>
      <c r="B7748" s="166">
        <v>110.26412022189166</v>
      </c>
      <c r="D7748" s="39"/>
      <c r="E7748" s="39"/>
    </row>
    <row r="7749" spans="1:5" ht="15.6">
      <c r="A7749">
        <v>7694</v>
      </c>
      <c r="B7749" s="166">
        <v>92.018721251180878</v>
      </c>
      <c r="D7749" s="39"/>
      <c r="E7749" s="39"/>
    </row>
    <row r="7750" spans="1:5" ht="15.6">
      <c r="A7750">
        <v>7695</v>
      </c>
      <c r="B7750" s="166">
        <v>171.9496288149667</v>
      </c>
      <c r="D7750" s="39"/>
      <c r="E7750" s="39"/>
    </row>
    <row r="7751" spans="1:5" ht="15.6">
      <c r="A7751">
        <v>7696</v>
      </c>
      <c r="B7751" s="166">
        <v>78.992850797206799</v>
      </c>
      <c r="D7751" s="39"/>
      <c r="E7751" s="39"/>
    </row>
    <row r="7752" spans="1:5" ht="15.6">
      <c r="A7752">
        <v>7697</v>
      </c>
      <c r="B7752" s="166">
        <v>117.47687413384556</v>
      </c>
      <c r="D7752" s="39"/>
      <c r="E7752" s="39"/>
    </row>
    <row r="7753" spans="1:5" ht="15.6">
      <c r="A7753">
        <v>7698</v>
      </c>
      <c r="B7753" s="166">
        <v>147.88789127597519</v>
      </c>
      <c r="D7753" s="39"/>
      <c r="E7753" s="39"/>
    </row>
    <row r="7754" spans="1:5" ht="15.6">
      <c r="A7754">
        <v>7699</v>
      </c>
      <c r="B7754" s="166">
        <v>97.349319963237122</v>
      </c>
      <c r="D7754" s="39"/>
      <c r="E7754" s="39"/>
    </row>
    <row r="7755" spans="1:5" ht="15.6">
      <c r="A7755">
        <v>7700</v>
      </c>
      <c r="B7755" s="166">
        <v>104.46541970511379</v>
      </c>
      <c r="D7755" s="39"/>
      <c r="E7755" s="39"/>
    </row>
    <row r="7756" spans="1:5" ht="15.6">
      <c r="A7756">
        <v>7701</v>
      </c>
      <c r="B7756" s="166">
        <v>120.49256612793363</v>
      </c>
      <c r="D7756" s="39"/>
      <c r="E7756" s="39"/>
    </row>
    <row r="7757" spans="1:5" ht="15.6">
      <c r="A7757">
        <v>7702</v>
      </c>
      <c r="B7757" s="166">
        <v>119.86507940404796</v>
      </c>
      <c r="D7757" s="39"/>
      <c r="E7757" s="39"/>
    </row>
    <row r="7758" spans="1:5" ht="15.6">
      <c r="A7758">
        <v>7703</v>
      </c>
      <c r="B7758" s="166">
        <v>169.70997233248175</v>
      </c>
      <c r="D7758" s="39"/>
      <c r="E7758" s="39"/>
    </row>
    <row r="7759" spans="1:5" ht="15.6">
      <c r="A7759">
        <v>7704</v>
      </c>
      <c r="B7759" s="166">
        <v>70.465037699532132</v>
      </c>
      <c r="D7759" s="39"/>
      <c r="E7759" s="39"/>
    </row>
    <row r="7760" spans="1:5" ht="15.6">
      <c r="A7760">
        <v>7705</v>
      </c>
      <c r="B7760" s="166">
        <v>162.82069331001037</v>
      </c>
      <c r="D7760" s="39"/>
      <c r="E7760" s="39"/>
    </row>
    <row r="7761" spans="1:5" ht="15.6">
      <c r="A7761">
        <v>7706</v>
      </c>
      <c r="B7761" s="166">
        <v>111.50666540969742</v>
      </c>
      <c r="D7761" s="39"/>
      <c r="E7761" s="39"/>
    </row>
    <row r="7762" spans="1:5" ht="15.6">
      <c r="A7762">
        <v>7707</v>
      </c>
      <c r="B7762" s="166">
        <v>111.90373396131126</v>
      </c>
      <c r="D7762" s="39"/>
      <c r="E7762" s="39"/>
    </row>
    <row r="7763" spans="1:5" ht="15.6">
      <c r="A7763">
        <v>7708</v>
      </c>
      <c r="B7763" s="166">
        <v>225.98600066426366</v>
      </c>
      <c r="D7763" s="39"/>
      <c r="E7763" s="39"/>
    </row>
    <row r="7764" spans="1:5" ht="15.6">
      <c r="A7764">
        <v>7709</v>
      </c>
      <c r="B7764" s="166">
        <v>87.034461607342024</v>
      </c>
      <c r="D7764" s="39"/>
      <c r="E7764" s="39"/>
    </row>
    <row r="7765" spans="1:5" ht="15.6">
      <c r="A7765">
        <v>7710</v>
      </c>
      <c r="B7765" s="166">
        <v>84.276129340684804</v>
      </c>
      <c r="D7765" s="39"/>
      <c r="E7765" s="39"/>
    </row>
    <row r="7766" spans="1:5" ht="15.6">
      <c r="A7766">
        <v>7711</v>
      </c>
      <c r="B7766" s="166">
        <v>90.187342369489244</v>
      </c>
      <c r="D7766" s="39"/>
      <c r="E7766" s="39"/>
    </row>
    <row r="7767" spans="1:5" ht="15.6">
      <c r="A7767">
        <v>7712</v>
      </c>
      <c r="B7767" s="166">
        <v>96.360013290604456</v>
      </c>
      <c r="D7767" s="39"/>
      <c r="E7767" s="39"/>
    </row>
    <row r="7768" spans="1:5" ht="15.6">
      <c r="A7768">
        <v>7713</v>
      </c>
      <c r="B7768" s="166">
        <v>56.038298815726449</v>
      </c>
      <c r="D7768" s="39"/>
      <c r="E7768" s="39"/>
    </row>
    <row r="7769" spans="1:5" ht="15.6">
      <c r="A7769">
        <v>7714</v>
      </c>
      <c r="B7769" s="166">
        <v>92.632836056991238</v>
      </c>
      <c r="D7769" s="39"/>
      <c r="E7769" s="39"/>
    </row>
    <row r="7770" spans="1:5" ht="15.6">
      <c r="A7770">
        <v>7715</v>
      </c>
      <c r="B7770" s="166">
        <v>70.517146560541931</v>
      </c>
      <c r="D7770" s="39"/>
      <c r="E7770" s="39"/>
    </row>
    <row r="7771" spans="1:5" ht="15.6">
      <c r="A7771">
        <v>7716</v>
      </c>
      <c r="B7771" s="166">
        <v>114.62226812329303</v>
      </c>
      <c r="D7771" s="39"/>
      <c r="E7771" s="39"/>
    </row>
    <row r="7772" spans="1:5" ht="15.6">
      <c r="A7772">
        <v>7717</v>
      </c>
      <c r="B7772" s="166">
        <v>122.07565016672795</v>
      </c>
      <c r="D7772" s="39"/>
      <c r="E7772" s="39"/>
    </row>
    <row r="7773" spans="1:5" ht="15.6">
      <c r="A7773">
        <v>7718</v>
      </c>
      <c r="B7773" s="166">
        <v>73.131182178281705</v>
      </c>
      <c r="D7773" s="39"/>
      <c r="E7773" s="39"/>
    </row>
    <row r="7774" spans="1:5" ht="15.6">
      <c r="A7774">
        <v>7719</v>
      </c>
      <c r="B7774" s="166">
        <v>137.19436800214123</v>
      </c>
      <c r="D7774" s="39"/>
      <c r="E7774" s="39"/>
    </row>
    <row r="7775" spans="1:5" ht="15.6">
      <c r="A7775">
        <v>7720</v>
      </c>
      <c r="B7775" s="166">
        <v>87.056169047477141</v>
      </c>
      <c r="D7775" s="39"/>
      <c r="E7775" s="39"/>
    </row>
    <row r="7776" spans="1:5" ht="15.6">
      <c r="A7776">
        <v>7721</v>
      </c>
      <c r="B7776" s="166">
        <v>162.65497276360983</v>
      </c>
      <c r="D7776" s="39"/>
      <c r="E7776" s="39"/>
    </row>
    <row r="7777" spans="1:5" ht="15.6">
      <c r="A7777">
        <v>7722</v>
      </c>
      <c r="B7777" s="166">
        <v>86.008238453096496</v>
      </c>
      <c r="D7777" s="39"/>
      <c r="E7777" s="39"/>
    </row>
    <row r="7778" spans="1:5" ht="15.6">
      <c r="A7778">
        <v>7723</v>
      </c>
      <c r="B7778" s="166">
        <v>118.5699628089955</v>
      </c>
      <c r="D7778" s="39"/>
      <c r="E7778" s="39"/>
    </row>
    <row r="7779" spans="1:5" ht="15.6">
      <c r="A7779">
        <v>7724</v>
      </c>
      <c r="B7779" s="166">
        <v>102.9044047267532</v>
      </c>
      <c r="D7779" s="39"/>
      <c r="E7779" s="39"/>
    </row>
    <row r="7780" spans="1:5" ht="15.6">
      <c r="A7780">
        <v>7725</v>
      </c>
      <c r="B7780" s="166">
        <v>74.611671304142462</v>
      </c>
      <c r="D7780" s="39"/>
      <c r="E7780" s="39"/>
    </row>
    <row r="7781" spans="1:5" ht="15.6">
      <c r="A7781">
        <v>7726</v>
      </c>
      <c r="B7781" s="166">
        <v>110.37272625601369</v>
      </c>
      <c r="D7781" s="39"/>
      <c r="E7781" s="39"/>
    </row>
    <row r="7782" spans="1:5" ht="15.6">
      <c r="A7782">
        <v>7727</v>
      </c>
      <c r="B7782" s="166">
        <v>91.869101551833353</v>
      </c>
      <c r="D7782" s="39"/>
      <c r="E7782" s="39"/>
    </row>
    <row r="7783" spans="1:5" ht="15.6">
      <c r="A7783">
        <v>7728</v>
      </c>
      <c r="B7783" s="166">
        <v>93.906686612893438</v>
      </c>
      <c r="D7783" s="39"/>
      <c r="E7783" s="39"/>
    </row>
    <row r="7784" spans="1:5" ht="15.6">
      <c r="A7784">
        <v>7729</v>
      </c>
      <c r="B7784" s="166">
        <v>95.758599528126567</v>
      </c>
      <c r="D7784" s="39"/>
      <c r="E7784" s="39"/>
    </row>
    <row r="7785" spans="1:5" ht="15.6">
      <c r="A7785">
        <v>7730</v>
      </c>
      <c r="B7785" s="166">
        <v>97.029534980375431</v>
      </c>
      <c r="D7785" s="39"/>
      <c r="E7785" s="39"/>
    </row>
    <row r="7786" spans="1:5" ht="15.6">
      <c r="A7786">
        <v>7731</v>
      </c>
      <c r="B7786" s="166">
        <v>144.48780333189615</v>
      </c>
      <c r="D7786" s="39"/>
      <c r="E7786" s="39"/>
    </row>
    <row r="7787" spans="1:5" ht="15.6">
      <c r="A7787">
        <v>7732</v>
      </c>
      <c r="B7787" s="166">
        <v>90.867133096215881</v>
      </c>
      <c r="D7787" s="39"/>
      <c r="E7787" s="39"/>
    </row>
    <row r="7788" spans="1:5" ht="15.6">
      <c r="A7788">
        <v>7733</v>
      </c>
      <c r="B7788" s="166">
        <v>64.745600352201436</v>
      </c>
      <c r="D7788" s="39"/>
      <c r="E7788" s="39"/>
    </row>
    <row r="7789" spans="1:5" ht="15.6">
      <c r="A7789">
        <v>7734</v>
      </c>
      <c r="B7789" s="166">
        <v>229.46304843078548</v>
      </c>
      <c r="D7789" s="39"/>
      <c r="E7789" s="39"/>
    </row>
    <row r="7790" spans="1:5" ht="15.6">
      <c r="A7790">
        <v>7735</v>
      </c>
      <c r="B7790" s="166">
        <v>132.17416698897605</v>
      </c>
      <c r="D7790" s="39"/>
      <c r="E7790" s="39"/>
    </row>
    <row r="7791" spans="1:5" ht="15.6">
      <c r="A7791">
        <v>7736</v>
      </c>
      <c r="B7791" s="166">
        <v>97.045702398413155</v>
      </c>
      <c r="D7791" s="39"/>
      <c r="E7791" s="39"/>
    </row>
    <row r="7792" spans="1:5" ht="15.6">
      <c r="A7792">
        <v>7737</v>
      </c>
      <c r="B7792" s="166">
        <v>91.121460901812725</v>
      </c>
      <c r="D7792" s="39"/>
      <c r="E7792" s="39"/>
    </row>
    <row r="7793" spans="1:5" ht="15.6">
      <c r="A7793">
        <v>7738</v>
      </c>
      <c r="B7793" s="166">
        <v>153.38445523573816</v>
      </c>
      <c r="D7793" s="39"/>
      <c r="E7793" s="39"/>
    </row>
    <row r="7794" spans="1:5" ht="15.6">
      <c r="A7794">
        <v>7739</v>
      </c>
      <c r="B7794" s="166">
        <v>107.31158547552165</v>
      </c>
      <c r="D7794" s="39"/>
      <c r="E7794" s="39"/>
    </row>
    <row r="7795" spans="1:5" ht="15.6">
      <c r="A7795">
        <v>7740</v>
      </c>
      <c r="B7795" s="166">
        <v>108.99693482840136</v>
      </c>
      <c r="D7795" s="39"/>
      <c r="E7795" s="39"/>
    </row>
    <row r="7796" spans="1:5" ht="15.6">
      <c r="A7796">
        <v>7741</v>
      </c>
      <c r="B7796" s="166">
        <v>118.71280234454208</v>
      </c>
      <c r="D7796" s="39"/>
      <c r="E7796" s="39"/>
    </row>
    <row r="7797" spans="1:5" ht="15.6">
      <c r="A7797">
        <v>7742</v>
      </c>
      <c r="B7797" s="166">
        <v>74.449131416301071</v>
      </c>
      <c r="D7797" s="39"/>
      <c r="E7797" s="39"/>
    </row>
    <row r="7798" spans="1:5" ht="15.6">
      <c r="A7798">
        <v>7743</v>
      </c>
      <c r="B7798" s="166">
        <v>114.99427364237603</v>
      </c>
      <c r="D7798" s="39"/>
      <c r="E7798" s="39"/>
    </row>
    <row r="7799" spans="1:5" ht="15.6">
      <c r="A7799">
        <v>7744</v>
      </c>
      <c r="B7799" s="166">
        <v>147.28854603214856</v>
      </c>
      <c r="D7799" s="39"/>
      <c r="E7799" s="39"/>
    </row>
    <row r="7800" spans="1:5" ht="15.6">
      <c r="A7800">
        <v>7745</v>
      </c>
      <c r="B7800" s="166">
        <v>79.110432169513231</v>
      </c>
      <c r="D7800" s="39"/>
      <c r="E7800" s="39"/>
    </row>
    <row r="7801" spans="1:5" ht="15.6">
      <c r="A7801">
        <v>7746</v>
      </c>
      <c r="B7801" s="166">
        <v>75.79418438217148</v>
      </c>
      <c r="D7801" s="39"/>
      <c r="E7801" s="39"/>
    </row>
    <row r="7802" spans="1:5" ht="15.6">
      <c r="A7802">
        <v>7747</v>
      </c>
      <c r="B7802" s="166">
        <v>102.50678281634612</v>
      </c>
      <c r="D7802" s="39"/>
      <c r="E7802" s="39"/>
    </row>
    <row r="7803" spans="1:5" ht="15.6">
      <c r="A7803">
        <v>7748</v>
      </c>
      <c r="B7803" s="166">
        <v>83.32789532597161</v>
      </c>
      <c r="D7803" s="39"/>
      <c r="E7803" s="39"/>
    </row>
    <row r="7804" spans="1:5" ht="15.6">
      <c r="A7804">
        <v>7749</v>
      </c>
      <c r="B7804" s="166">
        <v>145.33699981851566</v>
      </c>
      <c r="D7804" s="39"/>
      <c r="E7804" s="39"/>
    </row>
    <row r="7805" spans="1:5" ht="15.6">
      <c r="A7805">
        <v>7750</v>
      </c>
      <c r="B7805" s="166">
        <v>172.55182837866508</v>
      </c>
      <c r="D7805" s="39"/>
      <c r="E7805" s="39"/>
    </row>
    <row r="7806" spans="1:5" ht="15.6">
      <c r="A7806">
        <v>7751</v>
      </c>
      <c r="B7806" s="166">
        <v>83.175921103046647</v>
      </c>
      <c r="D7806" s="39"/>
      <c r="E7806" s="39"/>
    </row>
    <row r="7807" spans="1:5" ht="15.6">
      <c r="A7807">
        <v>7752</v>
      </c>
      <c r="B7807" s="166">
        <v>117.15985556926564</v>
      </c>
      <c r="D7807" s="39"/>
      <c r="E7807" s="39"/>
    </row>
    <row r="7808" spans="1:5" ht="15.6">
      <c r="A7808">
        <v>7753</v>
      </c>
      <c r="B7808" s="166">
        <v>103.46471956288796</v>
      </c>
      <c r="D7808" s="39"/>
      <c r="E7808" s="39"/>
    </row>
    <row r="7809" spans="1:5" ht="15.6">
      <c r="A7809">
        <v>7754</v>
      </c>
      <c r="B7809" s="166">
        <v>78.587359510182765</v>
      </c>
      <c r="D7809" s="39"/>
      <c r="E7809" s="39"/>
    </row>
    <row r="7810" spans="1:5" ht="15.6">
      <c r="A7810">
        <v>7755</v>
      </c>
      <c r="B7810" s="166">
        <v>103.71307950035049</v>
      </c>
      <c r="D7810" s="39"/>
      <c r="E7810" s="39"/>
    </row>
    <row r="7811" spans="1:5" ht="15.6">
      <c r="A7811">
        <v>7756</v>
      </c>
      <c r="B7811" s="166">
        <v>131.75734589191833</v>
      </c>
      <c r="D7811" s="39"/>
      <c r="E7811" s="39"/>
    </row>
    <row r="7812" spans="1:5" ht="15.6">
      <c r="A7812">
        <v>7757</v>
      </c>
      <c r="B7812" s="166">
        <v>94.181745383484881</v>
      </c>
      <c r="D7812" s="39"/>
      <c r="E7812" s="39"/>
    </row>
    <row r="7813" spans="1:5" ht="15.6">
      <c r="A7813">
        <v>7758</v>
      </c>
      <c r="B7813" s="166">
        <v>86.560392660971431</v>
      </c>
      <c r="D7813" s="39"/>
      <c r="E7813" s="39"/>
    </row>
    <row r="7814" spans="1:5" ht="15.6">
      <c r="A7814">
        <v>7759</v>
      </c>
      <c r="B7814" s="166">
        <v>90.031172216620774</v>
      </c>
      <c r="D7814" s="39"/>
      <c r="E7814" s="39"/>
    </row>
    <row r="7815" spans="1:5" ht="15.6">
      <c r="A7815">
        <v>7760</v>
      </c>
      <c r="B7815" s="166">
        <v>70.112120527770614</v>
      </c>
      <c r="D7815" s="39"/>
      <c r="E7815" s="39"/>
    </row>
    <row r="7816" spans="1:5" ht="15.6">
      <c r="A7816">
        <v>7761</v>
      </c>
      <c r="B7816" s="166">
        <v>78.34018303824152</v>
      </c>
      <c r="D7816" s="39"/>
      <c r="E7816" s="39"/>
    </row>
    <row r="7817" spans="1:5" ht="15.6">
      <c r="A7817">
        <v>7762</v>
      </c>
      <c r="B7817" s="166">
        <v>107.85750463618412</v>
      </c>
      <c r="D7817" s="39"/>
      <c r="E7817" s="39"/>
    </row>
    <row r="7818" spans="1:5" ht="15.6">
      <c r="A7818">
        <v>7763</v>
      </c>
      <c r="B7818" s="166">
        <v>225.67912558752738</v>
      </c>
      <c r="D7818" s="39"/>
      <c r="E7818" s="39"/>
    </row>
    <row r="7819" spans="1:5" ht="15.6">
      <c r="A7819">
        <v>7764</v>
      </c>
      <c r="B7819" s="166">
        <v>75.576660851744421</v>
      </c>
      <c r="D7819" s="39"/>
      <c r="E7819" s="39"/>
    </row>
    <row r="7820" spans="1:5" ht="15.6">
      <c r="A7820">
        <v>7765</v>
      </c>
      <c r="B7820" s="166">
        <v>46.817755630673865</v>
      </c>
      <c r="D7820" s="39"/>
      <c r="E7820" s="39"/>
    </row>
    <row r="7821" spans="1:5" ht="15.6">
      <c r="A7821">
        <v>7766</v>
      </c>
      <c r="B7821" s="166">
        <v>157.47752015327748</v>
      </c>
      <c r="D7821" s="39"/>
      <c r="E7821" s="39"/>
    </row>
    <row r="7822" spans="1:5" ht="15.6">
      <c r="A7822">
        <v>7767</v>
      </c>
      <c r="B7822" s="166">
        <v>108.1255128720579</v>
      </c>
      <c r="D7822" s="39"/>
      <c r="E7822" s="39"/>
    </row>
    <row r="7823" spans="1:5" ht="15.6">
      <c r="A7823">
        <v>7768</v>
      </c>
      <c r="B7823" s="166">
        <v>76.256897231236749</v>
      </c>
      <c r="D7823" s="39"/>
      <c r="E7823" s="39"/>
    </row>
    <row r="7824" spans="1:5" ht="15.6">
      <c r="A7824">
        <v>7769</v>
      </c>
      <c r="B7824" s="166">
        <v>93.805318004754767</v>
      </c>
      <c r="D7824" s="39"/>
      <c r="E7824" s="39"/>
    </row>
    <row r="7825" spans="1:5" ht="15.6">
      <c r="A7825">
        <v>7770</v>
      </c>
      <c r="B7825" s="166">
        <v>156.47478954260976</v>
      </c>
      <c r="D7825" s="39"/>
      <c r="E7825" s="39"/>
    </row>
    <row r="7826" spans="1:5" ht="15.6">
      <c r="A7826">
        <v>7771</v>
      </c>
      <c r="B7826" s="166">
        <v>98.101760487313754</v>
      </c>
      <c r="D7826" s="39"/>
      <c r="E7826" s="39"/>
    </row>
    <row r="7827" spans="1:5" ht="15.6">
      <c r="A7827">
        <v>7772</v>
      </c>
      <c r="B7827" s="166">
        <v>75.350988626772065</v>
      </c>
      <c r="D7827" s="39"/>
      <c r="E7827" s="39"/>
    </row>
    <row r="7828" spans="1:5" ht="15.6">
      <c r="A7828">
        <v>7773</v>
      </c>
      <c r="B7828" s="166">
        <v>167.44993713067609</v>
      </c>
      <c r="D7828" s="39"/>
      <c r="E7828" s="39"/>
    </row>
    <row r="7829" spans="1:5" ht="15.6">
      <c r="A7829">
        <v>7774</v>
      </c>
      <c r="B7829" s="166">
        <v>117.51012446825956</v>
      </c>
      <c r="D7829" s="39"/>
      <c r="E7829" s="39"/>
    </row>
    <row r="7830" spans="1:5" ht="15.6">
      <c r="A7830">
        <v>7775</v>
      </c>
      <c r="B7830" s="166">
        <v>102.48092536913761</v>
      </c>
      <c r="D7830" s="39"/>
      <c r="E7830" s="39"/>
    </row>
    <row r="7831" spans="1:5" ht="15.6">
      <c r="A7831">
        <v>7776</v>
      </c>
      <c r="B7831" s="166">
        <v>131.25920603422475</v>
      </c>
      <c r="D7831" s="39"/>
      <c r="E7831" s="39"/>
    </row>
    <row r="7832" spans="1:5" ht="15.6">
      <c r="A7832">
        <v>7777</v>
      </c>
      <c r="B7832" s="166">
        <v>107.91113301980248</v>
      </c>
      <c r="D7832" s="39"/>
      <c r="E7832" s="39"/>
    </row>
    <row r="7833" spans="1:5" ht="15.6">
      <c r="A7833">
        <v>7778</v>
      </c>
      <c r="B7833" s="166">
        <v>68.485976599033165</v>
      </c>
      <c r="D7833" s="39"/>
      <c r="E7833" s="39"/>
    </row>
    <row r="7834" spans="1:5" ht="15.6">
      <c r="A7834">
        <v>7779</v>
      </c>
      <c r="B7834" s="166">
        <v>65.644599808393551</v>
      </c>
      <c r="D7834" s="39"/>
      <c r="E7834" s="39"/>
    </row>
    <row r="7835" spans="1:5" ht="15.6">
      <c r="A7835">
        <v>7780</v>
      </c>
      <c r="B7835" s="166">
        <v>96.64173813787886</v>
      </c>
      <c r="D7835" s="39"/>
      <c r="E7835" s="39"/>
    </row>
    <row r="7836" spans="1:5" ht="15.6">
      <c r="A7836">
        <v>7781</v>
      </c>
      <c r="B7836" s="166">
        <v>142.29630846549051</v>
      </c>
      <c r="D7836" s="39"/>
      <c r="E7836" s="39"/>
    </row>
    <row r="7837" spans="1:5" ht="15.6">
      <c r="A7837">
        <v>7782</v>
      </c>
      <c r="B7837" s="166">
        <v>50.666629360207118</v>
      </c>
      <c r="D7837" s="39"/>
      <c r="E7837" s="39"/>
    </row>
    <row r="7838" spans="1:5" ht="15.6">
      <c r="A7838">
        <v>7783</v>
      </c>
      <c r="B7838" s="166">
        <v>177.21326257598687</v>
      </c>
      <c r="D7838" s="39"/>
      <c r="E7838" s="39"/>
    </row>
    <row r="7839" spans="1:5" ht="15.6">
      <c r="A7839">
        <v>7784</v>
      </c>
      <c r="B7839" s="166">
        <v>177.95313246895657</v>
      </c>
      <c r="D7839" s="39"/>
      <c r="E7839" s="39"/>
    </row>
    <row r="7840" spans="1:5" ht="15.6">
      <c r="A7840">
        <v>7785</v>
      </c>
      <c r="B7840" s="166">
        <v>111.04259850475164</v>
      </c>
      <c r="D7840" s="39"/>
      <c r="E7840" s="39"/>
    </row>
    <row r="7841" spans="1:5" ht="15.6">
      <c r="A7841">
        <v>7786</v>
      </c>
      <c r="B7841" s="166">
        <v>82.678419549150647</v>
      </c>
      <c r="D7841" s="39"/>
      <c r="E7841" s="39"/>
    </row>
    <row r="7842" spans="1:5" ht="15.6">
      <c r="A7842">
        <v>7787</v>
      </c>
      <c r="B7842" s="166">
        <v>82.170675667152878</v>
      </c>
      <c r="D7842" s="39"/>
      <c r="E7842" s="39"/>
    </row>
    <row r="7843" spans="1:5" ht="15.6">
      <c r="A7843">
        <v>7788</v>
      </c>
      <c r="B7843" s="166">
        <v>78.308949896587151</v>
      </c>
      <c r="D7843" s="39"/>
      <c r="E7843" s="39"/>
    </row>
    <row r="7844" spans="1:5" ht="15.6">
      <c r="A7844">
        <v>7789</v>
      </c>
      <c r="B7844" s="166">
        <v>73.560204600400297</v>
      </c>
      <c r="D7844" s="39"/>
      <c r="E7844" s="39"/>
    </row>
    <row r="7845" spans="1:5" ht="15.6">
      <c r="A7845">
        <v>7790</v>
      </c>
      <c r="B7845" s="166">
        <v>135.69970149665764</v>
      </c>
      <c r="D7845" s="39"/>
      <c r="E7845" s="39"/>
    </row>
    <row r="7846" spans="1:5" ht="15.6">
      <c r="A7846">
        <v>7791</v>
      </c>
      <c r="B7846" s="166">
        <v>135.46420946171844</v>
      </c>
      <c r="D7846" s="39"/>
      <c r="E7846" s="39"/>
    </row>
    <row r="7847" spans="1:5" ht="15.6">
      <c r="A7847">
        <v>7792</v>
      </c>
      <c r="B7847" s="166">
        <v>118.41389373106364</v>
      </c>
      <c r="D7847" s="39"/>
      <c r="E7847" s="39"/>
    </row>
    <row r="7848" spans="1:5" ht="15.6">
      <c r="A7848">
        <v>7793</v>
      </c>
      <c r="B7848" s="166">
        <v>164.56700566012779</v>
      </c>
      <c r="D7848" s="39"/>
      <c r="E7848" s="39"/>
    </row>
    <row r="7849" spans="1:5" ht="15.6">
      <c r="A7849">
        <v>7794</v>
      </c>
      <c r="B7849" s="166">
        <v>87.630517957997142</v>
      </c>
      <c r="D7849" s="39"/>
      <c r="E7849" s="39"/>
    </row>
    <row r="7850" spans="1:5" ht="15.6">
      <c r="A7850">
        <v>7795</v>
      </c>
      <c r="B7850" s="166">
        <v>106.99468657690134</v>
      </c>
      <c r="D7850" s="39"/>
      <c r="E7850" s="39"/>
    </row>
    <row r="7851" spans="1:5" ht="15.6">
      <c r="A7851">
        <v>7796</v>
      </c>
      <c r="B7851" s="166">
        <v>83.470696606329454</v>
      </c>
      <c r="D7851" s="39"/>
      <c r="E7851" s="39"/>
    </row>
    <row r="7852" spans="1:5" ht="15.6">
      <c r="A7852">
        <v>7797</v>
      </c>
      <c r="B7852" s="166">
        <v>77.029793944628139</v>
      </c>
      <c r="D7852" s="39"/>
      <c r="E7852" s="39"/>
    </row>
    <row r="7853" spans="1:5" ht="15.6">
      <c r="A7853">
        <v>7798</v>
      </c>
      <c r="B7853" s="166">
        <v>93.629483490980064</v>
      </c>
      <c r="D7853" s="39"/>
      <c r="E7853" s="39"/>
    </row>
    <row r="7854" spans="1:5" ht="15.6">
      <c r="A7854">
        <v>7799</v>
      </c>
      <c r="B7854" s="166">
        <v>108.37470606563079</v>
      </c>
      <c r="D7854" s="39"/>
      <c r="E7854" s="39"/>
    </row>
    <row r="7855" spans="1:5" ht="15.6">
      <c r="A7855">
        <v>7800</v>
      </c>
      <c r="B7855" s="166">
        <v>87.864672232771639</v>
      </c>
      <c r="D7855" s="39"/>
      <c r="E7855" s="39"/>
    </row>
    <row r="7856" spans="1:5" ht="15.6">
      <c r="A7856">
        <v>7801</v>
      </c>
      <c r="B7856" s="166">
        <v>58.883839029605781</v>
      </c>
      <c r="D7856" s="39"/>
      <c r="E7856" s="39"/>
    </row>
    <row r="7857" spans="1:5" ht="15.6">
      <c r="A7857">
        <v>7802</v>
      </c>
      <c r="B7857" s="166">
        <v>74.174112302826089</v>
      </c>
      <c r="D7857" s="39"/>
      <c r="E7857" s="39"/>
    </row>
    <row r="7858" spans="1:5" ht="15.6">
      <c r="A7858">
        <v>7803</v>
      </c>
      <c r="B7858" s="166">
        <v>79.168376991978491</v>
      </c>
      <c r="D7858" s="39"/>
      <c r="E7858" s="39"/>
    </row>
    <row r="7859" spans="1:5" ht="15.6">
      <c r="A7859">
        <v>7804</v>
      </c>
      <c r="B7859" s="166">
        <v>101.84696736976579</v>
      </c>
      <c r="D7859" s="39"/>
      <c r="E7859" s="39"/>
    </row>
    <row r="7860" spans="1:5" ht="15.6">
      <c r="A7860">
        <v>7805</v>
      </c>
      <c r="B7860" s="166">
        <v>118.18521770767603</v>
      </c>
      <c r="D7860" s="39"/>
      <c r="E7860" s="39"/>
    </row>
    <row r="7861" spans="1:5" ht="15.6">
      <c r="A7861">
        <v>7806</v>
      </c>
      <c r="B7861" s="166">
        <v>69.207006695168005</v>
      </c>
      <c r="D7861" s="39"/>
      <c r="E7861" s="39"/>
    </row>
    <row r="7862" spans="1:5" ht="15.6">
      <c r="A7862">
        <v>7807</v>
      </c>
      <c r="B7862" s="166">
        <v>200.94678389032504</v>
      </c>
      <c r="D7862" s="39"/>
      <c r="E7862" s="39"/>
    </row>
    <row r="7863" spans="1:5" ht="15.6">
      <c r="A7863">
        <v>7808</v>
      </c>
      <c r="B7863" s="166">
        <v>115.60096600577806</v>
      </c>
      <c r="D7863" s="39"/>
      <c r="E7863" s="39"/>
    </row>
    <row r="7864" spans="1:5" ht="15.6">
      <c r="A7864">
        <v>7809</v>
      </c>
      <c r="B7864" s="166">
        <v>89.921403498263075</v>
      </c>
      <c r="D7864" s="39"/>
      <c r="E7864" s="39"/>
    </row>
    <row r="7865" spans="1:5" ht="15.6">
      <c r="A7865">
        <v>7810</v>
      </c>
      <c r="B7865" s="166">
        <v>60.933924260250365</v>
      </c>
      <c r="D7865" s="39"/>
      <c r="E7865" s="39"/>
    </row>
    <row r="7866" spans="1:5" ht="15.6">
      <c r="A7866">
        <v>7811</v>
      </c>
      <c r="B7866" s="166">
        <v>109.93831658417223</v>
      </c>
      <c r="D7866" s="39"/>
      <c r="E7866" s="39"/>
    </row>
    <row r="7867" spans="1:5" ht="15.6">
      <c r="A7867">
        <v>7812</v>
      </c>
      <c r="B7867" s="166">
        <v>112.57530957505953</v>
      </c>
      <c r="D7867" s="39"/>
      <c r="E7867" s="39"/>
    </row>
    <row r="7868" spans="1:5" ht="15.6">
      <c r="A7868">
        <v>7813</v>
      </c>
      <c r="B7868" s="166">
        <v>76.570544522140679</v>
      </c>
      <c r="D7868" s="39"/>
      <c r="E7868" s="39"/>
    </row>
    <row r="7869" spans="1:5" ht="15.6">
      <c r="A7869">
        <v>7814</v>
      </c>
      <c r="B7869" s="166">
        <v>103.99852086811156</v>
      </c>
      <c r="D7869" s="39"/>
      <c r="E7869" s="39"/>
    </row>
    <row r="7870" spans="1:5" ht="15.6">
      <c r="A7870">
        <v>7815</v>
      </c>
      <c r="B7870" s="166">
        <v>135.71340800461417</v>
      </c>
      <c r="D7870" s="39"/>
      <c r="E7870" s="39"/>
    </row>
    <row r="7871" spans="1:5" ht="15.6">
      <c r="A7871">
        <v>7816</v>
      </c>
      <c r="B7871" s="166">
        <v>62.832538972292554</v>
      </c>
      <c r="D7871" s="39"/>
      <c r="E7871" s="39"/>
    </row>
    <row r="7872" spans="1:5" ht="15.6">
      <c r="A7872">
        <v>7817</v>
      </c>
      <c r="B7872" s="166">
        <v>101.02400671335883</v>
      </c>
      <c r="D7872" s="39"/>
      <c r="E7872" s="39"/>
    </row>
    <row r="7873" spans="1:5" ht="15.6">
      <c r="A7873">
        <v>7818</v>
      </c>
      <c r="B7873" s="166">
        <v>160.47783833145425</v>
      </c>
      <c r="D7873" s="39"/>
      <c r="E7873" s="39"/>
    </row>
    <row r="7874" spans="1:5" ht="15.6">
      <c r="A7874">
        <v>7819</v>
      </c>
      <c r="B7874" s="166">
        <v>274.1287914625953</v>
      </c>
      <c r="D7874" s="39"/>
      <c r="E7874" s="39"/>
    </row>
    <row r="7875" spans="1:5" ht="15.6">
      <c r="A7875">
        <v>7820</v>
      </c>
      <c r="B7875" s="166">
        <v>90.736230410762644</v>
      </c>
      <c r="D7875" s="39"/>
      <c r="E7875" s="39"/>
    </row>
    <row r="7876" spans="1:5" ht="15.6">
      <c r="A7876">
        <v>7821</v>
      </c>
      <c r="B7876" s="166">
        <v>104.56784990828442</v>
      </c>
      <c r="D7876" s="39"/>
      <c r="E7876" s="39"/>
    </row>
    <row r="7877" spans="1:5" ht="15.6">
      <c r="A7877">
        <v>7822</v>
      </c>
      <c r="B7877" s="166">
        <v>167.70564513174534</v>
      </c>
      <c r="D7877" s="39"/>
      <c r="E7877" s="39"/>
    </row>
    <row r="7878" spans="1:5" ht="15.6">
      <c r="A7878">
        <v>7823</v>
      </c>
      <c r="B7878" s="166">
        <v>71.960731143793055</v>
      </c>
      <c r="D7878" s="39"/>
      <c r="E7878" s="39"/>
    </row>
    <row r="7879" spans="1:5" ht="15.6">
      <c r="A7879">
        <v>7824</v>
      </c>
      <c r="B7879" s="166">
        <v>145.75024478363241</v>
      </c>
      <c r="D7879" s="39"/>
      <c r="E7879" s="39"/>
    </row>
    <row r="7880" spans="1:5" ht="15.6">
      <c r="A7880">
        <v>7825</v>
      </c>
      <c r="B7880" s="166">
        <v>72.680085845881919</v>
      </c>
      <c r="D7880" s="39"/>
      <c r="E7880" s="39"/>
    </row>
    <row r="7881" spans="1:5" ht="15.6">
      <c r="A7881">
        <v>7826</v>
      </c>
      <c r="B7881" s="166">
        <v>128.36931782513574</v>
      </c>
      <c r="D7881" s="39"/>
      <c r="E7881" s="39"/>
    </row>
    <row r="7882" spans="1:5" ht="15.6">
      <c r="A7882">
        <v>7827</v>
      </c>
      <c r="B7882" s="166">
        <v>105.26420222479209</v>
      </c>
      <c r="D7882" s="39"/>
      <c r="E7882" s="39"/>
    </row>
    <row r="7883" spans="1:5" ht="15.6">
      <c r="A7883">
        <v>7828</v>
      </c>
      <c r="B7883" s="166">
        <v>214.95431409486599</v>
      </c>
      <c r="D7883" s="39"/>
      <c r="E7883" s="39"/>
    </row>
    <row r="7884" spans="1:5" ht="15.6">
      <c r="A7884">
        <v>7829</v>
      </c>
      <c r="B7884" s="166">
        <v>188.73112083266838</v>
      </c>
      <c r="D7884" s="39"/>
      <c r="E7884" s="39"/>
    </row>
    <row r="7885" spans="1:5" ht="15.6">
      <c r="A7885">
        <v>7830</v>
      </c>
      <c r="B7885" s="166">
        <v>91.644169129720524</v>
      </c>
      <c r="D7885" s="39"/>
      <c r="E7885" s="39"/>
    </row>
    <row r="7886" spans="1:5" ht="15.6">
      <c r="A7886">
        <v>7831</v>
      </c>
      <c r="B7886" s="166">
        <v>116.12111134826455</v>
      </c>
      <c r="D7886" s="39"/>
      <c r="E7886" s="39"/>
    </row>
    <row r="7887" spans="1:5" ht="15.6">
      <c r="A7887">
        <v>7832</v>
      </c>
      <c r="B7887" s="166">
        <v>121.76720499521655</v>
      </c>
      <c r="D7887" s="39"/>
      <c r="E7887" s="39"/>
    </row>
    <row r="7888" spans="1:5" ht="15.6">
      <c r="A7888">
        <v>7833</v>
      </c>
      <c r="B7888" s="166">
        <v>120.413930862401</v>
      </c>
      <c r="D7888" s="39"/>
      <c r="E7888" s="39"/>
    </row>
    <row r="7889" spans="1:5" ht="15.6">
      <c r="A7889">
        <v>7834</v>
      </c>
      <c r="B7889" s="166">
        <v>156.02699001149568</v>
      </c>
      <c r="D7889" s="39"/>
      <c r="E7889" s="39"/>
    </row>
    <row r="7890" spans="1:5" ht="15.6">
      <c r="A7890">
        <v>7835</v>
      </c>
      <c r="B7890" s="166">
        <v>83.993364602868681</v>
      </c>
      <c r="D7890" s="39"/>
      <c r="E7890" s="39"/>
    </row>
    <row r="7891" spans="1:5" ht="15.6">
      <c r="A7891">
        <v>7836</v>
      </c>
      <c r="B7891" s="166">
        <v>146.82664495647117</v>
      </c>
      <c r="D7891" s="39"/>
      <c r="E7891" s="39"/>
    </row>
    <row r="7892" spans="1:5" ht="15.6">
      <c r="A7892">
        <v>7837</v>
      </c>
      <c r="B7892" s="166">
        <v>68.186841962862999</v>
      </c>
      <c r="D7892" s="39"/>
      <c r="E7892" s="39"/>
    </row>
    <row r="7893" spans="1:5" ht="15.6">
      <c r="A7893">
        <v>7838</v>
      </c>
      <c r="B7893" s="166">
        <v>116.1553556760132</v>
      </c>
      <c r="D7893" s="39"/>
      <c r="E7893" s="39"/>
    </row>
    <row r="7894" spans="1:5" ht="15.6">
      <c r="A7894">
        <v>7839</v>
      </c>
      <c r="B7894" s="166">
        <v>218.93475690909881</v>
      </c>
      <c r="D7894" s="39"/>
      <c r="E7894" s="39"/>
    </row>
    <row r="7895" spans="1:5" ht="15.6">
      <c r="A7895">
        <v>7840</v>
      </c>
      <c r="B7895" s="166">
        <v>73.335192447681479</v>
      </c>
      <c r="D7895" s="39"/>
      <c r="E7895" s="39"/>
    </row>
    <row r="7896" spans="1:5" ht="15.6">
      <c r="A7896">
        <v>7841</v>
      </c>
      <c r="B7896" s="166">
        <v>61.683818744723325</v>
      </c>
      <c r="D7896" s="39"/>
      <c r="E7896" s="39"/>
    </row>
    <row r="7897" spans="1:5" ht="15.6">
      <c r="A7897">
        <v>7842</v>
      </c>
      <c r="B7897" s="166">
        <v>75.930875990039041</v>
      </c>
      <c r="D7897" s="39"/>
      <c r="E7897" s="39"/>
    </row>
    <row r="7898" spans="1:5" ht="15.6">
      <c r="A7898">
        <v>7843</v>
      </c>
      <c r="B7898" s="166">
        <v>76.509358064172176</v>
      </c>
      <c r="D7898" s="39"/>
      <c r="E7898" s="39"/>
    </row>
    <row r="7899" spans="1:5" ht="15.6">
      <c r="A7899">
        <v>7844</v>
      </c>
      <c r="B7899" s="166">
        <v>80.218022538363755</v>
      </c>
      <c r="D7899" s="39"/>
      <c r="E7899" s="39"/>
    </row>
    <row r="7900" spans="1:5" ht="15.6">
      <c r="A7900">
        <v>7845</v>
      </c>
      <c r="B7900" s="166">
        <v>115.22307192692362</v>
      </c>
      <c r="D7900" s="39"/>
      <c r="E7900" s="39"/>
    </row>
    <row r="7901" spans="1:5" ht="15.6">
      <c r="A7901">
        <v>7846</v>
      </c>
      <c r="B7901" s="166">
        <v>148.5194931502225</v>
      </c>
      <c r="D7901" s="39"/>
      <c r="E7901" s="39"/>
    </row>
    <row r="7902" spans="1:5" ht="15.6">
      <c r="A7902">
        <v>7847</v>
      </c>
      <c r="B7902" s="166">
        <v>314.14005705326616</v>
      </c>
      <c r="D7902" s="39"/>
      <c r="E7902" s="39"/>
    </row>
    <row r="7903" spans="1:5" ht="15.6">
      <c r="A7903">
        <v>7848</v>
      </c>
      <c r="B7903" s="166">
        <v>132.80999796691032</v>
      </c>
      <c r="D7903" s="39"/>
      <c r="E7903" s="39"/>
    </row>
    <row r="7904" spans="1:5" ht="15.6">
      <c r="A7904">
        <v>7849</v>
      </c>
      <c r="B7904" s="166">
        <v>111.99895916894177</v>
      </c>
      <c r="D7904" s="39"/>
      <c r="E7904" s="39"/>
    </row>
    <row r="7905" spans="1:5" ht="15.6">
      <c r="A7905">
        <v>7850</v>
      </c>
      <c r="B7905" s="166">
        <v>134.29904077131602</v>
      </c>
      <c r="D7905" s="39"/>
      <c r="E7905" s="39"/>
    </row>
    <row r="7906" spans="1:5" ht="15.6">
      <c r="A7906">
        <v>7851</v>
      </c>
      <c r="B7906" s="166">
        <v>70.007907148189062</v>
      </c>
      <c r="D7906" s="39"/>
      <c r="E7906" s="39"/>
    </row>
    <row r="7907" spans="1:5" ht="15.6">
      <c r="A7907">
        <v>7852</v>
      </c>
      <c r="B7907" s="166">
        <v>56.303479019506064</v>
      </c>
      <c r="D7907" s="39"/>
      <c r="E7907" s="39"/>
    </row>
    <row r="7908" spans="1:5" ht="15.6">
      <c r="A7908">
        <v>7853</v>
      </c>
      <c r="B7908" s="166">
        <v>108.88438270004076</v>
      </c>
      <c r="D7908" s="39"/>
      <c r="E7908" s="39"/>
    </row>
    <row r="7909" spans="1:5" ht="15.6">
      <c r="A7909">
        <v>7854</v>
      </c>
      <c r="B7909" s="166">
        <v>94.851760334039611</v>
      </c>
      <c r="D7909" s="39"/>
      <c r="E7909" s="39"/>
    </row>
    <row r="7910" spans="1:5" ht="15.6">
      <c r="A7910">
        <v>7855</v>
      </c>
      <c r="B7910" s="166">
        <v>122.77221727172252</v>
      </c>
      <c r="D7910" s="39"/>
      <c r="E7910" s="39"/>
    </row>
    <row r="7911" spans="1:5" ht="15.6">
      <c r="A7911">
        <v>7856</v>
      </c>
      <c r="B7911" s="166">
        <v>128.49207424917333</v>
      </c>
      <c r="D7911" s="39"/>
      <c r="E7911" s="39"/>
    </row>
    <row r="7912" spans="1:5" ht="15.6">
      <c r="A7912">
        <v>7857</v>
      </c>
      <c r="B7912" s="166">
        <v>51.641472395102944</v>
      </c>
      <c r="D7912" s="39"/>
      <c r="E7912" s="39"/>
    </row>
    <row r="7913" spans="1:5" ht="15.6">
      <c r="A7913">
        <v>7858</v>
      </c>
      <c r="B7913" s="166">
        <v>135.46384763716111</v>
      </c>
      <c r="D7913" s="39"/>
      <c r="E7913" s="39"/>
    </row>
    <row r="7914" spans="1:5" ht="15.6">
      <c r="A7914">
        <v>7859</v>
      </c>
      <c r="B7914" s="166">
        <v>93.312101891842531</v>
      </c>
      <c r="D7914" s="39"/>
      <c r="E7914" s="39"/>
    </row>
    <row r="7915" spans="1:5" ht="15.6">
      <c r="A7915">
        <v>7860</v>
      </c>
      <c r="B7915" s="166">
        <v>219.24795431265613</v>
      </c>
      <c r="D7915" s="39"/>
      <c r="E7915" s="39"/>
    </row>
    <row r="7916" spans="1:5" ht="15.6">
      <c r="A7916">
        <v>7861</v>
      </c>
      <c r="B7916" s="166">
        <v>111.169373519319</v>
      </c>
      <c r="D7916" s="39"/>
      <c r="E7916" s="39"/>
    </row>
    <row r="7917" spans="1:5" ht="15.6">
      <c r="A7917">
        <v>7862</v>
      </c>
      <c r="B7917" s="166">
        <v>62.936434794702016</v>
      </c>
      <c r="D7917" s="39"/>
      <c r="E7917" s="39"/>
    </row>
    <row r="7918" spans="1:5" ht="15.6">
      <c r="A7918">
        <v>7863</v>
      </c>
      <c r="B7918" s="166">
        <v>63.506009752218304</v>
      </c>
      <c r="D7918" s="39"/>
      <c r="E7918" s="39"/>
    </row>
    <row r="7919" spans="1:5" ht="15.6">
      <c r="A7919">
        <v>7864</v>
      </c>
      <c r="B7919" s="166">
        <v>167.28009959278199</v>
      </c>
      <c r="D7919" s="39"/>
      <c r="E7919" s="39"/>
    </row>
    <row r="7920" spans="1:5" ht="15.6">
      <c r="A7920">
        <v>7865</v>
      </c>
      <c r="B7920" s="166">
        <v>71.904752714591723</v>
      </c>
      <c r="D7920" s="39"/>
      <c r="E7920" s="39"/>
    </row>
    <row r="7921" spans="1:5" ht="15.6">
      <c r="A7921">
        <v>7866</v>
      </c>
      <c r="B7921" s="166">
        <v>121.83241139300225</v>
      </c>
      <c r="D7921" s="39"/>
      <c r="E7921" s="39"/>
    </row>
    <row r="7922" spans="1:5" ht="15.6">
      <c r="A7922">
        <v>7867</v>
      </c>
      <c r="B7922" s="166">
        <v>197.52667696543293</v>
      </c>
      <c r="D7922" s="39"/>
      <c r="E7922" s="39"/>
    </row>
    <row r="7923" spans="1:5" ht="15.6">
      <c r="A7923">
        <v>7868</v>
      </c>
      <c r="B7923" s="166">
        <v>101.46331211452265</v>
      </c>
      <c r="D7923" s="39"/>
      <c r="E7923" s="39"/>
    </row>
    <row r="7924" spans="1:5" ht="15.6">
      <c r="A7924">
        <v>7869</v>
      </c>
      <c r="B7924" s="166">
        <v>156.8274911930821</v>
      </c>
      <c r="D7924" s="39"/>
      <c r="E7924" s="39"/>
    </row>
    <row r="7925" spans="1:5" ht="15.6">
      <c r="A7925">
        <v>7870</v>
      </c>
      <c r="B7925" s="166">
        <v>185.35272467497765</v>
      </c>
      <c r="D7925" s="39"/>
      <c r="E7925" s="39"/>
    </row>
    <row r="7926" spans="1:5" ht="15.6">
      <c r="A7926">
        <v>7871</v>
      </c>
      <c r="B7926" s="166">
        <v>73.487289775609199</v>
      </c>
      <c r="D7926" s="39"/>
      <c r="E7926" s="39"/>
    </row>
    <row r="7927" spans="1:5" ht="15.6">
      <c r="A7927">
        <v>7872</v>
      </c>
      <c r="B7927" s="166">
        <v>123.84624409490485</v>
      </c>
      <c r="D7927" s="39"/>
      <c r="E7927" s="39"/>
    </row>
    <row r="7928" spans="1:5" ht="15.6">
      <c r="A7928">
        <v>7873</v>
      </c>
      <c r="B7928" s="166">
        <v>66.226695257054288</v>
      </c>
      <c r="D7928" s="39"/>
      <c r="E7928" s="39"/>
    </row>
    <row r="7929" spans="1:5" ht="15.6">
      <c r="A7929">
        <v>7874</v>
      </c>
      <c r="B7929" s="166">
        <v>174.30000590518543</v>
      </c>
      <c r="D7929" s="39"/>
      <c r="E7929" s="39"/>
    </row>
    <row r="7930" spans="1:5" ht="15.6">
      <c r="A7930">
        <v>7875</v>
      </c>
      <c r="B7930" s="166">
        <v>79.353909004069948</v>
      </c>
      <c r="D7930" s="39"/>
      <c r="E7930" s="39"/>
    </row>
    <row r="7931" spans="1:5" ht="15.6">
      <c r="A7931">
        <v>7876</v>
      </c>
      <c r="B7931" s="166">
        <v>94.431815027542896</v>
      </c>
      <c r="D7931" s="39"/>
      <c r="E7931" s="39"/>
    </row>
    <row r="7932" spans="1:5" ht="15.6">
      <c r="A7932">
        <v>7877</v>
      </c>
      <c r="B7932" s="166">
        <v>175.47677693650783</v>
      </c>
      <c r="D7932" s="39"/>
      <c r="E7932" s="39"/>
    </row>
    <row r="7933" spans="1:5" ht="15.6">
      <c r="A7933">
        <v>7878</v>
      </c>
      <c r="B7933" s="166">
        <v>86.332028320102495</v>
      </c>
      <c r="D7933" s="39"/>
      <c r="E7933" s="39"/>
    </row>
    <row r="7934" spans="1:5" ht="15.6">
      <c r="A7934">
        <v>7879</v>
      </c>
      <c r="B7934" s="166">
        <v>78.671988427636819</v>
      </c>
      <c r="D7934" s="39"/>
      <c r="E7934" s="39"/>
    </row>
    <row r="7935" spans="1:5" ht="15.6">
      <c r="A7935">
        <v>7880</v>
      </c>
      <c r="B7935" s="166">
        <v>163.26118734703334</v>
      </c>
      <c r="D7935" s="39"/>
      <c r="E7935" s="39"/>
    </row>
    <row r="7936" spans="1:5" ht="15.6">
      <c r="A7936">
        <v>7881</v>
      </c>
      <c r="B7936" s="166">
        <v>145.58202678551709</v>
      </c>
      <c r="D7936" s="39"/>
      <c r="E7936" s="39"/>
    </row>
    <row r="7937" spans="1:5" ht="15.6">
      <c r="A7937">
        <v>7882</v>
      </c>
      <c r="B7937" s="166">
        <v>92.346092376841924</v>
      </c>
      <c r="D7937" s="39"/>
      <c r="E7937" s="39"/>
    </row>
    <row r="7938" spans="1:5" ht="15.6">
      <c r="A7938">
        <v>7883</v>
      </c>
      <c r="B7938" s="166">
        <v>65.950081197789345</v>
      </c>
      <c r="D7938" s="39"/>
      <c r="E7938" s="39"/>
    </row>
    <row r="7939" spans="1:5" ht="15.6">
      <c r="A7939">
        <v>7884</v>
      </c>
      <c r="B7939" s="166">
        <v>145.60517017388392</v>
      </c>
      <c r="D7939" s="39"/>
      <c r="E7939" s="39"/>
    </row>
    <row r="7940" spans="1:5" ht="15.6">
      <c r="A7940">
        <v>7885</v>
      </c>
      <c r="B7940" s="166">
        <v>81.609900851287236</v>
      </c>
      <c r="D7940" s="39"/>
      <c r="E7940" s="39"/>
    </row>
    <row r="7941" spans="1:5" ht="15.6">
      <c r="A7941">
        <v>7886</v>
      </c>
      <c r="B7941" s="166">
        <v>146.12389361391192</v>
      </c>
      <c r="D7941" s="39"/>
      <c r="E7941" s="39"/>
    </row>
    <row r="7942" spans="1:5" ht="15.6">
      <c r="A7942">
        <v>7887</v>
      </c>
      <c r="B7942" s="166">
        <v>187.75786950474529</v>
      </c>
      <c r="D7942" s="39"/>
      <c r="E7942" s="39"/>
    </row>
    <row r="7943" spans="1:5" ht="15.6">
      <c r="A7943">
        <v>7888</v>
      </c>
      <c r="B7943" s="166">
        <v>60.992158546688636</v>
      </c>
      <c r="D7943" s="39"/>
      <c r="E7943" s="39"/>
    </row>
    <row r="7944" spans="1:5" ht="15.6">
      <c r="A7944">
        <v>7889</v>
      </c>
      <c r="B7944" s="166">
        <v>105.37573002244733</v>
      </c>
      <c r="D7944" s="39"/>
      <c r="E7944" s="39"/>
    </row>
    <row r="7945" spans="1:5" ht="15.6">
      <c r="A7945">
        <v>7890</v>
      </c>
      <c r="B7945" s="166">
        <v>165.35586025787239</v>
      </c>
      <c r="D7945" s="39"/>
      <c r="E7945" s="39"/>
    </row>
    <row r="7946" spans="1:5" ht="15.6">
      <c r="A7946">
        <v>7891</v>
      </c>
      <c r="B7946" s="166">
        <v>81.828890038069432</v>
      </c>
      <c r="D7946" s="39"/>
      <c r="E7946" s="39"/>
    </row>
    <row r="7947" spans="1:5" ht="15.6">
      <c r="A7947">
        <v>7892</v>
      </c>
      <c r="B7947" s="166">
        <v>109.41777512639456</v>
      </c>
      <c r="D7947" s="39"/>
      <c r="E7947" s="39"/>
    </row>
    <row r="7948" spans="1:5" ht="15.6">
      <c r="A7948">
        <v>7893</v>
      </c>
      <c r="B7948" s="166">
        <v>107.47692457095832</v>
      </c>
      <c r="D7948" s="39"/>
      <c r="E7948" s="39"/>
    </row>
    <row r="7949" spans="1:5" ht="15.6">
      <c r="A7949">
        <v>7894</v>
      </c>
      <c r="B7949" s="166">
        <v>148.6553222471635</v>
      </c>
      <c r="D7949" s="39"/>
      <c r="E7949" s="39"/>
    </row>
    <row r="7950" spans="1:5" ht="15.6">
      <c r="A7950">
        <v>7895</v>
      </c>
      <c r="B7950" s="166">
        <v>115.56255876277312</v>
      </c>
      <c r="D7950" s="39"/>
      <c r="E7950" s="39"/>
    </row>
    <row r="7951" spans="1:5" ht="15.6">
      <c r="A7951">
        <v>7896</v>
      </c>
      <c r="B7951" s="166">
        <v>71.345171345151115</v>
      </c>
      <c r="D7951" s="39"/>
      <c r="E7951" s="39"/>
    </row>
    <row r="7952" spans="1:5" ht="15.6">
      <c r="A7952">
        <v>7897</v>
      </c>
      <c r="B7952" s="166">
        <v>102.73719909038296</v>
      </c>
      <c r="D7952" s="39"/>
      <c r="E7952" s="39"/>
    </row>
    <row r="7953" spans="1:5" ht="15.6">
      <c r="A7953">
        <v>7898</v>
      </c>
      <c r="B7953" s="166">
        <v>123.26339499911792</v>
      </c>
      <c r="D7953" s="39"/>
      <c r="E7953" s="39"/>
    </row>
    <row r="7954" spans="1:5" ht="15.6">
      <c r="A7954">
        <v>7899</v>
      </c>
      <c r="B7954" s="166">
        <v>110.19001201608395</v>
      </c>
      <c r="D7954" s="39"/>
      <c r="E7954" s="39"/>
    </row>
    <row r="7955" spans="1:5" ht="15.6">
      <c r="A7955">
        <v>7900</v>
      </c>
      <c r="B7955" s="166">
        <v>98.226829884041138</v>
      </c>
      <c r="D7955" s="39"/>
      <c r="E7955" s="39"/>
    </row>
    <row r="7956" spans="1:5" ht="15.6">
      <c r="A7956">
        <v>7901</v>
      </c>
      <c r="B7956" s="166">
        <v>84.130155382559337</v>
      </c>
      <c r="D7956" s="39"/>
      <c r="E7956" s="39"/>
    </row>
    <row r="7957" spans="1:5" ht="15.6">
      <c r="A7957">
        <v>7902</v>
      </c>
      <c r="B7957" s="166">
        <v>132.51083888537204</v>
      </c>
      <c r="D7957" s="39"/>
      <c r="E7957" s="39"/>
    </row>
    <row r="7958" spans="1:5" ht="15.6">
      <c r="A7958">
        <v>7903</v>
      </c>
      <c r="B7958" s="166">
        <v>64.95626861449658</v>
      </c>
      <c r="D7958" s="39"/>
      <c r="E7958" s="39"/>
    </row>
    <row r="7959" spans="1:5" ht="15.6">
      <c r="A7959">
        <v>7904</v>
      </c>
      <c r="B7959" s="166">
        <v>69.930323052988257</v>
      </c>
      <c r="D7959" s="39"/>
      <c r="E7959" s="39"/>
    </row>
    <row r="7960" spans="1:5" ht="15.6">
      <c r="A7960">
        <v>7905</v>
      </c>
      <c r="B7960" s="166">
        <v>79.177550190726322</v>
      </c>
      <c r="D7960" s="39"/>
      <c r="E7960" s="39"/>
    </row>
    <row r="7961" spans="1:5" ht="15.6">
      <c r="A7961">
        <v>7906</v>
      </c>
      <c r="B7961" s="166">
        <v>148.91851446621882</v>
      </c>
      <c r="D7961" s="39"/>
      <c r="E7961" s="39"/>
    </row>
    <row r="7962" spans="1:5" ht="15.6">
      <c r="A7962">
        <v>7907</v>
      </c>
      <c r="B7962" s="166">
        <v>78.429403687027133</v>
      </c>
      <c r="D7962" s="39"/>
      <c r="E7962" s="39"/>
    </row>
    <row r="7963" spans="1:5" ht="15.6">
      <c r="A7963">
        <v>7908</v>
      </c>
      <c r="B7963" s="166">
        <v>117.69688747313981</v>
      </c>
      <c r="D7963" s="39"/>
      <c r="E7963" s="39"/>
    </row>
    <row r="7964" spans="1:5" ht="15.6">
      <c r="A7964">
        <v>7909</v>
      </c>
      <c r="B7964" s="166">
        <v>155.44427146501491</v>
      </c>
      <c r="D7964" s="39"/>
      <c r="E7964" s="39"/>
    </row>
    <row r="7965" spans="1:5" ht="15.6">
      <c r="A7965">
        <v>7910</v>
      </c>
      <c r="B7965" s="166">
        <v>71.146191467650496</v>
      </c>
      <c r="D7965" s="39"/>
      <c r="E7965" s="39"/>
    </row>
    <row r="7966" spans="1:5" ht="15.6">
      <c r="A7966">
        <v>7911</v>
      </c>
      <c r="B7966" s="166">
        <v>99.818630490787868</v>
      </c>
      <c r="D7966" s="39"/>
      <c r="E7966" s="39"/>
    </row>
    <row r="7967" spans="1:5" ht="15.6">
      <c r="A7967">
        <v>7912</v>
      </c>
      <c r="B7967" s="166">
        <v>104.63894631671575</v>
      </c>
      <c r="D7967" s="39"/>
      <c r="E7967" s="39"/>
    </row>
    <row r="7968" spans="1:5" ht="15.6">
      <c r="A7968">
        <v>7913</v>
      </c>
      <c r="B7968" s="166">
        <v>137.91943118589916</v>
      </c>
      <c r="D7968" s="39"/>
      <c r="E7968" s="39"/>
    </row>
    <row r="7969" spans="1:5" ht="15.6">
      <c r="A7969">
        <v>7914</v>
      </c>
      <c r="B7969" s="166">
        <v>100.82401113052484</v>
      </c>
      <c r="D7969" s="39"/>
      <c r="E7969" s="39"/>
    </row>
    <row r="7970" spans="1:5" ht="15.6">
      <c r="A7970">
        <v>7915</v>
      </c>
      <c r="B7970" s="166">
        <v>180.30480136680947</v>
      </c>
      <c r="D7970" s="39"/>
      <c r="E7970" s="39"/>
    </row>
    <row r="7971" spans="1:5" ht="15.6">
      <c r="A7971">
        <v>7916</v>
      </c>
      <c r="B7971" s="166">
        <v>139.79180184220684</v>
      </c>
      <c r="D7971" s="39"/>
      <c r="E7971" s="39"/>
    </row>
    <row r="7972" spans="1:5" ht="15.6">
      <c r="A7972">
        <v>7917</v>
      </c>
      <c r="B7972" s="166">
        <v>72.563782110831113</v>
      </c>
      <c r="D7972" s="39"/>
      <c r="E7972" s="39"/>
    </row>
    <row r="7973" spans="1:5" ht="15.6">
      <c r="A7973">
        <v>7918</v>
      </c>
      <c r="B7973" s="166">
        <v>103.7688827411037</v>
      </c>
      <c r="D7973" s="39"/>
      <c r="E7973" s="39"/>
    </row>
    <row r="7974" spans="1:5" ht="15.6">
      <c r="A7974">
        <v>7919</v>
      </c>
      <c r="B7974" s="166">
        <v>97.5517233469497</v>
      </c>
      <c r="D7974" s="39"/>
      <c r="E7974" s="39"/>
    </row>
    <row r="7975" spans="1:5" ht="15.6">
      <c r="A7975">
        <v>7920</v>
      </c>
      <c r="B7975" s="166">
        <v>107.91964552614944</v>
      </c>
      <c r="D7975" s="39"/>
      <c r="E7975" s="39"/>
    </row>
    <row r="7976" spans="1:5" ht="15.6">
      <c r="A7976">
        <v>7921</v>
      </c>
      <c r="B7976" s="166">
        <v>78.261299068156859</v>
      </c>
      <c r="D7976" s="39"/>
      <c r="E7976" s="39"/>
    </row>
    <row r="7977" spans="1:5" ht="15.6">
      <c r="A7977">
        <v>7922</v>
      </c>
      <c r="B7977" s="166">
        <v>106.63616207143974</v>
      </c>
      <c r="D7977" s="39"/>
      <c r="E7977" s="39"/>
    </row>
    <row r="7978" spans="1:5" ht="15.6">
      <c r="A7978">
        <v>7923</v>
      </c>
      <c r="B7978" s="166">
        <v>93.958474037822768</v>
      </c>
      <c r="D7978" s="39"/>
      <c r="E7978" s="39"/>
    </row>
    <row r="7979" spans="1:5" ht="15.6">
      <c r="A7979">
        <v>7924</v>
      </c>
      <c r="B7979" s="166">
        <v>168.24382534232797</v>
      </c>
      <c r="D7979" s="39"/>
      <c r="E7979" s="39"/>
    </row>
    <row r="7980" spans="1:5" ht="15.6">
      <c r="A7980">
        <v>7925</v>
      </c>
      <c r="B7980" s="166">
        <v>73.235297782277627</v>
      </c>
      <c r="D7980" s="39"/>
      <c r="E7980" s="39"/>
    </row>
    <row r="7981" spans="1:5" ht="15.6">
      <c r="A7981">
        <v>7926</v>
      </c>
      <c r="B7981" s="166">
        <v>127.8698129730226</v>
      </c>
      <c r="D7981" s="39"/>
      <c r="E7981" s="39"/>
    </row>
    <row r="7982" spans="1:5" ht="15.6">
      <c r="A7982">
        <v>7927</v>
      </c>
      <c r="B7982" s="166">
        <v>67.859202202752016</v>
      </c>
      <c r="D7982" s="39"/>
      <c r="E7982" s="39"/>
    </row>
    <row r="7983" spans="1:5" ht="15.6">
      <c r="A7983">
        <v>7928</v>
      </c>
      <c r="B7983" s="166">
        <v>107.31179197442076</v>
      </c>
      <c r="D7983" s="39"/>
      <c r="E7983" s="39"/>
    </row>
    <row r="7984" spans="1:5" ht="15.6">
      <c r="A7984">
        <v>7929</v>
      </c>
      <c r="B7984" s="166">
        <v>150.36953182351246</v>
      </c>
      <c r="D7984" s="39"/>
      <c r="E7984" s="39"/>
    </row>
    <row r="7985" spans="1:5" ht="15.6">
      <c r="A7985">
        <v>7930</v>
      </c>
      <c r="B7985" s="166">
        <v>58.770248879270873</v>
      </c>
      <c r="D7985" s="39"/>
      <c r="E7985" s="39"/>
    </row>
    <row r="7986" spans="1:5" ht="15.6">
      <c r="A7986">
        <v>7931</v>
      </c>
      <c r="B7986" s="166">
        <v>114.27312257676401</v>
      </c>
      <c r="D7986" s="39"/>
      <c r="E7986" s="39"/>
    </row>
    <row r="7987" spans="1:5" ht="15.6">
      <c r="A7987">
        <v>7932</v>
      </c>
      <c r="B7987" s="166">
        <v>74.412036361844613</v>
      </c>
      <c r="D7987" s="39"/>
      <c r="E7987" s="39"/>
    </row>
    <row r="7988" spans="1:5" ht="15.6">
      <c r="A7988">
        <v>7933</v>
      </c>
      <c r="B7988" s="166">
        <v>106.82103170490434</v>
      </c>
      <c r="D7988" s="39"/>
      <c r="E7988" s="39"/>
    </row>
    <row r="7989" spans="1:5" ht="15.6">
      <c r="A7989">
        <v>7934</v>
      </c>
      <c r="B7989" s="166">
        <v>82.308520091362965</v>
      </c>
      <c r="D7989" s="39"/>
      <c r="E7989" s="39"/>
    </row>
    <row r="7990" spans="1:5" ht="15.6">
      <c r="A7990">
        <v>7935</v>
      </c>
      <c r="B7990" s="166">
        <v>121.35378660771975</v>
      </c>
      <c r="D7990" s="39"/>
      <c r="E7990" s="39"/>
    </row>
    <row r="7991" spans="1:5" ht="15.6">
      <c r="A7991">
        <v>7936</v>
      </c>
      <c r="B7991" s="166">
        <v>181.28888445952816</v>
      </c>
      <c r="D7991" s="39"/>
      <c r="E7991" s="39"/>
    </row>
    <row r="7992" spans="1:5" ht="15.6">
      <c r="A7992">
        <v>7937</v>
      </c>
      <c r="B7992" s="166">
        <v>98.245750944472775</v>
      </c>
      <c r="D7992" s="39"/>
      <c r="E7992" s="39"/>
    </row>
    <row r="7993" spans="1:5" ht="15.6">
      <c r="A7993">
        <v>7938</v>
      </c>
      <c r="B7993" s="166">
        <v>81.321248474551851</v>
      </c>
      <c r="D7993" s="39"/>
      <c r="E7993" s="39"/>
    </row>
    <row r="7994" spans="1:5" ht="15.6">
      <c r="A7994">
        <v>7939</v>
      </c>
      <c r="B7994" s="166">
        <v>174.97803113742927</v>
      </c>
      <c r="D7994" s="39"/>
      <c r="E7994" s="39"/>
    </row>
    <row r="7995" spans="1:5" ht="15.6">
      <c r="A7995">
        <v>7940</v>
      </c>
      <c r="B7995" s="166">
        <v>79.704556764410242</v>
      </c>
      <c r="D7995" s="39"/>
      <c r="E7995" s="39"/>
    </row>
    <row r="7996" spans="1:5" ht="15.6">
      <c r="A7996">
        <v>7941</v>
      </c>
      <c r="B7996" s="166">
        <v>81.605200820494289</v>
      </c>
      <c r="D7996" s="39"/>
      <c r="E7996" s="39"/>
    </row>
    <row r="7997" spans="1:5" ht="15.6">
      <c r="A7997">
        <v>7942</v>
      </c>
      <c r="B7997" s="166">
        <v>118.6166778566684</v>
      </c>
      <c r="D7997" s="39"/>
      <c r="E7997" s="39"/>
    </row>
    <row r="7998" spans="1:5" ht="15.6">
      <c r="A7998">
        <v>7943</v>
      </c>
      <c r="B7998" s="166">
        <v>99.615060581997795</v>
      </c>
      <c r="D7998" s="39"/>
      <c r="E7998" s="39"/>
    </row>
    <row r="7999" spans="1:5" ht="15.6">
      <c r="A7999">
        <v>7944</v>
      </c>
      <c r="B7999" s="166">
        <v>175.55281163189065</v>
      </c>
      <c r="D7999" s="39"/>
      <c r="E7999" s="39"/>
    </row>
    <row r="8000" spans="1:5" ht="15.6">
      <c r="A8000">
        <v>7945</v>
      </c>
      <c r="B8000" s="166">
        <v>178.54893051002085</v>
      </c>
      <c r="D8000" s="39"/>
      <c r="E8000" s="39"/>
    </row>
    <row r="8001" spans="1:5" ht="15.6">
      <c r="A8001">
        <v>7946</v>
      </c>
      <c r="B8001" s="166">
        <v>88.602516286817718</v>
      </c>
      <c r="D8001" s="39"/>
      <c r="E8001" s="39"/>
    </row>
    <row r="8002" spans="1:5" ht="15.6">
      <c r="A8002">
        <v>7947</v>
      </c>
      <c r="B8002" s="166">
        <v>247.45276673509247</v>
      </c>
      <c r="D8002" s="39"/>
      <c r="E8002" s="39"/>
    </row>
    <row r="8003" spans="1:5" ht="15.6">
      <c r="A8003">
        <v>7948</v>
      </c>
      <c r="B8003" s="166">
        <v>130.59199451091354</v>
      </c>
      <c r="D8003" s="39"/>
      <c r="E8003" s="39"/>
    </row>
    <row r="8004" spans="1:5" ht="15.6">
      <c r="A8004">
        <v>7949</v>
      </c>
      <c r="B8004" s="166">
        <v>75.241646980128834</v>
      </c>
      <c r="D8004" s="39"/>
      <c r="E8004" s="39"/>
    </row>
    <row r="8005" spans="1:5" ht="15.6">
      <c r="A8005">
        <v>7950</v>
      </c>
      <c r="B8005" s="166">
        <v>119.77211387542889</v>
      </c>
      <c r="D8005" s="39"/>
      <c r="E8005" s="39"/>
    </row>
    <row r="8006" spans="1:5" ht="15.6">
      <c r="A8006">
        <v>7951</v>
      </c>
      <c r="B8006" s="166">
        <v>181.36488052865872</v>
      </c>
      <c r="D8006" s="39"/>
      <c r="E8006" s="39"/>
    </row>
    <row r="8007" spans="1:5" ht="15.6">
      <c r="A8007">
        <v>7952</v>
      </c>
      <c r="B8007" s="166">
        <v>71.734196509566758</v>
      </c>
      <c r="D8007" s="39"/>
      <c r="E8007" s="39"/>
    </row>
    <row r="8008" spans="1:5" ht="15.6">
      <c r="A8008">
        <v>7953</v>
      </c>
      <c r="B8008" s="166">
        <v>328.70168375136791</v>
      </c>
      <c r="D8008" s="39"/>
      <c r="E8008" s="39"/>
    </row>
    <row r="8009" spans="1:5" ht="15.6">
      <c r="A8009">
        <v>7954</v>
      </c>
      <c r="B8009" s="166">
        <v>98.956134245190299</v>
      </c>
      <c r="D8009" s="39"/>
      <c r="E8009" s="39"/>
    </row>
    <row r="8010" spans="1:5" ht="15.6">
      <c r="A8010">
        <v>7955</v>
      </c>
      <c r="B8010" s="166">
        <v>131.73053202373976</v>
      </c>
      <c r="D8010" s="39"/>
      <c r="E8010" s="39"/>
    </row>
    <row r="8011" spans="1:5" ht="15.6">
      <c r="A8011">
        <v>7956</v>
      </c>
      <c r="B8011" s="166">
        <v>95.799810884939447</v>
      </c>
      <c r="D8011" s="39"/>
      <c r="E8011" s="39"/>
    </row>
    <row r="8012" spans="1:5" ht="15.6">
      <c r="A8012">
        <v>7957</v>
      </c>
      <c r="B8012" s="166">
        <v>63.040774017285301</v>
      </c>
      <c r="D8012" s="39"/>
      <c r="E8012" s="39"/>
    </row>
    <row r="8013" spans="1:5" ht="15.6">
      <c r="A8013">
        <v>7958</v>
      </c>
      <c r="B8013" s="166">
        <v>89.239877710090241</v>
      </c>
      <c r="D8013" s="39"/>
      <c r="E8013" s="39"/>
    </row>
    <row r="8014" spans="1:5" ht="15.6">
      <c r="A8014">
        <v>7959</v>
      </c>
      <c r="B8014" s="166">
        <v>85.735190704123482</v>
      </c>
      <c r="D8014" s="39"/>
      <c r="E8014" s="39"/>
    </row>
    <row r="8015" spans="1:5" ht="15.6">
      <c r="A8015">
        <v>7960</v>
      </c>
      <c r="B8015" s="166">
        <v>68.462593517890937</v>
      </c>
      <c r="D8015" s="39"/>
      <c r="E8015" s="39"/>
    </row>
    <row r="8016" spans="1:5" ht="15.6">
      <c r="A8016">
        <v>7961</v>
      </c>
      <c r="B8016" s="166">
        <v>63.489508092063396</v>
      </c>
      <c r="D8016" s="39"/>
      <c r="E8016" s="39"/>
    </row>
    <row r="8017" spans="1:5" ht="15.6">
      <c r="A8017">
        <v>7962</v>
      </c>
      <c r="B8017" s="166">
        <v>138.24685061342575</v>
      </c>
      <c r="D8017" s="39"/>
      <c r="E8017" s="39"/>
    </row>
    <row r="8018" spans="1:5" ht="15.6">
      <c r="A8018">
        <v>7963</v>
      </c>
      <c r="B8018" s="166">
        <v>130.57613819228223</v>
      </c>
      <c r="D8018" s="39"/>
      <c r="E8018" s="39"/>
    </row>
    <row r="8019" spans="1:5" ht="15.6">
      <c r="A8019">
        <v>7964</v>
      </c>
      <c r="B8019" s="166">
        <v>98.884398702018444</v>
      </c>
      <c r="D8019" s="39"/>
      <c r="E8019" s="39"/>
    </row>
    <row r="8020" spans="1:5" ht="15.6">
      <c r="A8020">
        <v>7965</v>
      </c>
      <c r="B8020" s="166">
        <v>203.4610760964089</v>
      </c>
      <c r="D8020" s="39"/>
      <c r="E8020" s="39"/>
    </row>
    <row r="8021" spans="1:5" ht="15.6">
      <c r="A8021">
        <v>7966</v>
      </c>
      <c r="B8021" s="166">
        <v>62.528353194033684</v>
      </c>
      <c r="D8021" s="39"/>
      <c r="E8021" s="39"/>
    </row>
    <row r="8022" spans="1:5" ht="15.6">
      <c r="A8022">
        <v>7967</v>
      </c>
      <c r="B8022" s="166">
        <v>107.08208824914884</v>
      </c>
      <c r="D8022" s="39"/>
      <c r="E8022" s="39"/>
    </row>
    <row r="8023" spans="1:5" ht="15.6">
      <c r="A8023">
        <v>7968</v>
      </c>
      <c r="B8023" s="166">
        <v>129.66073448555804</v>
      </c>
      <c r="D8023" s="39"/>
      <c r="E8023" s="39"/>
    </row>
    <row r="8024" spans="1:5" ht="15.6">
      <c r="A8024">
        <v>7969</v>
      </c>
      <c r="B8024" s="166">
        <v>90.788135821237361</v>
      </c>
      <c r="D8024" s="39"/>
      <c r="E8024" s="39"/>
    </row>
    <row r="8025" spans="1:5" ht="15.6">
      <c r="A8025">
        <v>7970</v>
      </c>
      <c r="B8025" s="166">
        <v>151.40580698027739</v>
      </c>
      <c r="D8025" s="39"/>
      <c r="E8025" s="39"/>
    </row>
    <row r="8026" spans="1:5" ht="15.6">
      <c r="A8026">
        <v>7971</v>
      </c>
      <c r="B8026" s="166">
        <v>112.29821566055442</v>
      </c>
      <c r="D8026" s="39"/>
      <c r="E8026" s="39"/>
    </row>
    <row r="8027" spans="1:5" ht="15.6">
      <c r="A8027">
        <v>7972</v>
      </c>
      <c r="B8027" s="166">
        <v>85.183745313337411</v>
      </c>
      <c r="D8027" s="39"/>
      <c r="E8027" s="39"/>
    </row>
    <row r="8028" spans="1:5" ht="15.6">
      <c r="A8028">
        <v>7973</v>
      </c>
      <c r="B8028" s="166">
        <v>169.73887428769379</v>
      </c>
      <c r="D8028" s="39"/>
      <c r="E8028" s="39"/>
    </row>
    <row r="8029" spans="1:5" ht="15.6">
      <c r="A8029">
        <v>7974</v>
      </c>
      <c r="B8029" s="166">
        <v>205.37717015235262</v>
      </c>
      <c r="D8029" s="39"/>
      <c r="E8029" s="39"/>
    </row>
    <row r="8030" spans="1:5" ht="15.6">
      <c r="A8030">
        <v>7975</v>
      </c>
      <c r="B8030" s="166">
        <v>82.791627892312732</v>
      </c>
      <c r="D8030" s="39"/>
      <c r="E8030" s="39"/>
    </row>
    <row r="8031" spans="1:5" ht="15.6">
      <c r="A8031">
        <v>7976</v>
      </c>
      <c r="B8031" s="166">
        <v>123.68110629290609</v>
      </c>
      <c r="D8031" s="39"/>
      <c r="E8031" s="39"/>
    </row>
    <row r="8032" spans="1:5" ht="15.6">
      <c r="A8032">
        <v>7977</v>
      </c>
      <c r="B8032" s="166">
        <v>99.235789394816578</v>
      </c>
      <c r="D8032" s="39"/>
      <c r="E8032" s="39"/>
    </row>
    <row r="8033" spans="1:5" ht="15.6">
      <c r="A8033">
        <v>7978</v>
      </c>
      <c r="B8033" s="166">
        <v>94.928505244957165</v>
      </c>
      <c r="D8033" s="39"/>
      <c r="E8033" s="39"/>
    </row>
    <row r="8034" spans="1:5" ht="15.6">
      <c r="A8034">
        <v>7979</v>
      </c>
      <c r="B8034" s="166">
        <v>64.343264919988513</v>
      </c>
      <c r="D8034" s="39"/>
      <c r="E8034" s="39"/>
    </row>
    <row r="8035" spans="1:5" ht="15.6">
      <c r="A8035">
        <v>7980</v>
      </c>
      <c r="B8035" s="166">
        <v>134.90603583986413</v>
      </c>
      <c r="D8035" s="39"/>
      <c r="E8035" s="39"/>
    </row>
    <row r="8036" spans="1:5" ht="15.6">
      <c r="A8036">
        <v>7981</v>
      </c>
      <c r="B8036" s="166">
        <v>104.64058671127212</v>
      </c>
      <c r="D8036" s="39"/>
      <c r="E8036" s="39"/>
    </row>
    <row r="8037" spans="1:5" ht="15.6">
      <c r="A8037">
        <v>7982</v>
      </c>
      <c r="B8037" s="166">
        <v>109.04362376030815</v>
      </c>
      <c r="D8037" s="39"/>
      <c r="E8037" s="39"/>
    </row>
    <row r="8038" spans="1:5" ht="15.6">
      <c r="A8038">
        <v>7983</v>
      </c>
      <c r="B8038" s="166">
        <v>79.007070145818375</v>
      </c>
      <c r="D8038" s="39"/>
      <c r="E8038" s="39"/>
    </row>
    <row r="8039" spans="1:5" ht="15.6">
      <c r="A8039">
        <v>7984</v>
      </c>
      <c r="B8039" s="166">
        <v>94.606494418983161</v>
      </c>
      <c r="D8039" s="39"/>
      <c r="E8039" s="39"/>
    </row>
    <row r="8040" spans="1:5" ht="15.6">
      <c r="A8040">
        <v>7985</v>
      </c>
      <c r="B8040" s="166">
        <v>113.92645004197735</v>
      </c>
      <c r="D8040" s="39"/>
      <c r="E8040" s="39"/>
    </row>
    <row r="8041" spans="1:5" ht="15.6">
      <c r="A8041">
        <v>7986</v>
      </c>
      <c r="B8041" s="166">
        <v>95.248673800146818</v>
      </c>
      <c r="D8041" s="39"/>
      <c r="E8041" s="39"/>
    </row>
    <row r="8042" spans="1:5" ht="15.6">
      <c r="A8042">
        <v>7987</v>
      </c>
      <c r="B8042" s="166">
        <v>180.6273300021231</v>
      </c>
      <c r="D8042" s="39"/>
      <c r="E8042" s="39"/>
    </row>
    <row r="8043" spans="1:5" ht="15.6">
      <c r="A8043">
        <v>7988</v>
      </c>
      <c r="B8043" s="166">
        <v>262.06161777967969</v>
      </c>
      <c r="D8043" s="39"/>
      <c r="E8043" s="39"/>
    </row>
    <row r="8044" spans="1:5" ht="15.6">
      <c r="A8044">
        <v>7989</v>
      </c>
      <c r="B8044" s="166">
        <v>176.44872272680098</v>
      </c>
      <c r="D8044" s="39"/>
      <c r="E8044" s="39"/>
    </row>
    <row r="8045" spans="1:5" ht="15.6">
      <c r="A8045">
        <v>7990</v>
      </c>
      <c r="B8045" s="166">
        <v>89.229112022996929</v>
      </c>
      <c r="D8045" s="39"/>
      <c r="E8045" s="39"/>
    </row>
    <row r="8046" spans="1:5" ht="15.6">
      <c r="A8046">
        <v>7991</v>
      </c>
      <c r="B8046" s="166">
        <v>159.1821247864832</v>
      </c>
      <c r="D8046" s="39"/>
      <c r="E8046" s="39"/>
    </row>
    <row r="8047" spans="1:5" ht="15.6">
      <c r="A8047">
        <v>7992</v>
      </c>
      <c r="B8047" s="166">
        <v>132.7514015360637</v>
      </c>
      <c r="D8047" s="39"/>
      <c r="E8047" s="39"/>
    </row>
    <row r="8048" spans="1:5" ht="15.6">
      <c r="A8048">
        <v>7993</v>
      </c>
      <c r="B8048" s="166">
        <v>75.506505973604789</v>
      </c>
      <c r="D8048" s="39"/>
      <c r="E8048" s="39"/>
    </row>
    <row r="8049" spans="1:5" ht="15.6">
      <c r="A8049">
        <v>7994</v>
      </c>
      <c r="B8049" s="166">
        <v>136.51325828629047</v>
      </c>
      <c r="D8049" s="39"/>
      <c r="E8049" s="39"/>
    </row>
    <row r="8050" spans="1:5" ht="15.6">
      <c r="A8050">
        <v>7995</v>
      </c>
      <c r="B8050" s="166">
        <v>75.945970646083993</v>
      </c>
      <c r="D8050" s="39"/>
      <c r="E8050" s="39"/>
    </row>
    <row r="8051" spans="1:5" ht="15.6">
      <c r="A8051">
        <v>7996</v>
      </c>
      <c r="B8051" s="166">
        <v>132.08234232295928</v>
      </c>
      <c r="D8051" s="39"/>
      <c r="E8051" s="39"/>
    </row>
    <row r="8052" spans="1:5" ht="15.6">
      <c r="A8052">
        <v>7997</v>
      </c>
      <c r="B8052" s="166">
        <v>113.18470455460096</v>
      </c>
      <c r="D8052" s="39"/>
      <c r="E8052" s="39"/>
    </row>
    <row r="8053" spans="1:5" ht="15.6">
      <c r="A8053">
        <v>7998</v>
      </c>
      <c r="B8053" s="166">
        <v>132.92276034108971</v>
      </c>
      <c r="D8053" s="39"/>
      <c r="E8053" s="39"/>
    </row>
    <row r="8054" spans="1:5" ht="15.6">
      <c r="A8054">
        <v>7999</v>
      </c>
      <c r="B8054" s="166">
        <v>189.72219504797263</v>
      </c>
      <c r="D8054" s="39"/>
      <c r="E8054" s="39"/>
    </row>
    <row r="8055" spans="1:5" ht="15.6">
      <c r="A8055">
        <v>8000</v>
      </c>
      <c r="B8055" s="166">
        <v>112.64483507077597</v>
      </c>
      <c r="D8055" s="39"/>
      <c r="E8055" s="39"/>
    </row>
    <row r="8056" spans="1:5" ht="15.6">
      <c r="A8056">
        <v>8001</v>
      </c>
      <c r="B8056" s="166">
        <v>55.763660695535641</v>
      </c>
      <c r="D8056" s="39"/>
      <c r="E8056" s="39"/>
    </row>
    <row r="8057" spans="1:5" ht="15.6">
      <c r="A8057">
        <v>8002</v>
      </c>
      <c r="B8057" s="166">
        <v>87.512838936102156</v>
      </c>
      <c r="D8057" s="39"/>
      <c r="E8057" s="39"/>
    </row>
    <row r="8058" spans="1:5" ht="15.6">
      <c r="A8058">
        <v>8003</v>
      </c>
      <c r="B8058" s="166">
        <v>82.311783619177021</v>
      </c>
      <c r="D8058" s="39"/>
      <c r="E8058" s="39"/>
    </row>
    <row r="8059" spans="1:5" ht="15.6">
      <c r="A8059">
        <v>8004</v>
      </c>
      <c r="B8059" s="166">
        <v>151.22326023138072</v>
      </c>
      <c r="D8059" s="39"/>
      <c r="E8059" s="39"/>
    </row>
    <row r="8060" spans="1:5" ht="15.6">
      <c r="A8060">
        <v>8005</v>
      </c>
      <c r="B8060" s="166">
        <v>77.986694051293313</v>
      </c>
      <c r="D8060" s="39"/>
      <c r="E8060" s="39"/>
    </row>
    <row r="8061" spans="1:5" ht="15.6">
      <c r="A8061">
        <v>8006</v>
      </c>
      <c r="B8061" s="166">
        <v>130.36687125564453</v>
      </c>
      <c r="D8061" s="39"/>
      <c r="E8061" s="39"/>
    </row>
    <row r="8062" spans="1:5" ht="15.6">
      <c r="A8062">
        <v>8007</v>
      </c>
      <c r="B8062" s="166">
        <v>197.13680185465492</v>
      </c>
      <c r="D8062" s="39"/>
      <c r="E8062" s="39"/>
    </row>
    <row r="8063" spans="1:5" ht="15.6">
      <c r="A8063">
        <v>8008</v>
      </c>
      <c r="B8063" s="166">
        <v>70.704183691827595</v>
      </c>
      <c r="D8063" s="39"/>
      <c r="E8063" s="39"/>
    </row>
    <row r="8064" spans="1:5" ht="15.6">
      <c r="A8064">
        <v>8009</v>
      </c>
      <c r="B8064" s="166">
        <v>162.50967989934071</v>
      </c>
      <c r="D8064" s="39"/>
      <c r="E8064" s="39"/>
    </row>
    <row r="8065" spans="1:5" ht="15.6">
      <c r="A8065">
        <v>8010</v>
      </c>
      <c r="B8065" s="166">
        <v>103.35898242266987</v>
      </c>
      <c r="D8065" s="39"/>
      <c r="E8065" s="39"/>
    </row>
    <row r="8066" spans="1:5" ht="15.6">
      <c r="A8066">
        <v>8011</v>
      </c>
      <c r="B8066" s="166">
        <v>85.672214572718786</v>
      </c>
      <c r="D8066" s="39"/>
      <c r="E8066" s="39"/>
    </row>
    <row r="8067" spans="1:5" ht="15.6">
      <c r="A8067">
        <v>8012</v>
      </c>
      <c r="B8067" s="166">
        <v>150.48083460314302</v>
      </c>
      <c r="D8067" s="39"/>
      <c r="E8067" s="39"/>
    </row>
    <row r="8068" spans="1:5" ht="15.6">
      <c r="A8068">
        <v>8013</v>
      </c>
      <c r="B8068" s="166">
        <v>110.51742410514098</v>
      </c>
      <c r="D8068" s="39"/>
      <c r="E8068" s="39"/>
    </row>
    <row r="8069" spans="1:5" ht="15.6">
      <c r="A8069">
        <v>8014</v>
      </c>
      <c r="B8069" s="166">
        <v>106.99878408885066</v>
      </c>
      <c r="D8069" s="39"/>
      <c r="E8069" s="39"/>
    </row>
    <row r="8070" spans="1:5" ht="15.6">
      <c r="A8070">
        <v>8015</v>
      </c>
      <c r="B8070" s="166">
        <v>64.336169655492881</v>
      </c>
      <c r="D8070" s="39"/>
      <c r="E8070" s="39"/>
    </row>
    <row r="8071" spans="1:5" ht="15.6">
      <c r="A8071">
        <v>8016</v>
      </c>
      <c r="B8071" s="166">
        <v>81.32822257143647</v>
      </c>
      <c r="D8071" s="39"/>
      <c r="E8071" s="39"/>
    </row>
    <row r="8072" spans="1:5" ht="15.6">
      <c r="A8072">
        <v>8017</v>
      </c>
      <c r="B8072" s="166">
        <v>91.765377103573286</v>
      </c>
      <c r="D8072" s="39"/>
      <c r="E8072" s="39"/>
    </row>
    <row r="8073" spans="1:5" ht="15.6">
      <c r="A8073">
        <v>8018</v>
      </c>
      <c r="B8073" s="166">
        <v>141.28421875863708</v>
      </c>
      <c r="D8073" s="39"/>
      <c r="E8073" s="39"/>
    </row>
    <row r="8074" spans="1:5" ht="15.6">
      <c r="A8074">
        <v>8019</v>
      </c>
      <c r="B8074" s="166">
        <v>123.7128441611827</v>
      </c>
      <c r="D8074" s="39"/>
      <c r="E8074" s="39"/>
    </row>
    <row r="8075" spans="1:5" ht="15.6">
      <c r="A8075">
        <v>8020</v>
      </c>
      <c r="B8075" s="166">
        <v>126.9109651057888</v>
      </c>
      <c r="D8075" s="39"/>
      <c r="E8075" s="39"/>
    </row>
    <row r="8076" spans="1:5" ht="15.6">
      <c r="A8076">
        <v>8021</v>
      </c>
      <c r="B8076" s="166">
        <v>145.20718878255252</v>
      </c>
      <c r="D8076" s="39"/>
      <c r="E8076" s="39"/>
    </row>
    <row r="8077" spans="1:5" ht="15.6">
      <c r="A8077">
        <v>8022</v>
      </c>
      <c r="B8077" s="166">
        <v>150.73374985985228</v>
      </c>
      <c r="D8077" s="39"/>
      <c r="E8077" s="39"/>
    </row>
    <row r="8078" spans="1:5" ht="15.6">
      <c r="A8078">
        <v>8023</v>
      </c>
      <c r="B8078" s="166">
        <v>144.57862681789632</v>
      </c>
      <c r="D8078" s="39"/>
      <c r="E8078" s="39"/>
    </row>
    <row r="8079" spans="1:5" ht="15.6">
      <c r="A8079">
        <v>8024</v>
      </c>
      <c r="B8079" s="166">
        <v>101.43934134291923</v>
      </c>
      <c r="D8079" s="39"/>
      <c r="E8079" s="39"/>
    </row>
    <row r="8080" spans="1:5" ht="15.6">
      <c r="A8080">
        <v>8025</v>
      </c>
      <c r="B8080" s="166">
        <v>94.306198918333351</v>
      </c>
      <c r="D8080" s="39"/>
      <c r="E8080" s="39"/>
    </row>
    <row r="8081" spans="1:5" ht="15.6">
      <c r="A8081">
        <v>8026</v>
      </c>
      <c r="B8081" s="166">
        <v>99.797606175621567</v>
      </c>
      <c r="D8081" s="39"/>
      <c r="E8081" s="39"/>
    </row>
    <row r="8082" spans="1:5" ht="15.6">
      <c r="A8082">
        <v>8027</v>
      </c>
      <c r="B8082" s="166">
        <v>67.65156295193826</v>
      </c>
      <c r="D8082" s="39"/>
      <c r="E8082" s="39"/>
    </row>
    <row r="8083" spans="1:5" ht="15.6">
      <c r="A8083">
        <v>8028</v>
      </c>
      <c r="B8083" s="166">
        <v>80.012313748583892</v>
      </c>
      <c r="D8083" s="39"/>
      <c r="E8083" s="39"/>
    </row>
    <row r="8084" spans="1:5" ht="15.6">
      <c r="A8084">
        <v>8029</v>
      </c>
      <c r="B8084" s="166">
        <v>69.753459315786401</v>
      </c>
      <c r="D8084" s="39"/>
      <c r="E8084" s="39"/>
    </row>
    <row r="8085" spans="1:5" ht="15.6">
      <c r="A8085">
        <v>8030</v>
      </c>
      <c r="B8085" s="166">
        <v>78.274562497512463</v>
      </c>
      <c r="D8085" s="39"/>
      <c r="E8085" s="39"/>
    </row>
    <row r="8086" spans="1:5" ht="15.6">
      <c r="A8086">
        <v>8031</v>
      </c>
      <c r="B8086" s="166">
        <v>151.04957504526982</v>
      </c>
      <c r="D8086" s="39"/>
      <c r="E8086" s="39"/>
    </row>
    <row r="8087" spans="1:5" ht="15.6">
      <c r="A8087">
        <v>8032</v>
      </c>
      <c r="B8087" s="166">
        <v>137.53757731962972</v>
      </c>
      <c r="D8087" s="39"/>
      <c r="E8087" s="39"/>
    </row>
    <row r="8088" spans="1:5" ht="15.6">
      <c r="A8088">
        <v>8033</v>
      </c>
      <c r="B8088" s="166">
        <v>77.311655688561686</v>
      </c>
      <c r="D8088" s="39"/>
      <c r="E8088" s="39"/>
    </row>
    <row r="8089" spans="1:5" ht="15.6">
      <c r="A8089">
        <v>8034</v>
      </c>
      <c r="B8089" s="166">
        <v>108.82552518898717</v>
      </c>
      <c r="D8089" s="39"/>
      <c r="E8089" s="39"/>
    </row>
    <row r="8090" spans="1:5" ht="15.6">
      <c r="A8090">
        <v>8035</v>
      </c>
      <c r="B8090" s="166">
        <v>123.71155240121422</v>
      </c>
      <c r="D8090" s="39"/>
      <c r="E8090" s="39"/>
    </row>
    <row r="8091" spans="1:5" ht="15.6">
      <c r="A8091">
        <v>8036</v>
      </c>
      <c r="B8091" s="166">
        <v>89.223497121803263</v>
      </c>
      <c r="D8091" s="39"/>
      <c r="E8091" s="39"/>
    </row>
    <row r="8092" spans="1:5" ht="15.6">
      <c r="A8092">
        <v>8037</v>
      </c>
      <c r="B8092" s="166">
        <v>87.10490591078154</v>
      </c>
      <c r="D8092" s="39"/>
      <c r="E8092" s="39"/>
    </row>
    <row r="8093" spans="1:5" ht="15.6">
      <c r="A8093">
        <v>8038</v>
      </c>
      <c r="B8093" s="166">
        <v>149.30108355361517</v>
      </c>
      <c r="D8093" s="39"/>
      <c r="E8093" s="39"/>
    </row>
    <row r="8094" spans="1:5" ht="15.6">
      <c r="A8094">
        <v>8039</v>
      </c>
      <c r="B8094" s="166">
        <v>93.410622374381234</v>
      </c>
      <c r="D8094" s="39"/>
      <c r="E8094" s="39"/>
    </row>
    <row r="8095" spans="1:5" ht="15.6">
      <c r="A8095">
        <v>8040</v>
      </c>
      <c r="B8095" s="166">
        <v>65.904094154833388</v>
      </c>
      <c r="D8095" s="39"/>
      <c r="E8095" s="39"/>
    </row>
    <row r="8096" spans="1:5" ht="15.6">
      <c r="A8096">
        <v>8041</v>
      </c>
      <c r="B8096" s="166">
        <v>185.21072615224347</v>
      </c>
      <c r="D8096" s="39"/>
      <c r="E8096" s="39"/>
    </row>
    <row r="8097" spans="1:5" ht="15.6">
      <c r="A8097">
        <v>8042</v>
      </c>
      <c r="B8097" s="166">
        <v>158.13333744478265</v>
      </c>
      <c r="D8097" s="39"/>
      <c r="E8097" s="39"/>
    </row>
    <row r="8098" spans="1:5" ht="15.6">
      <c r="A8098">
        <v>8043</v>
      </c>
      <c r="B8098" s="166">
        <v>158.95594875851438</v>
      </c>
      <c r="D8098" s="39"/>
      <c r="E8098" s="39"/>
    </row>
    <row r="8099" spans="1:5" ht="15.6">
      <c r="A8099">
        <v>8044</v>
      </c>
      <c r="B8099" s="166">
        <v>142.59643389001897</v>
      </c>
      <c r="D8099" s="39"/>
      <c r="E8099" s="39"/>
    </row>
    <row r="8100" spans="1:5" ht="15.6">
      <c r="A8100">
        <v>8045</v>
      </c>
      <c r="B8100" s="166">
        <v>83.116509103323125</v>
      </c>
      <c r="D8100" s="39"/>
      <c r="E8100" s="39"/>
    </row>
    <row r="8101" spans="1:5" ht="15.6">
      <c r="A8101">
        <v>8046</v>
      </c>
      <c r="B8101" s="166">
        <v>101.6046314436243</v>
      </c>
      <c r="D8101" s="39"/>
      <c r="E8101" s="39"/>
    </row>
    <row r="8102" spans="1:5" ht="15.6">
      <c r="A8102">
        <v>8047</v>
      </c>
      <c r="B8102" s="166">
        <v>85.119665152312109</v>
      </c>
      <c r="D8102" s="39"/>
      <c r="E8102" s="39"/>
    </row>
    <row r="8103" spans="1:5" ht="15.6">
      <c r="A8103">
        <v>8048</v>
      </c>
      <c r="B8103" s="166">
        <v>124.58062235102017</v>
      </c>
      <c r="D8103" s="39"/>
      <c r="E8103" s="39"/>
    </row>
    <row r="8104" spans="1:5" ht="15.6">
      <c r="A8104">
        <v>8049</v>
      </c>
      <c r="B8104" s="166">
        <v>76.684150490972016</v>
      </c>
      <c r="D8104" s="39"/>
      <c r="E8104" s="39"/>
    </row>
    <row r="8105" spans="1:5" ht="15.6">
      <c r="A8105">
        <v>8050</v>
      </c>
      <c r="B8105" s="166">
        <v>137.70083046695285</v>
      </c>
      <c r="D8105" s="39"/>
      <c r="E8105" s="39"/>
    </row>
    <row r="8106" spans="1:5" ht="15.6">
      <c r="A8106">
        <v>8051</v>
      </c>
      <c r="B8106" s="166">
        <v>70.507858067466728</v>
      </c>
      <c r="D8106" s="39"/>
      <c r="E8106" s="39"/>
    </row>
    <row r="8107" spans="1:5" ht="15.6">
      <c r="A8107">
        <v>8052</v>
      </c>
      <c r="B8107" s="166">
        <v>77.2239918013683</v>
      </c>
      <c r="D8107" s="39"/>
      <c r="E8107" s="39"/>
    </row>
    <row r="8108" spans="1:5" ht="15.6">
      <c r="A8108">
        <v>8053</v>
      </c>
      <c r="B8108" s="166">
        <v>120.70964432382877</v>
      </c>
      <c r="D8108" s="39"/>
      <c r="E8108" s="39"/>
    </row>
    <row r="8109" spans="1:5" ht="15.6">
      <c r="A8109">
        <v>8054</v>
      </c>
      <c r="B8109" s="166">
        <v>130.3843383760144</v>
      </c>
      <c r="D8109" s="39"/>
      <c r="E8109" s="39"/>
    </row>
    <row r="8110" spans="1:5" ht="15.6">
      <c r="A8110">
        <v>8055</v>
      </c>
      <c r="B8110" s="166">
        <v>124.08512595512181</v>
      </c>
      <c r="D8110" s="39"/>
      <c r="E8110" s="39"/>
    </row>
    <row r="8111" spans="1:5" ht="15.6">
      <c r="A8111">
        <v>8056</v>
      </c>
      <c r="B8111" s="166">
        <v>62.600235318874205</v>
      </c>
      <c r="D8111" s="39"/>
      <c r="E8111" s="39"/>
    </row>
    <row r="8112" spans="1:5" ht="15.6">
      <c r="A8112">
        <v>8057</v>
      </c>
      <c r="B8112" s="166">
        <v>76.382529037874633</v>
      </c>
      <c r="D8112" s="39"/>
      <c r="E8112" s="39"/>
    </row>
    <row r="8113" spans="1:5" ht="15.6">
      <c r="A8113">
        <v>8058</v>
      </c>
      <c r="B8113" s="166">
        <v>66.762716631853536</v>
      </c>
      <c r="D8113" s="39"/>
      <c r="E8113" s="39"/>
    </row>
    <row r="8114" spans="1:5" ht="15.6">
      <c r="A8114">
        <v>8059</v>
      </c>
      <c r="B8114" s="166">
        <v>56.270623405634431</v>
      </c>
      <c r="D8114" s="39"/>
      <c r="E8114" s="39"/>
    </row>
    <row r="8115" spans="1:5" ht="15.6">
      <c r="A8115">
        <v>8060</v>
      </c>
      <c r="B8115" s="166">
        <v>125.16047198315685</v>
      </c>
      <c r="D8115" s="39"/>
      <c r="E8115" s="39"/>
    </row>
    <row r="8116" spans="1:5" ht="15.6">
      <c r="A8116">
        <v>8061</v>
      </c>
      <c r="B8116" s="166">
        <v>114.71795648708969</v>
      </c>
      <c r="D8116" s="39"/>
      <c r="E8116" s="39"/>
    </row>
    <row r="8117" spans="1:5" ht="15.6">
      <c r="A8117">
        <v>8062</v>
      </c>
      <c r="B8117" s="166">
        <v>114.44780434232841</v>
      </c>
      <c r="D8117" s="39"/>
      <c r="E8117" s="39"/>
    </row>
    <row r="8118" spans="1:5" ht="15.6">
      <c r="A8118">
        <v>8063</v>
      </c>
      <c r="B8118" s="166">
        <v>120.26905790242023</v>
      </c>
      <c r="D8118" s="39"/>
      <c r="E8118" s="39"/>
    </row>
    <row r="8119" spans="1:5" ht="15.6">
      <c r="A8119">
        <v>8064</v>
      </c>
      <c r="B8119" s="166">
        <v>70.376301101813937</v>
      </c>
      <c r="D8119" s="39"/>
      <c r="E8119" s="39"/>
    </row>
    <row r="8120" spans="1:5" ht="15.6">
      <c r="A8120">
        <v>8065</v>
      </c>
      <c r="B8120" s="166">
        <v>78.694884695405179</v>
      </c>
      <c r="D8120" s="39"/>
      <c r="E8120" s="39"/>
    </row>
    <row r="8121" spans="1:5" ht="15.6">
      <c r="A8121">
        <v>8066</v>
      </c>
      <c r="B8121" s="166">
        <v>182.16132552227825</v>
      </c>
      <c r="D8121" s="39"/>
      <c r="E8121" s="39"/>
    </row>
    <row r="8122" spans="1:5" ht="15.6">
      <c r="A8122">
        <v>8067</v>
      </c>
      <c r="B8122" s="166">
        <v>54.582325118426709</v>
      </c>
      <c r="D8122" s="39"/>
      <c r="E8122" s="39"/>
    </row>
    <row r="8123" spans="1:5" ht="15.6">
      <c r="A8123">
        <v>8068</v>
      </c>
      <c r="B8123" s="166">
        <v>96.836120233550687</v>
      </c>
      <c r="D8123" s="39"/>
      <c r="E8123" s="39"/>
    </row>
    <row r="8124" spans="1:5" ht="15.6">
      <c r="A8124">
        <v>8069</v>
      </c>
      <c r="B8124" s="166">
        <v>144.37726832272094</v>
      </c>
      <c r="D8124" s="39"/>
      <c r="E8124" s="39"/>
    </row>
    <row r="8125" spans="1:5" ht="15.6">
      <c r="A8125">
        <v>8070</v>
      </c>
      <c r="B8125" s="166">
        <v>95.780014746512677</v>
      </c>
      <c r="D8125" s="39"/>
      <c r="E8125" s="39"/>
    </row>
    <row r="8126" spans="1:5" ht="15.6">
      <c r="A8126">
        <v>8071</v>
      </c>
      <c r="B8126" s="166">
        <v>195.64382842007706</v>
      </c>
      <c r="D8126" s="39"/>
      <c r="E8126" s="39"/>
    </row>
    <row r="8127" spans="1:5" ht="15.6">
      <c r="A8127">
        <v>8072</v>
      </c>
      <c r="B8127" s="166">
        <v>102.20735408522683</v>
      </c>
      <c r="D8127" s="39"/>
      <c r="E8127" s="39"/>
    </row>
    <row r="8128" spans="1:5" ht="15.6">
      <c r="A8128">
        <v>8073</v>
      </c>
      <c r="B8128" s="166">
        <v>165.35211726131834</v>
      </c>
      <c r="D8128" s="39"/>
      <c r="E8128" s="39"/>
    </row>
    <row r="8129" spans="1:5" ht="15.6">
      <c r="A8129">
        <v>8074</v>
      </c>
      <c r="B8129" s="166">
        <v>123.22333258385889</v>
      </c>
      <c r="D8129" s="39"/>
      <c r="E8129" s="39"/>
    </row>
    <row r="8130" spans="1:5" ht="15.6">
      <c r="A8130">
        <v>8075</v>
      </c>
      <c r="B8130" s="166">
        <v>106.22993584223292</v>
      </c>
      <c r="D8130" s="39"/>
      <c r="E8130" s="39"/>
    </row>
    <row r="8131" spans="1:5" ht="15.6">
      <c r="A8131">
        <v>8076</v>
      </c>
      <c r="B8131" s="166">
        <v>76.281292728893987</v>
      </c>
      <c r="D8131" s="39"/>
      <c r="E8131" s="39"/>
    </row>
    <row r="8132" spans="1:5" ht="15.6">
      <c r="A8132">
        <v>8077</v>
      </c>
      <c r="B8132" s="166">
        <v>87.461638498426311</v>
      </c>
      <c r="D8132" s="39"/>
      <c r="E8132" s="39"/>
    </row>
    <row r="8133" spans="1:5" ht="15.6">
      <c r="A8133">
        <v>8078</v>
      </c>
      <c r="B8133" s="166">
        <v>120.15367464980422</v>
      </c>
      <c r="D8133" s="39"/>
      <c r="E8133" s="39"/>
    </row>
    <row r="8134" spans="1:5" ht="15.6">
      <c r="A8134">
        <v>8079</v>
      </c>
      <c r="B8134" s="166">
        <v>75.451697618291433</v>
      </c>
      <c r="D8134" s="39"/>
      <c r="E8134" s="39"/>
    </row>
    <row r="8135" spans="1:5" ht="15.6">
      <c r="A8135">
        <v>8080</v>
      </c>
      <c r="B8135" s="166">
        <v>77.012319816361625</v>
      </c>
      <c r="D8135" s="39"/>
      <c r="E8135" s="39"/>
    </row>
    <row r="8136" spans="1:5" ht="15.6">
      <c r="A8136">
        <v>8081</v>
      </c>
      <c r="B8136" s="166">
        <v>115.54332097447553</v>
      </c>
      <c r="D8136" s="39"/>
      <c r="E8136" s="39"/>
    </row>
    <row r="8137" spans="1:5" ht="15.6">
      <c r="A8137">
        <v>8082</v>
      </c>
      <c r="B8137" s="166">
        <v>95.326754019401719</v>
      </c>
      <c r="D8137" s="39"/>
      <c r="E8137" s="39"/>
    </row>
    <row r="8138" spans="1:5" ht="15.6">
      <c r="A8138">
        <v>8083</v>
      </c>
      <c r="B8138" s="166">
        <v>127.77523384154189</v>
      </c>
      <c r="D8138" s="39"/>
      <c r="E8138" s="39"/>
    </row>
    <row r="8139" spans="1:5" ht="15.6">
      <c r="A8139">
        <v>8084</v>
      </c>
      <c r="B8139" s="166">
        <v>88.269713165378135</v>
      </c>
      <c r="D8139" s="39"/>
      <c r="E8139" s="39"/>
    </row>
    <row r="8140" spans="1:5" ht="15.6">
      <c r="A8140">
        <v>8085</v>
      </c>
      <c r="B8140" s="166">
        <v>155.50504252384633</v>
      </c>
      <c r="D8140" s="39"/>
      <c r="E8140" s="39"/>
    </row>
    <row r="8141" spans="1:5" ht="15.6">
      <c r="A8141">
        <v>8086</v>
      </c>
      <c r="B8141" s="166">
        <v>74.427281789664093</v>
      </c>
      <c r="D8141" s="39"/>
      <c r="E8141" s="39"/>
    </row>
    <row r="8142" spans="1:5" ht="15.6">
      <c r="A8142">
        <v>8087</v>
      </c>
      <c r="B8142" s="166">
        <v>111.37073154887713</v>
      </c>
      <c r="D8142" s="39"/>
      <c r="E8142" s="39"/>
    </row>
    <row r="8143" spans="1:5" ht="15.6">
      <c r="A8143">
        <v>8088</v>
      </c>
      <c r="B8143" s="166">
        <v>78.511295170021867</v>
      </c>
      <c r="D8143" s="39"/>
      <c r="E8143" s="39"/>
    </row>
    <row r="8144" spans="1:5" ht="15.6">
      <c r="A8144">
        <v>8089</v>
      </c>
      <c r="B8144" s="166">
        <v>197.40366038029308</v>
      </c>
      <c r="D8144" s="39"/>
      <c r="E8144" s="39"/>
    </row>
    <row r="8145" spans="1:5" ht="15.6">
      <c r="A8145">
        <v>8090</v>
      </c>
      <c r="B8145" s="166">
        <v>91.720172683749581</v>
      </c>
      <c r="D8145" s="39"/>
      <c r="E8145" s="39"/>
    </row>
    <row r="8146" spans="1:5" ht="15.6">
      <c r="A8146">
        <v>8091</v>
      </c>
      <c r="B8146" s="166">
        <v>100.35704663878442</v>
      </c>
      <c r="D8146" s="39"/>
      <c r="E8146" s="39"/>
    </row>
    <row r="8147" spans="1:5" ht="15.6">
      <c r="A8147">
        <v>8092</v>
      </c>
      <c r="B8147" s="166">
        <v>93.991521217076198</v>
      </c>
      <c r="D8147" s="39"/>
      <c r="E8147" s="39"/>
    </row>
    <row r="8148" spans="1:5" ht="15.6">
      <c r="A8148">
        <v>8093</v>
      </c>
      <c r="B8148" s="166">
        <v>165.42325053340781</v>
      </c>
      <c r="D8148" s="39"/>
      <c r="E8148" s="39"/>
    </row>
    <row r="8149" spans="1:5" ht="15.6">
      <c r="A8149">
        <v>8094</v>
      </c>
      <c r="B8149" s="166">
        <v>73.831558326355349</v>
      </c>
      <c r="D8149" s="39"/>
      <c r="E8149" s="39"/>
    </row>
    <row r="8150" spans="1:5" ht="15.6">
      <c r="A8150">
        <v>8095</v>
      </c>
      <c r="B8150" s="166">
        <v>78.654369701525454</v>
      </c>
      <c r="D8150" s="39"/>
      <c r="E8150" s="39"/>
    </row>
    <row r="8151" spans="1:5" ht="15.6">
      <c r="A8151">
        <v>8096</v>
      </c>
      <c r="B8151" s="166">
        <v>107.89530782197076</v>
      </c>
      <c r="D8151" s="39"/>
      <c r="E8151" s="39"/>
    </row>
    <row r="8152" spans="1:5" ht="15.6">
      <c r="A8152">
        <v>8097</v>
      </c>
      <c r="B8152" s="166">
        <v>89.553647644634935</v>
      </c>
      <c r="D8152" s="39"/>
      <c r="E8152" s="39"/>
    </row>
    <row r="8153" spans="1:5" ht="15.6">
      <c r="A8153">
        <v>8098</v>
      </c>
      <c r="B8153" s="166">
        <v>83.039458533006382</v>
      </c>
      <c r="D8153" s="39"/>
      <c r="E8153" s="39"/>
    </row>
    <row r="8154" spans="1:5" ht="15.6">
      <c r="A8154">
        <v>8099</v>
      </c>
      <c r="B8154" s="166">
        <v>153.84789804264489</v>
      </c>
      <c r="D8154" s="39"/>
      <c r="E8154" s="39"/>
    </row>
    <row r="8155" spans="1:5" ht="15.6">
      <c r="A8155">
        <v>8100</v>
      </c>
      <c r="B8155" s="166">
        <v>74.041526958387067</v>
      </c>
      <c r="D8155" s="39"/>
      <c r="E8155" s="39"/>
    </row>
    <row r="8156" spans="1:5" ht="15.6">
      <c r="A8156">
        <v>8101</v>
      </c>
      <c r="B8156" s="166">
        <v>62.055211605816943</v>
      </c>
      <c r="D8156" s="39"/>
      <c r="E8156" s="39"/>
    </row>
    <row r="8157" spans="1:5" ht="15.6">
      <c r="A8157">
        <v>8102</v>
      </c>
      <c r="B8157" s="166">
        <v>130.24006886808158</v>
      </c>
      <c r="D8157" s="39"/>
      <c r="E8157" s="39"/>
    </row>
    <row r="8158" spans="1:5" ht="15.6">
      <c r="A8158">
        <v>8103</v>
      </c>
      <c r="B8158" s="166">
        <v>172.89192759512864</v>
      </c>
      <c r="D8158" s="39"/>
      <c r="E8158" s="39"/>
    </row>
    <row r="8159" spans="1:5" ht="15.6">
      <c r="A8159">
        <v>8104</v>
      </c>
      <c r="B8159" s="166">
        <v>63.78347074205778</v>
      </c>
      <c r="D8159" s="39"/>
      <c r="E8159" s="39"/>
    </row>
    <row r="8160" spans="1:5" ht="15.6">
      <c r="A8160">
        <v>8105</v>
      </c>
      <c r="B8160" s="166">
        <v>166.0609539471879</v>
      </c>
      <c r="D8160" s="39"/>
      <c r="E8160" s="39"/>
    </row>
    <row r="8161" spans="1:5" ht="15.6">
      <c r="A8161">
        <v>8106</v>
      </c>
      <c r="B8161" s="166">
        <v>115.74519493296685</v>
      </c>
      <c r="D8161" s="39"/>
      <c r="E8161" s="39"/>
    </row>
    <row r="8162" spans="1:5" ht="15.6">
      <c r="A8162">
        <v>8107</v>
      </c>
      <c r="B8162" s="166">
        <v>96.495252360065962</v>
      </c>
      <c r="D8162" s="39"/>
      <c r="E8162" s="39"/>
    </row>
    <row r="8163" spans="1:5" ht="15.6">
      <c r="A8163">
        <v>8108</v>
      </c>
      <c r="B8163" s="166">
        <v>63.397957104479886</v>
      </c>
      <c r="D8163" s="39"/>
      <c r="E8163" s="39"/>
    </row>
    <row r="8164" spans="1:5" ht="15.6">
      <c r="A8164">
        <v>8109</v>
      </c>
      <c r="B8164" s="166">
        <v>76.279237079136209</v>
      </c>
      <c r="D8164" s="39"/>
      <c r="E8164" s="39"/>
    </row>
    <row r="8165" spans="1:5" ht="15.6">
      <c r="A8165">
        <v>8110</v>
      </c>
      <c r="B8165" s="166">
        <v>81.867182936959239</v>
      </c>
      <c r="D8165" s="39"/>
      <c r="E8165" s="39"/>
    </row>
    <row r="8166" spans="1:5" ht="15.6">
      <c r="A8166">
        <v>8111</v>
      </c>
      <c r="B8166" s="166">
        <v>108.90052878222012</v>
      </c>
      <c r="D8166" s="39"/>
      <c r="E8166" s="39"/>
    </row>
    <row r="8167" spans="1:5" ht="15.6">
      <c r="A8167">
        <v>8112</v>
      </c>
      <c r="B8167" s="166">
        <v>79.911264020251366</v>
      </c>
      <c r="D8167" s="39"/>
      <c r="E8167" s="39"/>
    </row>
    <row r="8168" spans="1:5" ht="15.6">
      <c r="A8168">
        <v>8113</v>
      </c>
      <c r="B8168" s="166">
        <v>84.842942505362643</v>
      </c>
      <c r="D8168" s="39"/>
      <c r="E8168" s="39"/>
    </row>
    <row r="8169" spans="1:5" ht="15.6">
      <c r="A8169">
        <v>8114</v>
      </c>
      <c r="B8169" s="166">
        <v>72.648976072935369</v>
      </c>
      <c r="D8169" s="39"/>
      <c r="E8169" s="39"/>
    </row>
    <row r="8170" spans="1:5" ht="15.6">
      <c r="A8170">
        <v>8115</v>
      </c>
      <c r="B8170" s="166">
        <v>68.583771170591078</v>
      </c>
      <c r="D8170" s="39"/>
      <c r="E8170" s="39"/>
    </row>
    <row r="8171" spans="1:5" ht="15.6">
      <c r="A8171">
        <v>8116</v>
      </c>
      <c r="B8171" s="166">
        <v>100.24806386999587</v>
      </c>
      <c r="D8171" s="39"/>
      <c r="E8171" s="39"/>
    </row>
    <row r="8172" spans="1:5" ht="15.6">
      <c r="A8172">
        <v>8117</v>
      </c>
      <c r="B8172" s="166">
        <v>112.94052288722671</v>
      </c>
      <c r="D8172" s="39"/>
      <c r="E8172" s="39"/>
    </row>
    <row r="8173" spans="1:5" ht="15.6">
      <c r="A8173">
        <v>8118</v>
      </c>
      <c r="B8173" s="166">
        <v>92.099422498996333</v>
      </c>
      <c r="D8173" s="39"/>
      <c r="E8173" s="39"/>
    </row>
    <row r="8174" spans="1:5" ht="15.6">
      <c r="A8174">
        <v>8119</v>
      </c>
      <c r="B8174" s="166">
        <v>122.27328817969934</v>
      </c>
      <c r="D8174" s="39"/>
      <c r="E8174" s="39"/>
    </row>
    <row r="8175" spans="1:5" ht="15.6">
      <c r="A8175">
        <v>8120</v>
      </c>
      <c r="B8175" s="166">
        <v>49.12154542096664</v>
      </c>
      <c r="D8175" s="39"/>
      <c r="E8175" s="39"/>
    </row>
    <row r="8176" spans="1:5" ht="15.6">
      <c r="A8176">
        <v>8121</v>
      </c>
      <c r="B8176" s="166">
        <v>58.860464785868373</v>
      </c>
      <c r="D8176" s="39"/>
      <c r="E8176" s="39"/>
    </row>
    <row r="8177" spans="1:5" ht="15.6">
      <c r="A8177">
        <v>8122</v>
      </c>
      <c r="B8177" s="166">
        <v>128.19404409195084</v>
      </c>
      <c r="D8177" s="39"/>
      <c r="E8177" s="39"/>
    </row>
    <row r="8178" spans="1:5" ht="15.6">
      <c r="A8178">
        <v>8123</v>
      </c>
      <c r="B8178" s="166">
        <v>61.024981145347162</v>
      </c>
      <c r="D8178" s="39"/>
      <c r="E8178" s="39"/>
    </row>
    <row r="8179" spans="1:5" ht="15.6">
      <c r="A8179">
        <v>8124</v>
      </c>
      <c r="B8179" s="166">
        <v>58.131019449361233</v>
      </c>
      <c r="D8179" s="39"/>
      <c r="E8179" s="39"/>
    </row>
    <row r="8180" spans="1:5" ht="15.6">
      <c r="A8180">
        <v>8125</v>
      </c>
      <c r="B8180" s="166">
        <v>178.84391905384055</v>
      </c>
      <c r="D8180" s="39"/>
      <c r="E8180" s="39"/>
    </row>
    <row r="8181" spans="1:5" ht="15.6">
      <c r="A8181">
        <v>8126</v>
      </c>
      <c r="B8181" s="166">
        <v>91.423313803759868</v>
      </c>
      <c r="D8181" s="39"/>
      <c r="E8181" s="39"/>
    </row>
    <row r="8182" spans="1:5" ht="15.6">
      <c r="A8182">
        <v>8127</v>
      </c>
      <c r="B8182" s="166">
        <v>117.94904144393779</v>
      </c>
      <c r="D8182" s="39"/>
      <c r="E8182" s="39"/>
    </row>
    <row r="8183" spans="1:5" ht="15.6">
      <c r="A8183">
        <v>8128</v>
      </c>
      <c r="B8183" s="166">
        <v>90.932641516535682</v>
      </c>
      <c r="D8183" s="39"/>
      <c r="E8183" s="39"/>
    </row>
    <row r="8184" spans="1:5" ht="15.6">
      <c r="A8184">
        <v>8129</v>
      </c>
      <c r="B8184" s="166">
        <v>168.56841622311464</v>
      </c>
      <c r="D8184" s="39"/>
      <c r="E8184" s="39"/>
    </row>
    <row r="8185" spans="1:5" ht="15.6">
      <c r="A8185">
        <v>8130</v>
      </c>
      <c r="B8185" s="166">
        <v>111.43891081600852</v>
      </c>
      <c r="D8185" s="39"/>
      <c r="E8185" s="39"/>
    </row>
    <row r="8186" spans="1:5" ht="15.6">
      <c r="A8186">
        <v>8131</v>
      </c>
      <c r="B8186" s="166">
        <v>160.37479677060918</v>
      </c>
      <c r="D8186" s="39"/>
      <c r="E8186" s="39"/>
    </row>
    <row r="8187" spans="1:5" ht="15.6">
      <c r="A8187">
        <v>8132</v>
      </c>
      <c r="B8187" s="166">
        <v>61.677704526910361</v>
      </c>
      <c r="D8187" s="39"/>
      <c r="E8187" s="39"/>
    </row>
    <row r="8188" spans="1:5" ht="15.6">
      <c r="A8188">
        <v>8133</v>
      </c>
      <c r="B8188" s="166">
        <v>67.541078064988</v>
      </c>
      <c r="D8188" s="39"/>
      <c r="E8188" s="39"/>
    </row>
    <row r="8189" spans="1:5" ht="15.6">
      <c r="A8189">
        <v>8134</v>
      </c>
      <c r="B8189" s="166">
        <v>157.4975589311687</v>
      </c>
      <c r="D8189" s="39"/>
      <c r="E8189" s="39"/>
    </row>
    <row r="8190" spans="1:5" ht="15.6">
      <c r="A8190">
        <v>8135</v>
      </c>
      <c r="B8190" s="166">
        <v>105.8789757827797</v>
      </c>
      <c r="D8190" s="39"/>
      <c r="E8190" s="39"/>
    </row>
    <row r="8191" spans="1:5" ht="15.6">
      <c r="A8191">
        <v>8136</v>
      </c>
      <c r="B8191" s="166">
        <v>88.725626084870456</v>
      </c>
      <c r="D8191" s="39"/>
      <c r="E8191" s="39"/>
    </row>
    <row r="8192" spans="1:5" ht="15.6">
      <c r="A8192">
        <v>8137</v>
      </c>
      <c r="B8192" s="166">
        <v>171.73498852418555</v>
      </c>
      <c r="D8192" s="39"/>
      <c r="E8192" s="39"/>
    </row>
    <row r="8193" spans="1:5" ht="15.6">
      <c r="A8193">
        <v>8138</v>
      </c>
      <c r="B8193" s="166">
        <v>68.842028771049442</v>
      </c>
      <c r="D8193" s="39"/>
      <c r="E8193" s="39"/>
    </row>
    <row r="8194" spans="1:5" ht="15.6">
      <c r="A8194">
        <v>8139</v>
      </c>
      <c r="B8194" s="166">
        <v>221.21251671450773</v>
      </c>
      <c r="D8194" s="39"/>
      <c r="E8194" s="39"/>
    </row>
    <row r="8195" spans="1:5" ht="15.6">
      <c r="A8195">
        <v>8140</v>
      </c>
      <c r="B8195" s="166">
        <v>60.689784304051649</v>
      </c>
      <c r="D8195" s="39"/>
      <c r="E8195" s="39"/>
    </row>
    <row r="8196" spans="1:5" ht="15.6">
      <c r="A8196">
        <v>8141</v>
      </c>
      <c r="B8196" s="166">
        <v>117.34540942198595</v>
      </c>
      <c r="D8196" s="39"/>
      <c r="E8196" s="39"/>
    </row>
    <row r="8197" spans="1:5" ht="15.6">
      <c r="A8197">
        <v>8142</v>
      </c>
      <c r="B8197" s="166">
        <v>95.409575990603756</v>
      </c>
      <c r="D8197" s="39"/>
      <c r="E8197" s="39"/>
    </row>
    <row r="8198" spans="1:5" ht="15.6">
      <c r="A8198">
        <v>8143</v>
      </c>
      <c r="B8198" s="166">
        <v>179.54415496965674</v>
      </c>
      <c r="D8198" s="39"/>
      <c r="E8198" s="39"/>
    </row>
    <row r="8199" spans="1:5" ht="15.6">
      <c r="A8199">
        <v>8144</v>
      </c>
      <c r="B8199" s="166">
        <v>88.235241629444943</v>
      </c>
      <c r="D8199" s="39"/>
      <c r="E8199" s="39"/>
    </row>
    <row r="8200" spans="1:5" ht="15.6">
      <c r="A8200">
        <v>8145</v>
      </c>
      <c r="B8200" s="166">
        <v>157.79853218252529</v>
      </c>
      <c r="D8200" s="39"/>
      <c r="E8200" s="39"/>
    </row>
    <row r="8201" spans="1:5" ht="15.6">
      <c r="A8201">
        <v>8146</v>
      </c>
      <c r="B8201" s="166">
        <v>116.0051383522857</v>
      </c>
      <c r="D8201" s="39"/>
      <c r="E8201" s="39"/>
    </row>
    <row r="8202" spans="1:5" ht="15.6">
      <c r="A8202">
        <v>8147</v>
      </c>
      <c r="B8202" s="166">
        <v>101.15389947222539</v>
      </c>
      <c r="D8202" s="39"/>
      <c r="E8202" s="39"/>
    </row>
    <row r="8203" spans="1:5" ht="15.6">
      <c r="A8203">
        <v>8148</v>
      </c>
      <c r="B8203" s="166">
        <v>182.76316382470463</v>
      </c>
      <c r="D8203" s="39"/>
      <c r="E8203" s="39"/>
    </row>
    <row r="8204" spans="1:5" ht="15.6">
      <c r="A8204">
        <v>8149</v>
      </c>
      <c r="B8204" s="166">
        <v>105.40458253533109</v>
      </c>
      <c r="D8204" s="39"/>
      <c r="E8204" s="39"/>
    </row>
    <row r="8205" spans="1:5" ht="15.6">
      <c r="A8205">
        <v>8150</v>
      </c>
      <c r="B8205" s="166">
        <v>176.69668012219415</v>
      </c>
      <c r="D8205" s="39"/>
      <c r="E8205" s="39"/>
    </row>
    <row r="8206" spans="1:5" ht="15.6">
      <c r="A8206">
        <v>8151</v>
      </c>
      <c r="B8206" s="166">
        <v>206.99523055896421</v>
      </c>
      <c r="D8206" s="39"/>
      <c r="E8206" s="39"/>
    </row>
    <row r="8207" spans="1:5" ht="15.6">
      <c r="A8207">
        <v>8152</v>
      </c>
      <c r="B8207" s="166">
        <v>64.977016763624107</v>
      </c>
      <c r="D8207" s="39"/>
      <c r="E8207" s="39"/>
    </row>
    <row r="8208" spans="1:5" ht="15.6">
      <c r="A8208">
        <v>8153</v>
      </c>
      <c r="B8208" s="166">
        <v>138.57561146889182</v>
      </c>
      <c r="D8208" s="39"/>
      <c r="E8208" s="39"/>
    </row>
    <row r="8209" spans="1:5" ht="15.6">
      <c r="A8209">
        <v>8154</v>
      </c>
      <c r="B8209" s="166">
        <v>114.50994028642201</v>
      </c>
      <c r="D8209" s="39"/>
      <c r="E8209" s="39"/>
    </row>
    <row r="8210" spans="1:5" ht="15.6">
      <c r="A8210">
        <v>8155</v>
      </c>
      <c r="B8210" s="166">
        <v>113.07778936550389</v>
      </c>
      <c r="D8210" s="39"/>
      <c r="E8210" s="39"/>
    </row>
    <row r="8211" spans="1:5" ht="15.6">
      <c r="A8211">
        <v>8156</v>
      </c>
      <c r="B8211" s="166">
        <v>69.620448849316034</v>
      </c>
      <c r="D8211" s="39"/>
      <c r="E8211" s="39"/>
    </row>
    <row r="8212" spans="1:5" ht="15.6">
      <c r="A8212">
        <v>8157</v>
      </c>
      <c r="B8212" s="166">
        <v>70.628921132525889</v>
      </c>
      <c r="D8212" s="39"/>
      <c r="E8212" s="39"/>
    </row>
    <row r="8213" spans="1:5" ht="15.6">
      <c r="A8213">
        <v>8158</v>
      </c>
      <c r="B8213" s="166">
        <v>106.43317004273347</v>
      </c>
      <c r="D8213" s="39"/>
      <c r="E8213" s="39"/>
    </row>
    <row r="8214" spans="1:5" ht="15.6">
      <c r="A8214">
        <v>8159</v>
      </c>
      <c r="B8214" s="166">
        <v>107.78487139554032</v>
      </c>
      <c r="D8214" s="39"/>
      <c r="E8214" s="39"/>
    </row>
    <row r="8215" spans="1:5" ht="15.6">
      <c r="A8215">
        <v>8160</v>
      </c>
      <c r="B8215" s="166">
        <v>98.556107304936901</v>
      </c>
      <c r="D8215" s="39"/>
      <c r="E8215" s="39"/>
    </row>
    <row r="8216" spans="1:5" ht="15.6">
      <c r="A8216">
        <v>8161</v>
      </c>
      <c r="B8216" s="166">
        <v>71.609724155503471</v>
      </c>
      <c r="D8216" s="39"/>
      <c r="E8216" s="39"/>
    </row>
    <row r="8217" spans="1:5" ht="15.6">
      <c r="A8217">
        <v>8162</v>
      </c>
      <c r="B8217" s="166">
        <v>93.281003577816563</v>
      </c>
      <c r="D8217" s="39"/>
      <c r="E8217" s="39"/>
    </row>
    <row r="8218" spans="1:5" ht="15.6">
      <c r="A8218">
        <v>8163</v>
      </c>
      <c r="B8218" s="166">
        <v>92.695367649350928</v>
      </c>
      <c r="D8218" s="39"/>
      <c r="E8218" s="39"/>
    </row>
    <row r="8219" spans="1:5" ht="15.6">
      <c r="A8219">
        <v>8164</v>
      </c>
      <c r="B8219" s="166">
        <v>217.47252114600076</v>
      </c>
      <c r="D8219" s="39"/>
      <c r="E8219" s="39"/>
    </row>
    <row r="8220" spans="1:5" ht="15.6">
      <c r="A8220">
        <v>8165</v>
      </c>
      <c r="B8220" s="166">
        <v>77.3401353243312</v>
      </c>
      <c r="D8220" s="39"/>
      <c r="E8220" s="39"/>
    </row>
    <row r="8221" spans="1:5" ht="15.6">
      <c r="A8221">
        <v>8166</v>
      </c>
      <c r="B8221" s="166">
        <v>86.462485253667211</v>
      </c>
      <c r="D8221" s="39"/>
      <c r="E8221" s="39"/>
    </row>
    <row r="8222" spans="1:5" ht="15.6">
      <c r="A8222">
        <v>8167</v>
      </c>
      <c r="B8222" s="166">
        <v>87.828258076712899</v>
      </c>
      <c r="D8222" s="39"/>
      <c r="E8222" s="39"/>
    </row>
    <row r="8223" spans="1:5" ht="15.6">
      <c r="A8223">
        <v>8168</v>
      </c>
      <c r="B8223" s="166">
        <v>113.59557994259541</v>
      </c>
      <c r="D8223" s="39"/>
      <c r="E8223" s="39"/>
    </row>
    <row r="8224" spans="1:5" ht="15.6">
      <c r="A8224">
        <v>8169</v>
      </c>
      <c r="B8224" s="166">
        <v>70.394528230250103</v>
      </c>
      <c r="D8224" s="39"/>
      <c r="E8224" s="39"/>
    </row>
    <row r="8225" spans="1:5" ht="15.6">
      <c r="A8225">
        <v>8170</v>
      </c>
      <c r="B8225" s="166">
        <v>130.57132030972321</v>
      </c>
      <c r="D8225" s="39"/>
      <c r="E8225" s="39"/>
    </row>
    <row r="8226" spans="1:5" ht="15.6">
      <c r="A8226">
        <v>8171</v>
      </c>
      <c r="B8226" s="166">
        <v>113.44770179530187</v>
      </c>
      <c r="D8226" s="39"/>
      <c r="E8226" s="39"/>
    </row>
    <row r="8227" spans="1:5" ht="15.6">
      <c r="A8227">
        <v>8172</v>
      </c>
      <c r="B8227" s="166">
        <v>59.767596651024135</v>
      </c>
      <c r="D8227" s="39"/>
      <c r="E8227" s="39"/>
    </row>
    <row r="8228" spans="1:5" ht="15.6">
      <c r="A8228">
        <v>8173</v>
      </c>
      <c r="B8228" s="166">
        <v>89.725340463744914</v>
      </c>
      <c r="D8228" s="39"/>
      <c r="E8228" s="39"/>
    </row>
    <row r="8229" spans="1:5" ht="15.6">
      <c r="A8229">
        <v>8174</v>
      </c>
      <c r="B8229" s="166">
        <v>153.57352249912682</v>
      </c>
      <c r="D8229" s="39"/>
      <c r="E8229" s="39"/>
    </row>
    <row r="8230" spans="1:5" ht="15.6">
      <c r="A8230">
        <v>8175</v>
      </c>
      <c r="B8230" s="166">
        <v>68.24289053223238</v>
      </c>
      <c r="D8230" s="39"/>
      <c r="E8230" s="39"/>
    </row>
    <row r="8231" spans="1:5" ht="15.6">
      <c r="A8231">
        <v>8176</v>
      </c>
      <c r="B8231" s="166">
        <v>60.306113674231305</v>
      </c>
      <c r="D8231" s="39"/>
      <c r="E8231" s="39"/>
    </row>
    <row r="8232" spans="1:5" ht="15.6">
      <c r="A8232">
        <v>8177</v>
      </c>
      <c r="B8232" s="166">
        <v>104.66060886317391</v>
      </c>
      <c r="D8232" s="39"/>
      <c r="E8232" s="39"/>
    </row>
    <row r="8233" spans="1:5" ht="15.6">
      <c r="A8233">
        <v>8178</v>
      </c>
      <c r="B8233" s="166">
        <v>54.759091709986521</v>
      </c>
      <c r="D8233" s="39"/>
      <c r="E8233" s="39"/>
    </row>
    <row r="8234" spans="1:5" ht="15.6">
      <c r="A8234">
        <v>8179</v>
      </c>
      <c r="B8234" s="166">
        <v>95.700470536721596</v>
      </c>
      <c r="D8234" s="39"/>
      <c r="E8234" s="39"/>
    </row>
    <row r="8235" spans="1:5" ht="15.6">
      <c r="A8235">
        <v>8180</v>
      </c>
      <c r="B8235" s="166">
        <v>111.15600331927692</v>
      </c>
      <c r="D8235" s="39"/>
      <c r="E8235" s="39"/>
    </row>
    <row r="8236" spans="1:5" ht="15.6">
      <c r="A8236">
        <v>8181</v>
      </c>
      <c r="B8236" s="166">
        <v>83.53338586567925</v>
      </c>
      <c r="D8236" s="39"/>
      <c r="E8236" s="39"/>
    </row>
    <row r="8237" spans="1:5" ht="15.6">
      <c r="A8237">
        <v>8182</v>
      </c>
      <c r="B8237" s="166">
        <v>116.794571374307</v>
      </c>
      <c r="D8237" s="39"/>
      <c r="E8237" s="39"/>
    </row>
    <row r="8238" spans="1:5" ht="15.6">
      <c r="A8238">
        <v>8183</v>
      </c>
      <c r="B8238" s="166">
        <v>113.04685565801969</v>
      </c>
      <c r="D8238" s="39"/>
      <c r="E8238" s="39"/>
    </row>
    <row r="8239" spans="1:5" ht="15.6">
      <c r="A8239">
        <v>8184</v>
      </c>
      <c r="B8239" s="166">
        <v>81.767293214947301</v>
      </c>
      <c r="D8239" s="39"/>
      <c r="E8239" s="39"/>
    </row>
    <row r="8240" spans="1:5" ht="15.6">
      <c r="A8240">
        <v>8185</v>
      </c>
      <c r="B8240" s="166">
        <v>102.19616835098496</v>
      </c>
      <c r="D8240" s="39"/>
      <c r="E8240" s="39"/>
    </row>
    <row r="8241" spans="1:5" ht="15.6">
      <c r="A8241">
        <v>8186</v>
      </c>
      <c r="B8241" s="166">
        <v>119.64165394254637</v>
      </c>
      <c r="D8241" s="39"/>
      <c r="E8241" s="39"/>
    </row>
    <row r="8242" spans="1:5" ht="15.6">
      <c r="A8242">
        <v>8187</v>
      </c>
      <c r="B8242" s="166">
        <v>89.942262121113217</v>
      </c>
      <c r="D8242" s="39"/>
      <c r="E8242" s="39"/>
    </row>
    <row r="8243" spans="1:5" ht="15.6">
      <c r="A8243">
        <v>8188</v>
      </c>
      <c r="B8243" s="166">
        <v>121.8598715425736</v>
      </c>
      <c r="D8243" s="39"/>
      <c r="E8243" s="39"/>
    </row>
    <row r="8244" spans="1:5" ht="15.6">
      <c r="A8244">
        <v>8189</v>
      </c>
      <c r="B8244" s="166">
        <v>165.20637296046894</v>
      </c>
      <c r="D8244" s="39"/>
      <c r="E8244" s="39"/>
    </row>
    <row r="8245" spans="1:5" ht="15.6">
      <c r="A8245">
        <v>8190</v>
      </c>
      <c r="B8245" s="166">
        <v>83.035186441101359</v>
      </c>
      <c r="D8245" s="39"/>
      <c r="E8245" s="39"/>
    </row>
    <row r="8246" spans="1:5" ht="15.6">
      <c r="A8246">
        <v>8191</v>
      </c>
      <c r="B8246" s="166">
        <v>115.78434094998411</v>
      </c>
      <c r="D8246" s="39"/>
      <c r="E8246" s="39"/>
    </row>
    <row r="8247" spans="1:5" ht="15.6">
      <c r="A8247">
        <v>8192</v>
      </c>
      <c r="B8247" s="166">
        <v>153.4596808637445</v>
      </c>
      <c r="D8247" s="39"/>
      <c r="E8247" s="39"/>
    </row>
    <row r="8248" spans="1:5" ht="15.6">
      <c r="A8248">
        <v>8193</v>
      </c>
      <c r="B8248" s="166">
        <v>137.71213955824373</v>
      </c>
      <c r="D8248" s="39"/>
      <c r="E8248" s="39"/>
    </row>
    <row r="8249" spans="1:5" ht="15.6">
      <c r="A8249">
        <v>8194</v>
      </c>
      <c r="B8249" s="166">
        <v>75.789064589937638</v>
      </c>
      <c r="D8249" s="39"/>
      <c r="E8249" s="39"/>
    </row>
    <row r="8250" spans="1:5" ht="15.6">
      <c r="A8250">
        <v>8195</v>
      </c>
      <c r="B8250" s="166">
        <v>126.39637068215383</v>
      </c>
      <c r="D8250" s="39"/>
      <c r="E8250" s="39"/>
    </row>
    <row r="8251" spans="1:5" ht="15.6">
      <c r="A8251">
        <v>8196</v>
      </c>
      <c r="B8251" s="166">
        <v>114.09868471968308</v>
      </c>
      <c r="D8251" s="39"/>
      <c r="E8251" s="39"/>
    </row>
    <row r="8252" spans="1:5" ht="15.6">
      <c r="A8252">
        <v>8197</v>
      </c>
      <c r="B8252" s="166">
        <v>50.946836116507193</v>
      </c>
      <c r="D8252" s="39"/>
      <c r="E8252" s="39"/>
    </row>
    <row r="8253" spans="1:5" ht="15.6">
      <c r="A8253">
        <v>8198</v>
      </c>
      <c r="B8253" s="166">
        <v>85.317153025749676</v>
      </c>
      <c r="D8253" s="39"/>
      <c r="E8253" s="39"/>
    </row>
    <row r="8254" spans="1:5" ht="15.6">
      <c r="A8254">
        <v>8199</v>
      </c>
      <c r="B8254" s="166">
        <v>83.483808747635408</v>
      </c>
      <c r="D8254" s="39"/>
      <c r="E8254" s="39"/>
    </row>
    <row r="8255" spans="1:5" ht="15.6">
      <c r="A8255">
        <v>8200</v>
      </c>
      <c r="B8255" s="166">
        <v>87.001429737913028</v>
      </c>
      <c r="D8255" s="39"/>
      <c r="E8255" s="39"/>
    </row>
    <row r="8256" spans="1:5" ht="15.6">
      <c r="A8256">
        <v>8201</v>
      </c>
      <c r="B8256" s="166">
        <v>124.65036623876524</v>
      </c>
      <c r="D8256" s="39"/>
      <c r="E8256" s="39"/>
    </row>
    <row r="8257" spans="1:5" ht="15.6">
      <c r="A8257">
        <v>8202</v>
      </c>
      <c r="B8257" s="166">
        <v>91.770860269746862</v>
      </c>
      <c r="D8257" s="39"/>
      <c r="E8257" s="39"/>
    </row>
    <row r="8258" spans="1:5" ht="15.6">
      <c r="A8258">
        <v>8203</v>
      </c>
      <c r="B8258" s="166">
        <v>95.394958665056564</v>
      </c>
      <c r="D8258" s="39"/>
      <c r="E8258" s="39"/>
    </row>
    <row r="8259" spans="1:5" ht="15.6">
      <c r="A8259">
        <v>8204</v>
      </c>
      <c r="B8259" s="166">
        <v>103.48188150254481</v>
      </c>
      <c r="D8259" s="39"/>
      <c r="E8259" s="39"/>
    </row>
    <row r="8260" spans="1:5" ht="15.6">
      <c r="A8260">
        <v>8205</v>
      </c>
      <c r="B8260" s="166">
        <v>81.275175428560885</v>
      </c>
      <c r="D8260" s="39"/>
      <c r="E8260" s="39"/>
    </row>
    <row r="8261" spans="1:5" ht="15.6">
      <c r="A8261">
        <v>8206</v>
      </c>
      <c r="B8261" s="166">
        <v>73.305368037563298</v>
      </c>
      <c r="D8261" s="39"/>
      <c r="E8261" s="39"/>
    </row>
    <row r="8262" spans="1:5" ht="15.6">
      <c r="A8262">
        <v>8207</v>
      </c>
      <c r="B8262" s="166">
        <v>131.76135918475538</v>
      </c>
      <c r="D8262" s="39"/>
      <c r="E8262" s="39"/>
    </row>
    <row r="8263" spans="1:5" ht="15.6">
      <c r="A8263">
        <v>8208</v>
      </c>
      <c r="B8263" s="166">
        <v>95.968808516105341</v>
      </c>
      <c r="D8263" s="39"/>
      <c r="E8263" s="39"/>
    </row>
    <row r="8264" spans="1:5" ht="15.6">
      <c r="A8264">
        <v>8209</v>
      </c>
      <c r="B8264" s="166">
        <v>131.40388424387751</v>
      </c>
      <c r="D8264" s="39"/>
      <c r="E8264" s="39"/>
    </row>
    <row r="8265" spans="1:5" ht="15.6">
      <c r="A8265">
        <v>8210</v>
      </c>
      <c r="B8265" s="166">
        <v>78.92240265010166</v>
      </c>
      <c r="D8265" s="39"/>
      <c r="E8265" s="39"/>
    </row>
    <row r="8266" spans="1:5" ht="15.6">
      <c r="A8266">
        <v>8211</v>
      </c>
      <c r="B8266" s="166">
        <v>85.303957434307165</v>
      </c>
      <c r="D8266" s="39"/>
      <c r="E8266" s="39"/>
    </row>
    <row r="8267" spans="1:5" ht="15.6">
      <c r="A8267">
        <v>8212</v>
      </c>
      <c r="B8267" s="166">
        <v>141.37436966655216</v>
      </c>
      <c r="D8267" s="39"/>
      <c r="E8267" s="39"/>
    </row>
    <row r="8268" spans="1:5" ht="15.6">
      <c r="A8268">
        <v>8213</v>
      </c>
      <c r="B8268" s="166">
        <v>136.32138320414279</v>
      </c>
      <c r="D8268" s="39"/>
      <c r="E8268" s="39"/>
    </row>
    <row r="8269" spans="1:5" ht="15.6">
      <c r="A8269">
        <v>8214</v>
      </c>
      <c r="B8269" s="166">
        <v>90.483775019146918</v>
      </c>
      <c r="D8269" s="39"/>
      <c r="E8269" s="39"/>
    </row>
    <row r="8270" spans="1:5" ht="15.6">
      <c r="A8270">
        <v>8215</v>
      </c>
      <c r="B8270" s="166">
        <v>136.36837203004995</v>
      </c>
      <c r="D8270" s="39"/>
      <c r="E8270" s="39"/>
    </row>
    <row r="8271" spans="1:5" ht="15.6">
      <c r="A8271">
        <v>8216</v>
      </c>
      <c r="B8271" s="166">
        <v>133.46782146460683</v>
      </c>
      <c r="D8271" s="39"/>
      <c r="E8271" s="39"/>
    </row>
    <row r="8272" spans="1:5" ht="15.6">
      <c r="A8272">
        <v>8217</v>
      </c>
      <c r="B8272" s="166">
        <v>179.28239887639694</v>
      </c>
      <c r="D8272" s="39"/>
      <c r="E8272" s="39"/>
    </row>
    <row r="8273" spans="1:5" ht="15.6">
      <c r="A8273">
        <v>8218</v>
      </c>
      <c r="B8273" s="166">
        <v>104.8023800270292</v>
      </c>
      <c r="D8273" s="39"/>
      <c r="E8273" s="39"/>
    </row>
    <row r="8274" spans="1:5" ht="15.6">
      <c r="A8274">
        <v>8219</v>
      </c>
      <c r="B8274" s="166">
        <v>110.54847542983288</v>
      </c>
      <c r="D8274" s="39"/>
      <c r="E8274" s="39"/>
    </row>
    <row r="8275" spans="1:5" ht="15.6">
      <c r="A8275">
        <v>8220</v>
      </c>
      <c r="B8275" s="166">
        <v>78.458691100542254</v>
      </c>
      <c r="D8275" s="39"/>
      <c r="E8275" s="39"/>
    </row>
    <row r="8276" spans="1:5" ht="15.6">
      <c r="A8276">
        <v>8221</v>
      </c>
      <c r="B8276" s="166">
        <v>81.510031347648876</v>
      </c>
      <c r="D8276" s="39"/>
      <c r="E8276" s="39"/>
    </row>
    <row r="8277" spans="1:5" ht="15.6">
      <c r="A8277">
        <v>8222</v>
      </c>
      <c r="B8277" s="166">
        <v>125.17328466093711</v>
      </c>
      <c r="D8277" s="39"/>
      <c r="E8277" s="39"/>
    </row>
    <row r="8278" spans="1:5" ht="15.6">
      <c r="A8278">
        <v>8223</v>
      </c>
      <c r="B8278" s="166">
        <v>172.06988358349957</v>
      </c>
      <c r="D8278" s="39"/>
      <c r="E8278" s="39"/>
    </row>
    <row r="8279" spans="1:5" ht="15.6">
      <c r="A8279">
        <v>8224</v>
      </c>
      <c r="B8279" s="166">
        <v>135.19903640631154</v>
      </c>
      <c r="D8279" s="39"/>
      <c r="E8279" s="39"/>
    </row>
    <row r="8280" spans="1:5" ht="15.6">
      <c r="A8280">
        <v>8225</v>
      </c>
      <c r="B8280" s="166">
        <v>103.12339593067648</v>
      </c>
      <c r="D8280" s="39"/>
      <c r="E8280" s="39"/>
    </row>
    <row r="8281" spans="1:5" ht="15.6">
      <c r="A8281">
        <v>8226</v>
      </c>
      <c r="B8281" s="166">
        <v>114.56627779690162</v>
      </c>
      <c r="D8281" s="39"/>
      <c r="E8281" s="39"/>
    </row>
    <row r="8282" spans="1:5" ht="15.6">
      <c r="A8282">
        <v>8227</v>
      </c>
      <c r="B8282" s="166">
        <v>107.29886792801406</v>
      </c>
      <c r="D8282" s="39"/>
      <c r="E8282" s="39"/>
    </row>
    <row r="8283" spans="1:5" ht="15.6">
      <c r="A8283">
        <v>8228</v>
      </c>
      <c r="B8283" s="166">
        <v>60.190701737805568</v>
      </c>
      <c r="D8283" s="39"/>
      <c r="E8283" s="39"/>
    </row>
    <row r="8284" spans="1:5" ht="15.6">
      <c r="A8284">
        <v>8229</v>
      </c>
      <c r="B8284" s="166">
        <v>103.34504393826256</v>
      </c>
      <c r="D8284" s="39"/>
      <c r="E8284" s="39"/>
    </row>
    <row r="8285" spans="1:5" ht="15.6">
      <c r="A8285">
        <v>8230</v>
      </c>
      <c r="B8285" s="166">
        <v>78.536040389312262</v>
      </c>
      <c r="D8285" s="39"/>
      <c r="E8285" s="39"/>
    </row>
    <row r="8286" spans="1:5" ht="15.6">
      <c r="A8286">
        <v>8231</v>
      </c>
      <c r="B8286" s="166">
        <v>122.20665764894518</v>
      </c>
      <c r="D8286" s="39"/>
      <c r="E8286" s="39"/>
    </row>
    <row r="8287" spans="1:5" ht="15.6">
      <c r="A8287">
        <v>8232</v>
      </c>
      <c r="B8287" s="166">
        <v>100.0685560794512</v>
      </c>
      <c r="D8287" s="39"/>
      <c r="E8287" s="39"/>
    </row>
    <row r="8288" spans="1:5" ht="15.6">
      <c r="A8288">
        <v>8233</v>
      </c>
      <c r="B8288" s="166">
        <v>133.90506143210712</v>
      </c>
      <c r="D8288" s="39"/>
      <c r="E8288" s="39"/>
    </row>
    <row r="8289" spans="1:5" ht="15.6">
      <c r="A8289">
        <v>8234</v>
      </c>
      <c r="B8289" s="166">
        <v>70.69883584494373</v>
      </c>
      <c r="D8289" s="39"/>
      <c r="E8289" s="39"/>
    </row>
    <row r="8290" spans="1:5" ht="15.6">
      <c r="A8290">
        <v>8235</v>
      </c>
      <c r="B8290" s="166">
        <v>194.8431060039679</v>
      </c>
      <c r="D8290" s="39"/>
      <c r="E8290" s="39"/>
    </row>
    <row r="8291" spans="1:5" ht="15.6">
      <c r="A8291">
        <v>8236</v>
      </c>
      <c r="B8291" s="166">
        <v>150.45663726186467</v>
      </c>
      <c r="D8291" s="39"/>
      <c r="E8291" s="39"/>
    </row>
    <row r="8292" spans="1:5" ht="15.6">
      <c r="A8292">
        <v>8237</v>
      </c>
      <c r="B8292" s="166">
        <v>79.10730296171495</v>
      </c>
      <c r="D8292" s="39"/>
      <c r="E8292" s="39"/>
    </row>
    <row r="8293" spans="1:5" ht="15.6">
      <c r="A8293">
        <v>8238</v>
      </c>
      <c r="B8293" s="166">
        <v>100.89009061366161</v>
      </c>
      <c r="D8293" s="39"/>
      <c r="E8293" s="39"/>
    </row>
    <row r="8294" spans="1:5" ht="15.6">
      <c r="A8294">
        <v>8239</v>
      </c>
      <c r="B8294" s="166">
        <v>125.25169738140482</v>
      </c>
      <c r="D8294" s="39"/>
      <c r="E8294" s="39"/>
    </row>
    <row r="8295" spans="1:5" ht="15.6">
      <c r="A8295">
        <v>8240</v>
      </c>
      <c r="B8295" s="166">
        <v>56.119681470956444</v>
      </c>
      <c r="D8295" s="39"/>
      <c r="E8295" s="39"/>
    </row>
    <row r="8296" spans="1:5" ht="15.6">
      <c r="A8296">
        <v>8241</v>
      </c>
      <c r="B8296" s="166">
        <v>105.04044804481524</v>
      </c>
      <c r="D8296" s="39"/>
      <c r="E8296" s="39"/>
    </row>
    <row r="8297" spans="1:5" ht="15.6">
      <c r="A8297">
        <v>8242</v>
      </c>
      <c r="B8297" s="166">
        <v>93.328762575961292</v>
      </c>
      <c r="D8297" s="39"/>
      <c r="E8297" s="39"/>
    </row>
    <row r="8298" spans="1:5" ht="15.6">
      <c r="A8298">
        <v>8243</v>
      </c>
      <c r="B8298" s="166">
        <v>112.96509408668712</v>
      </c>
      <c r="D8298" s="39"/>
      <c r="E8298" s="39"/>
    </row>
    <row r="8299" spans="1:5" ht="15.6">
      <c r="A8299">
        <v>8244</v>
      </c>
      <c r="B8299" s="166">
        <v>182.59486495564713</v>
      </c>
      <c r="D8299" s="39"/>
      <c r="E8299" s="39"/>
    </row>
    <row r="8300" spans="1:5" ht="15.6">
      <c r="A8300">
        <v>8245</v>
      </c>
      <c r="B8300" s="166">
        <v>157.10293968764057</v>
      </c>
      <c r="D8300" s="39"/>
      <c r="E8300" s="39"/>
    </row>
    <row r="8301" spans="1:5" ht="15.6">
      <c r="A8301">
        <v>8246</v>
      </c>
      <c r="B8301" s="166">
        <v>180.99968743038252</v>
      </c>
      <c r="D8301" s="39"/>
      <c r="E8301" s="39"/>
    </row>
    <row r="8302" spans="1:5" ht="15.6">
      <c r="A8302">
        <v>8247</v>
      </c>
      <c r="B8302" s="166">
        <v>147.82184684348297</v>
      </c>
      <c r="D8302" s="39"/>
      <c r="E8302" s="39"/>
    </row>
    <row r="8303" spans="1:5" ht="15.6">
      <c r="A8303">
        <v>8248</v>
      </c>
      <c r="B8303" s="166">
        <v>125.26628134341247</v>
      </c>
      <c r="D8303" s="39"/>
      <c r="E8303" s="39"/>
    </row>
    <row r="8304" spans="1:5" ht="15.6">
      <c r="A8304">
        <v>8249</v>
      </c>
      <c r="B8304" s="166">
        <v>75.290784810416582</v>
      </c>
      <c r="D8304" s="39"/>
      <c r="E8304" s="39"/>
    </row>
    <row r="8305" spans="1:5" ht="15.6">
      <c r="A8305">
        <v>8250</v>
      </c>
      <c r="B8305" s="166">
        <v>105.98590758487529</v>
      </c>
      <c r="D8305" s="39"/>
      <c r="E8305" s="39"/>
    </row>
    <row r="8306" spans="1:5" ht="15.6">
      <c r="A8306">
        <v>8251</v>
      </c>
      <c r="B8306" s="166">
        <v>113.19695708200308</v>
      </c>
      <c r="D8306" s="39"/>
      <c r="E8306" s="39"/>
    </row>
    <row r="8307" spans="1:5" ht="15.6">
      <c r="A8307">
        <v>8252</v>
      </c>
      <c r="B8307" s="166">
        <v>145.3631990516063</v>
      </c>
      <c r="D8307" s="39"/>
      <c r="E8307" s="39"/>
    </row>
    <row r="8308" spans="1:5" ht="15.6">
      <c r="A8308">
        <v>8253</v>
      </c>
      <c r="B8308" s="166">
        <v>55.697616844190584</v>
      </c>
      <c r="D8308" s="39"/>
      <c r="E8308" s="39"/>
    </row>
    <row r="8309" spans="1:5" ht="15.6">
      <c r="A8309">
        <v>8254</v>
      </c>
      <c r="B8309" s="166">
        <v>161.70938677007203</v>
      </c>
      <c r="D8309" s="39"/>
      <c r="E8309" s="39"/>
    </row>
    <row r="8310" spans="1:5" ht="15.6">
      <c r="A8310">
        <v>8255</v>
      </c>
      <c r="B8310" s="166">
        <v>90.737617652732112</v>
      </c>
      <c r="D8310" s="39"/>
      <c r="E8310" s="39"/>
    </row>
    <row r="8311" spans="1:5" ht="15.6">
      <c r="A8311">
        <v>8256</v>
      </c>
      <c r="B8311" s="166">
        <v>114.94984031772607</v>
      </c>
      <c r="D8311" s="39"/>
      <c r="E8311" s="39"/>
    </row>
    <row r="8312" spans="1:5" ht="15.6">
      <c r="A8312">
        <v>8257</v>
      </c>
      <c r="B8312" s="166">
        <v>60.45730891091889</v>
      </c>
      <c r="D8312" s="39"/>
      <c r="E8312" s="39"/>
    </row>
    <row r="8313" spans="1:5" ht="15.6">
      <c r="A8313">
        <v>8258</v>
      </c>
      <c r="B8313" s="166">
        <v>74.260016354600353</v>
      </c>
      <c r="D8313" s="39"/>
      <c r="E8313" s="39"/>
    </row>
    <row r="8314" spans="1:5" ht="15.6">
      <c r="A8314">
        <v>8259</v>
      </c>
      <c r="B8314" s="166">
        <v>84.257780593560938</v>
      </c>
      <c r="D8314" s="39"/>
      <c r="E8314" s="39"/>
    </row>
    <row r="8315" spans="1:5" ht="15.6">
      <c r="A8315">
        <v>8260</v>
      </c>
      <c r="B8315" s="166">
        <v>91.530542227252823</v>
      </c>
      <c r="D8315" s="39"/>
      <c r="E8315" s="39"/>
    </row>
    <row r="8316" spans="1:5" ht="15.6">
      <c r="A8316">
        <v>8261</v>
      </c>
      <c r="B8316" s="166">
        <v>152.48066011675454</v>
      </c>
      <c r="D8316" s="39"/>
      <c r="E8316" s="39"/>
    </row>
    <row r="8317" spans="1:5" ht="15.6">
      <c r="A8317">
        <v>8262</v>
      </c>
      <c r="B8317" s="166">
        <v>107.66751215161817</v>
      </c>
      <c r="D8317" s="39"/>
      <c r="E8317" s="39"/>
    </row>
    <row r="8318" spans="1:5" ht="15.6">
      <c r="A8318">
        <v>8263</v>
      </c>
      <c r="B8318" s="166">
        <v>107.73184394888924</v>
      </c>
      <c r="D8318" s="39"/>
      <c r="E8318" s="39"/>
    </row>
    <row r="8319" spans="1:5" ht="15.6">
      <c r="A8319">
        <v>8264</v>
      </c>
      <c r="B8319" s="166">
        <v>81.063016910987642</v>
      </c>
      <c r="D8319" s="39"/>
      <c r="E8319" s="39"/>
    </row>
    <row r="8320" spans="1:5" ht="15.6">
      <c r="A8320">
        <v>8265</v>
      </c>
      <c r="B8320" s="166">
        <v>55.98924670465216</v>
      </c>
      <c r="D8320" s="39"/>
      <c r="E8320" s="39"/>
    </row>
    <row r="8321" spans="1:5" ht="15.6">
      <c r="A8321">
        <v>8266</v>
      </c>
      <c r="B8321" s="166">
        <v>152.65399432004043</v>
      </c>
      <c r="D8321" s="39"/>
      <c r="E8321" s="39"/>
    </row>
    <row r="8322" spans="1:5" ht="15.6">
      <c r="A8322">
        <v>8267</v>
      </c>
      <c r="B8322" s="166">
        <v>109.99297603163113</v>
      </c>
      <c r="D8322" s="39"/>
      <c r="E8322" s="39"/>
    </row>
    <row r="8323" spans="1:5" ht="15.6">
      <c r="A8323">
        <v>8268</v>
      </c>
      <c r="B8323" s="166">
        <v>76.296760886944199</v>
      </c>
      <c r="D8323" s="39"/>
      <c r="E8323" s="39"/>
    </row>
    <row r="8324" spans="1:5" ht="15.6">
      <c r="A8324">
        <v>8269</v>
      </c>
      <c r="B8324" s="166">
        <v>120.48141501798906</v>
      </c>
      <c r="D8324" s="39"/>
      <c r="E8324" s="39"/>
    </row>
    <row r="8325" spans="1:5" ht="15.6">
      <c r="A8325">
        <v>8270</v>
      </c>
      <c r="B8325" s="166">
        <v>156.66811491169219</v>
      </c>
      <c r="D8325" s="39"/>
      <c r="E8325" s="39"/>
    </row>
    <row r="8326" spans="1:5" ht="15.6">
      <c r="A8326">
        <v>8271</v>
      </c>
      <c r="B8326" s="166">
        <v>120.69349030308862</v>
      </c>
      <c r="D8326" s="39"/>
      <c r="E8326" s="39"/>
    </row>
    <row r="8327" spans="1:5" ht="15.6">
      <c r="A8327">
        <v>8272</v>
      </c>
      <c r="B8327" s="166">
        <v>61.423327472417171</v>
      </c>
      <c r="D8327" s="39"/>
      <c r="E8327" s="39"/>
    </row>
    <row r="8328" spans="1:5" ht="15.6">
      <c r="A8328">
        <v>8273</v>
      </c>
      <c r="B8328" s="166">
        <v>82.705272037682818</v>
      </c>
      <c r="D8328" s="39"/>
      <c r="E8328" s="39"/>
    </row>
    <row r="8329" spans="1:5" ht="15.6">
      <c r="A8329">
        <v>8274</v>
      </c>
      <c r="B8329" s="166">
        <v>67.546794650051865</v>
      </c>
      <c r="D8329" s="39"/>
      <c r="E8329" s="39"/>
    </row>
    <row r="8330" spans="1:5" ht="15.6">
      <c r="A8330">
        <v>8275</v>
      </c>
      <c r="B8330" s="166">
        <v>64.725147633186637</v>
      </c>
      <c r="D8330" s="39"/>
      <c r="E8330" s="39"/>
    </row>
    <row r="8331" spans="1:5" ht="15.6">
      <c r="A8331">
        <v>8276</v>
      </c>
      <c r="B8331" s="166">
        <v>144.93189324636873</v>
      </c>
      <c r="D8331" s="39"/>
      <c r="E8331" s="39"/>
    </row>
    <row r="8332" spans="1:5" ht="15.6">
      <c r="A8332">
        <v>8277</v>
      </c>
      <c r="B8332" s="166">
        <v>74.232159482225143</v>
      </c>
      <c r="D8332" s="39"/>
      <c r="E8332" s="39"/>
    </row>
    <row r="8333" spans="1:5" ht="15.6">
      <c r="A8333">
        <v>8278</v>
      </c>
      <c r="B8333" s="166">
        <v>85.876890612244694</v>
      </c>
      <c r="D8333" s="39"/>
      <c r="E8333" s="39"/>
    </row>
    <row r="8334" spans="1:5" ht="15.6">
      <c r="A8334">
        <v>8279</v>
      </c>
      <c r="B8334" s="166">
        <v>69.651022125931547</v>
      </c>
      <c r="D8334" s="39"/>
      <c r="E8334" s="39"/>
    </row>
    <row r="8335" spans="1:5" ht="15.6">
      <c r="A8335">
        <v>8280</v>
      </c>
      <c r="B8335" s="166">
        <v>57.998865217525776</v>
      </c>
      <c r="D8335" s="39"/>
      <c r="E8335" s="39"/>
    </row>
    <row r="8336" spans="1:5" ht="15.6">
      <c r="A8336">
        <v>8281</v>
      </c>
      <c r="B8336" s="166">
        <v>58.913894045360578</v>
      </c>
      <c r="D8336" s="39"/>
      <c r="E8336" s="39"/>
    </row>
    <row r="8337" spans="1:5" ht="15.6">
      <c r="A8337">
        <v>8282</v>
      </c>
      <c r="B8337" s="166">
        <v>73.447964222947164</v>
      </c>
      <c r="D8337" s="39"/>
      <c r="E8337" s="39"/>
    </row>
    <row r="8338" spans="1:5" ht="15.6">
      <c r="A8338">
        <v>8283</v>
      </c>
      <c r="B8338" s="166">
        <v>62.683129190498711</v>
      </c>
      <c r="D8338" s="39"/>
      <c r="E8338" s="39"/>
    </row>
    <row r="8339" spans="1:5" ht="15.6">
      <c r="A8339">
        <v>8284</v>
      </c>
      <c r="B8339" s="166">
        <v>63.78835026801201</v>
      </c>
      <c r="D8339" s="39"/>
      <c r="E8339" s="39"/>
    </row>
    <row r="8340" spans="1:5" ht="15.6">
      <c r="A8340">
        <v>8285</v>
      </c>
      <c r="B8340" s="166">
        <v>168.27208482262179</v>
      </c>
      <c r="D8340" s="39"/>
      <c r="E8340" s="39"/>
    </row>
    <row r="8341" spans="1:5" ht="15.6">
      <c r="A8341">
        <v>8286</v>
      </c>
      <c r="B8341" s="166">
        <v>73.153783816568463</v>
      </c>
      <c r="D8341" s="39"/>
      <c r="E8341" s="39"/>
    </row>
    <row r="8342" spans="1:5" ht="15.6">
      <c r="A8342">
        <v>8287</v>
      </c>
      <c r="B8342" s="166">
        <v>126.53765095476116</v>
      </c>
      <c r="D8342" s="39"/>
      <c r="E8342" s="39"/>
    </row>
    <row r="8343" spans="1:5" ht="15.6">
      <c r="A8343">
        <v>8288</v>
      </c>
      <c r="B8343" s="166">
        <v>153.73750835763147</v>
      </c>
      <c r="D8343" s="39"/>
      <c r="E8343" s="39"/>
    </row>
    <row r="8344" spans="1:5" ht="15.6">
      <c r="A8344">
        <v>8289</v>
      </c>
      <c r="B8344" s="166">
        <v>178.44160633151429</v>
      </c>
      <c r="D8344" s="39"/>
      <c r="E8344" s="39"/>
    </row>
    <row r="8345" spans="1:5" ht="15.6">
      <c r="A8345">
        <v>8290</v>
      </c>
      <c r="B8345" s="166">
        <v>196.8761191056156</v>
      </c>
      <c r="D8345" s="39"/>
      <c r="E8345" s="39"/>
    </row>
    <row r="8346" spans="1:5" ht="15.6">
      <c r="A8346">
        <v>8291</v>
      </c>
      <c r="B8346" s="166">
        <v>72.655188829870625</v>
      </c>
      <c r="D8346" s="39"/>
      <c r="E8346" s="39"/>
    </row>
    <row r="8347" spans="1:5" ht="15.6">
      <c r="A8347">
        <v>8292</v>
      </c>
      <c r="B8347" s="166">
        <v>68.411103636855259</v>
      </c>
      <c r="D8347" s="39"/>
      <c r="E8347" s="39"/>
    </row>
    <row r="8348" spans="1:5" ht="15.6">
      <c r="A8348">
        <v>8293</v>
      </c>
      <c r="B8348" s="166">
        <v>144.64256978917314</v>
      </c>
      <c r="D8348" s="39"/>
      <c r="E8348" s="39"/>
    </row>
    <row r="8349" spans="1:5" ht="15.6">
      <c r="A8349">
        <v>8294</v>
      </c>
      <c r="B8349" s="166">
        <v>85.335388049865145</v>
      </c>
      <c r="D8349" s="39"/>
      <c r="E8349" s="39"/>
    </row>
    <row r="8350" spans="1:5" ht="15.6">
      <c r="A8350">
        <v>8295</v>
      </c>
      <c r="B8350" s="166">
        <v>91.826553141125743</v>
      </c>
      <c r="D8350" s="39"/>
      <c r="E8350" s="39"/>
    </row>
    <row r="8351" spans="1:5" ht="15.6">
      <c r="A8351">
        <v>8296</v>
      </c>
      <c r="B8351" s="166">
        <v>92.464611204725841</v>
      </c>
      <c r="D8351" s="39"/>
      <c r="E8351" s="39"/>
    </row>
    <row r="8352" spans="1:5" ht="15.6">
      <c r="A8352">
        <v>8297</v>
      </c>
      <c r="B8352" s="166">
        <v>137.79882321526713</v>
      </c>
      <c r="D8352" s="39"/>
      <c r="E8352" s="39"/>
    </row>
    <row r="8353" spans="1:5" ht="15.6">
      <c r="A8353">
        <v>8298</v>
      </c>
      <c r="B8353" s="166">
        <v>95.885449607431028</v>
      </c>
      <c r="D8353" s="39"/>
      <c r="E8353" s="39"/>
    </row>
    <row r="8354" spans="1:5" ht="15.6">
      <c r="A8354">
        <v>8299</v>
      </c>
      <c r="B8354" s="166">
        <v>156.8042180641325</v>
      </c>
      <c r="D8354" s="39"/>
      <c r="E8354" s="39"/>
    </row>
    <row r="8355" spans="1:5" ht="15.6">
      <c r="A8355">
        <v>8300</v>
      </c>
      <c r="B8355" s="166">
        <v>89.949452632743402</v>
      </c>
      <c r="D8355" s="39"/>
      <c r="E8355" s="39"/>
    </row>
    <row r="8356" spans="1:5" ht="15.6">
      <c r="A8356">
        <v>8301</v>
      </c>
      <c r="B8356" s="166">
        <v>108.86697674383133</v>
      </c>
      <c r="D8356" s="39"/>
      <c r="E8356" s="39"/>
    </row>
    <row r="8357" spans="1:5" ht="15.6">
      <c r="A8357">
        <v>8302</v>
      </c>
      <c r="B8357" s="166">
        <v>86.149705404123409</v>
      </c>
      <c r="D8357" s="39"/>
      <c r="E8357" s="39"/>
    </row>
    <row r="8358" spans="1:5" ht="15.6">
      <c r="A8358">
        <v>8303</v>
      </c>
      <c r="B8358" s="166">
        <v>72.350461600888138</v>
      </c>
      <c r="D8358" s="39"/>
      <c r="E8358" s="39"/>
    </row>
    <row r="8359" spans="1:5" ht="15.6">
      <c r="A8359">
        <v>8304</v>
      </c>
      <c r="B8359" s="166">
        <v>67.110590098746954</v>
      </c>
      <c r="D8359" s="39"/>
      <c r="E8359" s="39"/>
    </row>
    <row r="8360" spans="1:5" ht="15.6">
      <c r="A8360">
        <v>8305</v>
      </c>
      <c r="B8360" s="166">
        <v>103.8724343553808</v>
      </c>
      <c r="D8360" s="39"/>
      <c r="E8360" s="39"/>
    </row>
    <row r="8361" spans="1:5" ht="15.6">
      <c r="A8361">
        <v>8306</v>
      </c>
      <c r="B8361" s="166">
        <v>208.96207329465739</v>
      </c>
      <c r="D8361" s="39"/>
      <c r="E8361" s="39"/>
    </row>
    <row r="8362" spans="1:5" ht="15.6">
      <c r="A8362">
        <v>8307</v>
      </c>
      <c r="B8362" s="166">
        <v>140.65323372415401</v>
      </c>
      <c r="D8362" s="39"/>
      <c r="E8362" s="39"/>
    </row>
    <row r="8363" spans="1:5" ht="15.6">
      <c r="A8363">
        <v>8308</v>
      </c>
      <c r="B8363" s="166">
        <v>148.30318543685783</v>
      </c>
      <c r="D8363" s="39"/>
      <c r="E8363" s="39"/>
    </row>
    <row r="8364" spans="1:5" ht="15.6">
      <c r="A8364">
        <v>8309</v>
      </c>
      <c r="B8364" s="166">
        <v>61.046985075394232</v>
      </c>
      <c r="D8364" s="39"/>
      <c r="E8364" s="39"/>
    </row>
    <row r="8365" spans="1:5" ht="15.6">
      <c r="A8365">
        <v>8310</v>
      </c>
      <c r="B8365" s="166">
        <v>144.35373636125189</v>
      </c>
      <c r="D8365" s="39"/>
      <c r="E8365" s="39"/>
    </row>
    <row r="8366" spans="1:5" ht="15.6">
      <c r="A8366">
        <v>8311</v>
      </c>
      <c r="B8366" s="166">
        <v>77.863076490238072</v>
      </c>
      <c r="D8366" s="39"/>
      <c r="E8366" s="39"/>
    </row>
    <row r="8367" spans="1:5" ht="15.6">
      <c r="A8367">
        <v>8312</v>
      </c>
      <c r="B8367" s="166">
        <v>73.242398516547851</v>
      </c>
      <c r="D8367" s="39"/>
      <c r="E8367" s="39"/>
    </row>
    <row r="8368" spans="1:5" ht="15.6">
      <c r="A8368">
        <v>8313</v>
      </c>
      <c r="B8368" s="166">
        <v>119.95408410922325</v>
      </c>
      <c r="D8368" s="39"/>
      <c r="E8368" s="39"/>
    </row>
    <row r="8369" spans="1:5" ht="15.6">
      <c r="A8369">
        <v>8314</v>
      </c>
      <c r="B8369" s="166">
        <v>140.70932287455173</v>
      </c>
      <c r="D8369" s="39"/>
      <c r="E8369" s="39"/>
    </row>
    <row r="8370" spans="1:5" ht="15.6">
      <c r="A8370">
        <v>8315</v>
      </c>
      <c r="B8370" s="166">
        <v>114.75487116399592</v>
      </c>
      <c r="D8370" s="39"/>
      <c r="E8370" s="39"/>
    </row>
    <row r="8371" spans="1:5" ht="15.6">
      <c r="A8371">
        <v>8316</v>
      </c>
      <c r="B8371" s="166">
        <v>102.97360629993467</v>
      </c>
      <c r="D8371" s="39"/>
      <c r="E8371" s="39"/>
    </row>
    <row r="8372" spans="1:5" ht="15.6">
      <c r="A8372">
        <v>8317</v>
      </c>
      <c r="B8372" s="166">
        <v>95.286448362889388</v>
      </c>
      <c r="D8372" s="39"/>
      <c r="E8372" s="39"/>
    </row>
    <row r="8373" spans="1:5" ht="15.6">
      <c r="A8373">
        <v>8318</v>
      </c>
      <c r="B8373" s="166">
        <v>146.09742564133924</v>
      </c>
      <c r="D8373" s="39"/>
      <c r="E8373" s="39"/>
    </row>
    <row r="8374" spans="1:5" ht="15.6">
      <c r="A8374">
        <v>8319</v>
      </c>
      <c r="B8374" s="166">
        <v>133.63379506028292</v>
      </c>
      <c r="D8374" s="39"/>
      <c r="E8374" s="39"/>
    </row>
    <row r="8375" spans="1:5" ht="15.6">
      <c r="A8375">
        <v>8320</v>
      </c>
      <c r="B8375" s="166">
        <v>157.19632603974335</v>
      </c>
      <c r="D8375" s="39"/>
      <c r="E8375" s="39"/>
    </row>
    <row r="8376" spans="1:5" ht="15.6">
      <c r="A8376">
        <v>8321</v>
      </c>
      <c r="B8376" s="166">
        <v>88.201721617603397</v>
      </c>
      <c r="D8376" s="39"/>
      <c r="E8376" s="39"/>
    </row>
    <row r="8377" spans="1:5" ht="15.6">
      <c r="A8377">
        <v>8322</v>
      </c>
      <c r="B8377" s="166">
        <v>74.379083270914109</v>
      </c>
      <c r="D8377" s="39"/>
      <c r="E8377" s="39"/>
    </row>
    <row r="8378" spans="1:5" ht="15.6">
      <c r="A8378">
        <v>8323</v>
      </c>
      <c r="B8378" s="166">
        <v>88.646074568373891</v>
      </c>
      <c r="D8378" s="39"/>
      <c r="E8378" s="39"/>
    </row>
    <row r="8379" spans="1:5" ht="15.6">
      <c r="A8379">
        <v>8324</v>
      </c>
      <c r="B8379" s="166">
        <v>104.12815063452472</v>
      </c>
      <c r="D8379" s="39"/>
      <c r="E8379" s="39"/>
    </row>
    <row r="8380" spans="1:5" ht="15.6">
      <c r="A8380">
        <v>8325</v>
      </c>
      <c r="B8380" s="166">
        <v>148.59136584195008</v>
      </c>
      <c r="D8380" s="39"/>
      <c r="E8380" s="39"/>
    </row>
    <row r="8381" spans="1:5" ht="15.6">
      <c r="A8381">
        <v>8326</v>
      </c>
      <c r="B8381" s="166">
        <v>110.44774361068114</v>
      </c>
      <c r="D8381" s="39"/>
      <c r="E8381" s="39"/>
    </row>
    <row r="8382" spans="1:5" ht="15.6">
      <c r="A8382">
        <v>8327</v>
      </c>
      <c r="B8382" s="166">
        <v>121.06313651905879</v>
      </c>
      <c r="D8382" s="39"/>
      <c r="E8382" s="39"/>
    </row>
    <row r="8383" spans="1:5" ht="15.6">
      <c r="A8383">
        <v>8328</v>
      </c>
      <c r="B8383" s="166">
        <v>79.748671739884529</v>
      </c>
      <c r="D8383" s="39"/>
      <c r="E8383" s="39"/>
    </row>
    <row r="8384" spans="1:5" ht="15.6">
      <c r="A8384">
        <v>8329</v>
      </c>
      <c r="B8384" s="166">
        <v>95.36758193279374</v>
      </c>
      <c r="D8384" s="39"/>
      <c r="E8384" s="39"/>
    </row>
    <row r="8385" spans="1:5" ht="15.6">
      <c r="A8385">
        <v>8330</v>
      </c>
      <c r="B8385" s="166">
        <v>156.26043904798448</v>
      </c>
      <c r="D8385" s="39"/>
      <c r="E8385" s="39"/>
    </row>
    <row r="8386" spans="1:5" ht="15.6">
      <c r="A8386">
        <v>8331</v>
      </c>
      <c r="B8386" s="166">
        <v>131.21691970097035</v>
      </c>
      <c r="D8386" s="39"/>
      <c r="E8386" s="39"/>
    </row>
    <row r="8387" spans="1:5" ht="15.6">
      <c r="A8387">
        <v>8332</v>
      </c>
      <c r="B8387" s="166">
        <v>84.859846784070086</v>
      </c>
      <c r="D8387" s="39"/>
      <c r="E8387" s="39"/>
    </row>
    <row r="8388" spans="1:5" ht="15.6">
      <c r="A8388">
        <v>8333</v>
      </c>
      <c r="B8388" s="166">
        <v>153.5794265723232</v>
      </c>
      <c r="D8388" s="39"/>
      <c r="E8388" s="39"/>
    </row>
    <row r="8389" spans="1:5" ht="15.6">
      <c r="A8389">
        <v>8334</v>
      </c>
      <c r="B8389" s="166">
        <v>119.79544856623426</v>
      </c>
      <c r="D8389" s="39"/>
      <c r="E8389" s="39"/>
    </row>
    <row r="8390" spans="1:5" ht="15.6">
      <c r="A8390">
        <v>8335</v>
      </c>
      <c r="B8390" s="166">
        <v>174.51536182338424</v>
      </c>
      <c r="D8390" s="39"/>
      <c r="E8390" s="39"/>
    </row>
    <row r="8391" spans="1:5" ht="15.6">
      <c r="A8391">
        <v>8336</v>
      </c>
      <c r="B8391" s="166">
        <v>70.565767070958373</v>
      </c>
      <c r="D8391" s="39"/>
      <c r="E8391" s="39"/>
    </row>
    <row r="8392" spans="1:5" ht="15.6">
      <c r="A8392">
        <v>8337</v>
      </c>
      <c r="B8392" s="166">
        <v>184.89471883207443</v>
      </c>
      <c r="D8392" s="39"/>
      <c r="E8392" s="39"/>
    </row>
    <row r="8393" spans="1:5" ht="15.6">
      <c r="A8393">
        <v>8338</v>
      </c>
      <c r="B8393" s="166">
        <v>87.970785335167392</v>
      </c>
      <c r="D8393" s="39"/>
      <c r="E8393" s="39"/>
    </row>
    <row r="8394" spans="1:5" ht="15.6">
      <c r="A8394">
        <v>8339</v>
      </c>
      <c r="B8394" s="166">
        <v>64.789635684233133</v>
      </c>
      <c r="D8394" s="39"/>
      <c r="E8394" s="39"/>
    </row>
    <row r="8395" spans="1:5" ht="15.6">
      <c r="A8395">
        <v>8340</v>
      </c>
      <c r="B8395" s="166">
        <v>130.68572148729521</v>
      </c>
      <c r="D8395" s="39"/>
      <c r="E8395" s="39"/>
    </row>
    <row r="8396" spans="1:5" ht="15.6">
      <c r="A8396">
        <v>8341</v>
      </c>
      <c r="B8396" s="166">
        <v>103.3160609411695</v>
      </c>
      <c r="D8396" s="39"/>
      <c r="E8396" s="39"/>
    </row>
    <row r="8397" spans="1:5" ht="15.6">
      <c r="A8397">
        <v>8342</v>
      </c>
      <c r="B8397" s="166">
        <v>75.960237637316439</v>
      </c>
      <c r="D8397" s="39"/>
      <c r="E8397" s="39"/>
    </row>
    <row r="8398" spans="1:5" ht="15.6">
      <c r="A8398">
        <v>8343</v>
      </c>
      <c r="B8398" s="166">
        <v>107.56737183082669</v>
      </c>
      <c r="D8398" s="39"/>
      <c r="E8398" s="39"/>
    </row>
    <row r="8399" spans="1:5" ht="15.6">
      <c r="A8399">
        <v>8344</v>
      </c>
      <c r="B8399" s="166">
        <v>150.28339027023216</v>
      </c>
      <c r="D8399" s="39"/>
      <c r="E8399" s="39"/>
    </row>
    <row r="8400" spans="1:5" ht="15.6">
      <c r="A8400">
        <v>8345</v>
      </c>
      <c r="B8400" s="166">
        <v>82.623222476585653</v>
      </c>
      <c r="D8400" s="39"/>
      <c r="E8400" s="39"/>
    </row>
    <row r="8401" spans="1:5" ht="15.6">
      <c r="A8401">
        <v>8346</v>
      </c>
      <c r="B8401" s="166">
        <v>212.07012683817706</v>
      </c>
      <c r="D8401" s="39"/>
      <c r="E8401" s="39"/>
    </row>
    <row r="8402" spans="1:5" ht="15.6">
      <c r="A8402">
        <v>8347</v>
      </c>
      <c r="B8402" s="166">
        <v>77.080705907927339</v>
      </c>
      <c r="D8402" s="39"/>
      <c r="E8402" s="39"/>
    </row>
    <row r="8403" spans="1:5" ht="15.6">
      <c r="A8403">
        <v>8348</v>
      </c>
      <c r="B8403" s="166">
        <v>82.48714682615639</v>
      </c>
      <c r="D8403" s="39"/>
      <c r="E8403" s="39"/>
    </row>
    <row r="8404" spans="1:5" ht="15.6">
      <c r="A8404">
        <v>8349</v>
      </c>
      <c r="B8404" s="166">
        <v>83.958314698707937</v>
      </c>
      <c r="D8404" s="39"/>
      <c r="E8404" s="39"/>
    </row>
    <row r="8405" spans="1:5" ht="15.6">
      <c r="A8405">
        <v>8350</v>
      </c>
      <c r="B8405" s="166">
        <v>60.586278354408599</v>
      </c>
      <c r="D8405" s="39"/>
      <c r="E8405" s="39"/>
    </row>
    <row r="8406" spans="1:5" ht="15.6">
      <c r="A8406">
        <v>8351</v>
      </c>
      <c r="B8406" s="166">
        <v>73.939117568500393</v>
      </c>
      <c r="D8406" s="39"/>
      <c r="E8406" s="39"/>
    </row>
    <row r="8407" spans="1:5" ht="15.6">
      <c r="A8407">
        <v>8352</v>
      </c>
      <c r="B8407" s="166">
        <v>71.415113102929382</v>
      </c>
      <c r="D8407" s="39"/>
      <c r="E8407" s="39"/>
    </row>
    <row r="8408" spans="1:5" ht="15.6">
      <c r="A8408">
        <v>8353</v>
      </c>
      <c r="B8408" s="166">
        <v>180.72358749593312</v>
      </c>
      <c r="D8408" s="39"/>
      <c r="E8408" s="39"/>
    </row>
    <row r="8409" spans="1:5" ht="15.6">
      <c r="A8409">
        <v>8354</v>
      </c>
      <c r="B8409" s="166">
        <v>164.48061544932347</v>
      </c>
      <c r="D8409" s="39"/>
      <c r="E8409" s="39"/>
    </row>
    <row r="8410" spans="1:5" ht="15.6">
      <c r="A8410">
        <v>8355</v>
      </c>
      <c r="B8410" s="166">
        <v>79.169479600190144</v>
      </c>
      <c r="D8410" s="39"/>
      <c r="E8410" s="39"/>
    </row>
    <row r="8411" spans="1:5" ht="15.6">
      <c r="A8411">
        <v>8356</v>
      </c>
      <c r="B8411" s="166">
        <v>102.11709418348953</v>
      </c>
      <c r="D8411" s="39"/>
      <c r="E8411" s="39"/>
    </row>
    <row r="8412" spans="1:5" ht="15.6">
      <c r="A8412">
        <v>8357</v>
      </c>
      <c r="B8412" s="166">
        <v>91.215979101098938</v>
      </c>
      <c r="D8412" s="39"/>
      <c r="E8412" s="39"/>
    </row>
    <row r="8413" spans="1:5" ht="15.6">
      <c r="A8413">
        <v>8358</v>
      </c>
      <c r="B8413" s="166">
        <v>102.37552835829872</v>
      </c>
      <c r="D8413" s="39"/>
      <c r="E8413" s="39"/>
    </row>
    <row r="8414" spans="1:5" ht="15.6">
      <c r="A8414">
        <v>8359</v>
      </c>
      <c r="B8414" s="166">
        <v>108.729450352836</v>
      </c>
      <c r="D8414" s="39"/>
      <c r="E8414" s="39"/>
    </row>
    <row r="8415" spans="1:5" ht="15.6">
      <c r="A8415">
        <v>8360</v>
      </c>
      <c r="B8415" s="166">
        <v>130.24068284240886</v>
      </c>
      <c r="D8415" s="39"/>
      <c r="E8415" s="39"/>
    </row>
    <row r="8416" spans="1:5" ht="15.6">
      <c r="A8416">
        <v>8361</v>
      </c>
      <c r="B8416" s="166">
        <v>80.921132760062463</v>
      </c>
      <c r="D8416" s="39"/>
      <c r="E8416" s="39"/>
    </row>
    <row r="8417" spans="1:5" ht="15.6">
      <c r="A8417">
        <v>8362</v>
      </c>
      <c r="B8417" s="166">
        <v>90.187460174289598</v>
      </c>
      <c r="D8417" s="39"/>
      <c r="E8417" s="39"/>
    </row>
    <row r="8418" spans="1:5" ht="15.6">
      <c r="A8418">
        <v>8363</v>
      </c>
      <c r="B8418" s="166">
        <v>171.71636251169792</v>
      </c>
      <c r="D8418" s="39"/>
      <c r="E8418" s="39"/>
    </row>
    <row r="8419" spans="1:5" ht="15.6">
      <c r="A8419">
        <v>8364</v>
      </c>
      <c r="B8419" s="166">
        <v>163.64927508075436</v>
      </c>
      <c r="D8419" s="39"/>
      <c r="E8419" s="39"/>
    </row>
    <row r="8420" spans="1:5" ht="15.6">
      <c r="A8420">
        <v>8365</v>
      </c>
      <c r="B8420" s="166">
        <v>96.569927920721909</v>
      </c>
      <c r="D8420" s="39"/>
      <c r="E8420" s="39"/>
    </row>
    <row r="8421" spans="1:5" ht="15.6">
      <c r="A8421">
        <v>8366</v>
      </c>
      <c r="B8421" s="166">
        <v>87.977080743542444</v>
      </c>
      <c r="D8421" s="39"/>
      <c r="E8421" s="39"/>
    </row>
    <row r="8422" spans="1:5" ht="15.6">
      <c r="A8422">
        <v>8367</v>
      </c>
      <c r="B8422" s="166">
        <v>149.2890274300421</v>
      </c>
      <c r="D8422" s="39"/>
      <c r="E8422" s="39"/>
    </row>
    <row r="8423" spans="1:5" ht="15.6">
      <c r="A8423">
        <v>8368</v>
      </c>
      <c r="B8423" s="166">
        <v>101.20310478423077</v>
      </c>
      <c r="D8423" s="39"/>
      <c r="E8423" s="39"/>
    </row>
    <row r="8424" spans="1:5" ht="15.6">
      <c r="A8424">
        <v>8369</v>
      </c>
      <c r="B8424" s="166">
        <v>147.84947500390874</v>
      </c>
      <c r="D8424" s="39"/>
      <c r="E8424" s="39"/>
    </row>
    <row r="8425" spans="1:5" ht="15.6">
      <c r="A8425">
        <v>8370</v>
      </c>
      <c r="B8425" s="166">
        <v>116.70363159747889</v>
      </c>
      <c r="D8425" s="39"/>
      <c r="E8425" s="39"/>
    </row>
    <row r="8426" spans="1:5" ht="15.6">
      <c r="A8426">
        <v>8371</v>
      </c>
      <c r="B8426" s="166">
        <v>79.168770472357551</v>
      </c>
      <c r="D8426" s="39"/>
      <c r="E8426" s="39"/>
    </row>
    <row r="8427" spans="1:5" ht="15.6">
      <c r="A8427">
        <v>8372</v>
      </c>
      <c r="B8427" s="166">
        <v>112.90596908628727</v>
      </c>
      <c r="D8427" s="39"/>
      <c r="E8427" s="39"/>
    </row>
    <row r="8428" spans="1:5" ht="15.6">
      <c r="A8428">
        <v>8373</v>
      </c>
      <c r="B8428" s="166">
        <v>75.936511667421854</v>
      </c>
      <c r="D8428" s="39"/>
      <c r="E8428" s="39"/>
    </row>
    <row r="8429" spans="1:5" ht="15.6">
      <c r="A8429">
        <v>8374</v>
      </c>
      <c r="B8429" s="166">
        <v>74.496864975819179</v>
      </c>
      <c r="D8429" s="39"/>
      <c r="E8429" s="39"/>
    </row>
    <row r="8430" spans="1:5" ht="15.6">
      <c r="A8430">
        <v>8375</v>
      </c>
      <c r="B8430" s="166">
        <v>64.706874149109808</v>
      </c>
      <c r="D8430" s="39"/>
      <c r="E8430" s="39"/>
    </row>
    <row r="8431" spans="1:5" ht="15.6">
      <c r="A8431">
        <v>8376</v>
      </c>
      <c r="B8431" s="166">
        <v>58.936951727398544</v>
      </c>
      <c r="D8431" s="39"/>
      <c r="E8431" s="39"/>
    </row>
    <row r="8432" spans="1:5" ht="15.6">
      <c r="A8432">
        <v>8377</v>
      </c>
      <c r="B8432" s="166">
        <v>81.082088629417768</v>
      </c>
      <c r="D8432" s="39"/>
      <c r="E8432" s="39"/>
    </row>
    <row r="8433" spans="1:5" ht="15.6">
      <c r="A8433">
        <v>8378</v>
      </c>
      <c r="B8433" s="166">
        <v>52.613420613686458</v>
      </c>
      <c r="D8433" s="39"/>
      <c r="E8433" s="39"/>
    </row>
    <row r="8434" spans="1:5" ht="15.6">
      <c r="A8434">
        <v>8379</v>
      </c>
      <c r="B8434" s="166">
        <v>156.62074697350013</v>
      </c>
      <c r="D8434" s="39"/>
      <c r="E8434" s="39"/>
    </row>
    <row r="8435" spans="1:5" ht="15.6">
      <c r="A8435">
        <v>8380</v>
      </c>
      <c r="B8435" s="166">
        <v>71.287659523777521</v>
      </c>
      <c r="D8435" s="39"/>
      <c r="E8435" s="39"/>
    </row>
    <row r="8436" spans="1:5" ht="15.6">
      <c r="A8436">
        <v>8381</v>
      </c>
      <c r="B8436" s="166">
        <v>153.5467774039237</v>
      </c>
      <c r="D8436" s="39"/>
      <c r="E8436" s="39"/>
    </row>
    <row r="8437" spans="1:5" ht="15.6">
      <c r="A8437">
        <v>8382</v>
      </c>
      <c r="B8437" s="166">
        <v>87.669784892670066</v>
      </c>
      <c r="D8437" s="39"/>
      <c r="E8437" s="39"/>
    </row>
    <row r="8438" spans="1:5" ht="15.6">
      <c r="A8438">
        <v>8383</v>
      </c>
      <c r="B8438" s="166">
        <v>120.59057997301865</v>
      </c>
      <c r="D8438" s="39"/>
      <c r="E8438" s="39"/>
    </row>
    <row r="8439" spans="1:5" ht="15.6">
      <c r="A8439">
        <v>8384</v>
      </c>
      <c r="B8439" s="166">
        <v>129.8318261138414</v>
      </c>
      <c r="D8439" s="39"/>
      <c r="E8439" s="39"/>
    </row>
    <row r="8440" spans="1:5" ht="15.6">
      <c r="A8440">
        <v>8385</v>
      </c>
      <c r="B8440" s="166">
        <v>95.852990972668508</v>
      </c>
      <c r="D8440" s="39"/>
      <c r="E8440" s="39"/>
    </row>
    <row r="8441" spans="1:5" ht="15.6">
      <c r="A8441">
        <v>8386</v>
      </c>
      <c r="B8441" s="166">
        <v>66.462582831743163</v>
      </c>
      <c r="D8441" s="39"/>
      <c r="E8441" s="39"/>
    </row>
    <row r="8442" spans="1:5" ht="15.6">
      <c r="A8442">
        <v>8387</v>
      </c>
      <c r="B8442" s="166">
        <v>85.482389569588634</v>
      </c>
      <c r="D8442" s="39"/>
      <c r="E8442" s="39"/>
    </row>
    <row r="8443" spans="1:5" ht="15.6">
      <c r="A8443">
        <v>8388</v>
      </c>
      <c r="B8443" s="166">
        <v>136.40709679667123</v>
      </c>
      <c r="D8443" s="39"/>
      <c r="E8443" s="39"/>
    </row>
    <row r="8444" spans="1:5" ht="15.6">
      <c r="A8444">
        <v>8389</v>
      </c>
      <c r="B8444" s="166">
        <v>87.494594206958809</v>
      </c>
      <c r="D8444" s="39"/>
      <c r="E8444" s="39"/>
    </row>
    <row r="8445" spans="1:5" ht="15.6">
      <c r="A8445">
        <v>8390</v>
      </c>
      <c r="B8445" s="166">
        <v>89.508760980864793</v>
      </c>
      <c r="D8445" s="39"/>
      <c r="E8445" s="39"/>
    </row>
    <row r="8446" spans="1:5" ht="15.6">
      <c r="A8446">
        <v>8391</v>
      </c>
      <c r="B8446" s="166">
        <v>165.38219238770978</v>
      </c>
      <c r="D8446" s="39"/>
      <c r="E8446" s="39"/>
    </row>
    <row r="8447" spans="1:5" ht="15.6">
      <c r="A8447">
        <v>8392</v>
      </c>
      <c r="B8447" s="166">
        <v>89.542690115225639</v>
      </c>
      <c r="D8447" s="39"/>
      <c r="E8447" s="39"/>
    </row>
    <row r="8448" spans="1:5" ht="15.6">
      <c r="A8448">
        <v>8393</v>
      </c>
      <c r="B8448" s="166">
        <v>172.12427432349509</v>
      </c>
      <c r="D8448" s="39"/>
      <c r="E8448" s="39"/>
    </row>
    <row r="8449" spans="1:5" ht="15.6">
      <c r="A8449">
        <v>8394</v>
      </c>
      <c r="B8449" s="166">
        <v>82.929969157738014</v>
      </c>
      <c r="D8449" s="39"/>
      <c r="E8449" s="39"/>
    </row>
    <row r="8450" spans="1:5" ht="15.6">
      <c r="A8450">
        <v>8395</v>
      </c>
      <c r="B8450" s="166">
        <v>78.502619777248043</v>
      </c>
      <c r="D8450" s="39"/>
      <c r="E8450" s="39"/>
    </row>
    <row r="8451" spans="1:5" ht="15.6">
      <c r="A8451">
        <v>8396</v>
      </c>
      <c r="B8451" s="166">
        <v>203.1162442613315</v>
      </c>
      <c r="D8451" s="39"/>
      <c r="E8451" s="39"/>
    </row>
    <row r="8452" spans="1:5" ht="15.6">
      <c r="A8452">
        <v>8397</v>
      </c>
      <c r="B8452" s="166">
        <v>88.160494588354254</v>
      </c>
      <c r="D8452" s="39"/>
      <c r="E8452" s="39"/>
    </row>
    <row r="8453" spans="1:5" ht="15.6">
      <c r="A8453">
        <v>8398</v>
      </c>
      <c r="B8453" s="166">
        <v>112.69799898738891</v>
      </c>
      <c r="D8453" s="39"/>
      <c r="E8453" s="39"/>
    </row>
    <row r="8454" spans="1:5" ht="15.6">
      <c r="A8454">
        <v>8399</v>
      </c>
      <c r="B8454" s="166">
        <v>109.70350147637193</v>
      </c>
      <c r="D8454" s="39"/>
      <c r="E8454" s="39"/>
    </row>
    <row r="8455" spans="1:5" ht="15.6">
      <c r="A8455">
        <v>8400</v>
      </c>
      <c r="B8455" s="166">
        <v>94.306984465126021</v>
      </c>
      <c r="D8455" s="39"/>
      <c r="E8455" s="39"/>
    </row>
    <row r="8456" spans="1:5" ht="15.6">
      <c r="A8456">
        <v>8401</v>
      </c>
      <c r="B8456" s="166">
        <v>73.624855231585428</v>
      </c>
      <c r="D8456" s="39"/>
      <c r="E8456" s="39"/>
    </row>
    <row r="8457" spans="1:5" ht="15.6">
      <c r="A8457">
        <v>8402</v>
      </c>
      <c r="B8457" s="166">
        <v>99.973174643504805</v>
      </c>
      <c r="D8457" s="39"/>
      <c r="E8457" s="39"/>
    </row>
    <row r="8458" spans="1:5" ht="15.6">
      <c r="A8458">
        <v>8403</v>
      </c>
      <c r="B8458" s="166">
        <v>113.81494205310824</v>
      </c>
      <c r="D8458" s="39"/>
      <c r="E8458" s="39"/>
    </row>
    <row r="8459" spans="1:5" ht="15.6">
      <c r="A8459">
        <v>8404</v>
      </c>
      <c r="B8459" s="166">
        <v>57.586112020122243</v>
      </c>
      <c r="D8459" s="39"/>
      <c r="E8459" s="39"/>
    </row>
    <row r="8460" spans="1:5" ht="15.6">
      <c r="A8460">
        <v>8405</v>
      </c>
      <c r="B8460" s="166">
        <v>96.672957787996324</v>
      </c>
      <c r="D8460" s="39"/>
      <c r="E8460" s="39"/>
    </row>
    <row r="8461" spans="1:5" ht="15.6">
      <c r="A8461">
        <v>8406</v>
      </c>
      <c r="B8461" s="166">
        <v>67.837434854208809</v>
      </c>
      <c r="D8461" s="39"/>
      <c r="E8461" s="39"/>
    </row>
    <row r="8462" spans="1:5" ht="15.6">
      <c r="A8462">
        <v>8407</v>
      </c>
      <c r="B8462" s="166">
        <v>95.984860772659445</v>
      </c>
      <c r="D8462" s="39"/>
      <c r="E8462" s="39"/>
    </row>
    <row r="8463" spans="1:5" ht="15.6">
      <c r="A8463">
        <v>8408</v>
      </c>
      <c r="B8463" s="166">
        <v>165.58642093931644</v>
      </c>
      <c r="D8463" s="39"/>
      <c r="E8463" s="39"/>
    </row>
    <row r="8464" spans="1:5" ht="15.6">
      <c r="A8464">
        <v>8409</v>
      </c>
      <c r="B8464" s="166">
        <v>165.41802506101791</v>
      </c>
      <c r="D8464" s="39"/>
      <c r="E8464" s="39"/>
    </row>
    <row r="8465" spans="1:5" ht="15.6">
      <c r="A8465">
        <v>8410</v>
      </c>
      <c r="B8465" s="166">
        <v>72.525932074839801</v>
      </c>
      <c r="D8465" s="39"/>
      <c r="E8465" s="39"/>
    </row>
    <row r="8466" spans="1:5" ht="15.6">
      <c r="A8466">
        <v>8411</v>
      </c>
      <c r="B8466" s="166">
        <v>130.15696411863343</v>
      </c>
      <c r="D8466" s="39"/>
      <c r="E8466" s="39"/>
    </row>
    <row r="8467" spans="1:5" ht="15.6">
      <c r="A8467">
        <v>8412</v>
      </c>
      <c r="B8467" s="166">
        <v>186.46303944596681</v>
      </c>
      <c r="D8467" s="39"/>
      <c r="E8467" s="39"/>
    </row>
    <row r="8468" spans="1:5" ht="15.6">
      <c r="A8468">
        <v>8413</v>
      </c>
      <c r="B8468" s="166">
        <v>120.97069020787389</v>
      </c>
      <c r="D8468" s="39"/>
      <c r="E8468" s="39"/>
    </row>
    <row r="8469" spans="1:5" ht="15.6">
      <c r="A8469">
        <v>8414</v>
      </c>
      <c r="B8469" s="166">
        <v>125.04659307678622</v>
      </c>
      <c r="D8469" s="39"/>
      <c r="E8469" s="39"/>
    </row>
    <row r="8470" spans="1:5" ht="15.6">
      <c r="A8470">
        <v>8415</v>
      </c>
      <c r="B8470" s="166">
        <v>222.87389075441035</v>
      </c>
      <c r="D8470" s="39"/>
      <c r="E8470" s="39"/>
    </row>
    <row r="8471" spans="1:5" ht="15.6">
      <c r="A8471">
        <v>8416</v>
      </c>
      <c r="B8471" s="166">
        <v>67.583629051061237</v>
      </c>
      <c r="D8471" s="39"/>
      <c r="E8471" s="39"/>
    </row>
    <row r="8472" spans="1:5" ht="15.6">
      <c r="A8472">
        <v>8417</v>
      </c>
      <c r="B8472" s="166">
        <v>64.28211523752276</v>
      </c>
      <c r="D8472" s="39"/>
      <c r="E8472" s="39"/>
    </row>
    <row r="8473" spans="1:5" ht="15.6">
      <c r="A8473">
        <v>8418</v>
      </c>
      <c r="B8473" s="166">
        <v>133.92422707471545</v>
      </c>
      <c r="D8473" s="39"/>
      <c r="E8473" s="39"/>
    </row>
    <row r="8474" spans="1:5" ht="15.6">
      <c r="A8474">
        <v>8419</v>
      </c>
      <c r="B8474" s="166">
        <v>70.838764126396399</v>
      </c>
      <c r="D8474" s="39"/>
      <c r="E8474" s="39"/>
    </row>
    <row r="8475" spans="1:5" ht="15.6">
      <c r="A8475">
        <v>8420</v>
      </c>
      <c r="B8475" s="166">
        <v>105.81286140037462</v>
      </c>
      <c r="D8475" s="39"/>
      <c r="E8475" s="39"/>
    </row>
    <row r="8476" spans="1:5" ht="15.6">
      <c r="A8476">
        <v>8421</v>
      </c>
      <c r="B8476" s="166">
        <v>179.43132669369524</v>
      </c>
      <c r="D8476" s="39"/>
      <c r="E8476" s="39"/>
    </row>
    <row r="8477" spans="1:5" ht="15.6">
      <c r="A8477">
        <v>8422</v>
      </c>
      <c r="B8477" s="166">
        <v>96.849190872532546</v>
      </c>
      <c r="D8477" s="39"/>
      <c r="E8477" s="39"/>
    </row>
    <row r="8478" spans="1:5" ht="15.6">
      <c r="A8478">
        <v>8423</v>
      </c>
      <c r="B8478" s="166">
        <v>91.017277433392607</v>
      </c>
      <c r="D8478" s="39"/>
      <c r="E8478" s="39"/>
    </row>
    <row r="8479" spans="1:5" ht="15.6">
      <c r="A8479">
        <v>8424</v>
      </c>
      <c r="B8479" s="166">
        <v>210.9948084245066</v>
      </c>
      <c r="D8479" s="39"/>
      <c r="E8479" s="39"/>
    </row>
    <row r="8480" spans="1:5" ht="15.6">
      <c r="A8480">
        <v>8425</v>
      </c>
      <c r="B8480" s="166">
        <v>85.346591107450848</v>
      </c>
      <c r="D8480" s="39"/>
      <c r="E8480" s="39"/>
    </row>
    <row r="8481" spans="1:5" ht="15.6">
      <c r="A8481">
        <v>8426</v>
      </c>
      <c r="B8481" s="166">
        <v>71.29117263478301</v>
      </c>
      <c r="D8481" s="39"/>
      <c r="E8481" s="39"/>
    </row>
    <row r="8482" spans="1:5" ht="15.6">
      <c r="A8482">
        <v>8427</v>
      </c>
      <c r="B8482" s="166">
        <v>70.34829581204751</v>
      </c>
      <c r="D8482" s="39"/>
      <c r="E8482" s="39"/>
    </row>
    <row r="8483" spans="1:5" ht="15.6">
      <c r="A8483">
        <v>8428</v>
      </c>
      <c r="B8483" s="166">
        <v>77.091066349665127</v>
      </c>
      <c r="D8483" s="39"/>
      <c r="E8483" s="39"/>
    </row>
    <row r="8484" spans="1:5" ht="15.6">
      <c r="A8484">
        <v>8429</v>
      </c>
      <c r="B8484" s="166">
        <v>94.97221253703897</v>
      </c>
      <c r="D8484" s="39"/>
      <c r="E8484" s="39"/>
    </row>
    <row r="8485" spans="1:5" ht="15.6">
      <c r="A8485">
        <v>8430</v>
      </c>
      <c r="B8485" s="166">
        <v>94.627088636965553</v>
      </c>
      <c r="D8485" s="39"/>
      <c r="E8485" s="39"/>
    </row>
    <row r="8486" spans="1:5" ht="15.6">
      <c r="A8486">
        <v>8431</v>
      </c>
      <c r="B8486" s="166">
        <v>162.04948321994524</v>
      </c>
      <c r="D8486" s="39"/>
      <c r="E8486" s="39"/>
    </row>
    <row r="8487" spans="1:5" ht="15.6">
      <c r="A8487">
        <v>8432</v>
      </c>
      <c r="B8487" s="166">
        <v>138.97527545724157</v>
      </c>
      <c r="D8487" s="39"/>
      <c r="E8487" s="39"/>
    </row>
    <row r="8488" spans="1:5" ht="15.6">
      <c r="A8488">
        <v>8433</v>
      </c>
      <c r="B8488" s="166">
        <v>73.031183561912997</v>
      </c>
      <c r="D8488" s="39"/>
      <c r="E8488" s="39"/>
    </row>
    <row r="8489" spans="1:5" ht="15.6">
      <c r="A8489">
        <v>8434</v>
      </c>
      <c r="B8489" s="166">
        <v>82.999719968707922</v>
      </c>
      <c r="D8489" s="39"/>
      <c r="E8489" s="39"/>
    </row>
    <row r="8490" spans="1:5" ht="15.6">
      <c r="A8490">
        <v>8435</v>
      </c>
      <c r="B8490" s="166">
        <v>133.59144707858584</v>
      </c>
      <c r="D8490" s="39"/>
      <c r="E8490" s="39"/>
    </row>
    <row r="8491" spans="1:5" ht="15.6">
      <c r="A8491">
        <v>8436</v>
      </c>
      <c r="B8491" s="166">
        <v>69.814481367468062</v>
      </c>
      <c r="D8491" s="39"/>
      <c r="E8491" s="39"/>
    </row>
    <row r="8492" spans="1:5" ht="15.6">
      <c r="A8492">
        <v>8437</v>
      </c>
      <c r="B8492" s="166">
        <v>49.659441768458649</v>
      </c>
      <c r="D8492" s="39"/>
      <c r="E8492" s="39"/>
    </row>
    <row r="8493" spans="1:5" ht="15.6">
      <c r="A8493">
        <v>8438</v>
      </c>
      <c r="B8493" s="166">
        <v>97.559436619475363</v>
      </c>
      <c r="D8493" s="39"/>
      <c r="E8493" s="39"/>
    </row>
    <row r="8494" spans="1:5" ht="15.6">
      <c r="A8494">
        <v>8439</v>
      </c>
      <c r="B8494" s="166">
        <v>92.921468964838198</v>
      </c>
      <c r="D8494" s="39"/>
      <c r="E8494" s="39"/>
    </row>
    <row r="8495" spans="1:5" ht="15.6">
      <c r="A8495">
        <v>8440</v>
      </c>
      <c r="B8495" s="166">
        <v>59.892963393444298</v>
      </c>
      <c r="D8495" s="39"/>
      <c r="E8495" s="39"/>
    </row>
    <row r="8496" spans="1:5" ht="15.6">
      <c r="A8496">
        <v>8441</v>
      </c>
      <c r="B8496" s="166">
        <v>136.53060271328164</v>
      </c>
      <c r="D8496" s="39"/>
      <c r="E8496" s="39"/>
    </row>
    <row r="8497" spans="1:5" ht="15.6">
      <c r="A8497">
        <v>8442</v>
      </c>
      <c r="B8497" s="166">
        <v>141.47038887259455</v>
      </c>
      <c r="D8497" s="39"/>
      <c r="E8497" s="39"/>
    </row>
    <row r="8498" spans="1:5" ht="15.6">
      <c r="A8498">
        <v>8443</v>
      </c>
      <c r="B8498" s="166">
        <v>111.42385953617779</v>
      </c>
      <c r="D8498" s="39"/>
      <c r="E8498" s="39"/>
    </row>
    <row r="8499" spans="1:5" ht="15.6">
      <c r="A8499">
        <v>8444</v>
      </c>
      <c r="B8499" s="166">
        <v>145.76224458114717</v>
      </c>
      <c r="D8499" s="39"/>
      <c r="E8499" s="39"/>
    </row>
    <row r="8500" spans="1:5" ht="15.6">
      <c r="A8500">
        <v>8445</v>
      </c>
      <c r="B8500" s="166">
        <v>86.929679562103814</v>
      </c>
      <c r="D8500" s="39"/>
      <c r="E8500" s="39"/>
    </row>
    <row r="8501" spans="1:5" ht="15.6">
      <c r="A8501">
        <v>8446</v>
      </c>
      <c r="B8501" s="166">
        <v>91.547632887773133</v>
      </c>
      <c r="D8501" s="39"/>
      <c r="E8501" s="39"/>
    </row>
    <row r="8502" spans="1:5" ht="15.6">
      <c r="A8502">
        <v>8447</v>
      </c>
      <c r="B8502" s="166">
        <v>135.00278457687753</v>
      </c>
      <c r="D8502" s="39"/>
      <c r="E8502" s="39"/>
    </row>
    <row r="8503" spans="1:5" ht="15.6">
      <c r="A8503">
        <v>8448</v>
      </c>
      <c r="B8503" s="166">
        <v>100.16709059705234</v>
      </c>
      <c r="D8503" s="39"/>
      <c r="E8503" s="39"/>
    </row>
    <row r="8504" spans="1:5" ht="15.6">
      <c r="A8504">
        <v>8449</v>
      </c>
      <c r="B8504" s="166">
        <v>88.734521157823991</v>
      </c>
      <c r="D8504" s="39"/>
      <c r="E8504" s="39"/>
    </row>
    <row r="8505" spans="1:5" ht="15.6">
      <c r="A8505">
        <v>8450</v>
      </c>
      <c r="B8505" s="166">
        <v>87.983119854306878</v>
      </c>
      <c r="D8505" s="39"/>
      <c r="E8505" s="39"/>
    </row>
    <row r="8506" spans="1:5" ht="15.6">
      <c r="A8506">
        <v>8451</v>
      </c>
      <c r="B8506" s="166">
        <v>67.496558550131027</v>
      </c>
      <c r="D8506" s="39"/>
      <c r="E8506" s="39"/>
    </row>
    <row r="8507" spans="1:5" ht="15.6">
      <c r="A8507">
        <v>8452</v>
      </c>
      <c r="B8507" s="166">
        <v>89.79330647935511</v>
      </c>
      <c r="D8507" s="39"/>
      <c r="E8507" s="39"/>
    </row>
    <row r="8508" spans="1:5" ht="15.6">
      <c r="A8508">
        <v>8453</v>
      </c>
      <c r="B8508" s="166">
        <v>108.30158074631876</v>
      </c>
      <c r="D8508" s="39"/>
      <c r="E8508" s="39"/>
    </row>
    <row r="8509" spans="1:5" ht="15.6">
      <c r="A8509">
        <v>8454</v>
      </c>
      <c r="B8509" s="166">
        <v>112.14518093792778</v>
      </c>
      <c r="D8509" s="39"/>
      <c r="E8509" s="39"/>
    </row>
    <row r="8510" spans="1:5" ht="15.6">
      <c r="A8510">
        <v>8455</v>
      </c>
      <c r="B8510" s="166">
        <v>94.391558701719518</v>
      </c>
      <c r="D8510" s="39"/>
      <c r="E8510" s="39"/>
    </row>
    <row r="8511" spans="1:5" ht="15.6">
      <c r="A8511">
        <v>8456</v>
      </c>
      <c r="B8511" s="166">
        <v>121.60609962923873</v>
      </c>
      <c r="D8511" s="39"/>
      <c r="E8511" s="39"/>
    </row>
    <row r="8512" spans="1:5" ht="15.6">
      <c r="A8512">
        <v>8457</v>
      </c>
      <c r="B8512" s="166">
        <v>160.40672520232997</v>
      </c>
      <c r="D8512" s="39"/>
      <c r="E8512" s="39"/>
    </row>
    <row r="8513" spans="1:5" ht="15.6">
      <c r="A8513">
        <v>8458</v>
      </c>
      <c r="B8513" s="166">
        <v>169.98567746541278</v>
      </c>
      <c r="D8513" s="39"/>
      <c r="E8513" s="39"/>
    </row>
    <row r="8514" spans="1:5" ht="15.6">
      <c r="A8514">
        <v>8459</v>
      </c>
      <c r="B8514" s="166">
        <v>139.72886152600637</v>
      </c>
      <c r="D8514" s="39"/>
      <c r="E8514" s="39"/>
    </row>
    <row r="8515" spans="1:5" ht="15.6">
      <c r="A8515">
        <v>8460</v>
      </c>
      <c r="B8515" s="166">
        <v>70.44138648685076</v>
      </c>
      <c r="D8515" s="39"/>
      <c r="E8515" s="39"/>
    </row>
    <row r="8516" spans="1:5" ht="15.6">
      <c r="A8516">
        <v>8461</v>
      </c>
      <c r="B8516" s="166">
        <v>105.14290140886642</v>
      </c>
      <c r="D8516" s="39"/>
      <c r="E8516" s="39"/>
    </row>
    <row r="8517" spans="1:5" ht="15.6">
      <c r="A8517">
        <v>8462</v>
      </c>
      <c r="B8517" s="166">
        <v>66.796184766692917</v>
      </c>
      <c r="D8517" s="39"/>
      <c r="E8517" s="39"/>
    </row>
    <row r="8518" spans="1:5" ht="15.6">
      <c r="A8518">
        <v>8463</v>
      </c>
      <c r="B8518" s="166">
        <v>128.01439205258231</v>
      </c>
      <c r="D8518" s="39"/>
      <c r="E8518" s="39"/>
    </row>
    <row r="8519" spans="1:5" ht="15.6">
      <c r="A8519">
        <v>8464</v>
      </c>
      <c r="B8519" s="166">
        <v>91.495887844105269</v>
      </c>
      <c r="D8519" s="39"/>
      <c r="E8519" s="39"/>
    </row>
    <row r="8520" spans="1:5" ht="15.6">
      <c r="A8520">
        <v>8465</v>
      </c>
      <c r="B8520" s="166">
        <v>103.39216585700822</v>
      </c>
      <c r="D8520" s="39"/>
      <c r="E8520" s="39"/>
    </row>
    <row r="8521" spans="1:5" ht="15.6">
      <c r="A8521">
        <v>8466</v>
      </c>
      <c r="B8521" s="166">
        <v>97.404876727557792</v>
      </c>
      <c r="D8521" s="39"/>
      <c r="E8521" s="39"/>
    </row>
    <row r="8522" spans="1:5" ht="15.6">
      <c r="A8522">
        <v>8467</v>
      </c>
      <c r="B8522" s="166">
        <v>88.289584496201698</v>
      </c>
      <c r="D8522" s="39"/>
      <c r="E8522" s="39"/>
    </row>
    <row r="8523" spans="1:5" ht="15.6">
      <c r="A8523">
        <v>8468</v>
      </c>
      <c r="B8523" s="166">
        <v>77.902798286193914</v>
      </c>
      <c r="D8523" s="39"/>
      <c r="E8523" s="39"/>
    </row>
    <row r="8524" spans="1:5" ht="15.6">
      <c r="A8524">
        <v>8469</v>
      </c>
      <c r="B8524" s="166">
        <v>70.295765811144079</v>
      </c>
      <c r="D8524" s="39"/>
      <c r="E8524" s="39"/>
    </row>
    <row r="8525" spans="1:5" ht="15.6">
      <c r="A8525">
        <v>8470</v>
      </c>
      <c r="B8525" s="166">
        <v>124.8697652566654</v>
      </c>
      <c r="D8525" s="39"/>
      <c r="E8525" s="39"/>
    </row>
    <row r="8526" spans="1:5" ht="15.6">
      <c r="A8526">
        <v>8471</v>
      </c>
      <c r="B8526" s="166">
        <v>142.15010444572721</v>
      </c>
      <c r="D8526" s="39"/>
      <c r="E8526" s="39"/>
    </row>
    <row r="8527" spans="1:5" ht="15.6">
      <c r="A8527">
        <v>8472</v>
      </c>
      <c r="B8527" s="166">
        <v>146.06990217711703</v>
      </c>
      <c r="D8527" s="39"/>
      <c r="E8527" s="39"/>
    </row>
    <row r="8528" spans="1:5" ht="15.6">
      <c r="A8528">
        <v>8473</v>
      </c>
      <c r="B8528" s="166">
        <v>65.480408337861206</v>
      </c>
      <c r="D8528" s="39"/>
      <c r="E8528" s="39"/>
    </row>
    <row r="8529" spans="1:5" ht="15.6">
      <c r="A8529">
        <v>8474</v>
      </c>
      <c r="B8529" s="166">
        <v>71.754252313261873</v>
      </c>
      <c r="D8529" s="39"/>
      <c r="E8529" s="39"/>
    </row>
    <row r="8530" spans="1:5" ht="15.6">
      <c r="A8530">
        <v>8475</v>
      </c>
      <c r="B8530" s="166">
        <v>174.45704042616225</v>
      </c>
      <c r="D8530" s="39"/>
      <c r="E8530" s="39"/>
    </row>
    <row r="8531" spans="1:5" ht="15.6">
      <c r="A8531">
        <v>8476</v>
      </c>
      <c r="B8531" s="166">
        <v>76.083574750980972</v>
      </c>
      <c r="D8531" s="39"/>
      <c r="E8531" s="39"/>
    </row>
    <row r="8532" spans="1:5" ht="15.6">
      <c r="A8532">
        <v>8477</v>
      </c>
      <c r="B8532" s="166">
        <v>85.653559666668528</v>
      </c>
      <c r="D8532" s="39"/>
      <c r="E8532" s="39"/>
    </row>
    <row r="8533" spans="1:5" ht="15.6">
      <c r="A8533">
        <v>8478</v>
      </c>
      <c r="B8533" s="166">
        <v>137.64088769930606</v>
      </c>
      <c r="D8533" s="39"/>
      <c r="E8533" s="39"/>
    </row>
    <row r="8534" spans="1:5" ht="15.6">
      <c r="A8534">
        <v>8479</v>
      </c>
      <c r="B8534" s="166">
        <v>82.899662046558149</v>
      </c>
      <c r="D8534" s="39"/>
      <c r="E8534" s="39"/>
    </row>
    <row r="8535" spans="1:5" ht="15.6">
      <c r="A8535">
        <v>8480</v>
      </c>
      <c r="B8535" s="166">
        <v>127.67143571549329</v>
      </c>
      <c r="D8535" s="39"/>
      <c r="E8535" s="39"/>
    </row>
    <row r="8536" spans="1:5" ht="15.6">
      <c r="A8536">
        <v>8481</v>
      </c>
      <c r="B8536" s="166">
        <v>95.082032641863407</v>
      </c>
      <c r="D8536" s="39"/>
      <c r="E8536" s="39"/>
    </row>
    <row r="8537" spans="1:5" ht="15.6">
      <c r="A8537">
        <v>8482</v>
      </c>
      <c r="B8537" s="166">
        <v>79.581539809540232</v>
      </c>
      <c r="D8537" s="39"/>
      <c r="E8537" s="39"/>
    </row>
    <row r="8538" spans="1:5" ht="15.6">
      <c r="A8538">
        <v>8483</v>
      </c>
      <c r="B8538" s="166">
        <v>124.27198327523409</v>
      </c>
      <c r="D8538" s="39"/>
      <c r="E8538" s="39"/>
    </row>
    <row r="8539" spans="1:5" ht="15.6">
      <c r="A8539">
        <v>8484</v>
      </c>
      <c r="B8539" s="166">
        <v>136.87108811113015</v>
      </c>
      <c r="D8539" s="39"/>
      <c r="E8539" s="39"/>
    </row>
    <row r="8540" spans="1:5" ht="15.6">
      <c r="A8540">
        <v>8485</v>
      </c>
      <c r="B8540" s="166">
        <v>166.07826305362278</v>
      </c>
      <c r="D8540" s="39"/>
      <c r="E8540" s="39"/>
    </row>
    <row r="8541" spans="1:5" ht="15.6">
      <c r="A8541">
        <v>8486</v>
      </c>
      <c r="B8541" s="166">
        <v>169.15090985721628</v>
      </c>
      <c r="D8541" s="39"/>
      <c r="E8541" s="39"/>
    </row>
    <row r="8542" spans="1:5" ht="15.6">
      <c r="A8542">
        <v>8487</v>
      </c>
      <c r="B8542" s="166">
        <v>115.36788673674295</v>
      </c>
      <c r="D8542" s="39"/>
      <c r="E8542" s="39"/>
    </row>
    <row r="8543" spans="1:5" ht="15.6">
      <c r="A8543">
        <v>8488</v>
      </c>
      <c r="B8543" s="166">
        <v>99.641839458496207</v>
      </c>
      <c r="D8543" s="39"/>
      <c r="E8543" s="39"/>
    </row>
    <row r="8544" spans="1:5" ht="15.6">
      <c r="A8544">
        <v>8489</v>
      </c>
      <c r="B8544" s="166">
        <v>154.44543862220223</v>
      </c>
      <c r="D8544" s="39"/>
      <c r="E8544" s="39"/>
    </row>
    <row r="8545" spans="1:5" ht="15.6">
      <c r="A8545">
        <v>8490</v>
      </c>
      <c r="B8545" s="166">
        <v>60.483884549485708</v>
      </c>
      <c r="D8545" s="39"/>
      <c r="E8545" s="39"/>
    </row>
    <row r="8546" spans="1:5" ht="15.6">
      <c r="A8546">
        <v>8491</v>
      </c>
      <c r="B8546" s="166">
        <v>79.888265491303372</v>
      </c>
      <c r="D8546" s="39"/>
      <c r="E8546" s="39"/>
    </row>
    <row r="8547" spans="1:5" ht="15.6">
      <c r="A8547">
        <v>8492</v>
      </c>
      <c r="B8547" s="166">
        <v>170.43043051344287</v>
      </c>
      <c r="D8547" s="39"/>
      <c r="E8547" s="39"/>
    </row>
    <row r="8548" spans="1:5" ht="15.6">
      <c r="A8548">
        <v>8493</v>
      </c>
      <c r="B8548" s="166">
        <v>136.62130334276878</v>
      </c>
      <c r="D8548" s="39"/>
      <c r="E8548" s="39"/>
    </row>
    <row r="8549" spans="1:5" ht="15.6">
      <c r="A8549">
        <v>8494</v>
      </c>
      <c r="B8549" s="166">
        <v>177.82439202954518</v>
      </c>
      <c r="D8549" s="39"/>
      <c r="E8549" s="39"/>
    </row>
    <row r="8550" spans="1:5" ht="15.6">
      <c r="A8550">
        <v>8495</v>
      </c>
      <c r="B8550" s="166">
        <v>82.92819759665035</v>
      </c>
      <c r="D8550" s="39"/>
      <c r="E8550" s="39"/>
    </row>
    <row r="8551" spans="1:5" ht="15.6">
      <c r="A8551">
        <v>8496</v>
      </c>
      <c r="B8551" s="166">
        <v>104.89805346576085</v>
      </c>
      <c r="D8551" s="39"/>
      <c r="E8551" s="39"/>
    </row>
    <row r="8552" spans="1:5" ht="15.6">
      <c r="A8552">
        <v>8497</v>
      </c>
      <c r="B8552" s="166">
        <v>93.102593839112274</v>
      </c>
      <c r="D8552" s="39"/>
      <c r="E8552" s="39"/>
    </row>
    <row r="8553" spans="1:5" ht="15.6">
      <c r="A8553">
        <v>8498</v>
      </c>
      <c r="B8553" s="166">
        <v>75.629184436075818</v>
      </c>
      <c r="D8553" s="39"/>
      <c r="E8553" s="39"/>
    </row>
    <row r="8554" spans="1:5" ht="15.6">
      <c r="A8554">
        <v>8499</v>
      </c>
      <c r="B8554" s="166">
        <v>75.117084968013515</v>
      </c>
      <c r="D8554" s="39"/>
      <c r="E8554" s="39"/>
    </row>
    <row r="8555" spans="1:5" ht="15.6">
      <c r="A8555">
        <v>8500</v>
      </c>
      <c r="B8555" s="166">
        <v>110.27463517076933</v>
      </c>
      <c r="D8555" s="39"/>
      <c r="E8555" s="39"/>
    </row>
    <row r="8556" spans="1:5" ht="15.6">
      <c r="A8556">
        <v>8501</v>
      </c>
      <c r="B8556" s="166">
        <v>84.098809592003022</v>
      </c>
      <c r="D8556" s="39"/>
      <c r="E8556" s="39"/>
    </row>
    <row r="8557" spans="1:5" ht="15.6">
      <c r="A8557">
        <v>8502</v>
      </c>
      <c r="B8557" s="166">
        <v>81.135740072306717</v>
      </c>
      <c r="D8557" s="39"/>
      <c r="E8557" s="39"/>
    </row>
    <row r="8558" spans="1:5" ht="15.6">
      <c r="A8558">
        <v>8503</v>
      </c>
      <c r="B8558" s="166">
        <v>134.60830840403943</v>
      </c>
      <c r="D8558" s="39"/>
      <c r="E8558" s="39"/>
    </row>
    <row r="8559" spans="1:5" ht="15.6">
      <c r="A8559">
        <v>8504</v>
      </c>
      <c r="B8559" s="166">
        <v>128.13651604192225</v>
      </c>
      <c r="D8559" s="39"/>
      <c r="E8559" s="39"/>
    </row>
    <row r="8560" spans="1:5" ht="15.6">
      <c r="A8560">
        <v>8505</v>
      </c>
      <c r="B8560" s="166">
        <v>138.15721539428597</v>
      </c>
      <c r="D8560" s="39"/>
      <c r="E8560" s="39"/>
    </row>
    <row r="8561" spans="1:5" ht="15.6">
      <c r="A8561">
        <v>8506</v>
      </c>
      <c r="B8561" s="166">
        <v>109.72825749191368</v>
      </c>
      <c r="D8561" s="39"/>
      <c r="E8561" s="39"/>
    </row>
    <row r="8562" spans="1:5" ht="15.6">
      <c r="A8562">
        <v>8507</v>
      </c>
      <c r="B8562" s="166">
        <v>105.21127316364294</v>
      </c>
      <c r="D8562" s="39"/>
      <c r="E8562" s="39"/>
    </row>
    <row r="8563" spans="1:5" ht="15.6">
      <c r="A8563">
        <v>8508</v>
      </c>
      <c r="B8563" s="166">
        <v>82.423768554918695</v>
      </c>
      <c r="D8563" s="39"/>
      <c r="E8563" s="39"/>
    </row>
    <row r="8564" spans="1:5" ht="15.6">
      <c r="A8564">
        <v>8509</v>
      </c>
      <c r="B8564" s="166">
        <v>86.913173993384419</v>
      </c>
      <c r="D8564" s="39"/>
      <c r="E8564" s="39"/>
    </row>
    <row r="8565" spans="1:5" ht="15.6">
      <c r="A8565">
        <v>8510</v>
      </c>
      <c r="B8565" s="166">
        <v>113.05118556719009</v>
      </c>
      <c r="D8565" s="39"/>
      <c r="E8565" s="39"/>
    </row>
    <row r="8566" spans="1:5" ht="15.6">
      <c r="A8566">
        <v>8511</v>
      </c>
      <c r="B8566" s="166">
        <v>161.22160696944115</v>
      </c>
      <c r="D8566" s="39"/>
      <c r="E8566" s="39"/>
    </row>
    <row r="8567" spans="1:5" ht="15.6">
      <c r="A8567">
        <v>8512</v>
      </c>
      <c r="B8567" s="166">
        <v>158.41813856036168</v>
      </c>
      <c r="D8567" s="39"/>
      <c r="E8567" s="39"/>
    </row>
    <row r="8568" spans="1:5" ht="15.6">
      <c r="A8568">
        <v>8513</v>
      </c>
      <c r="B8568" s="166">
        <v>116.53032320607083</v>
      </c>
      <c r="D8568" s="39"/>
      <c r="E8568" s="39"/>
    </row>
    <row r="8569" spans="1:5" ht="15.6">
      <c r="A8569">
        <v>8514</v>
      </c>
      <c r="B8569" s="166">
        <v>115.3723012706694</v>
      </c>
      <c r="D8569" s="39"/>
      <c r="E8569" s="39"/>
    </row>
    <row r="8570" spans="1:5" ht="15.6">
      <c r="A8570">
        <v>8515</v>
      </c>
      <c r="B8570" s="166">
        <v>66.169270340640324</v>
      </c>
      <c r="D8570" s="39"/>
      <c r="E8570" s="39"/>
    </row>
    <row r="8571" spans="1:5" ht="15.6">
      <c r="A8571">
        <v>8516</v>
      </c>
      <c r="B8571" s="166">
        <v>84.71781226052255</v>
      </c>
      <c r="D8571" s="39"/>
      <c r="E8571" s="39"/>
    </row>
    <row r="8572" spans="1:5" ht="15.6">
      <c r="A8572">
        <v>8517</v>
      </c>
      <c r="B8572" s="166">
        <v>153.56669832777592</v>
      </c>
      <c r="D8572" s="39"/>
      <c r="E8572" s="39"/>
    </row>
    <row r="8573" spans="1:5" ht="15.6">
      <c r="A8573">
        <v>8518</v>
      </c>
      <c r="B8573" s="166">
        <v>102.95835400642622</v>
      </c>
      <c r="D8573" s="39"/>
      <c r="E8573" s="39"/>
    </row>
    <row r="8574" spans="1:5" ht="15.6">
      <c r="A8574">
        <v>8519</v>
      </c>
      <c r="B8574" s="166">
        <v>98.027256605381325</v>
      </c>
      <c r="D8574" s="39"/>
      <c r="E8574" s="39"/>
    </row>
    <row r="8575" spans="1:5" ht="15.6">
      <c r="A8575">
        <v>8520</v>
      </c>
      <c r="B8575" s="166">
        <v>90.531924885278556</v>
      </c>
      <c r="D8575" s="39"/>
      <c r="E8575" s="39"/>
    </row>
    <row r="8576" spans="1:5" ht="15.6">
      <c r="A8576">
        <v>8521</v>
      </c>
      <c r="B8576" s="166">
        <v>60.43374947184865</v>
      </c>
      <c r="D8576" s="39"/>
      <c r="E8576" s="39"/>
    </row>
    <row r="8577" spans="1:5" ht="15.6">
      <c r="A8577">
        <v>8522</v>
      </c>
      <c r="B8577" s="166">
        <v>61.114834036080921</v>
      </c>
      <c r="D8577" s="39"/>
      <c r="E8577" s="39"/>
    </row>
    <row r="8578" spans="1:5" ht="15.6">
      <c r="A8578">
        <v>8523</v>
      </c>
      <c r="B8578" s="166">
        <v>102.83558572122712</v>
      </c>
      <c r="D8578" s="39"/>
      <c r="E8578" s="39"/>
    </row>
    <row r="8579" spans="1:5" ht="15.6">
      <c r="A8579">
        <v>8524</v>
      </c>
      <c r="B8579" s="166">
        <v>91.967496757916308</v>
      </c>
      <c r="D8579" s="39"/>
      <c r="E8579" s="39"/>
    </row>
    <row r="8580" spans="1:5" ht="15.6">
      <c r="A8580">
        <v>8525</v>
      </c>
      <c r="B8580" s="166">
        <v>117.02675525256818</v>
      </c>
      <c r="D8580" s="39"/>
      <c r="E8580" s="39"/>
    </row>
    <row r="8581" spans="1:5" ht="15.6">
      <c r="A8581">
        <v>8526</v>
      </c>
      <c r="B8581" s="166">
        <v>68.311488356010344</v>
      </c>
      <c r="D8581" s="39"/>
      <c r="E8581" s="39"/>
    </row>
    <row r="8582" spans="1:5" ht="15.6">
      <c r="A8582">
        <v>8527</v>
      </c>
      <c r="B8582" s="166">
        <v>133.37194141564601</v>
      </c>
      <c r="D8582" s="39"/>
      <c r="E8582" s="39"/>
    </row>
    <row r="8583" spans="1:5" ht="15.6">
      <c r="A8583">
        <v>8528</v>
      </c>
      <c r="B8583" s="166">
        <v>125.21403788729636</v>
      </c>
      <c r="D8583" s="39"/>
      <c r="E8583" s="39"/>
    </row>
    <row r="8584" spans="1:5" ht="15.6">
      <c r="A8584">
        <v>8529</v>
      </c>
      <c r="B8584" s="166">
        <v>107.37540570526522</v>
      </c>
      <c r="D8584" s="39"/>
      <c r="E8584" s="39"/>
    </row>
    <row r="8585" spans="1:5" ht="15.6">
      <c r="A8585">
        <v>8530</v>
      </c>
      <c r="B8585" s="166">
        <v>76.654506517683814</v>
      </c>
      <c r="D8585" s="39"/>
      <c r="E8585" s="39"/>
    </row>
    <row r="8586" spans="1:5" ht="15.6">
      <c r="A8586">
        <v>8531</v>
      </c>
      <c r="B8586" s="166">
        <v>143.1383789899935</v>
      </c>
      <c r="D8586" s="39"/>
      <c r="E8586" s="39"/>
    </row>
    <row r="8587" spans="1:5" ht="15.6">
      <c r="A8587">
        <v>8532</v>
      </c>
      <c r="B8587" s="166">
        <v>69.276036045990168</v>
      </c>
      <c r="D8587" s="39"/>
      <c r="E8587" s="39"/>
    </row>
    <row r="8588" spans="1:5" ht="15.6">
      <c r="A8588">
        <v>8533</v>
      </c>
      <c r="B8588" s="166">
        <v>108.37552197546177</v>
      </c>
      <c r="D8588" s="39"/>
      <c r="E8588" s="39"/>
    </row>
    <row r="8589" spans="1:5" ht="15.6">
      <c r="A8589">
        <v>8534</v>
      </c>
      <c r="B8589" s="166">
        <v>91.137958672237389</v>
      </c>
      <c r="D8589" s="39"/>
      <c r="E8589" s="39"/>
    </row>
    <row r="8590" spans="1:5" ht="15.6">
      <c r="A8590">
        <v>8535</v>
      </c>
      <c r="B8590" s="166">
        <v>75.520024696357595</v>
      </c>
      <c r="D8590" s="39"/>
      <c r="E8590" s="39"/>
    </row>
    <row r="8591" spans="1:5" ht="15.6">
      <c r="A8591">
        <v>8536</v>
      </c>
      <c r="B8591" s="166">
        <v>118.84452056533779</v>
      </c>
      <c r="D8591" s="39"/>
      <c r="E8591" s="39"/>
    </row>
    <row r="8592" spans="1:5" ht="15.6">
      <c r="A8592">
        <v>8537</v>
      </c>
      <c r="B8592" s="166">
        <v>95.915955394387112</v>
      </c>
      <c r="D8592" s="39"/>
      <c r="E8592" s="39"/>
    </row>
    <row r="8593" spans="1:5" ht="15.6">
      <c r="A8593">
        <v>8538</v>
      </c>
      <c r="B8593" s="166">
        <v>91.040771359201798</v>
      </c>
      <c r="D8593" s="39"/>
      <c r="E8593" s="39"/>
    </row>
    <row r="8594" spans="1:5" ht="15.6">
      <c r="A8594">
        <v>8539</v>
      </c>
      <c r="B8594" s="166">
        <v>90.481954173766951</v>
      </c>
      <c r="D8594" s="39"/>
      <c r="E8594" s="39"/>
    </row>
    <row r="8595" spans="1:5" ht="15.6">
      <c r="A8595">
        <v>8540</v>
      </c>
      <c r="B8595" s="166">
        <v>85.364921312927109</v>
      </c>
      <c r="D8595" s="39"/>
      <c r="E8595" s="39"/>
    </row>
    <row r="8596" spans="1:5" ht="15.6">
      <c r="A8596">
        <v>8541</v>
      </c>
      <c r="B8596" s="166">
        <v>59.437603687260122</v>
      </c>
      <c r="D8596" s="39"/>
      <c r="E8596" s="39"/>
    </row>
    <row r="8597" spans="1:5" ht="15.6">
      <c r="A8597">
        <v>8542</v>
      </c>
      <c r="B8597" s="166">
        <v>95.82994648996582</v>
      </c>
      <c r="D8597" s="39"/>
      <c r="E8597" s="39"/>
    </row>
    <row r="8598" spans="1:5" ht="15.6">
      <c r="A8598">
        <v>8543</v>
      </c>
      <c r="B8598" s="166">
        <v>100.857380052127</v>
      </c>
      <c r="D8598" s="39"/>
      <c r="E8598" s="39"/>
    </row>
    <row r="8599" spans="1:5" ht="15.6">
      <c r="A8599">
        <v>8544</v>
      </c>
      <c r="B8599" s="166">
        <v>72.196988535174711</v>
      </c>
      <c r="D8599" s="39"/>
      <c r="E8599" s="39"/>
    </row>
    <row r="8600" spans="1:5" ht="15.6">
      <c r="A8600">
        <v>8545</v>
      </c>
      <c r="B8600" s="166">
        <v>78.19318424067049</v>
      </c>
      <c r="D8600" s="39"/>
      <c r="E8600" s="39"/>
    </row>
    <row r="8601" spans="1:5" ht="15.6">
      <c r="A8601">
        <v>8546</v>
      </c>
      <c r="B8601" s="166">
        <v>88.270023414924339</v>
      </c>
      <c r="D8601" s="39"/>
      <c r="E8601" s="39"/>
    </row>
    <row r="8602" spans="1:5" ht="15.6">
      <c r="A8602">
        <v>8547</v>
      </c>
      <c r="B8602" s="166">
        <v>94.588700870921343</v>
      </c>
      <c r="D8602" s="39"/>
      <c r="E8602" s="39"/>
    </row>
    <row r="8603" spans="1:5" ht="15.6">
      <c r="A8603">
        <v>8548</v>
      </c>
      <c r="B8603" s="166">
        <v>57.272202749598399</v>
      </c>
      <c r="D8603" s="39"/>
      <c r="E8603" s="39"/>
    </row>
    <row r="8604" spans="1:5" ht="15.6">
      <c r="A8604">
        <v>8549</v>
      </c>
      <c r="B8604" s="166">
        <v>69.996474566172139</v>
      </c>
      <c r="D8604" s="39"/>
      <c r="E8604" s="39"/>
    </row>
    <row r="8605" spans="1:5" ht="15.6">
      <c r="A8605">
        <v>8550</v>
      </c>
      <c r="B8605" s="166">
        <v>159.44131030348942</v>
      </c>
      <c r="D8605" s="39"/>
      <c r="E8605" s="39"/>
    </row>
    <row r="8606" spans="1:5" ht="15.6">
      <c r="A8606">
        <v>8551</v>
      </c>
      <c r="B8606" s="166">
        <v>89.370812836544317</v>
      </c>
      <c r="D8606" s="39"/>
      <c r="E8606" s="39"/>
    </row>
    <row r="8607" spans="1:5" ht="15.6">
      <c r="A8607">
        <v>8552</v>
      </c>
      <c r="B8607" s="166">
        <v>58.11879026089634</v>
      </c>
      <c r="D8607" s="39"/>
      <c r="E8607" s="39"/>
    </row>
    <row r="8608" spans="1:5" ht="15.6">
      <c r="A8608">
        <v>8553</v>
      </c>
      <c r="B8608" s="166">
        <v>85.415088587657422</v>
      </c>
      <c r="D8608" s="39"/>
      <c r="E8608" s="39"/>
    </row>
    <row r="8609" spans="1:5" ht="15.6">
      <c r="A8609">
        <v>8554</v>
      </c>
      <c r="B8609" s="166">
        <v>93.35381917521741</v>
      </c>
      <c r="D8609" s="39"/>
      <c r="E8609" s="39"/>
    </row>
    <row r="8610" spans="1:5" ht="15.6">
      <c r="A8610">
        <v>8555</v>
      </c>
      <c r="B8610" s="166">
        <v>191.86866436118129</v>
      </c>
      <c r="D8610" s="39"/>
      <c r="E8610" s="39"/>
    </row>
    <row r="8611" spans="1:5" ht="15.6">
      <c r="A8611">
        <v>8556</v>
      </c>
      <c r="B8611" s="166">
        <v>124.05406246607653</v>
      </c>
      <c r="D8611" s="39"/>
      <c r="E8611" s="39"/>
    </row>
    <row r="8612" spans="1:5" ht="15.6">
      <c r="A8612">
        <v>8557</v>
      </c>
      <c r="B8612" s="166">
        <v>95.064200240614809</v>
      </c>
      <c r="D8612" s="39"/>
      <c r="E8612" s="39"/>
    </row>
    <row r="8613" spans="1:5" ht="15.6">
      <c r="A8613">
        <v>8558</v>
      </c>
      <c r="B8613" s="166">
        <v>51.0969826214805</v>
      </c>
      <c r="D8613" s="39"/>
      <c r="E8613" s="39"/>
    </row>
    <row r="8614" spans="1:5" ht="15.6">
      <c r="A8614">
        <v>8559</v>
      </c>
      <c r="B8614" s="166">
        <v>134.95318776012522</v>
      </c>
      <c r="D8614" s="39"/>
      <c r="E8614" s="39"/>
    </row>
    <row r="8615" spans="1:5" ht="15.6">
      <c r="A8615">
        <v>8560</v>
      </c>
      <c r="B8615" s="166">
        <v>100.70959788920794</v>
      </c>
      <c r="D8615" s="39"/>
      <c r="E8615" s="39"/>
    </row>
    <row r="8616" spans="1:5" ht="15.6">
      <c r="A8616">
        <v>8561</v>
      </c>
      <c r="B8616" s="166">
        <v>89.687088051808544</v>
      </c>
      <c r="D8616" s="39"/>
      <c r="E8616" s="39"/>
    </row>
    <row r="8617" spans="1:5" ht="15.6">
      <c r="A8617">
        <v>8562</v>
      </c>
      <c r="B8617" s="166">
        <v>102.31311794214436</v>
      </c>
      <c r="D8617" s="39"/>
      <c r="E8617" s="39"/>
    </row>
    <row r="8618" spans="1:5" ht="15.6">
      <c r="A8618">
        <v>8563</v>
      </c>
      <c r="B8618" s="166">
        <v>131.09377283643661</v>
      </c>
      <c r="D8618" s="39"/>
      <c r="E8618" s="39"/>
    </row>
    <row r="8619" spans="1:5" ht="15.6">
      <c r="A8619">
        <v>8564</v>
      </c>
      <c r="B8619" s="166">
        <v>64.341032520228026</v>
      </c>
      <c r="D8619" s="39"/>
      <c r="E8619" s="39"/>
    </row>
    <row r="8620" spans="1:5" ht="15.6">
      <c r="A8620">
        <v>8565</v>
      </c>
      <c r="B8620" s="166">
        <v>104.88943014841124</v>
      </c>
      <c r="D8620" s="39"/>
      <c r="E8620" s="39"/>
    </row>
    <row r="8621" spans="1:5" ht="15.6">
      <c r="A8621">
        <v>8566</v>
      </c>
      <c r="B8621" s="166">
        <v>91.75010922162086</v>
      </c>
      <c r="D8621" s="39"/>
      <c r="E8621" s="39"/>
    </row>
    <row r="8622" spans="1:5" ht="15.6">
      <c r="A8622">
        <v>8567</v>
      </c>
      <c r="B8622" s="166">
        <v>152.50151646499009</v>
      </c>
      <c r="D8622" s="39"/>
      <c r="E8622" s="39"/>
    </row>
    <row r="8623" spans="1:5" ht="15.6">
      <c r="A8623">
        <v>8568</v>
      </c>
      <c r="B8623" s="166">
        <v>167.67369494533145</v>
      </c>
      <c r="D8623" s="39"/>
      <c r="E8623" s="39"/>
    </row>
    <row r="8624" spans="1:5" ht="15.6">
      <c r="A8624">
        <v>8569</v>
      </c>
      <c r="B8624" s="166">
        <v>73.741004199978036</v>
      </c>
      <c r="D8624" s="39"/>
      <c r="E8624" s="39"/>
    </row>
    <row r="8625" spans="1:5" ht="15.6">
      <c r="A8625">
        <v>8570</v>
      </c>
      <c r="B8625" s="166">
        <v>104.73188462659692</v>
      </c>
      <c r="D8625" s="39"/>
      <c r="E8625" s="39"/>
    </row>
    <row r="8626" spans="1:5" ht="15.6">
      <c r="A8626">
        <v>8571</v>
      </c>
      <c r="B8626" s="166">
        <v>112.30391495542455</v>
      </c>
      <c r="D8626" s="39"/>
      <c r="E8626" s="39"/>
    </row>
    <row r="8627" spans="1:5" ht="15.6">
      <c r="A8627">
        <v>8572</v>
      </c>
      <c r="B8627" s="166">
        <v>65.845167685665928</v>
      </c>
      <c r="D8627" s="39"/>
      <c r="E8627" s="39"/>
    </row>
    <row r="8628" spans="1:5" ht="15.6">
      <c r="A8628">
        <v>8573</v>
      </c>
      <c r="B8628" s="166">
        <v>111.58998414544246</v>
      </c>
      <c r="D8628" s="39"/>
      <c r="E8628" s="39"/>
    </row>
    <row r="8629" spans="1:5" ht="15.6">
      <c r="A8629">
        <v>8574</v>
      </c>
      <c r="B8629" s="166">
        <v>103.93878029057424</v>
      </c>
      <c r="D8629" s="39"/>
      <c r="E8629" s="39"/>
    </row>
    <row r="8630" spans="1:5" ht="15.6">
      <c r="A8630">
        <v>8575</v>
      </c>
      <c r="B8630" s="166">
        <v>108.27084269448365</v>
      </c>
      <c r="D8630" s="39"/>
      <c r="E8630" s="39"/>
    </row>
    <row r="8631" spans="1:5" ht="15.6">
      <c r="A8631">
        <v>8576</v>
      </c>
      <c r="B8631" s="166">
        <v>172.19660545137643</v>
      </c>
      <c r="D8631" s="39"/>
      <c r="E8631" s="39"/>
    </row>
    <row r="8632" spans="1:5" ht="15.6">
      <c r="A8632">
        <v>8577</v>
      </c>
      <c r="B8632" s="166">
        <v>85.624083539688542</v>
      </c>
      <c r="D8632" s="39"/>
      <c r="E8632" s="39"/>
    </row>
    <row r="8633" spans="1:5" ht="15.6">
      <c r="A8633">
        <v>8578</v>
      </c>
      <c r="B8633" s="166">
        <v>87.940163266811354</v>
      </c>
      <c r="D8633" s="39"/>
      <c r="E8633" s="39"/>
    </row>
    <row r="8634" spans="1:5" ht="15.6">
      <c r="A8634">
        <v>8579</v>
      </c>
      <c r="B8634" s="166">
        <v>105.54667451528316</v>
      </c>
      <c r="D8634" s="39"/>
      <c r="E8634" s="39"/>
    </row>
    <row r="8635" spans="1:5" ht="15.6">
      <c r="A8635">
        <v>8580</v>
      </c>
      <c r="B8635" s="166">
        <v>68.598253924549965</v>
      </c>
      <c r="D8635" s="39"/>
      <c r="E8635" s="39"/>
    </row>
    <row r="8636" spans="1:5" ht="15.6">
      <c r="A8636">
        <v>8581</v>
      </c>
      <c r="B8636" s="166">
        <v>49.865414310017123</v>
      </c>
      <c r="D8636" s="39"/>
      <c r="E8636" s="39"/>
    </row>
    <row r="8637" spans="1:5" ht="15.6">
      <c r="A8637">
        <v>8582</v>
      </c>
      <c r="B8637" s="166">
        <v>72.161309425759896</v>
      </c>
      <c r="D8637" s="39"/>
      <c r="E8637" s="39"/>
    </row>
    <row r="8638" spans="1:5" ht="15.6">
      <c r="A8638">
        <v>8583</v>
      </c>
      <c r="B8638" s="166">
        <v>61.155640771423307</v>
      </c>
      <c r="D8638" s="39"/>
      <c r="E8638" s="39"/>
    </row>
    <row r="8639" spans="1:5" ht="15.6">
      <c r="A8639">
        <v>8584</v>
      </c>
      <c r="B8639" s="166">
        <v>122.48750043408437</v>
      </c>
      <c r="D8639" s="39"/>
      <c r="E8639" s="39"/>
    </row>
    <row r="8640" spans="1:5" ht="15.6">
      <c r="A8640">
        <v>8585</v>
      </c>
      <c r="B8640" s="166">
        <v>171.93442460544838</v>
      </c>
      <c r="D8640" s="39"/>
      <c r="E8640" s="39"/>
    </row>
    <row r="8641" spans="1:5" ht="15.6">
      <c r="A8641">
        <v>8586</v>
      </c>
      <c r="B8641" s="166">
        <v>99.492505301555568</v>
      </c>
      <c r="D8641" s="39"/>
      <c r="E8641" s="39"/>
    </row>
    <row r="8642" spans="1:5" ht="15.6">
      <c r="A8642">
        <v>8587</v>
      </c>
      <c r="B8642" s="166">
        <v>132.98646635719237</v>
      </c>
      <c r="D8642" s="39"/>
      <c r="E8642" s="39"/>
    </row>
    <row r="8643" spans="1:5" ht="15.6">
      <c r="A8643">
        <v>8588</v>
      </c>
      <c r="B8643" s="166">
        <v>92.139672228236037</v>
      </c>
      <c r="D8643" s="39"/>
      <c r="E8643" s="39"/>
    </row>
    <row r="8644" spans="1:5" ht="15.6">
      <c r="A8644">
        <v>8589</v>
      </c>
      <c r="B8644" s="166">
        <v>138.79661187694569</v>
      </c>
      <c r="D8644" s="39"/>
      <c r="E8644" s="39"/>
    </row>
    <row r="8645" spans="1:5" ht="15.6">
      <c r="A8645">
        <v>8590</v>
      </c>
      <c r="B8645" s="166">
        <v>89.281588184699928</v>
      </c>
      <c r="D8645" s="39"/>
      <c r="E8645" s="39"/>
    </row>
    <row r="8646" spans="1:5" ht="15.6">
      <c r="A8646">
        <v>8591</v>
      </c>
      <c r="B8646" s="166">
        <v>73.281952577228068</v>
      </c>
      <c r="D8646" s="39"/>
      <c r="E8646" s="39"/>
    </row>
    <row r="8647" spans="1:5" ht="15.6">
      <c r="A8647">
        <v>8592</v>
      </c>
      <c r="B8647" s="166">
        <v>96.837891311882501</v>
      </c>
      <c r="D8647" s="39"/>
      <c r="E8647" s="39"/>
    </row>
    <row r="8648" spans="1:5" ht="15.6">
      <c r="A8648">
        <v>8593</v>
      </c>
      <c r="B8648" s="166">
        <v>77.186749562906456</v>
      </c>
      <c r="D8648" s="39"/>
      <c r="E8648" s="39"/>
    </row>
    <row r="8649" spans="1:5" ht="15.6">
      <c r="A8649">
        <v>8594</v>
      </c>
      <c r="B8649" s="166">
        <v>78.440076075935792</v>
      </c>
      <c r="D8649" s="39"/>
      <c r="E8649" s="39"/>
    </row>
    <row r="8650" spans="1:5" ht="15.6">
      <c r="A8650">
        <v>8595</v>
      </c>
      <c r="B8650" s="166">
        <v>149.70663775130362</v>
      </c>
      <c r="D8650" s="39"/>
      <c r="E8650" s="39"/>
    </row>
    <row r="8651" spans="1:5" ht="15.6">
      <c r="A8651">
        <v>8596</v>
      </c>
      <c r="B8651" s="166">
        <v>163.86126909047289</v>
      </c>
      <c r="D8651" s="39"/>
      <c r="E8651" s="39"/>
    </row>
    <row r="8652" spans="1:5" ht="15.6">
      <c r="A8652">
        <v>8597</v>
      </c>
      <c r="B8652" s="166">
        <v>148.7555015885726</v>
      </c>
      <c r="D8652" s="39"/>
      <c r="E8652" s="39"/>
    </row>
    <row r="8653" spans="1:5" ht="15.6">
      <c r="A8653">
        <v>8598</v>
      </c>
      <c r="B8653" s="166">
        <v>75.114438632339258</v>
      </c>
      <c r="D8653" s="39"/>
      <c r="E8653" s="39"/>
    </row>
    <row r="8654" spans="1:5" ht="15.6">
      <c r="A8654">
        <v>8599</v>
      </c>
      <c r="B8654" s="166">
        <v>119.69871666253995</v>
      </c>
      <c r="D8654" s="39"/>
      <c r="E8654" s="39"/>
    </row>
    <row r="8655" spans="1:5" ht="15.6">
      <c r="A8655">
        <v>8600</v>
      </c>
      <c r="B8655" s="166">
        <v>86.359439660321328</v>
      </c>
      <c r="D8655" s="39"/>
      <c r="E8655" s="39"/>
    </row>
    <row r="8656" spans="1:5" ht="15.6">
      <c r="A8656">
        <v>8601</v>
      </c>
      <c r="B8656" s="166">
        <v>140.67451838330732</v>
      </c>
      <c r="D8656" s="39"/>
      <c r="E8656" s="39"/>
    </row>
    <row r="8657" spans="1:5" ht="15.6">
      <c r="A8657">
        <v>8602</v>
      </c>
      <c r="B8657" s="166">
        <v>136.73688212103227</v>
      </c>
      <c r="D8657" s="39"/>
      <c r="E8657" s="39"/>
    </row>
    <row r="8658" spans="1:5" ht="15.6">
      <c r="A8658">
        <v>8603</v>
      </c>
      <c r="B8658" s="166">
        <v>99.439020003258435</v>
      </c>
      <c r="D8658" s="39"/>
      <c r="E8658" s="39"/>
    </row>
    <row r="8659" spans="1:5" ht="15.6">
      <c r="A8659">
        <v>8604</v>
      </c>
      <c r="B8659" s="166">
        <v>59.604767029478019</v>
      </c>
      <c r="D8659" s="39"/>
      <c r="E8659" s="39"/>
    </row>
    <row r="8660" spans="1:5" ht="15.6">
      <c r="A8660">
        <v>8605</v>
      </c>
      <c r="B8660" s="166">
        <v>122.99987224328945</v>
      </c>
      <c r="D8660" s="39"/>
      <c r="E8660" s="39"/>
    </row>
    <row r="8661" spans="1:5" ht="15.6">
      <c r="A8661">
        <v>8606</v>
      </c>
      <c r="B8661" s="166">
        <v>82.651696096575009</v>
      </c>
      <c r="D8661" s="39"/>
      <c r="E8661" s="39"/>
    </row>
    <row r="8662" spans="1:5" ht="15.6">
      <c r="A8662">
        <v>8607</v>
      </c>
      <c r="B8662" s="166">
        <v>94.358497473149413</v>
      </c>
      <c r="D8662" s="39"/>
      <c r="E8662" s="39"/>
    </row>
    <row r="8663" spans="1:5" ht="15.6">
      <c r="A8663">
        <v>8608</v>
      </c>
      <c r="B8663" s="166">
        <v>73.941149468384879</v>
      </c>
      <c r="D8663" s="39"/>
      <c r="E8663" s="39"/>
    </row>
    <row r="8664" spans="1:5" ht="15.6">
      <c r="A8664">
        <v>8609</v>
      </c>
      <c r="B8664" s="166">
        <v>122.8393845841162</v>
      </c>
      <c r="D8664" s="39"/>
      <c r="E8664" s="39"/>
    </row>
    <row r="8665" spans="1:5" ht="15.6">
      <c r="A8665">
        <v>8610</v>
      </c>
      <c r="B8665" s="166">
        <v>105.04476459707421</v>
      </c>
      <c r="D8665" s="39"/>
      <c r="E8665" s="39"/>
    </row>
    <row r="8666" spans="1:5" ht="15.6">
      <c r="A8666">
        <v>8611</v>
      </c>
      <c r="B8666" s="166">
        <v>138.61348830154949</v>
      </c>
      <c r="D8666" s="39"/>
      <c r="E8666" s="39"/>
    </row>
    <row r="8667" spans="1:5" ht="15.6">
      <c r="A8667">
        <v>8612</v>
      </c>
      <c r="B8667" s="166">
        <v>139.4947606117818</v>
      </c>
      <c r="D8667" s="39"/>
      <c r="E8667" s="39"/>
    </row>
    <row r="8668" spans="1:5" ht="15.6">
      <c r="A8668">
        <v>8613</v>
      </c>
      <c r="B8668" s="166">
        <v>118.99868679563414</v>
      </c>
      <c r="D8668" s="39"/>
      <c r="E8668" s="39"/>
    </row>
    <row r="8669" spans="1:5" ht="15.6">
      <c r="A8669">
        <v>8614</v>
      </c>
      <c r="B8669" s="166">
        <v>120.68664717506451</v>
      </c>
      <c r="D8669" s="39"/>
      <c r="E8669" s="39"/>
    </row>
    <row r="8670" spans="1:5" ht="15.6">
      <c r="A8670">
        <v>8615</v>
      </c>
      <c r="B8670" s="166">
        <v>152.00868621042412</v>
      </c>
      <c r="D8670" s="39"/>
      <c r="E8670" s="39"/>
    </row>
    <row r="8671" spans="1:5" ht="15.6">
      <c r="A8671">
        <v>8616</v>
      </c>
      <c r="B8671" s="166">
        <v>132.49422118877476</v>
      </c>
      <c r="D8671" s="39"/>
      <c r="E8671" s="39"/>
    </row>
    <row r="8672" spans="1:5" ht="15.6">
      <c r="A8672">
        <v>8617</v>
      </c>
      <c r="B8672" s="166">
        <v>157.04362663620407</v>
      </c>
      <c r="D8672" s="39"/>
      <c r="E8672" s="39"/>
    </row>
    <row r="8673" spans="1:5" ht="15.6">
      <c r="A8673">
        <v>8618</v>
      </c>
      <c r="B8673" s="166">
        <v>114.24718282111711</v>
      </c>
      <c r="D8673" s="39"/>
      <c r="E8673" s="39"/>
    </row>
    <row r="8674" spans="1:5" ht="15.6">
      <c r="A8674">
        <v>8619</v>
      </c>
      <c r="B8674" s="166">
        <v>116.51560998018432</v>
      </c>
      <c r="D8674" s="39"/>
      <c r="E8674" s="39"/>
    </row>
    <row r="8675" spans="1:5" ht="15.6">
      <c r="A8675">
        <v>8620</v>
      </c>
      <c r="B8675" s="166">
        <v>83.10808558761903</v>
      </c>
      <c r="D8675" s="39"/>
      <c r="E8675" s="39"/>
    </row>
    <row r="8676" spans="1:5" ht="15.6">
      <c r="A8676">
        <v>8621</v>
      </c>
      <c r="B8676" s="166">
        <v>64.079872904504171</v>
      </c>
      <c r="D8676" s="39"/>
      <c r="E8676" s="39"/>
    </row>
    <row r="8677" spans="1:5" ht="15.6">
      <c r="A8677">
        <v>8622</v>
      </c>
      <c r="B8677" s="166">
        <v>98.221756237181765</v>
      </c>
      <c r="D8677" s="39"/>
      <c r="E8677" s="39"/>
    </row>
    <row r="8678" spans="1:5" ht="15.6">
      <c r="A8678">
        <v>8623</v>
      </c>
      <c r="B8678" s="166">
        <v>143.68769203382408</v>
      </c>
      <c r="D8678" s="39"/>
      <c r="E8678" s="39"/>
    </row>
    <row r="8679" spans="1:5" ht="15.6">
      <c r="A8679">
        <v>8624</v>
      </c>
      <c r="B8679" s="166">
        <v>107.80147784603156</v>
      </c>
      <c r="D8679" s="39"/>
      <c r="E8679" s="39"/>
    </row>
    <row r="8680" spans="1:5" ht="15.6">
      <c r="A8680">
        <v>8625</v>
      </c>
      <c r="B8680" s="166">
        <v>93.278299294598227</v>
      </c>
      <c r="D8680" s="39"/>
      <c r="E8680" s="39"/>
    </row>
    <row r="8681" spans="1:5" ht="15.6">
      <c r="A8681">
        <v>8626</v>
      </c>
      <c r="B8681" s="166">
        <v>195.53433427345004</v>
      </c>
      <c r="D8681" s="39"/>
      <c r="E8681" s="39"/>
    </row>
    <row r="8682" spans="1:5" ht="15.6">
      <c r="A8682">
        <v>8627</v>
      </c>
      <c r="B8682" s="166">
        <v>79.234938479831811</v>
      </c>
      <c r="D8682" s="39"/>
      <c r="E8682" s="39"/>
    </row>
    <row r="8683" spans="1:5" ht="15.6">
      <c r="A8683">
        <v>8628</v>
      </c>
      <c r="B8683" s="166">
        <v>78.773039869083036</v>
      </c>
      <c r="D8683" s="39"/>
      <c r="E8683" s="39"/>
    </row>
    <row r="8684" spans="1:5" ht="15.6">
      <c r="A8684">
        <v>8629</v>
      </c>
      <c r="B8684" s="166">
        <v>140.89840746323267</v>
      </c>
      <c r="D8684" s="39"/>
      <c r="E8684" s="39"/>
    </row>
    <row r="8685" spans="1:5" ht="15.6">
      <c r="A8685">
        <v>8630</v>
      </c>
      <c r="B8685" s="166">
        <v>141.90054995189814</v>
      </c>
      <c r="D8685" s="39"/>
      <c r="E8685" s="39"/>
    </row>
    <row r="8686" spans="1:5" ht="15.6">
      <c r="A8686">
        <v>8631</v>
      </c>
      <c r="B8686" s="166">
        <v>176.01619256046246</v>
      </c>
      <c r="D8686" s="39"/>
      <c r="E8686" s="39"/>
    </row>
    <row r="8687" spans="1:5" ht="15.6">
      <c r="A8687">
        <v>8632</v>
      </c>
      <c r="B8687" s="166">
        <v>99.840654074749693</v>
      </c>
      <c r="D8687" s="39"/>
      <c r="E8687" s="39"/>
    </row>
    <row r="8688" spans="1:5" ht="15.6">
      <c r="A8688">
        <v>8633</v>
      </c>
      <c r="B8688" s="166">
        <v>78.405181837150025</v>
      </c>
      <c r="D8688" s="39"/>
      <c r="E8688" s="39"/>
    </row>
    <row r="8689" spans="1:5" ht="15.6">
      <c r="A8689">
        <v>8634</v>
      </c>
      <c r="B8689" s="166">
        <v>92.452737144943001</v>
      </c>
      <c r="D8689" s="39"/>
      <c r="E8689" s="39"/>
    </row>
    <row r="8690" spans="1:5" ht="15.6">
      <c r="A8690">
        <v>8635</v>
      </c>
      <c r="B8690" s="166">
        <v>161.15699906956215</v>
      </c>
      <c r="D8690" s="39"/>
      <c r="E8690" s="39"/>
    </row>
    <row r="8691" spans="1:5" ht="15.6">
      <c r="A8691">
        <v>8636</v>
      </c>
      <c r="B8691" s="166">
        <v>102.28555714126531</v>
      </c>
      <c r="D8691" s="39"/>
      <c r="E8691" s="39"/>
    </row>
    <row r="8692" spans="1:5" ht="15.6">
      <c r="A8692">
        <v>8637</v>
      </c>
      <c r="B8692" s="166">
        <v>58.279592783003032</v>
      </c>
      <c r="D8692" s="39"/>
      <c r="E8692" s="39"/>
    </row>
    <row r="8693" spans="1:5" ht="15.6">
      <c r="A8693">
        <v>8638</v>
      </c>
      <c r="B8693" s="166">
        <v>127.00910702727447</v>
      </c>
      <c r="D8693" s="39"/>
      <c r="E8693" s="39"/>
    </row>
    <row r="8694" spans="1:5" ht="15.6">
      <c r="A8694">
        <v>8639</v>
      </c>
      <c r="B8694" s="166">
        <v>90.731605712205635</v>
      </c>
      <c r="D8694" s="39"/>
      <c r="E8694" s="39"/>
    </row>
    <row r="8695" spans="1:5" ht="15.6">
      <c r="A8695">
        <v>8640</v>
      </c>
      <c r="B8695" s="166">
        <v>204.26249798152446</v>
      </c>
      <c r="D8695" s="39"/>
      <c r="E8695" s="39"/>
    </row>
    <row r="8696" spans="1:5" ht="15.6">
      <c r="A8696">
        <v>8641</v>
      </c>
      <c r="B8696" s="166">
        <v>88.485805696128281</v>
      </c>
      <c r="D8696" s="39"/>
      <c r="E8696" s="39"/>
    </row>
    <row r="8697" spans="1:5" ht="15.6">
      <c r="A8697">
        <v>8642</v>
      </c>
      <c r="B8697" s="166">
        <v>116.95455911882665</v>
      </c>
      <c r="D8697" s="39"/>
      <c r="E8697" s="39"/>
    </row>
    <row r="8698" spans="1:5" ht="15.6">
      <c r="A8698">
        <v>8643</v>
      </c>
      <c r="B8698" s="166">
        <v>149.43093055325267</v>
      </c>
      <c r="D8698" s="39"/>
      <c r="E8698" s="39"/>
    </row>
    <row r="8699" spans="1:5" ht="15.6">
      <c r="A8699">
        <v>8644</v>
      </c>
      <c r="B8699" s="166">
        <v>170.81464747113458</v>
      </c>
      <c r="D8699" s="39"/>
      <c r="E8699" s="39"/>
    </row>
    <row r="8700" spans="1:5" ht="15.6">
      <c r="A8700">
        <v>8645</v>
      </c>
      <c r="B8700" s="166">
        <v>134.3749786470363</v>
      </c>
      <c r="D8700" s="39"/>
      <c r="E8700" s="39"/>
    </row>
    <row r="8701" spans="1:5" ht="15.6">
      <c r="A8701">
        <v>8646</v>
      </c>
      <c r="B8701" s="166">
        <v>135.51442236439254</v>
      </c>
      <c r="D8701" s="39"/>
      <c r="E8701" s="39"/>
    </row>
    <row r="8702" spans="1:5" ht="15.6">
      <c r="A8702">
        <v>8647</v>
      </c>
      <c r="B8702" s="166">
        <v>62.642407814750257</v>
      </c>
      <c r="D8702" s="39"/>
      <c r="E8702" s="39"/>
    </row>
    <row r="8703" spans="1:5" ht="15.6">
      <c r="A8703">
        <v>8648</v>
      </c>
      <c r="B8703" s="166">
        <v>210.90878303312982</v>
      </c>
      <c r="D8703" s="39"/>
      <c r="E8703" s="39"/>
    </row>
    <row r="8704" spans="1:5" ht="15.6">
      <c r="A8704">
        <v>8649</v>
      </c>
      <c r="B8704" s="166">
        <v>79.843556912451319</v>
      </c>
      <c r="D8704" s="39"/>
      <c r="E8704" s="39"/>
    </row>
    <row r="8705" spans="1:5" ht="15.6">
      <c r="A8705">
        <v>8650</v>
      </c>
      <c r="B8705" s="166">
        <v>95.527011535056999</v>
      </c>
      <c r="D8705" s="39"/>
      <c r="E8705" s="39"/>
    </row>
    <row r="8706" spans="1:5" ht="15.6">
      <c r="A8706">
        <v>8651</v>
      </c>
      <c r="B8706" s="166">
        <v>116.09711420283979</v>
      </c>
      <c r="D8706" s="39"/>
      <c r="E8706" s="39"/>
    </row>
    <row r="8707" spans="1:5" ht="15.6">
      <c r="A8707">
        <v>8652</v>
      </c>
      <c r="B8707" s="166">
        <v>130.48730493213907</v>
      </c>
      <c r="D8707" s="39"/>
      <c r="E8707" s="39"/>
    </row>
    <row r="8708" spans="1:5" ht="15.6">
      <c r="A8708">
        <v>8653</v>
      </c>
      <c r="B8708" s="166">
        <v>112.39416235856763</v>
      </c>
      <c r="D8708" s="39"/>
      <c r="E8708" s="39"/>
    </row>
    <row r="8709" spans="1:5" ht="15.6">
      <c r="A8709">
        <v>8654</v>
      </c>
      <c r="B8709" s="166">
        <v>116.97534896102434</v>
      </c>
      <c r="D8709" s="39"/>
      <c r="E8709" s="39"/>
    </row>
    <row r="8710" spans="1:5" ht="15.6">
      <c r="A8710">
        <v>8655</v>
      </c>
      <c r="B8710" s="166">
        <v>82.35621933932363</v>
      </c>
      <c r="D8710" s="39"/>
      <c r="E8710" s="39"/>
    </row>
    <row r="8711" spans="1:5" ht="15.6">
      <c r="A8711">
        <v>8656</v>
      </c>
      <c r="B8711" s="166">
        <v>104.69671994093321</v>
      </c>
      <c r="D8711" s="39"/>
      <c r="E8711" s="39"/>
    </row>
    <row r="8712" spans="1:5" ht="15.6">
      <c r="A8712">
        <v>8657</v>
      </c>
      <c r="B8712" s="166">
        <v>72.198133317632511</v>
      </c>
      <c r="D8712" s="39"/>
      <c r="E8712" s="39"/>
    </row>
    <row r="8713" spans="1:5" ht="15.6">
      <c r="A8713">
        <v>8658</v>
      </c>
      <c r="B8713" s="166">
        <v>76.538405240574278</v>
      </c>
      <c r="D8713" s="39"/>
      <c r="E8713" s="39"/>
    </row>
    <row r="8714" spans="1:5" ht="15.6">
      <c r="A8714">
        <v>8659</v>
      </c>
      <c r="B8714" s="166">
        <v>150.24677765402424</v>
      </c>
      <c r="D8714" s="39"/>
      <c r="E8714" s="39"/>
    </row>
    <row r="8715" spans="1:5" ht="15.6">
      <c r="A8715">
        <v>8660</v>
      </c>
      <c r="B8715" s="166">
        <v>73.583934849376874</v>
      </c>
      <c r="D8715" s="39"/>
      <c r="E8715" s="39"/>
    </row>
    <row r="8716" spans="1:5" ht="15.6">
      <c r="A8716">
        <v>8661</v>
      </c>
      <c r="B8716" s="166">
        <v>58.388603746794139</v>
      </c>
      <c r="D8716" s="39"/>
      <c r="E8716" s="39"/>
    </row>
    <row r="8717" spans="1:5" ht="15.6">
      <c r="A8717">
        <v>8662</v>
      </c>
      <c r="B8717" s="166">
        <v>208.97883713358229</v>
      </c>
      <c r="D8717" s="39"/>
      <c r="E8717" s="39"/>
    </row>
    <row r="8718" spans="1:5" ht="15.6">
      <c r="A8718">
        <v>8663</v>
      </c>
      <c r="B8718" s="166">
        <v>149.8147119138786</v>
      </c>
      <c r="D8718" s="39"/>
      <c r="E8718" s="39"/>
    </row>
    <row r="8719" spans="1:5" ht="15.6">
      <c r="A8719">
        <v>8664</v>
      </c>
      <c r="B8719" s="166">
        <v>98.022393257792018</v>
      </c>
      <c r="D8719" s="39"/>
      <c r="E8719" s="39"/>
    </row>
    <row r="8720" spans="1:5" ht="15.6">
      <c r="A8720">
        <v>8665</v>
      </c>
      <c r="B8720" s="166">
        <v>191.62249297336606</v>
      </c>
      <c r="D8720" s="39"/>
      <c r="E8720" s="39"/>
    </row>
    <row r="8721" spans="1:5" ht="15.6">
      <c r="A8721">
        <v>8666</v>
      </c>
      <c r="B8721" s="166">
        <v>60.364991315272718</v>
      </c>
      <c r="D8721" s="39"/>
      <c r="E8721" s="39"/>
    </row>
    <row r="8722" spans="1:5" ht="15.6">
      <c r="A8722">
        <v>8667</v>
      </c>
      <c r="B8722" s="166">
        <v>136.33230471730394</v>
      </c>
      <c r="D8722" s="39"/>
      <c r="E8722" s="39"/>
    </row>
    <row r="8723" spans="1:5" ht="15.6">
      <c r="A8723">
        <v>8668</v>
      </c>
      <c r="B8723" s="166">
        <v>79.456305548622936</v>
      </c>
      <c r="D8723" s="39"/>
      <c r="E8723" s="39"/>
    </row>
    <row r="8724" spans="1:5" ht="15.6">
      <c r="A8724">
        <v>8669</v>
      </c>
      <c r="B8724" s="166">
        <v>89.47376911906629</v>
      </c>
      <c r="D8724" s="39"/>
      <c r="E8724" s="39"/>
    </row>
    <row r="8725" spans="1:5" ht="15.6">
      <c r="A8725">
        <v>8670</v>
      </c>
      <c r="B8725" s="166">
        <v>71.684082653875379</v>
      </c>
      <c r="D8725" s="39"/>
      <c r="E8725" s="39"/>
    </row>
    <row r="8726" spans="1:5" ht="15.6">
      <c r="A8726">
        <v>8671</v>
      </c>
      <c r="B8726" s="166">
        <v>57.035789361073661</v>
      </c>
      <c r="D8726" s="39"/>
      <c r="E8726" s="39"/>
    </row>
    <row r="8727" spans="1:5" ht="15.6">
      <c r="A8727">
        <v>8672</v>
      </c>
      <c r="B8727" s="166">
        <v>104.99043336024123</v>
      </c>
      <c r="D8727" s="39"/>
      <c r="E8727" s="39"/>
    </row>
    <row r="8728" spans="1:5" ht="15.6">
      <c r="A8728">
        <v>8673</v>
      </c>
      <c r="B8728" s="166">
        <v>82.704897163515653</v>
      </c>
      <c r="D8728" s="39"/>
      <c r="E8728" s="39"/>
    </row>
    <row r="8729" spans="1:5" ht="15.6">
      <c r="A8729">
        <v>8674</v>
      </c>
      <c r="B8729" s="166">
        <v>104.00067916972661</v>
      </c>
      <c r="D8729" s="39"/>
      <c r="E8729" s="39"/>
    </row>
    <row r="8730" spans="1:5" ht="15.6">
      <c r="A8730">
        <v>8675</v>
      </c>
      <c r="B8730" s="166">
        <v>81.655615559254116</v>
      </c>
      <c r="D8730" s="39"/>
      <c r="E8730" s="39"/>
    </row>
    <row r="8731" spans="1:5" ht="15.6">
      <c r="A8731">
        <v>8676</v>
      </c>
      <c r="B8731" s="166">
        <v>259.32781415077119</v>
      </c>
      <c r="D8731" s="39"/>
      <c r="E8731" s="39"/>
    </row>
    <row r="8732" spans="1:5" ht="15.6">
      <c r="A8732">
        <v>8677</v>
      </c>
      <c r="B8732" s="166">
        <v>115.64359192630346</v>
      </c>
      <c r="D8732" s="39"/>
      <c r="E8732" s="39"/>
    </row>
    <row r="8733" spans="1:5" ht="15.6">
      <c r="A8733">
        <v>8678</v>
      </c>
      <c r="B8733" s="166">
        <v>113.7523951085853</v>
      </c>
      <c r="D8733" s="39"/>
      <c r="E8733" s="39"/>
    </row>
    <row r="8734" spans="1:5" ht="15.6">
      <c r="A8734">
        <v>8679</v>
      </c>
      <c r="B8734" s="166">
        <v>99.244224213889851</v>
      </c>
      <c r="D8734" s="39"/>
      <c r="E8734" s="39"/>
    </row>
    <row r="8735" spans="1:5" ht="15.6">
      <c r="A8735">
        <v>8680</v>
      </c>
      <c r="B8735" s="166">
        <v>139.25505579601318</v>
      </c>
      <c r="D8735" s="39"/>
      <c r="E8735" s="39"/>
    </row>
    <row r="8736" spans="1:5" ht="15.6">
      <c r="A8736">
        <v>8681</v>
      </c>
      <c r="B8736" s="166">
        <v>79.809305063284384</v>
      </c>
      <c r="D8736" s="39"/>
      <c r="E8736" s="39"/>
    </row>
    <row r="8737" spans="1:5" ht="15.6">
      <c r="A8737">
        <v>8682</v>
      </c>
      <c r="B8737" s="166">
        <v>120.11639612682829</v>
      </c>
      <c r="D8737" s="39"/>
      <c r="E8737" s="39"/>
    </row>
    <row r="8738" spans="1:5" ht="15.6">
      <c r="A8738">
        <v>8683</v>
      </c>
      <c r="B8738" s="166">
        <v>108.79104912935151</v>
      </c>
      <c r="D8738" s="39"/>
      <c r="E8738" s="39"/>
    </row>
    <row r="8739" spans="1:5" ht="15.6">
      <c r="A8739">
        <v>8684</v>
      </c>
      <c r="B8739" s="166">
        <v>130.53316004973806</v>
      </c>
      <c r="D8739" s="39"/>
      <c r="E8739" s="39"/>
    </row>
    <row r="8740" spans="1:5" ht="15.6">
      <c r="A8740">
        <v>8685</v>
      </c>
      <c r="B8740" s="166">
        <v>65.587061555847313</v>
      </c>
      <c r="D8740" s="39"/>
      <c r="E8740" s="39"/>
    </row>
    <row r="8741" spans="1:5" ht="15.6">
      <c r="A8741">
        <v>8686</v>
      </c>
      <c r="B8741" s="166">
        <v>83.22935621804686</v>
      </c>
      <c r="D8741" s="39"/>
      <c r="E8741" s="39"/>
    </row>
    <row r="8742" spans="1:5" ht="15.6">
      <c r="A8742">
        <v>8687</v>
      </c>
      <c r="B8742" s="166">
        <v>106.28076815925839</v>
      </c>
      <c r="D8742" s="39"/>
      <c r="E8742" s="39"/>
    </row>
    <row r="8743" spans="1:5" ht="15.6">
      <c r="A8743">
        <v>8688</v>
      </c>
      <c r="B8743" s="166">
        <v>88.589346250960148</v>
      </c>
      <c r="D8743" s="39"/>
      <c r="E8743" s="39"/>
    </row>
    <row r="8744" spans="1:5" ht="15.6">
      <c r="A8744">
        <v>8689</v>
      </c>
      <c r="B8744" s="166">
        <v>81.12602844655801</v>
      </c>
      <c r="D8744" s="39"/>
      <c r="E8744" s="39"/>
    </row>
    <row r="8745" spans="1:5" ht="15.6">
      <c r="A8745">
        <v>8690</v>
      </c>
      <c r="B8745" s="166">
        <v>105.23378928777542</v>
      </c>
      <c r="D8745" s="39"/>
      <c r="E8745" s="39"/>
    </row>
    <row r="8746" spans="1:5" ht="15.6">
      <c r="A8746">
        <v>8691</v>
      </c>
      <c r="B8746" s="166">
        <v>132.71652087648476</v>
      </c>
      <c r="D8746" s="39"/>
      <c r="E8746" s="39"/>
    </row>
    <row r="8747" spans="1:5" ht="15.6">
      <c r="A8747">
        <v>8692</v>
      </c>
      <c r="B8747" s="166">
        <v>128.46979883001237</v>
      </c>
      <c r="D8747" s="39"/>
      <c r="E8747" s="39"/>
    </row>
    <row r="8748" spans="1:5" ht="15.6">
      <c r="A8748">
        <v>8693</v>
      </c>
      <c r="B8748" s="166">
        <v>138.81715199327084</v>
      </c>
      <c r="D8748" s="39"/>
      <c r="E8748" s="39"/>
    </row>
    <row r="8749" spans="1:5" ht="15.6">
      <c r="A8749">
        <v>8694</v>
      </c>
      <c r="B8749" s="166">
        <v>136.79573294216348</v>
      </c>
      <c r="D8749" s="39"/>
      <c r="E8749" s="39"/>
    </row>
    <row r="8750" spans="1:5" ht="15.6">
      <c r="A8750">
        <v>8695</v>
      </c>
      <c r="B8750" s="166">
        <v>151.81512936607254</v>
      </c>
      <c r="D8750" s="39"/>
      <c r="E8750" s="39"/>
    </row>
    <row r="8751" spans="1:5" ht="15.6">
      <c r="A8751">
        <v>8696</v>
      </c>
      <c r="B8751" s="166">
        <v>105.53337078497175</v>
      </c>
      <c r="D8751" s="39"/>
      <c r="E8751" s="39"/>
    </row>
    <row r="8752" spans="1:5" ht="15.6">
      <c r="A8752">
        <v>8697</v>
      </c>
      <c r="B8752" s="166">
        <v>117.4872826440411</v>
      </c>
      <c r="D8752" s="39"/>
      <c r="E8752" s="39"/>
    </row>
    <row r="8753" spans="1:5" ht="15.6">
      <c r="A8753">
        <v>8698</v>
      </c>
      <c r="B8753" s="166">
        <v>70.95917854573257</v>
      </c>
      <c r="D8753" s="39"/>
      <c r="E8753" s="39"/>
    </row>
    <row r="8754" spans="1:5" ht="15.6">
      <c r="A8754">
        <v>8699</v>
      </c>
      <c r="B8754" s="166">
        <v>221.19840164839238</v>
      </c>
      <c r="D8754" s="39"/>
      <c r="E8754" s="39"/>
    </row>
    <row r="8755" spans="1:5" ht="15.6">
      <c r="A8755">
        <v>8700</v>
      </c>
      <c r="B8755" s="166">
        <v>95.310029883290255</v>
      </c>
      <c r="D8755" s="39"/>
      <c r="E8755" s="39"/>
    </row>
    <row r="8756" spans="1:5" ht="15.6">
      <c r="A8756">
        <v>8701</v>
      </c>
      <c r="B8756" s="166">
        <v>137.93008529683354</v>
      </c>
      <c r="D8756" s="39"/>
      <c r="E8756" s="39"/>
    </row>
    <row r="8757" spans="1:5" ht="15.6">
      <c r="A8757">
        <v>8702</v>
      </c>
      <c r="B8757" s="166">
        <v>52.864323235751193</v>
      </c>
      <c r="D8757" s="39"/>
      <c r="E8757" s="39"/>
    </row>
    <row r="8758" spans="1:5" ht="15.6">
      <c r="A8758">
        <v>8703</v>
      </c>
      <c r="B8758" s="166">
        <v>210.96385275314498</v>
      </c>
      <c r="D8758" s="39"/>
      <c r="E8758" s="39"/>
    </row>
    <row r="8759" spans="1:5" ht="15.6">
      <c r="A8759">
        <v>8704</v>
      </c>
      <c r="B8759" s="166">
        <v>52.768724414091594</v>
      </c>
      <c r="D8759" s="39"/>
      <c r="E8759" s="39"/>
    </row>
    <row r="8760" spans="1:5" ht="15.6">
      <c r="A8760">
        <v>8705</v>
      </c>
      <c r="B8760" s="166">
        <v>120.2944258896284</v>
      </c>
      <c r="D8760" s="39"/>
      <c r="E8760" s="39"/>
    </row>
    <row r="8761" spans="1:5" ht="15.6">
      <c r="A8761">
        <v>8706</v>
      </c>
      <c r="B8761" s="166">
        <v>123.66670586218184</v>
      </c>
      <c r="D8761" s="39"/>
      <c r="E8761" s="39"/>
    </row>
    <row r="8762" spans="1:5" ht="15.6">
      <c r="A8762">
        <v>8707</v>
      </c>
      <c r="B8762" s="166">
        <v>73.03123230620929</v>
      </c>
      <c r="D8762" s="39"/>
      <c r="E8762" s="39"/>
    </row>
    <row r="8763" spans="1:5" ht="15.6">
      <c r="A8763">
        <v>8708</v>
      </c>
      <c r="B8763" s="166">
        <v>84.618356378088549</v>
      </c>
      <c r="D8763" s="39"/>
      <c r="E8763" s="39"/>
    </row>
    <row r="8764" spans="1:5" ht="15.6">
      <c r="A8764">
        <v>8709</v>
      </c>
      <c r="B8764" s="166">
        <v>150.13995650349619</v>
      </c>
      <c r="D8764" s="39"/>
      <c r="E8764" s="39"/>
    </row>
    <row r="8765" spans="1:5" ht="15.6">
      <c r="A8765">
        <v>8710</v>
      </c>
      <c r="B8765" s="166">
        <v>158.65544430390537</v>
      </c>
      <c r="D8765" s="39"/>
      <c r="E8765" s="39"/>
    </row>
    <row r="8766" spans="1:5" ht="15.6">
      <c r="A8766">
        <v>8711</v>
      </c>
      <c r="B8766" s="166">
        <v>154.52672462124494</v>
      </c>
      <c r="D8766" s="39"/>
      <c r="E8766" s="39"/>
    </row>
    <row r="8767" spans="1:5" ht="15.6">
      <c r="A8767">
        <v>8712</v>
      </c>
      <c r="B8767" s="166">
        <v>91.479204197455871</v>
      </c>
      <c r="D8767" s="39"/>
      <c r="E8767" s="39"/>
    </row>
    <row r="8768" spans="1:5" ht="15.6">
      <c r="A8768">
        <v>8713</v>
      </c>
      <c r="B8768" s="166">
        <v>60.649006298623071</v>
      </c>
      <c r="D8768" s="39"/>
      <c r="E8768" s="39"/>
    </row>
    <row r="8769" spans="1:5" ht="15.6">
      <c r="A8769">
        <v>8714</v>
      </c>
      <c r="B8769" s="166">
        <v>197.61760459538539</v>
      </c>
      <c r="D8769" s="39"/>
      <c r="E8769" s="39"/>
    </row>
    <row r="8770" spans="1:5" ht="15.6">
      <c r="A8770">
        <v>8715</v>
      </c>
      <c r="B8770" s="166">
        <v>98.614660383502354</v>
      </c>
      <c r="D8770" s="39"/>
      <c r="E8770" s="39"/>
    </row>
    <row r="8771" spans="1:5" ht="15.6">
      <c r="A8771">
        <v>8716</v>
      </c>
      <c r="B8771" s="166">
        <v>169.72559326454217</v>
      </c>
      <c r="D8771" s="39"/>
      <c r="E8771" s="39"/>
    </row>
    <row r="8772" spans="1:5" ht="15.6">
      <c r="A8772">
        <v>8717</v>
      </c>
      <c r="B8772" s="166">
        <v>136.71545040260648</v>
      </c>
      <c r="D8772" s="39"/>
      <c r="E8772" s="39"/>
    </row>
    <row r="8773" spans="1:5" ht="15.6">
      <c r="A8773">
        <v>8718</v>
      </c>
      <c r="B8773" s="166">
        <v>122.96993159369222</v>
      </c>
      <c r="D8773" s="39"/>
      <c r="E8773" s="39"/>
    </row>
    <row r="8774" spans="1:5" ht="15.6">
      <c r="A8774">
        <v>8719</v>
      </c>
      <c r="B8774" s="166">
        <v>122.3107574286789</v>
      </c>
      <c r="D8774" s="39"/>
      <c r="E8774" s="39"/>
    </row>
    <row r="8775" spans="1:5" ht="15.6">
      <c r="A8775">
        <v>8720</v>
      </c>
      <c r="B8775" s="166">
        <v>133.83123158308385</v>
      </c>
      <c r="D8775" s="39"/>
      <c r="E8775" s="39"/>
    </row>
    <row r="8776" spans="1:5" ht="15.6">
      <c r="A8776">
        <v>8721</v>
      </c>
      <c r="B8776" s="166">
        <v>52.879001778127936</v>
      </c>
      <c r="D8776" s="39"/>
      <c r="E8776" s="39"/>
    </row>
    <row r="8777" spans="1:5" ht="15.6">
      <c r="A8777">
        <v>8722</v>
      </c>
      <c r="B8777" s="166">
        <v>101.50526290415527</v>
      </c>
      <c r="D8777" s="39"/>
      <c r="E8777" s="39"/>
    </row>
    <row r="8778" spans="1:5" ht="15.6">
      <c r="A8778">
        <v>8723</v>
      </c>
      <c r="B8778" s="166">
        <v>97.686164832878291</v>
      </c>
      <c r="D8778" s="39"/>
      <c r="E8778" s="39"/>
    </row>
    <row r="8779" spans="1:5" ht="15.6">
      <c r="A8779">
        <v>8724</v>
      </c>
      <c r="B8779" s="166">
        <v>99.415756882208569</v>
      </c>
      <c r="D8779" s="39"/>
      <c r="E8779" s="39"/>
    </row>
    <row r="8780" spans="1:5" ht="15.6">
      <c r="A8780">
        <v>8725</v>
      </c>
      <c r="B8780" s="166">
        <v>283.14246587111859</v>
      </c>
      <c r="D8780" s="39"/>
      <c r="E8780" s="39"/>
    </row>
    <row r="8781" spans="1:5" ht="15.6">
      <c r="A8781">
        <v>8726</v>
      </c>
      <c r="B8781" s="166">
        <v>170.90902675892875</v>
      </c>
      <c r="D8781" s="39"/>
      <c r="E8781" s="39"/>
    </row>
    <row r="8782" spans="1:5" ht="15.6">
      <c r="A8782">
        <v>8727</v>
      </c>
      <c r="B8782" s="166">
        <v>153.42020823359104</v>
      </c>
      <c r="D8782" s="39"/>
      <c r="E8782" s="39"/>
    </row>
    <row r="8783" spans="1:5" ht="15.6">
      <c r="A8783">
        <v>8728</v>
      </c>
      <c r="B8783" s="166">
        <v>91.184586115536391</v>
      </c>
      <c r="D8783" s="39"/>
      <c r="E8783" s="39"/>
    </row>
    <row r="8784" spans="1:5" ht="15.6">
      <c r="A8784">
        <v>8729</v>
      </c>
      <c r="B8784" s="166">
        <v>105.75752632290845</v>
      </c>
      <c r="D8784" s="39"/>
      <c r="E8784" s="39"/>
    </row>
    <row r="8785" spans="1:5" ht="15.6">
      <c r="A8785">
        <v>8730</v>
      </c>
      <c r="B8785" s="166">
        <v>155.04207729684487</v>
      </c>
      <c r="D8785" s="39"/>
      <c r="E8785" s="39"/>
    </row>
    <row r="8786" spans="1:5" ht="15.6">
      <c r="A8786">
        <v>8731</v>
      </c>
      <c r="B8786" s="166">
        <v>47.754737851133669</v>
      </c>
      <c r="D8786" s="39"/>
      <c r="E8786" s="39"/>
    </row>
    <row r="8787" spans="1:5" ht="15.6">
      <c r="A8787">
        <v>8732</v>
      </c>
      <c r="B8787" s="166">
        <v>83.549979777134894</v>
      </c>
      <c r="D8787" s="39"/>
      <c r="E8787" s="39"/>
    </row>
    <row r="8788" spans="1:5" ht="15.6">
      <c r="A8788">
        <v>8733</v>
      </c>
      <c r="B8788" s="166">
        <v>138.99742678315869</v>
      </c>
      <c r="D8788" s="39"/>
      <c r="E8788" s="39"/>
    </row>
    <row r="8789" spans="1:5" ht="15.6">
      <c r="A8789">
        <v>8734</v>
      </c>
      <c r="B8789" s="166">
        <v>75.861615102392292</v>
      </c>
      <c r="D8789" s="39"/>
      <c r="E8789" s="39"/>
    </row>
    <row r="8790" spans="1:5" ht="15.6">
      <c r="A8790">
        <v>8735</v>
      </c>
      <c r="B8790" s="166">
        <v>45.519624061551902</v>
      </c>
      <c r="D8790" s="39"/>
      <c r="E8790" s="39"/>
    </row>
    <row r="8791" spans="1:5" ht="15.6">
      <c r="A8791">
        <v>8736</v>
      </c>
      <c r="B8791" s="166">
        <v>97.566058534403652</v>
      </c>
      <c r="D8791" s="39"/>
      <c r="E8791" s="39"/>
    </row>
    <row r="8792" spans="1:5" ht="15.6">
      <c r="A8792">
        <v>8737</v>
      </c>
      <c r="B8792" s="166">
        <v>113.23297658747326</v>
      </c>
      <c r="D8792" s="39"/>
      <c r="E8792" s="39"/>
    </row>
    <row r="8793" spans="1:5" ht="15.6">
      <c r="A8793">
        <v>8738</v>
      </c>
      <c r="B8793" s="166">
        <v>88.287706208510301</v>
      </c>
      <c r="D8793" s="39"/>
      <c r="E8793" s="39"/>
    </row>
    <row r="8794" spans="1:5" ht="15.6">
      <c r="A8794">
        <v>8739</v>
      </c>
      <c r="B8794" s="166">
        <v>47.63886450538557</v>
      </c>
      <c r="D8794" s="39"/>
      <c r="E8794" s="39"/>
    </row>
    <row r="8795" spans="1:5" ht="15.6">
      <c r="A8795">
        <v>8740</v>
      </c>
      <c r="B8795" s="166">
        <v>151.88308202449508</v>
      </c>
      <c r="D8795" s="39"/>
      <c r="E8795" s="39"/>
    </row>
    <row r="8796" spans="1:5" ht="15.6">
      <c r="A8796">
        <v>8741</v>
      </c>
      <c r="B8796" s="166">
        <v>88.247171685409569</v>
      </c>
      <c r="D8796" s="39"/>
      <c r="E8796" s="39"/>
    </row>
    <row r="8797" spans="1:5" ht="15.6">
      <c r="A8797">
        <v>8742</v>
      </c>
      <c r="B8797" s="166">
        <v>74.78285062143307</v>
      </c>
      <c r="D8797" s="39"/>
      <c r="E8797" s="39"/>
    </row>
    <row r="8798" spans="1:5" ht="15.6">
      <c r="A8798">
        <v>8743</v>
      </c>
      <c r="B8798" s="166">
        <v>196.25674943398775</v>
      </c>
      <c r="D8798" s="39"/>
      <c r="E8798" s="39"/>
    </row>
    <row r="8799" spans="1:5" ht="15.6">
      <c r="A8799">
        <v>8744</v>
      </c>
      <c r="B8799" s="166">
        <v>41.55803318467769</v>
      </c>
      <c r="D8799" s="39"/>
      <c r="E8799" s="39"/>
    </row>
    <row r="8800" spans="1:5" ht="15.6">
      <c r="A8800">
        <v>8745</v>
      </c>
      <c r="B8800" s="166">
        <v>84.402751568738367</v>
      </c>
      <c r="D8800" s="39"/>
      <c r="E8800" s="39"/>
    </row>
    <row r="8801" spans="1:5" ht="15.6">
      <c r="A8801">
        <v>8746</v>
      </c>
      <c r="B8801" s="166">
        <v>85.416163651390605</v>
      </c>
      <c r="D8801" s="39"/>
      <c r="E8801" s="39"/>
    </row>
    <row r="8802" spans="1:5" ht="15.6">
      <c r="A8802">
        <v>8747</v>
      </c>
      <c r="B8802" s="166">
        <v>73.880681977113198</v>
      </c>
      <c r="D8802" s="39"/>
      <c r="E8802" s="39"/>
    </row>
    <row r="8803" spans="1:5" ht="15.6">
      <c r="A8803">
        <v>8748</v>
      </c>
      <c r="B8803" s="166">
        <v>341.81447318927019</v>
      </c>
      <c r="D8803" s="39"/>
      <c r="E8803" s="39"/>
    </row>
    <row r="8804" spans="1:5" ht="15.6">
      <c r="A8804">
        <v>8749</v>
      </c>
      <c r="B8804" s="166">
        <v>70.506828707105981</v>
      </c>
      <c r="D8804" s="39"/>
      <c r="E8804" s="39"/>
    </row>
    <row r="8805" spans="1:5" ht="15.6">
      <c r="A8805">
        <v>8750</v>
      </c>
      <c r="B8805" s="166">
        <v>160.3413102590215</v>
      </c>
      <c r="D8805" s="39"/>
      <c r="E8805" s="39"/>
    </row>
    <row r="8806" spans="1:5" ht="15.6">
      <c r="A8806">
        <v>8751</v>
      </c>
      <c r="B8806" s="166">
        <v>204.34784356031952</v>
      </c>
      <c r="D8806" s="39"/>
      <c r="E8806" s="39"/>
    </row>
    <row r="8807" spans="1:5" ht="15.6">
      <c r="A8807">
        <v>8752</v>
      </c>
      <c r="B8807" s="166">
        <v>106.51869329398697</v>
      </c>
      <c r="D8807" s="39"/>
      <c r="E8807" s="39"/>
    </row>
    <row r="8808" spans="1:5" ht="15.6">
      <c r="A8808">
        <v>8753</v>
      </c>
      <c r="B8808" s="166">
        <v>83.433678238788161</v>
      </c>
      <c r="D8808" s="39"/>
      <c r="E8808" s="39"/>
    </row>
    <row r="8809" spans="1:5" ht="15.6">
      <c r="A8809">
        <v>8754</v>
      </c>
      <c r="B8809" s="166">
        <v>67.453258241100684</v>
      </c>
      <c r="D8809" s="39"/>
      <c r="E8809" s="39"/>
    </row>
    <row r="8810" spans="1:5" ht="15.6">
      <c r="A8810">
        <v>8755</v>
      </c>
      <c r="B8810" s="166">
        <v>132.8837995140174</v>
      </c>
      <c r="D8810" s="39"/>
      <c r="E8810" s="39"/>
    </row>
    <row r="8811" spans="1:5" ht="15.6">
      <c r="A8811">
        <v>8756</v>
      </c>
      <c r="B8811" s="166">
        <v>108.74439385326653</v>
      </c>
      <c r="D8811" s="39"/>
      <c r="E8811" s="39"/>
    </row>
    <row r="8812" spans="1:5" ht="15.6">
      <c r="A8812">
        <v>8757</v>
      </c>
      <c r="B8812" s="166">
        <v>56.236709451379255</v>
      </c>
      <c r="D8812" s="39"/>
      <c r="E8812" s="39"/>
    </row>
    <row r="8813" spans="1:5" ht="15.6">
      <c r="A8813">
        <v>8758</v>
      </c>
      <c r="B8813" s="166">
        <v>135.4684268042688</v>
      </c>
      <c r="D8813" s="39"/>
      <c r="E8813" s="39"/>
    </row>
    <row r="8814" spans="1:5" ht="15.6">
      <c r="A8814">
        <v>8759</v>
      </c>
      <c r="B8814" s="166">
        <v>88.440489718522556</v>
      </c>
      <c r="D8814" s="39"/>
      <c r="E8814" s="39"/>
    </row>
    <row r="8815" spans="1:5" ht="15.6">
      <c r="A8815">
        <v>8760</v>
      </c>
      <c r="B8815" s="166">
        <v>65.929181666084276</v>
      </c>
      <c r="D8815" s="39"/>
      <c r="E8815" s="39"/>
    </row>
    <row r="8816" spans="1:5" ht="15.6">
      <c r="A8816">
        <v>8761</v>
      </c>
      <c r="B8816" s="166">
        <v>128.7472940301642</v>
      </c>
      <c r="D8816" s="39"/>
      <c r="E8816" s="39"/>
    </row>
    <row r="8817" spans="1:5" ht="15.6">
      <c r="A8817">
        <v>8762</v>
      </c>
      <c r="B8817" s="166">
        <v>95.50894248127473</v>
      </c>
      <c r="D8817" s="39"/>
      <c r="E8817" s="39"/>
    </row>
    <row r="8818" spans="1:5" ht="15.6">
      <c r="A8818">
        <v>8763</v>
      </c>
      <c r="B8818" s="166">
        <v>153.2625811899749</v>
      </c>
      <c r="D8818" s="39"/>
      <c r="E8818" s="39"/>
    </row>
    <row r="8819" spans="1:5" ht="15.6">
      <c r="A8819">
        <v>8764</v>
      </c>
      <c r="B8819" s="166">
        <v>66.99484184220313</v>
      </c>
      <c r="D8819" s="39"/>
      <c r="E8819" s="39"/>
    </row>
    <row r="8820" spans="1:5" ht="15.6">
      <c r="A8820">
        <v>8765</v>
      </c>
      <c r="B8820" s="166">
        <v>92.185352191169954</v>
      </c>
      <c r="D8820" s="39"/>
      <c r="E8820" s="39"/>
    </row>
    <row r="8821" spans="1:5" ht="15.6">
      <c r="A8821">
        <v>8766</v>
      </c>
      <c r="B8821" s="166">
        <v>91.400437549895472</v>
      </c>
      <c r="D8821" s="39"/>
      <c r="E8821" s="39"/>
    </row>
    <row r="8822" spans="1:5" ht="15.6">
      <c r="A8822">
        <v>8767</v>
      </c>
      <c r="B8822" s="166">
        <v>105.09094247532377</v>
      </c>
      <c r="D8822" s="39"/>
      <c r="E8822" s="39"/>
    </row>
    <row r="8823" spans="1:5" ht="15.6">
      <c r="A8823">
        <v>8768</v>
      </c>
      <c r="B8823" s="166">
        <v>100.11374192708574</v>
      </c>
      <c r="D8823" s="39"/>
      <c r="E8823" s="39"/>
    </row>
    <row r="8824" spans="1:5" ht="15.6">
      <c r="A8824">
        <v>8769</v>
      </c>
      <c r="B8824" s="166">
        <v>117.12909409898555</v>
      </c>
      <c r="D8824" s="39"/>
      <c r="E8824" s="39"/>
    </row>
    <row r="8825" spans="1:5" ht="15.6">
      <c r="A8825">
        <v>8770</v>
      </c>
      <c r="B8825" s="166">
        <v>78.833111198396992</v>
      </c>
      <c r="D8825" s="39"/>
      <c r="E8825" s="39"/>
    </row>
    <row r="8826" spans="1:5" ht="15.6">
      <c r="A8826">
        <v>8771</v>
      </c>
      <c r="B8826" s="166">
        <v>140.67861621287548</v>
      </c>
      <c r="D8826" s="39"/>
      <c r="E8826" s="39"/>
    </row>
    <row r="8827" spans="1:5" ht="15.6">
      <c r="A8827">
        <v>8772</v>
      </c>
      <c r="B8827" s="166">
        <v>76.154930294727606</v>
      </c>
      <c r="D8827" s="39"/>
      <c r="E8827" s="39"/>
    </row>
    <row r="8828" spans="1:5" ht="15.6">
      <c r="A8828">
        <v>8773</v>
      </c>
      <c r="B8828" s="166">
        <v>98.307826137346566</v>
      </c>
      <c r="D8828" s="39"/>
      <c r="E8828" s="39"/>
    </row>
    <row r="8829" spans="1:5" ht="15.6">
      <c r="A8829">
        <v>8774</v>
      </c>
      <c r="B8829" s="166">
        <v>126.38683405263598</v>
      </c>
      <c r="D8829" s="39"/>
      <c r="E8829" s="39"/>
    </row>
    <row r="8830" spans="1:5" ht="15.6">
      <c r="A8830">
        <v>8775</v>
      </c>
      <c r="B8830" s="166">
        <v>79.822463307370128</v>
      </c>
      <c r="D8830" s="39"/>
      <c r="E8830" s="39"/>
    </row>
    <row r="8831" spans="1:5" ht="15.6">
      <c r="A8831">
        <v>8776</v>
      </c>
      <c r="B8831" s="166">
        <v>81.507766370201097</v>
      </c>
      <c r="D8831" s="39"/>
      <c r="E8831" s="39"/>
    </row>
    <row r="8832" spans="1:5" ht="15.6">
      <c r="A8832">
        <v>8777</v>
      </c>
      <c r="B8832" s="166">
        <v>70.172112069882729</v>
      </c>
      <c r="D8832" s="39"/>
      <c r="E8832" s="39"/>
    </row>
    <row r="8833" spans="1:5" ht="15.6">
      <c r="A8833">
        <v>8778</v>
      </c>
      <c r="B8833" s="166">
        <v>214.17964148048986</v>
      </c>
      <c r="D8833" s="39"/>
      <c r="E8833" s="39"/>
    </row>
    <row r="8834" spans="1:5" ht="15.6">
      <c r="A8834">
        <v>8779</v>
      </c>
      <c r="B8834" s="166">
        <v>94.334120930007259</v>
      </c>
      <c r="D8834" s="39"/>
      <c r="E8834" s="39"/>
    </row>
    <row r="8835" spans="1:5" ht="15.6">
      <c r="A8835">
        <v>8780</v>
      </c>
      <c r="B8835" s="166">
        <v>77.075855219985698</v>
      </c>
      <c r="D8835" s="39"/>
      <c r="E8835" s="39"/>
    </row>
    <row r="8836" spans="1:5" ht="15.6">
      <c r="A8836">
        <v>8781</v>
      </c>
      <c r="B8836" s="166">
        <v>91.892316434202286</v>
      </c>
      <c r="D8836" s="39"/>
      <c r="E8836" s="39"/>
    </row>
    <row r="8837" spans="1:5" ht="15.6">
      <c r="A8837">
        <v>8782</v>
      </c>
      <c r="B8837" s="166">
        <v>84.231774624270471</v>
      </c>
      <c r="D8837" s="39"/>
      <c r="E8837" s="39"/>
    </row>
    <row r="8838" spans="1:5" ht="15.6">
      <c r="A8838">
        <v>8783</v>
      </c>
      <c r="B8838" s="166">
        <v>81.469375954141285</v>
      </c>
      <c r="D8838" s="39"/>
      <c r="E8838" s="39"/>
    </row>
    <row r="8839" spans="1:5" ht="15.6">
      <c r="A8839">
        <v>8784</v>
      </c>
      <c r="B8839" s="166">
        <v>72.232006301007402</v>
      </c>
      <c r="D8839" s="39"/>
      <c r="E8839" s="39"/>
    </row>
    <row r="8840" spans="1:5" ht="15.6">
      <c r="A8840">
        <v>8785</v>
      </c>
      <c r="B8840" s="166">
        <v>62.571030524443572</v>
      </c>
      <c r="D8840" s="39"/>
      <c r="E8840" s="39"/>
    </row>
    <row r="8841" spans="1:5" ht="15.6">
      <c r="A8841">
        <v>8786</v>
      </c>
      <c r="B8841" s="166">
        <v>87.427392195144876</v>
      </c>
      <c r="D8841" s="39"/>
      <c r="E8841" s="39"/>
    </row>
    <row r="8842" spans="1:5" ht="15.6">
      <c r="A8842">
        <v>8787</v>
      </c>
      <c r="B8842" s="166">
        <v>114.94490415685232</v>
      </c>
      <c r="D8842" s="39"/>
      <c r="E8842" s="39"/>
    </row>
    <row r="8843" spans="1:5" ht="15.6">
      <c r="A8843">
        <v>8788</v>
      </c>
      <c r="B8843" s="166">
        <v>161.06945447177105</v>
      </c>
      <c r="D8843" s="39"/>
      <c r="E8843" s="39"/>
    </row>
    <row r="8844" spans="1:5" ht="15.6">
      <c r="A8844">
        <v>8789</v>
      </c>
      <c r="B8844" s="166">
        <v>96.68995031993083</v>
      </c>
      <c r="D8844" s="39"/>
      <c r="E8844" s="39"/>
    </row>
    <row r="8845" spans="1:5" ht="15.6">
      <c r="A8845">
        <v>8790</v>
      </c>
      <c r="B8845" s="166">
        <v>69.301389799817159</v>
      </c>
      <c r="D8845" s="39"/>
      <c r="E8845" s="39"/>
    </row>
    <row r="8846" spans="1:5" ht="15.6">
      <c r="A8846">
        <v>8791</v>
      </c>
      <c r="B8846" s="166">
        <v>81.77339268147874</v>
      </c>
      <c r="D8846" s="39"/>
      <c r="E8846" s="39"/>
    </row>
    <row r="8847" spans="1:5" ht="15.6">
      <c r="A8847">
        <v>8792</v>
      </c>
      <c r="B8847" s="166">
        <v>106.93360793699912</v>
      </c>
      <c r="D8847" s="39"/>
      <c r="E8847" s="39"/>
    </row>
    <row r="8848" spans="1:5" ht="15.6">
      <c r="A8848">
        <v>8793</v>
      </c>
      <c r="B8848" s="166">
        <v>121.23622260891341</v>
      </c>
      <c r="D8848" s="39"/>
      <c r="E8848" s="39"/>
    </row>
    <row r="8849" spans="1:5" ht="15.6">
      <c r="A8849">
        <v>8794</v>
      </c>
      <c r="B8849" s="166">
        <v>88.622016982622711</v>
      </c>
      <c r="D8849" s="39"/>
      <c r="E8849" s="39"/>
    </row>
    <row r="8850" spans="1:5" ht="15.6">
      <c r="A8850">
        <v>8795</v>
      </c>
      <c r="B8850" s="166">
        <v>83.799412785285782</v>
      </c>
      <c r="D8850" s="39"/>
      <c r="E8850" s="39"/>
    </row>
    <row r="8851" spans="1:5" ht="15.6">
      <c r="A8851">
        <v>8796</v>
      </c>
      <c r="B8851" s="166">
        <v>134.93752449474172</v>
      </c>
      <c r="D8851" s="39"/>
      <c r="E8851" s="39"/>
    </row>
    <row r="8852" spans="1:5" ht="15.6">
      <c r="A8852">
        <v>8797</v>
      </c>
      <c r="B8852" s="166">
        <v>67.885744341764365</v>
      </c>
      <c r="D8852" s="39"/>
      <c r="E8852" s="39"/>
    </row>
    <row r="8853" spans="1:5" ht="15.6">
      <c r="A8853">
        <v>8798</v>
      </c>
      <c r="B8853" s="166">
        <v>87.8501871480468</v>
      </c>
      <c r="D8853" s="39"/>
      <c r="E8853" s="39"/>
    </row>
    <row r="8854" spans="1:5" ht="15.6">
      <c r="A8854">
        <v>8799</v>
      </c>
      <c r="B8854" s="166">
        <v>84.052597843963667</v>
      </c>
      <c r="D8854" s="39"/>
      <c r="E8854" s="39"/>
    </row>
    <row r="8855" spans="1:5" ht="15.6">
      <c r="A8855">
        <v>8800</v>
      </c>
      <c r="B8855" s="166">
        <v>131.36946396713819</v>
      </c>
      <c r="D8855" s="39"/>
      <c r="E8855" s="39"/>
    </row>
    <row r="8856" spans="1:5" ht="15.6">
      <c r="A8856">
        <v>8801</v>
      </c>
      <c r="B8856" s="166">
        <v>79.146178387912187</v>
      </c>
      <c r="D8856" s="39"/>
      <c r="E8856" s="39"/>
    </row>
    <row r="8857" spans="1:5" ht="15.6">
      <c r="A8857">
        <v>8802</v>
      </c>
      <c r="B8857" s="166">
        <v>101.21088821939991</v>
      </c>
      <c r="D8857" s="39"/>
      <c r="E8857" s="39"/>
    </row>
    <row r="8858" spans="1:5" ht="15.6">
      <c r="A8858">
        <v>8803</v>
      </c>
      <c r="B8858" s="166">
        <v>298.32757655194905</v>
      </c>
      <c r="D8858" s="39"/>
      <c r="E8858" s="39"/>
    </row>
    <row r="8859" spans="1:5" ht="15.6">
      <c r="A8859">
        <v>8804</v>
      </c>
      <c r="B8859" s="166">
        <v>161.58486900385756</v>
      </c>
      <c r="D8859" s="39"/>
      <c r="E8859" s="39"/>
    </row>
    <row r="8860" spans="1:5" ht="15.6">
      <c r="A8860">
        <v>8805</v>
      </c>
      <c r="B8860" s="166">
        <v>99.539608771005064</v>
      </c>
      <c r="D8860" s="39"/>
      <c r="E8860" s="39"/>
    </row>
    <row r="8861" spans="1:5" ht="15.6">
      <c r="A8861">
        <v>8806</v>
      </c>
      <c r="B8861" s="166">
        <v>96.363761735782546</v>
      </c>
      <c r="D8861" s="39"/>
      <c r="E8861" s="39"/>
    </row>
    <row r="8862" spans="1:5" ht="15.6">
      <c r="A8862">
        <v>8807</v>
      </c>
      <c r="B8862" s="166">
        <v>70.931833515087618</v>
      </c>
      <c r="D8862" s="39"/>
      <c r="E8862" s="39"/>
    </row>
    <row r="8863" spans="1:5" ht="15.6">
      <c r="A8863">
        <v>8808</v>
      </c>
      <c r="B8863" s="166">
        <v>119.62710379332253</v>
      </c>
      <c r="D8863" s="39"/>
      <c r="E8863" s="39"/>
    </row>
    <row r="8864" spans="1:5" ht="15.6">
      <c r="A8864">
        <v>8809</v>
      </c>
      <c r="B8864" s="166">
        <v>65.370414000175785</v>
      </c>
      <c r="D8864" s="39"/>
      <c r="E8864" s="39"/>
    </row>
    <row r="8865" spans="1:5" ht="15.6">
      <c r="A8865">
        <v>8810</v>
      </c>
      <c r="B8865" s="166">
        <v>98.194660025887543</v>
      </c>
      <c r="D8865" s="39"/>
      <c r="E8865" s="39"/>
    </row>
    <row r="8866" spans="1:5" ht="15.6">
      <c r="A8866">
        <v>8811</v>
      </c>
      <c r="B8866" s="166">
        <v>83.178800352960977</v>
      </c>
      <c r="D8866" s="39"/>
      <c r="E8866" s="39"/>
    </row>
    <row r="8867" spans="1:5" ht="15.6">
      <c r="A8867">
        <v>8812</v>
      </c>
      <c r="B8867" s="166">
        <v>183.25569893375865</v>
      </c>
      <c r="D8867" s="39"/>
      <c r="E8867" s="39"/>
    </row>
    <row r="8868" spans="1:5" ht="15.6">
      <c r="A8868">
        <v>8813</v>
      </c>
      <c r="B8868" s="166">
        <v>63.381742968700642</v>
      </c>
      <c r="D8868" s="39"/>
      <c r="E8868" s="39"/>
    </row>
    <row r="8869" spans="1:5" ht="15.6">
      <c r="A8869">
        <v>8814</v>
      </c>
      <c r="B8869" s="166">
        <v>285.56445984690686</v>
      </c>
      <c r="D8869" s="39"/>
      <c r="E8869" s="39"/>
    </row>
    <row r="8870" spans="1:5" ht="15.6">
      <c r="A8870">
        <v>8815</v>
      </c>
      <c r="B8870" s="166">
        <v>60.715652042241402</v>
      </c>
      <c r="D8870" s="39"/>
      <c r="E8870" s="39"/>
    </row>
    <row r="8871" spans="1:5" ht="15.6">
      <c r="A8871">
        <v>8816</v>
      </c>
      <c r="B8871" s="166">
        <v>89.695249043526516</v>
      </c>
      <c r="D8871" s="39"/>
      <c r="E8871" s="39"/>
    </row>
    <row r="8872" spans="1:5" ht="15.6">
      <c r="A8872">
        <v>8817</v>
      </c>
      <c r="B8872" s="166">
        <v>95.285028100401135</v>
      </c>
      <c r="D8872" s="39"/>
      <c r="E8872" s="39"/>
    </row>
    <row r="8873" spans="1:5" ht="15.6">
      <c r="A8873">
        <v>8818</v>
      </c>
      <c r="B8873" s="166">
        <v>111.86253510210524</v>
      </c>
      <c r="D8873" s="39"/>
      <c r="E8873" s="39"/>
    </row>
    <row r="8874" spans="1:5" ht="15.6">
      <c r="A8874">
        <v>8819</v>
      </c>
      <c r="B8874" s="166">
        <v>46.086944444539597</v>
      </c>
      <c r="D8874" s="39"/>
      <c r="E8874" s="39"/>
    </row>
    <row r="8875" spans="1:5" ht="15.6">
      <c r="A8875">
        <v>8820</v>
      </c>
      <c r="B8875" s="166">
        <v>77.866044249764485</v>
      </c>
      <c r="D8875" s="39"/>
      <c r="E8875" s="39"/>
    </row>
    <row r="8876" spans="1:5" ht="15.6">
      <c r="A8876">
        <v>8821</v>
      </c>
      <c r="B8876" s="166">
        <v>93.50881573423635</v>
      </c>
      <c r="D8876" s="39"/>
      <c r="E8876" s="39"/>
    </row>
    <row r="8877" spans="1:5" ht="15.6">
      <c r="A8877">
        <v>8822</v>
      </c>
      <c r="B8877" s="166">
        <v>76.54249562457251</v>
      </c>
      <c r="D8877" s="39"/>
      <c r="E8877" s="39"/>
    </row>
    <row r="8878" spans="1:5" ht="15.6">
      <c r="A8878">
        <v>8823</v>
      </c>
      <c r="B8878" s="166">
        <v>122.63646135087888</v>
      </c>
      <c r="D8878" s="39"/>
      <c r="E8878" s="39"/>
    </row>
    <row r="8879" spans="1:5" ht="15.6">
      <c r="A8879">
        <v>8824</v>
      </c>
      <c r="B8879" s="166">
        <v>105.01456779973044</v>
      </c>
      <c r="D8879" s="39"/>
      <c r="E8879" s="39"/>
    </row>
    <row r="8880" spans="1:5" ht="15.6">
      <c r="A8880">
        <v>8825</v>
      </c>
      <c r="B8880" s="166">
        <v>100.98461151679251</v>
      </c>
      <c r="D8880" s="39"/>
      <c r="E8880" s="39"/>
    </row>
    <row r="8881" spans="1:5" ht="15.6">
      <c r="A8881">
        <v>8826</v>
      </c>
      <c r="B8881" s="166">
        <v>97.674828160858326</v>
      </c>
      <c r="D8881" s="39"/>
      <c r="E8881" s="39"/>
    </row>
    <row r="8882" spans="1:5" ht="15.6">
      <c r="A8882">
        <v>8827</v>
      </c>
      <c r="B8882" s="166">
        <v>120.83959432483054</v>
      </c>
      <c r="D8882" s="39"/>
      <c r="E8882" s="39"/>
    </row>
    <row r="8883" spans="1:5" ht="15.6">
      <c r="A8883">
        <v>8828</v>
      </c>
      <c r="B8883" s="166">
        <v>82.243561160291321</v>
      </c>
      <c r="D8883" s="39"/>
      <c r="E8883" s="39"/>
    </row>
    <row r="8884" spans="1:5" ht="15.6">
      <c r="A8884">
        <v>8829</v>
      </c>
      <c r="B8884" s="166">
        <v>134.81140424877577</v>
      </c>
      <c r="D8884" s="39"/>
      <c r="E8884" s="39"/>
    </row>
    <row r="8885" spans="1:5" ht="15.6">
      <c r="A8885">
        <v>8830</v>
      </c>
      <c r="B8885" s="166">
        <v>130.39209323722636</v>
      </c>
      <c r="D8885" s="39"/>
      <c r="E8885" s="39"/>
    </row>
    <row r="8886" spans="1:5" ht="15.6">
      <c r="A8886">
        <v>8831</v>
      </c>
      <c r="B8886" s="166">
        <v>141.96287584906528</v>
      </c>
      <c r="D8886" s="39"/>
      <c r="E8886" s="39"/>
    </row>
    <row r="8887" spans="1:5" ht="15.6">
      <c r="A8887">
        <v>8832</v>
      </c>
      <c r="B8887" s="166">
        <v>110.4839840504788</v>
      </c>
      <c r="D8887" s="39"/>
      <c r="E8887" s="39"/>
    </row>
    <row r="8888" spans="1:5" ht="15.6">
      <c r="A8888">
        <v>8833</v>
      </c>
      <c r="B8888" s="166">
        <v>169.7610554405455</v>
      </c>
      <c r="D8888" s="39"/>
      <c r="E8888" s="39"/>
    </row>
    <row r="8889" spans="1:5" ht="15.6">
      <c r="A8889">
        <v>8834</v>
      </c>
      <c r="B8889" s="166">
        <v>158.48941021833153</v>
      </c>
      <c r="D8889" s="39"/>
      <c r="E8889" s="39"/>
    </row>
    <row r="8890" spans="1:5" ht="15.6">
      <c r="A8890">
        <v>8835</v>
      </c>
      <c r="B8890" s="166">
        <v>132.86663698483378</v>
      </c>
      <c r="D8890" s="39"/>
      <c r="E8890" s="39"/>
    </row>
    <row r="8891" spans="1:5" ht="15.6">
      <c r="A8891">
        <v>8836</v>
      </c>
      <c r="B8891" s="166">
        <v>145.43979836220842</v>
      </c>
      <c r="D8891" s="39"/>
      <c r="E8891" s="39"/>
    </row>
    <row r="8892" spans="1:5" ht="15.6">
      <c r="A8892">
        <v>8837</v>
      </c>
      <c r="B8892" s="166">
        <v>92.662489329563002</v>
      </c>
      <c r="D8892" s="39"/>
      <c r="E8892" s="39"/>
    </row>
    <row r="8893" spans="1:5" ht="15.6">
      <c r="A8893">
        <v>8838</v>
      </c>
      <c r="B8893" s="166">
        <v>80.937045976570488</v>
      </c>
      <c r="D8893" s="39"/>
      <c r="E8893" s="39"/>
    </row>
    <row r="8894" spans="1:5" ht="15.6">
      <c r="A8894">
        <v>8839</v>
      </c>
      <c r="B8894" s="166">
        <v>73.883643694037943</v>
      </c>
      <c r="D8894" s="39"/>
      <c r="E8894" s="39"/>
    </row>
    <row r="8895" spans="1:5" ht="15.6">
      <c r="A8895">
        <v>8840</v>
      </c>
      <c r="B8895" s="166">
        <v>70.240408486209105</v>
      </c>
      <c r="D8895" s="39"/>
      <c r="E8895" s="39"/>
    </row>
    <row r="8896" spans="1:5" ht="15.6">
      <c r="A8896">
        <v>8841</v>
      </c>
      <c r="B8896" s="166">
        <v>120.60069251980492</v>
      </c>
      <c r="D8896" s="39"/>
      <c r="E8896" s="39"/>
    </row>
    <row r="8897" spans="1:5" ht="15.6">
      <c r="A8897">
        <v>8842</v>
      </c>
      <c r="B8897" s="166">
        <v>52.200303579430198</v>
      </c>
      <c r="D8897" s="39"/>
      <c r="E8897" s="39"/>
    </row>
    <row r="8898" spans="1:5" ht="15.6">
      <c r="A8898">
        <v>8843</v>
      </c>
      <c r="B8898" s="166">
        <v>174.41312183127386</v>
      </c>
      <c r="D8898" s="39"/>
      <c r="E8898" s="39"/>
    </row>
    <row r="8899" spans="1:5" ht="15.6">
      <c r="A8899">
        <v>8844</v>
      </c>
      <c r="B8899" s="166">
        <v>84.095679871504359</v>
      </c>
      <c r="D8899" s="39"/>
      <c r="E8899" s="39"/>
    </row>
    <row r="8900" spans="1:5" ht="15.6">
      <c r="A8900">
        <v>8845</v>
      </c>
      <c r="B8900" s="166">
        <v>57.301428904489548</v>
      </c>
      <c r="D8900" s="39"/>
      <c r="E8900" s="39"/>
    </row>
    <row r="8901" spans="1:5" ht="15.6">
      <c r="A8901">
        <v>8846</v>
      </c>
      <c r="B8901" s="166">
        <v>112.25345629163502</v>
      </c>
      <c r="D8901" s="39"/>
      <c r="E8901" s="39"/>
    </row>
    <row r="8902" spans="1:5" ht="15.6">
      <c r="A8902">
        <v>8847</v>
      </c>
      <c r="B8902" s="166">
        <v>165.38850179182865</v>
      </c>
      <c r="D8902" s="39"/>
      <c r="E8902" s="39"/>
    </row>
    <row r="8903" spans="1:5" ht="15.6">
      <c r="A8903">
        <v>8848</v>
      </c>
      <c r="B8903" s="166">
        <v>97.049769133470349</v>
      </c>
      <c r="D8903" s="39"/>
      <c r="E8903" s="39"/>
    </row>
    <row r="8904" spans="1:5" ht="15.6">
      <c r="A8904">
        <v>8849</v>
      </c>
      <c r="B8904" s="166">
        <v>79.746319593548165</v>
      </c>
      <c r="D8904" s="39"/>
      <c r="E8904" s="39"/>
    </row>
    <row r="8905" spans="1:5" ht="15.6">
      <c r="A8905">
        <v>8850</v>
      </c>
      <c r="B8905" s="166">
        <v>173.2699767991669</v>
      </c>
      <c r="D8905" s="39"/>
      <c r="E8905" s="39"/>
    </row>
    <row r="8906" spans="1:5" ht="15.6">
      <c r="A8906">
        <v>8851</v>
      </c>
      <c r="B8906" s="166">
        <v>56.996410399082933</v>
      </c>
      <c r="D8906" s="39"/>
      <c r="E8906" s="39"/>
    </row>
    <row r="8907" spans="1:5" ht="15.6">
      <c r="A8907">
        <v>8852</v>
      </c>
      <c r="B8907" s="166">
        <v>182.89893464391216</v>
      </c>
      <c r="D8907" s="39"/>
      <c r="E8907" s="39"/>
    </row>
    <row r="8908" spans="1:5" ht="15.6">
      <c r="A8908">
        <v>8853</v>
      </c>
      <c r="B8908" s="166">
        <v>94.033254386440859</v>
      </c>
      <c r="D8908" s="39"/>
      <c r="E8908" s="39"/>
    </row>
    <row r="8909" spans="1:5" ht="15.6">
      <c r="A8909">
        <v>8854</v>
      </c>
      <c r="B8909" s="166">
        <v>80.81854601500477</v>
      </c>
      <c r="D8909" s="39"/>
      <c r="E8909" s="39"/>
    </row>
    <row r="8910" spans="1:5" ht="15.6">
      <c r="A8910">
        <v>8855</v>
      </c>
      <c r="B8910" s="166">
        <v>110.04236884061874</v>
      </c>
      <c r="D8910" s="39"/>
      <c r="E8910" s="39"/>
    </row>
    <row r="8911" spans="1:5" ht="15.6">
      <c r="A8911">
        <v>8856</v>
      </c>
      <c r="B8911" s="166">
        <v>94.27004386051722</v>
      </c>
      <c r="D8911" s="39"/>
      <c r="E8911" s="39"/>
    </row>
    <row r="8912" spans="1:5" ht="15.6">
      <c r="A8912">
        <v>8857</v>
      </c>
      <c r="B8912" s="166">
        <v>78.32363212429091</v>
      </c>
      <c r="D8912" s="39"/>
      <c r="E8912" s="39"/>
    </row>
    <row r="8913" spans="1:5" ht="15.6">
      <c r="A8913">
        <v>8858</v>
      </c>
      <c r="B8913" s="166">
        <v>126.79854277618244</v>
      </c>
      <c r="D8913" s="39"/>
      <c r="E8913" s="39"/>
    </row>
    <row r="8914" spans="1:5" ht="15.6">
      <c r="A8914">
        <v>8859</v>
      </c>
      <c r="B8914" s="166">
        <v>99.520530375558806</v>
      </c>
      <c r="D8914" s="39"/>
      <c r="E8914" s="39"/>
    </row>
    <row r="8915" spans="1:5" ht="15.6">
      <c r="A8915">
        <v>8860</v>
      </c>
      <c r="B8915" s="166">
        <v>155.95767126691959</v>
      </c>
      <c r="D8915" s="39"/>
      <c r="E8915" s="39"/>
    </row>
    <row r="8916" spans="1:5" ht="15.6">
      <c r="A8916">
        <v>8861</v>
      </c>
      <c r="B8916" s="166">
        <v>204.1159504693768</v>
      </c>
      <c r="D8916" s="39"/>
      <c r="E8916" s="39"/>
    </row>
    <row r="8917" spans="1:5" ht="15.6">
      <c r="A8917">
        <v>8862</v>
      </c>
      <c r="B8917" s="166">
        <v>72.427630552582812</v>
      </c>
      <c r="D8917" s="39"/>
      <c r="E8917" s="39"/>
    </row>
    <row r="8918" spans="1:5" ht="15.6">
      <c r="A8918">
        <v>8863</v>
      </c>
      <c r="B8918" s="166">
        <v>115.19894909763458</v>
      </c>
      <c r="D8918" s="39"/>
      <c r="E8918" s="39"/>
    </row>
    <row r="8919" spans="1:5" ht="15.6">
      <c r="A8919">
        <v>8864</v>
      </c>
      <c r="B8919" s="166">
        <v>108.17080531033882</v>
      </c>
      <c r="D8919" s="39"/>
      <c r="E8919" s="39"/>
    </row>
    <row r="8920" spans="1:5" ht="15.6">
      <c r="A8920">
        <v>8865</v>
      </c>
      <c r="B8920" s="166">
        <v>84.160550607690254</v>
      </c>
      <c r="D8920" s="39"/>
      <c r="E8920" s="39"/>
    </row>
    <row r="8921" spans="1:5" ht="15.6">
      <c r="A8921">
        <v>8866</v>
      </c>
      <c r="B8921" s="166">
        <v>92.84060534305064</v>
      </c>
      <c r="D8921" s="39"/>
      <c r="E8921" s="39"/>
    </row>
    <row r="8922" spans="1:5" ht="15.6">
      <c r="A8922">
        <v>8867</v>
      </c>
      <c r="B8922" s="166">
        <v>124.90248532263564</v>
      </c>
      <c r="D8922" s="39"/>
      <c r="E8922" s="39"/>
    </row>
    <row r="8923" spans="1:5" ht="15.6">
      <c r="A8923">
        <v>8868</v>
      </c>
      <c r="B8923" s="166">
        <v>69.846642901840823</v>
      </c>
      <c r="D8923" s="39"/>
      <c r="E8923" s="39"/>
    </row>
    <row r="8924" spans="1:5" ht="15.6">
      <c r="A8924">
        <v>8869</v>
      </c>
      <c r="B8924" s="166">
        <v>59.840582169613022</v>
      </c>
      <c r="D8924" s="39"/>
      <c r="E8924" s="39"/>
    </row>
    <row r="8925" spans="1:5" ht="15.6">
      <c r="A8925">
        <v>8870</v>
      </c>
      <c r="B8925" s="166">
        <v>64.826160935004438</v>
      </c>
      <c r="D8925" s="39"/>
      <c r="E8925" s="39"/>
    </row>
    <row r="8926" spans="1:5" ht="15.6">
      <c r="A8926">
        <v>8871</v>
      </c>
      <c r="B8926" s="166">
        <v>107.61164733142262</v>
      </c>
      <c r="D8926" s="39"/>
      <c r="E8926" s="39"/>
    </row>
    <row r="8927" spans="1:5" ht="15.6">
      <c r="A8927">
        <v>8872</v>
      </c>
      <c r="B8927" s="166">
        <v>164.32068228709349</v>
      </c>
      <c r="D8927" s="39"/>
      <c r="E8927" s="39"/>
    </row>
    <row r="8928" spans="1:5" ht="15.6">
      <c r="A8928">
        <v>8873</v>
      </c>
      <c r="B8928" s="166">
        <v>148.64783429686506</v>
      </c>
      <c r="D8928" s="39"/>
      <c r="E8928" s="39"/>
    </row>
    <row r="8929" spans="1:5" ht="15.6">
      <c r="A8929">
        <v>8874</v>
      </c>
      <c r="B8929" s="166">
        <v>93.695157551936191</v>
      </c>
      <c r="D8929" s="39"/>
      <c r="E8929" s="39"/>
    </row>
    <row r="8930" spans="1:5" ht="15.6">
      <c r="A8930">
        <v>8875</v>
      </c>
      <c r="B8930" s="166">
        <v>116.86095519443174</v>
      </c>
      <c r="D8930" s="39"/>
      <c r="E8930" s="39"/>
    </row>
    <row r="8931" spans="1:5" ht="15.6">
      <c r="A8931">
        <v>8876</v>
      </c>
      <c r="B8931" s="166">
        <v>122.23719472023359</v>
      </c>
      <c r="D8931" s="39"/>
      <c r="E8931" s="39"/>
    </row>
    <row r="8932" spans="1:5" ht="15.6">
      <c r="A8932">
        <v>8877</v>
      </c>
      <c r="B8932" s="166">
        <v>136.04981585359786</v>
      </c>
      <c r="D8932" s="39"/>
      <c r="E8932" s="39"/>
    </row>
    <row r="8933" spans="1:5" ht="15.6">
      <c r="A8933">
        <v>8878</v>
      </c>
      <c r="B8933" s="166">
        <v>146.20197078658734</v>
      </c>
      <c r="D8933" s="39"/>
      <c r="E8933" s="39"/>
    </row>
    <row r="8934" spans="1:5" ht="15.6">
      <c r="A8934">
        <v>8879</v>
      </c>
      <c r="B8934" s="166">
        <v>128.50866992855316</v>
      </c>
      <c r="D8934" s="39"/>
      <c r="E8934" s="39"/>
    </row>
    <row r="8935" spans="1:5" ht="15.6">
      <c r="A8935">
        <v>8880</v>
      </c>
      <c r="B8935" s="166">
        <v>89.424203616487759</v>
      </c>
      <c r="D8935" s="39"/>
      <c r="E8935" s="39"/>
    </row>
    <row r="8936" spans="1:5" ht="15.6">
      <c r="A8936">
        <v>8881</v>
      </c>
      <c r="B8936" s="166">
        <v>102.62439135460262</v>
      </c>
      <c r="D8936" s="39"/>
      <c r="E8936" s="39"/>
    </row>
    <row r="8937" spans="1:5" ht="15.6">
      <c r="A8937">
        <v>8882</v>
      </c>
      <c r="B8937" s="166">
        <v>204.25725089648921</v>
      </c>
      <c r="D8937" s="39"/>
      <c r="E8937" s="39"/>
    </row>
    <row r="8938" spans="1:5" ht="15.6">
      <c r="A8938">
        <v>8883</v>
      </c>
      <c r="B8938" s="166">
        <v>95.019533290345933</v>
      </c>
      <c r="D8938" s="39"/>
      <c r="E8938" s="39"/>
    </row>
    <row r="8939" spans="1:5" ht="15.6">
      <c r="A8939">
        <v>8884</v>
      </c>
      <c r="B8939" s="166">
        <v>62.4572113806787</v>
      </c>
      <c r="D8939" s="39"/>
      <c r="E8939" s="39"/>
    </row>
    <row r="8940" spans="1:5" ht="15.6">
      <c r="A8940">
        <v>8885</v>
      </c>
      <c r="B8940" s="166">
        <v>82.598118824113243</v>
      </c>
      <c r="D8940" s="39"/>
      <c r="E8940" s="39"/>
    </row>
    <row r="8941" spans="1:5" ht="15.6">
      <c r="A8941">
        <v>8886</v>
      </c>
      <c r="B8941" s="166">
        <v>85.070162772807549</v>
      </c>
      <c r="D8941" s="39"/>
      <c r="E8941" s="39"/>
    </row>
    <row r="8942" spans="1:5" ht="15.6">
      <c r="A8942">
        <v>8887</v>
      </c>
      <c r="B8942" s="166">
        <v>81.586105457431032</v>
      </c>
      <c r="D8942" s="39"/>
      <c r="E8942" s="39"/>
    </row>
    <row r="8943" spans="1:5" ht="15.6">
      <c r="A8943">
        <v>8888</v>
      </c>
      <c r="B8943" s="166">
        <v>75.650597277086604</v>
      </c>
      <c r="D8943" s="39"/>
      <c r="E8943" s="39"/>
    </row>
    <row r="8944" spans="1:5" ht="15.6">
      <c r="A8944">
        <v>8889</v>
      </c>
      <c r="B8944" s="166">
        <v>161.46986270290455</v>
      </c>
      <c r="D8944" s="39"/>
      <c r="E8944" s="39"/>
    </row>
    <row r="8945" spans="1:5" ht="15.6">
      <c r="A8945">
        <v>8890</v>
      </c>
      <c r="B8945" s="166">
        <v>58.406395021609121</v>
      </c>
      <c r="D8945" s="39"/>
      <c r="E8945" s="39"/>
    </row>
    <row r="8946" spans="1:5" ht="15.6">
      <c r="A8946">
        <v>8891</v>
      </c>
      <c r="B8946" s="166">
        <v>147.59415960129911</v>
      </c>
      <c r="D8946" s="39"/>
      <c r="E8946" s="39"/>
    </row>
    <row r="8947" spans="1:5" ht="15.6">
      <c r="A8947">
        <v>8892</v>
      </c>
      <c r="B8947" s="166">
        <v>121.46054738536577</v>
      </c>
      <c r="D8947" s="39"/>
      <c r="E8947" s="39"/>
    </row>
    <row r="8948" spans="1:5" ht="15.6">
      <c r="A8948">
        <v>8893</v>
      </c>
      <c r="B8948" s="166">
        <v>69.841438749580121</v>
      </c>
      <c r="D8948" s="39"/>
      <c r="E8948" s="39"/>
    </row>
    <row r="8949" spans="1:5" ht="15.6">
      <c r="A8949">
        <v>8894</v>
      </c>
      <c r="B8949" s="166">
        <v>205.67402166320201</v>
      </c>
      <c r="D8949" s="39"/>
      <c r="E8949" s="39"/>
    </row>
    <row r="8950" spans="1:5" ht="15.6">
      <c r="A8950">
        <v>8895</v>
      </c>
      <c r="B8950" s="166">
        <v>77.532497807788758</v>
      </c>
      <c r="D8950" s="39"/>
      <c r="E8950" s="39"/>
    </row>
    <row r="8951" spans="1:5" ht="15.6">
      <c r="A8951">
        <v>8896</v>
      </c>
      <c r="B8951" s="166">
        <v>160.02590011032052</v>
      </c>
      <c r="D8951" s="39"/>
      <c r="E8951" s="39"/>
    </row>
    <row r="8952" spans="1:5" ht="15.6">
      <c r="A8952">
        <v>8897</v>
      </c>
      <c r="B8952" s="166">
        <v>68.940959603446998</v>
      </c>
      <c r="D8952" s="39"/>
      <c r="E8952" s="39"/>
    </row>
    <row r="8953" spans="1:5" ht="15.6">
      <c r="A8953">
        <v>8898</v>
      </c>
      <c r="B8953" s="166">
        <v>136.96575038624221</v>
      </c>
      <c r="D8953" s="39"/>
      <c r="E8953" s="39"/>
    </row>
    <row r="8954" spans="1:5" ht="15.6">
      <c r="A8954">
        <v>8899</v>
      </c>
      <c r="B8954" s="166">
        <v>166.88128760346322</v>
      </c>
      <c r="D8954" s="39"/>
      <c r="E8954" s="39"/>
    </row>
    <row r="8955" spans="1:5" ht="15.6">
      <c r="A8955">
        <v>8900</v>
      </c>
      <c r="B8955" s="166">
        <v>72.032511288105013</v>
      </c>
      <c r="D8955" s="39"/>
      <c r="E8955" s="39"/>
    </row>
    <row r="8956" spans="1:5" ht="15.6">
      <c r="A8956">
        <v>8901</v>
      </c>
      <c r="B8956" s="166">
        <v>79.90730839618989</v>
      </c>
      <c r="D8956" s="39"/>
      <c r="E8956" s="39"/>
    </row>
    <row r="8957" spans="1:5" ht="15.6">
      <c r="A8957">
        <v>8902</v>
      </c>
      <c r="B8957" s="166">
        <v>156.76368548661137</v>
      </c>
      <c r="D8957" s="39"/>
      <c r="E8957" s="39"/>
    </row>
    <row r="8958" spans="1:5" ht="15.6">
      <c r="A8958">
        <v>8903</v>
      </c>
      <c r="B8958" s="166">
        <v>104.2104899061451</v>
      </c>
      <c r="D8958" s="39"/>
      <c r="E8958" s="39"/>
    </row>
    <row r="8959" spans="1:5" ht="15.6">
      <c r="A8959">
        <v>8904</v>
      </c>
      <c r="B8959" s="166">
        <v>141.16265303566249</v>
      </c>
      <c r="D8959" s="39"/>
      <c r="E8959" s="39"/>
    </row>
    <row r="8960" spans="1:5" ht="15.6">
      <c r="A8960">
        <v>8905</v>
      </c>
      <c r="B8960" s="166">
        <v>136.18780290257158</v>
      </c>
      <c r="D8960" s="39"/>
      <c r="E8960" s="39"/>
    </row>
    <row r="8961" spans="1:5" ht="15.6">
      <c r="A8961">
        <v>8906</v>
      </c>
      <c r="B8961" s="166">
        <v>70.308958464669743</v>
      </c>
      <c r="D8961" s="39"/>
      <c r="E8961" s="39"/>
    </row>
    <row r="8962" spans="1:5" ht="15.6">
      <c r="A8962">
        <v>8907</v>
      </c>
      <c r="B8962" s="166">
        <v>68.545359637531405</v>
      </c>
      <c r="D8962" s="39"/>
      <c r="E8962" s="39"/>
    </row>
    <row r="8963" spans="1:5" ht="15.6">
      <c r="A8963">
        <v>8908</v>
      </c>
      <c r="B8963" s="166">
        <v>47.910067592354345</v>
      </c>
      <c r="D8963" s="39"/>
      <c r="E8963" s="39"/>
    </row>
    <row r="8964" spans="1:5" ht="15.6">
      <c r="A8964">
        <v>8909</v>
      </c>
      <c r="B8964" s="166">
        <v>77.923919239928495</v>
      </c>
      <c r="D8964" s="39"/>
      <c r="E8964" s="39"/>
    </row>
    <row r="8965" spans="1:5" ht="15.6">
      <c r="A8965">
        <v>8910</v>
      </c>
      <c r="B8965" s="166">
        <v>118.56286108249245</v>
      </c>
      <c r="D8965" s="39"/>
      <c r="E8965" s="39"/>
    </row>
    <row r="8966" spans="1:5" ht="15.6">
      <c r="A8966">
        <v>8911</v>
      </c>
      <c r="B8966" s="166">
        <v>114.32468025997233</v>
      </c>
      <c r="D8966" s="39"/>
      <c r="E8966" s="39"/>
    </row>
    <row r="8967" spans="1:5" ht="15.6">
      <c r="A8967">
        <v>8912</v>
      </c>
      <c r="B8967" s="166">
        <v>157.15247779896546</v>
      </c>
      <c r="D8967" s="39"/>
      <c r="E8967" s="39"/>
    </row>
    <row r="8968" spans="1:5" ht="15.6">
      <c r="A8968">
        <v>8913</v>
      </c>
      <c r="B8968" s="166">
        <v>64.12799805464465</v>
      </c>
      <c r="D8968" s="39"/>
      <c r="E8968" s="39"/>
    </row>
    <row r="8969" spans="1:5" ht="15.6">
      <c r="A8969">
        <v>8914</v>
      </c>
      <c r="B8969" s="166">
        <v>80.493729879019668</v>
      </c>
      <c r="D8969" s="39"/>
      <c r="E8969" s="39"/>
    </row>
    <row r="8970" spans="1:5" ht="15.6">
      <c r="A8970">
        <v>8915</v>
      </c>
      <c r="B8970" s="166">
        <v>98.809683942035051</v>
      </c>
      <c r="D8970" s="39"/>
      <c r="E8970" s="39"/>
    </row>
    <row r="8971" spans="1:5" ht="15.6">
      <c r="A8971">
        <v>8916</v>
      </c>
      <c r="B8971" s="166">
        <v>69.731496050263644</v>
      </c>
      <c r="D8971" s="39"/>
      <c r="E8971" s="39"/>
    </row>
    <row r="8972" spans="1:5" ht="15.6">
      <c r="A8972">
        <v>8917</v>
      </c>
      <c r="B8972" s="166">
        <v>132.62458604567419</v>
      </c>
      <c r="D8972" s="39"/>
      <c r="E8972" s="39"/>
    </row>
    <row r="8973" spans="1:5" ht="15.6">
      <c r="A8973">
        <v>8918</v>
      </c>
      <c r="B8973" s="166">
        <v>88.267442207754854</v>
      </c>
      <c r="D8973" s="39"/>
      <c r="E8973" s="39"/>
    </row>
    <row r="8974" spans="1:5" ht="15.6">
      <c r="A8974">
        <v>8919</v>
      </c>
      <c r="B8974" s="166">
        <v>113.66840658101124</v>
      </c>
      <c r="D8974" s="39"/>
      <c r="E8974" s="39"/>
    </row>
    <row r="8975" spans="1:5" ht="15.6">
      <c r="A8975">
        <v>8920</v>
      </c>
      <c r="B8975" s="166">
        <v>127.75388685660604</v>
      </c>
      <c r="D8975" s="39"/>
      <c r="E8975" s="39"/>
    </row>
    <row r="8976" spans="1:5" ht="15.6">
      <c r="A8976">
        <v>8921</v>
      </c>
      <c r="B8976" s="166">
        <v>118.21042730047994</v>
      </c>
      <c r="D8976" s="39"/>
      <c r="E8976" s="39"/>
    </row>
    <row r="8977" spans="1:5" ht="15.6">
      <c r="A8977">
        <v>8922</v>
      </c>
      <c r="B8977" s="166">
        <v>115.1748373820232</v>
      </c>
      <c r="D8977" s="39"/>
      <c r="E8977" s="39"/>
    </row>
    <row r="8978" spans="1:5" ht="15.6">
      <c r="A8978">
        <v>8923</v>
      </c>
      <c r="B8978" s="166">
        <v>99.348286100364774</v>
      </c>
      <c r="D8978" s="39"/>
      <c r="E8978" s="39"/>
    </row>
    <row r="8979" spans="1:5" ht="15.6">
      <c r="A8979">
        <v>8924</v>
      </c>
      <c r="B8979" s="166">
        <v>76.432032701608307</v>
      </c>
      <c r="D8979" s="39"/>
      <c r="E8979" s="39"/>
    </row>
    <row r="8980" spans="1:5" ht="15.6">
      <c r="A8980">
        <v>8925</v>
      </c>
      <c r="B8980" s="166">
        <v>71.305622663355138</v>
      </c>
      <c r="D8980" s="39"/>
      <c r="E8980" s="39"/>
    </row>
    <row r="8981" spans="1:5" ht="15.6">
      <c r="A8981">
        <v>8926</v>
      </c>
      <c r="B8981" s="166">
        <v>147.07615086269408</v>
      </c>
      <c r="D8981" s="39"/>
      <c r="E8981" s="39"/>
    </row>
    <row r="8982" spans="1:5" ht="15.6">
      <c r="A8982">
        <v>8927</v>
      </c>
      <c r="B8982" s="166">
        <v>117.60682356107961</v>
      </c>
      <c r="D8982" s="39"/>
      <c r="E8982" s="39"/>
    </row>
    <row r="8983" spans="1:5" ht="15.6">
      <c r="A8983">
        <v>8928</v>
      </c>
      <c r="B8983" s="166">
        <v>66.784462665863089</v>
      </c>
      <c r="D8983" s="39"/>
      <c r="E8983" s="39"/>
    </row>
    <row r="8984" spans="1:5" ht="15.6">
      <c r="A8984">
        <v>8929</v>
      </c>
      <c r="B8984" s="166">
        <v>129.37304173426219</v>
      </c>
      <c r="D8984" s="39"/>
      <c r="E8984" s="39"/>
    </row>
    <row r="8985" spans="1:5" ht="15.6">
      <c r="A8985">
        <v>8930</v>
      </c>
      <c r="B8985" s="166">
        <v>75.424723153100416</v>
      </c>
      <c r="D8985" s="39"/>
      <c r="E8985" s="39"/>
    </row>
    <row r="8986" spans="1:5" ht="15.6">
      <c r="A8986">
        <v>8931</v>
      </c>
      <c r="B8986" s="166">
        <v>68.718612445696209</v>
      </c>
      <c r="D8986" s="39"/>
      <c r="E8986" s="39"/>
    </row>
    <row r="8987" spans="1:5" ht="15.6">
      <c r="A8987">
        <v>8932</v>
      </c>
      <c r="B8987" s="166">
        <v>186.96314196930663</v>
      </c>
      <c r="D8987" s="39"/>
      <c r="E8987" s="39"/>
    </row>
    <row r="8988" spans="1:5" ht="15.6">
      <c r="A8988">
        <v>8933</v>
      </c>
      <c r="B8988" s="166">
        <v>66.349406990538</v>
      </c>
      <c r="D8988" s="39"/>
      <c r="E8988" s="39"/>
    </row>
    <row r="8989" spans="1:5" ht="15.6">
      <c r="A8989">
        <v>8934</v>
      </c>
      <c r="B8989" s="166">
        <v>82.1522947914154</v>
      </c>
      <c r="D8989" s="39"/>
      <c r="E8989" s="39"/>
    </row>
    <row r="8990" spans="1:5" ht="15.6">
      <c r="A8990">
        <v>8935</v>
      </c>
      <c r="B8990" s="166">
        <v>159.40061985242326</v>
      </c>
      <c r="D8990" s="39"/>
      <c r="E8990" s="39"/>
    </row>
    <row r="8991" spans="1:5" ht="15.6">
      <c r="A8991">
        <v>8936</v>
      </c>
      <c r="B8991" s="166">
        <v>85.85080148323118</v>
      </c>
      <c r="D8991" s="39"/>
      <c r="E8991" s="39"/>
    </row>
    <row r="8992" spans="1:5" ht="15.6">
      <c r="A8992">
        <v>8937</v>
      </c>
      <c r="B8992" s="166">
        <v>137.63061812044472</v>
      </c>
      <c r="D8992" s="39"/>
      <c r="E8992" s="39"/>
    </row>
    <row r="8993" spans="1:5" ht="15.6">
      <c r="A8993">
        <v>8938</v>
      </c>
      <c r="B8993" s="166">
        <v>139.3786947732236</v>
      </c>
      <c r="D8993" s="39"/>
      <c r="E8993" s="39"/>
    </row>
    <row r="8994" spans="1:5" ht="15.6">
      <c r="A8994">
        <v>8939</v>
      </c>
      <c r="B8994" s="166">
        <v>118.00180847970576</v>
      </c>
      <c r="D8994" s="39"/>
      <c r="E8994" s="39"/>
    </row>
    <row r="8995" spans="1:5" ht="15.6">
      <c r="A8995">
        <v>8940</v>
      </c>
      <c r="B8995" s="166">
        <v>103.91103230392191</v>
      </c>
      <c r="D8995" s="39"/>
      <c r="E8995" s="39"/>
    </row>
    <row r="8996" spans="1:5" ht="15.6">
      <c r="A8996">
        <v>8941</v>
      </c>
      <c r="B8996" s="166">
        <v>83.578503582413191</v>
      </c>
      <c r="D8996" s="39"/>
      <c r="E8996" s="39"/>
    </row>
    <row r="8997" spans="1:5" ht="15.6">
      <c r="A8997">
        <v>8942</v>
      </c>
      <c r="B8997" s="166">
        <v>126.1053917019002</v>
      </c>
      <c r="D8997" s="39"/>
      <c r="E8997" s="39"/>
    </row>
    <row r="8998" spans="1:5" ht="15.6">
      <c r="A8998">
        <v>8943</v>
      </c>
      <c r="B8998" s="166">
        <v>64.435873760311722</v>
      </c>
      <c r="D8998" s="39"/>
      <c r="E8998" s="39"/>
    </row>
    <row r="8999" spans="1:5" ht="15.6">
      <c r="A8999">
        <v>8944</v>
      </c>
      <c r="B8999" s="166">
        <v>85.049344054374131</v>
      </c>
      <c r="D8999" s="39"/>
      <c r="E8999" s="39"/>
    </row>
    <row r="9000" spans="1:5" ht="15.6">
      <c r="A9000">
        <v>8945</v>
      </c>
      <c r="B9000" s="166">
        <v>80.970780263851097</v>
      </c>
      <c r="D9000" s="39"/>
      <c r="E9000" s="39"/>
    </row>
    <row r="9001" spans="1:5" ht="15.6">
      <c r="A9001">
        <v>8946</v>
      </c>
      <c r="B9001" s="166">
        <v>111.65078243111246</v>
      </c>
      <c r="D9001" s="39"/>
      <c r="E9001" s="39"/>
    </row>
    <row r="9002" spans="1:5" ht="15.6">
      <c r="A9002">
        <v>8947</v>
      </c>
      <c r="B9002" s="166">
        <v>66.425331689250015</v>
      </c>
      <c r="D9002" s="39"/>
      <c r="E9002" s="39"/>
    </row>
    <row r="9003" spans="1:5" ht="15.6">
      <c r="A9003">
        <v>8948</v>
      </c>
      <c r="B9003" s="166">
        <v>85.319086326347062</v>
      </c>
      <c r="D9003" s="39"/>
      <c r="E9003" s="39"/>
    </row>
    <row r="9004" spans="1:5" ht="15.6">
      <c r="A9004">
        <v>8949</v>
      </c>
      <c r="B9004" s="166">
        <v>122.7321208295633</v>
      </c>
      <c r="D9004" s="39"/>
      <c r="E9004" s="39"/>
    </row>
    <row r="9005" spans="1:5" ht="15.6">
      <c r="A9005">
        <v>8950</v>
      </c>
      <c r="B9005" s="166">
        <v>55.966628192364766</v>
      </c>
      <c r="D9005" s="39"/>
      <c r="E9005" s="39"/>
    </row>
    <row r="9006" spans="1:5" ht="15.6">
      <c r="A9006">
        <v>8951</v>
      </c>
      <c r="B9006" s="166">
        <v>82.277063305772671</v>
      </c>
      <c r="D9006" s="39"/>
      <c r="E9006" s="39"/>
    </row>
    <row r="9007" spans="1:5" ht="15.6">
      <c r="A9007">
        <v>8952</v>
      </c>
      <c r="B9007" s="166">
        <v>88.214405210001928</v>
      </c>
      <c r="D9007" s="39"/>
      <c r="E9007" s="39"/>
    </row>
    <row r="9008" spans="1:5" ht="15.6">
      <c r="A9008">
        <v>8953</v>
      </c>
      <c r="B9008" s="166">
        <v>113.20945344943092</v>
      </c>
      <c r="D9008" s="39"/>
      <c r="E9008" s="39"/>
    </row>
    <row r="9009" spans="1:5" ht="15.6">
      <c r="A9009">
        <v>8954</v>
      </c>
      <c r="B9009" s="166">
        <v>105.99302369239409</v>
      </c>
      <c r="D9009" s="39"/>
      <c r="E9009" s="39"/>
    </row>
    <row r="9010" spans="1:5" ht="15.6">
      <c r="A9010">
        <v>8955</v>
      </c>
      <c r="B9010" s="166">
        <v>55.059386643555193</v>
      </c>
      <c r="D9010" s="39"/>
      <c r="E9010" s="39"/>
    </row>
    <row r="9011" spans="1:5" ht="15.6">
      <c r="A9011">
        <v>8956</v>
      </c>
      <c r="B9011" s="166">
        <v>61.409614632243787</v>
      </c>
      <c r="D9011" s="39"/>
      <c r="E9011" s="39"/>
    </row>
    <row r="9012" spans="1:5" ht="15.6">
      <c r="A9012">
        <v>8957</v>
      </c>
      <c r="B9012" s="166">
        <v>122.96440595534392</v>
      </c>
      <c r="D9012" s="39"/>
      <c r="E9012" s="39"/>
    </row>
    <row r="9013" spans="1:5" ht="15.6">
      <c r="A9013">
        <v>8958</v>
      </c>
      <c r="B9013" s="166">
        <v>106.40750497940459</v>
      </c>
      <c r="D9013" s="39"/>
      <c r="E9013" s="39"/>
    </row>
    <row r="9014" spans="1:5" ht="15.6">
      <c r="A9014">
        <v>8959</v>
      </c>
      <c r="B9014" s="166">
        <v>151.52839259368912</v>
      </c>
      <c r="D9014" s="39"/>
      <c r="E9014" s="39"/>
    </row>
    <row r="9015" spans="1:5" ht="15.6">
      <c r="A9015">
        <v>8960</v>
      </c>
      <c r="B9015" s="166">
        <v>104.26318668142652</v>
      </c>
      <c r="D9015" s="39"/>
      <c r="E9015" s="39"/>
    </row>
    <row r="9016" spans="1:5" ht="15.6">
      <c r="A9016">
        <v>8961</v>
      </c>
      <c r="B9016" s="166">
        <v>102.49076001731552</v>
      </c>
      <c r="D9016" s="39"/>
      <c r="E9016" s="39"/>
    </row>
    <row r="9017" spans="1:5" ht="15.6">
      <c r="A9017">
        <v>8962</v>
      </c>
      <c r="B9017" s="166">
        <v>197.8019248048312</v>
      </c>
      <c r="D9017" s="39"/>
      <c r="E9017" s="39"/>
    </row>
    <row r="9018" spans="1:5" ht="15.6">
      <c r="A9018">
        <v>8963</v>
      </c>
      <c r="B9018" s="166">
        <v>107.99577848891192</v>
      </c>
      <c r="D9018" s="39"/>
      <c r="E9018" s="39"/>
    </row>
    <row r="9019" spans="1:5" ht="15.6">
      <c r="A9019">
        <v>8964</v>
      </c>
      <c r="B9019" s="166">
        <v>80.105482122270772</v>
      </c>
      <c r="D9019" s="39"/>
      <c r="E9019" s="39"/>
    </row>
    <row r="9020" spans="1:5" ht="15.6">
      <c r="A9020">
        <v>8965</v>
      </c>
      <c r="B9020" s="166">
        <v>142.72410893203858</v>
      </c>
      <c r="D9020" s="39"/>
      <c r="E9020" s="39"/>
    </row>
    <row r="9021" spans="1:5" ht="15.6">
      <c r="A9021">
        <v>8966</v>
      </c>
      <c r="B9021" s="166">
        <v>81.655451966471801</v>
      </c>
      <c r="D9021" s="39"/>
      <c r="E9021" s="39"/>
    </row>
    <row r="9022" spans="1:5" ht="15.6">
      <c r="A9022">
        <v>8967</v>
      </c>
      <c r="B9022" s="166">
        <v>173.87178016072107</v>
      </c>
      <c r="D9022" s="39"/>
      <c r="E9022" s="39"/>
    </row>
    <row r="9023" spans="1:5" ht="15.6">
      <c r="A9023">
        <v>8968</v>
      </c>
      <c r="B9023" s="166">
        <v>133.93463173278889</v>
      </c>
      <c r="D9023" s="39"/>
      <c r="E9023" s="39"/>
    </row>
    <row r="9024" spans="1:5" ht="15.6">
      <c r="A9024">
        <v>8969</v>
      </c>
      <c r="B9024" s="166">
        <v>54.692993595611462</v>
      </c>
      <c r="D9024" s="39"/>
      <c r="E9024" s="39"/>
    </row>
    <row r="9025" spans="1:5" ht="15.6">
      <c r="A9025">
        <v>8970</v>
      </c>
      <c r="B9025" s="166">
        <v>121.08514117098605</v>
      </c>
      <c r="D9025" s="39"/>
      <c r="E9025" s="39"/>
    </row>
    <row r="9026" spans="1:5" ht="15.6">
      <c r="A9026">
        <v>8971</v>
      </c>
      <c r="B9026" s="166">
        <v>106.81268790553148</v>
      </c>
      <c r="D9026" s="39"/>
      <c r="E9026" s="39"/>
    </row>
    <row r="9027" spans="1:5" ht="15.6">
      <c r="A9027">
        <v>8972</v>
      </c>
      <c r="B9027" s="166">
        <v>126.72373856587762</v>
      </c>
      <c r="D9027" s="39"/>
      <c r="E9027" s="39"/>
    </row>
    <row r="9028" spans="1:5" ht="15.6">
      <c r="A9028">
        <v>8973</v>
      </c>
      <c r="B9028" s="166">
        <v>105.83748562680739</v>
      </c>
      <c r="D9028" s="39"/>
      <c r="E9028" s="39"/>
    </row>
    <row r="9029" spans="1:5" ht="15.6">
      <c r="A9029">
        <v>8974</v>
      </c>
      <c r="B9029" s="166">
        <v>147.79088487108262</v>
      </c>
      <c r="D9029" s="39"/>
      <c r="E9029" s="39"/>
    </row>
    <row r="9030" spans="1:5" ht="15.6">
      <c r="A9030">
        <v>8975</v>
      </c>
      <c r="B9030" s="166">
        <v>141.11043697979215</v>
      </c>
      <c r="D9030" s="39"/>
      <c r="E9030" s="39"/>
    </row>
    <row r="9031" spans="1:5" ht="15.6">
      <c r="A9031">
        <v>8976</v>
      </c>
      <c r="B9031" s="166">
        <v>174.90591764550493</v>
      </c>
      <c r="D9031" s="39"/>
      <c r="E9031" s="39"/>
    </row>
    <row r="9032" spans="1:5" ht="15.6">
      <c r="A9032">
        <v>8977</v>
      </c>
      <c r="B9032" s="166">
        <v>127.38440976111087</v>
      </c>
      <c r="D9032" s="39"/>
      <c r="E9032" s="39"/>
    </row>
    <row r="9033" spans="1:5" ht="15.6">
      <c r="A9033">
        <v>8978</v>
      </c>
      <c r="B9033" s="166">
        <v>136.60613757514059</v>
      </c>
      <c r="D9033" s="39"/>
      <c r="E9033" s="39"/>
    </row>
    <row r="9034" spans="1:5" ht="15.6">
      <c r="A9034">
        <v>8979</v>
      </c>
      <c r="B9034" s="166">
        <v>123.45564975647038</v>
      </c>
      <c r="D9034" s="39"/>
      <c r="E9034" s="39"/>
    </row>
    <row r="9035" spans="1:5" ht="15.6">
      <c r="A9035">
        <v>8980</v>
      </c>
      <c r="B9035" s="166">
        <v>118.80459062033285</v>
      </c>
      <c r="D9035" s="39"/>
      <c r="E9035" s="39"/>
    </row>
    <row r="9036" spans="1:5" ht="15.6">
      <c r="A9036">
        <v>8981</v>
      </c>
      <c r="B9036" s="166">
        <v>120.69635355413811</v>
      </c>
      <c r="D9036" s="39"/>
      <c r="E9036" s="39"/>
    </row>
    <row r="9037" spans="1:5" ht="15.6">
      <c r="A9037">
        <v>8982</v>
      </c>
      <c r="B9037" s="166">
        <v>201.59307921194258</v>
      </c>
      <c r="D9037" s="39"/>
      <c r="E9037" s="39"/>
    </row>
    <row r="9038" spans="1:5" ht="15.6">
      <c r="A9038">
        <v>8983</v>
      </c>
      <c r="B9038" s="166">
        <v>81.361478898467624</v>
      </c>
      <c r="D9038" s="39"/>
      <c r="E9038" s="39"/>
    </row>
    <row r="9039" spans="1:5" ht="15.6">
      <c r="A9039">
        <v>8984</v>
      </c>
      <c r="B9039" s="166">
        <v>161.33892323916905</v>
      </c>
      <c r="D9039" s="39"/>
      <c r="E9039" s="39"/>
    </row>
    <row r="9040" spans="1:5" ht="15.6">
      <c r="A9040">
        <v>8985</v>
      </c>
      <c r="B9040" s="166">
        <v>63.54700118548373</v>
      </c>
      <c r="D9040" s="39"/>
      <c r="E9040" s="39"/>
    </row>
    <row r="9041" spans="1:5" ht="15.6">
      <c r="A9041">
        <v>8986</v>
      </c>
      <c r="B9041" s="166">
        <v>86.009311217456784</v>
      </c>
      <c r="D9041" s="39"/>
      <c r="E9041" s="39"/>
    </row>
    <row r="9042" spans="1:5" ht="15.6">
      <c r="A9042">
        <v>8987</v>
      </c>
      <c r="B9042" s="166">
        <v>121.02264875209478</v>
      </c>
      <c r="D9042" s="39"/>
      <c r="E9042" s="39"/>
    </row>
    <row r="9043" spans="1:5" ht="15.6">
      <c r="A9043">
        <v>8988</v>
      </c>
      <c r="B9043" s="166">
        <v>112.79813199765852</v>
      </c>
      <c r="D9043" s="39"/>
      <c r="E9043" s="39"/>
    </row>
    <row r="9044" spans="1:5" ht="15.6">
      <c r="A9044">
        <v>8989</v>
      </c>
      <c r="B9044" s="166">
        <v>135.53111389356255</v>
      </c>
      <c r="D9044" s="39"/>
      <c r="E9044" s="39"/>
    </row>
    <row r="9045" spans="1:5" ht="15.6">
      <c r="A9045">
        <v>8990</v>
      </c>
      <c r="B9045" s="166">
        <v>136.30839627687271</v>
      </c>
      <c r="D9045" s="39"/>
      <c r="E9045" s="39"/>
    </row>
    <row r="9046" spans="1:5" ht="15.6">
      <c r="A9046">
        <v>8991</v>
      </c>
      <c r="B9046" s="166">
        <v>125.4714242576927</v>
      </c>
      <c r="D9046" s="39"/>
      <c r="E9046" s="39"/>
    </row>
    <row r="9047" spans="1:5" ht="15.6">
      <c r="A9047">
        <v>8992</v>
      </c>
      <c r="B9047" s="166">
        <v>161.41134739421889</v>
      </c>
      <c r="D9047" s="39"/>
      <c r="E9047" s="39"/>
    </row>
    <row r="9048" spans="1:5" ht="15.6">
      <c r="A9048">
        <v>8993</v>
      </c>
      <c r="B9048" s="166">
        <v>121.23483111313804</v>
      </c>
      <c r="D9048" s="39"/>
      <c r="E9048" s="39"/>
    </row>
    <row r="9049" spans="1:5" ht="15.6">
      <c r="A9049">
        <v>8994</v>
      </c>
      <c r="B9049" s="166">
        <v>104.43767502563321</v>
      </c>
      <c r="D9049" s="39"/>
      <c r="E9049" s="39"/>
    </row>
    <row r="9050" spans="1:5" ht="15.6">
      <c r="A9050">
        <v>8995</v>
      </c>
      <c r="B9050" s="166">
        <v>109.31068666495987</v>
      </c>
      <c r="D9050" s="39"/>
      <c r="E9050" s="39"/>
    </row>
    <row r="9051" spans="1:5" ht="15.6">
      <c r="A9051">
        <v>8996</v>
      </c>
      <c r="B9051" s="166">
        <v>99.061107888226459</v>
      </c>
      <c r="D9051" s="39"/>
      <c r="E9051" s="39"/>
    </row>
    <row r="9052" spans="1:5" ht="15.6">
      <c r="A9052">
        <v>8997</v>
      </c>
      <c r="B9052" s="166">
        <v>101.71501773543042</v>
      </c>
      <c r="D9052" s="39"/>
      <c r="E9052" s="39"/>
    </row>
    <row r="9053" spans="1:5" ht="15.6">
      <c r="A9053">
        <v>8998</v>
      </c>
      <c r="B9053" s="166">
        <v>113.85324545501818</v>
      </c>
      <c r="D9053" s="39"/>
      <c r="E9053" s="39"/>
    </row>
    <row r="9054" spans="1:5" ht="15.6">
      <c r="A9054">
        <v>8999</v>
      </c>
      <c r="B9054" s="166">
        <v>67.208587663063028</v>
      </c>
      <c r="D9054" s="39"/>
      <c r="E9054" s="39"/>
    </row>
    <row r="9055" spans="1:5" ht="15.6">
      <c r="A9055">
        <v>9000</v>
      </c>
      <c r="B9055" s="166">
        <v>97.322529658851991</v>
      </c>
      <c r="D9055" s="39"/>
      <c r="E9055" s="39"/>
    </row>
    <row r="9056" spans="1:5" ht="15.6">
      <c r="A9056">
        <v>9001</v>
      </c>
      <c r="B9056" s="166">
        <v>170.91743915838504</v>
      </c>
      <c r="D9056" s="39"/>
      <c r="E9056" s="39"/>
    </row>
    <row r="9057" spans="1:5" ht="15.6">
      <c r="A9057">
        <v>9002</v>
      </c>
      <c r="B9057" s="166">
        <v>118.3404865996395</v>
      </c>
      <c r="D9057" s="39"/>
      <c r="E9057" s="39"/>
    </row>
    <row r="9058" spans="1:5" ht="15.6">
      <c r="A9058">
        <v>9003</v>
      </c>
      <c r="B9058" s="166">
        <v>94.212829895768664</v>
      </c>
      <c r="D9058" s="39"/>
      <c r="E9058" s="39"/>
    </row>
    <row r="9059" spans="1:5" ht="15.6">
      <c r="A9059">
        <v>9004</v>
      </c>
      <c r="B9059" s="166">
        <v>81.062343127535271</v>
      </c>
      <c r="D9059" s="39"/>
      <c r="E9059" s="39"/>
    </row>
    <row r="9060" spans="1:5" ht="15.6">
      <c r="A9060">
        <v>9005</v>
      </c>
      <c r="B9060" s="166">
        <v>70.473612254081687</v>
      </c>
      <c r="D9060" s="39"/>
      <c r="E9060" s="39"/>
    </row>
    <row r="9061" spans="1:5" ht="15.6">
      <c r="A9061">
        <v>9006</v>
      </c>
      <c r="B9061" s="166">
        <v>76.813729916027157</v>
      </c>
      <c r="D9061" s="39"/>
      <c r="E9061" s="39"/>
    </row>
    <row r="9062" spans="1:5" ht="15.6">
      <c r="A9062">
        <v>9007</v>
      </c>
      <c r="B9062" s="166">
        <v>74.669118669071295</v>
      </c>
      <c r="D9062" s="39"/>
      <c r="E9062" s="39"/>
    </row>
    <row r="9063" spans="1:5" ht="15.6">
      <c r="A9063">
        <v>9008</v>
      </c>
      <c r="B9063" s="166">
        <v>102.33959410672601</v>
      </c>
      <c r="D9063" s="39"/>
      <c r="E9063" s="39"/>
    </row>
    <row r="9064" spans="1:5" ht="15.6">
      <c r="A9064">
        <v>9009</v>
      </c>
      <c r="B9064" s="166">
        <v>192.28548284255129</v>
      </c>
      <c r="D9064" s="39"/>
      <c r="E9064" s="39"/>
    </row>
    <row r="9065" spans="1:5" ht="15.6">
      <c r="A9065">
        <v>9010</v>
      </c>
      <c r="B9065" s="166">
        <v>226.57671281352765</v>
      </c>
      <c r="D9065" s="39"/>
      <c r="E9065" s="39"/>
    </row>
    <row r="9066" spans="1:5" ht="15.6">
      <c r="A9066">
        <v>9011</v>
      </c>
      <c r="B9066" s="166">
        <v>118.1442644203333</v>
      </c>
      <c r="D9066" s="39"/>
      <c r="E9066" s="39"/>
    </row>
    <row r="9067" spans="1:5" ht="15.6">
      <c r="A9067">
        <v>9012</v>
      </c>
      <c r="B9067" s="166">
        <v>98.513638266417601</v>
      </c>
      <c r="D9067" s="39"/>
      <c r="E9067" s="39"/>
    </row>
    <row r="9068" spans="1:5" ht="15.6">
      <c r="A9068">
        <v>9013</v>
      </c>
      <c r="B9068" s="166">
        <v>68.803364421488112</v>
      </c>
      <c r="D9068" s="39"/>
      <c r="E9068" s="39"/>
    </row>
    <row r="9069" spans="1:5" ht="15.6">
      <c r="A9069">
        <v>9014</v>
      </c>
      <c r="B9069" s="166">
        <v>181.0499161430325</v>
      </c>
      <c r="D9069" s="39"/>
      <c r="E9069" s="39"/>
    </row>
    <row r="9070" spans="1:5" ht="15.6">
      <c r="A9070">
        <v>9015</v>
      </c>
      <c r="B9070" s="166">
        <v>143.98879775058086</v>
      </c>
      <c r="D9070" s="39"/>
      <c r="E9070" s="39"/>
    </row>
    <row r="9071" spans="1:5" ht="15.6">
      <c r="A9071">
        <v>9016</v>
      </c>
      <c r="B9071" s="166">
        <v>52.100715604176102</v>
      </c>
      <c r="D9071" s="39"/>
      <c r="E9071" s="39"/>
    </row>
    <row r="9072" spans="1:5" ht="15.6">
      <c r="A9072">
        <v>9017</v>
      </c>
      <c r="B9072" s="166">
        <v>105.8722174312927</v>
      </c>
      <c r="D9072" s="39"/>
      <c r="E9072" s="39"/>
    </row>
    <row r="9073" spans="1:5" ht="15.6">
      <c r="A9073">
        <v>9018</v>
      </c>
      <c r="B9073" s="166">
        <v>97.773901569123964</v>
      </c>
      <c r="D9073" s="39"/>
      <c r="E9073" s="39"/>
    </row>
    <row r="9074" spans="1:5" ht="15.6">
      <c r="A9074">
        <v>9019</v>
      </c>
      <c r="B9074" s="166">
        <v>104.26402951589719</v>
      </c>
      <c r="D9074" s="39"/>
      <c r="E9074" s="39"/>
    </row>
    <row r="9075" spans="1:5" ht="15.6">
      <c r="A9075">
        <v>9020</v>
      </c>
      <c r="B9075" s="166">
        <v>142.02669173425397</v>
      </c>
      <c r="D9075" s="39"/>
      <c r="E9075" s="39"/>
    </row>
    <row r="9076" spans="1:5" ht="15.6">
      <c r="A9076">
        <v>9021</v>
      </c>
      <c r="B9076" s="166">
        <v>70.704665156880736</v>
      </c>
      <c r="D9076" s="39"/>
      <c r="E9076" s="39"/>
    </row>
    <row r="9077" spans="1:5" ht="15.6">
      <c r="A9077">
        <v>9022</v>
      </c>
      <c r="B9077" s="166">
        <v>95.797080212144678</v>
      </c>
      <c r="D9077" s="39"/>
      <c r="E9077" s="39"/>
    </row>
    <row r="9078" spans="1:5" ht="15.6">
      <c r="A9078">
        <v>9023</v>
      </c>
      <c r="B9078" s="166">
        <v>140.98752363989786</v>
      </c>
      <c r="D9078" s="39"/>
      <c r="E9078" s="39"/>
    </row>
    <row r="9079" spans="1:5" ht="15.6">
      <c r="A9079">
        <v>9024</v>
      </c>
      <c r="B9079" s="166">
        <v>191.35178479786401</v>
      </c>
      <c r="D9079" s="39"/>
      <c r="E9079" s="39"/>
    </row>
    <row r="9080" spans="1:5" ht="15.6">
      <c r="A9080">
        <v>9025</v>
      </c>
      <c r="B9080" s="166">
        <v>111.0068895847931</v>
      </c>
      <c r="D9080" s="39"/>
      <c r="E9080" s="39"/>
    </row>
    <row r="9081" spans="1:5" ht="15.6">
      <c r="A9081">
        <v>9026</v>
      </c>
      <c r="B9081" s="166">
        <v>96.640684901144269</v>
      </c>
      <c r="D9081" s="39"/>
      <c r="E9081" s="39"/>
    </row>
    <row r="9082" spans="1:5" ht="15.6">
      <c r="A9082">
        <v>9027</v>
      </c>
      <c r="B9082" s="166">
        <v>106.59190599764914</v>
      </c>
      <c r="D9082" s="39"/>
      <c r="E9082" s="39"/>
    </row>
    <row r="9083" spans="1:5" ht="15.6">
      <c r="A9083">
        <v>9028</v>
      </c>
      <c r="B9083" s="166">
        <v>139.59624823313942</v>
      </c>
      <c r="D9083" s="39"/>
      <c r="E9083" s="39"/>
    </row>
    <row r="9084" spans="1:5" ht="15.6">
      <c r="A9084">
        <v>9029</v>
      </c>
      <c r="B9084" s="166">
        <v>114.24133403891781</v>
      </c>
      <c r="D9084" s="39"/>
      <c r="E9084" s="39"/>
    </row>
    <row r="9085" spans="1:5" ht="15.6">
      <c r="A9085">
        <v>9030</v>
      </c>
      <c r="B9085" s="166">
        <v>141.0346878649911</v>
      </c>
      <c r="D9085" s="39"/>
      <c r="E9085" s="39"/>
    </row>
    <row r="9086" spans="1:5" ht="15.6">
      <c r="A9086">
        <v>9031</v>
      </c>
      <c r="B9086" s="166">
        <v>132.63757387521562</v>
      </c>
      <c r="D9086" s="39"/>
      <c r="E9086" s="39"/>
    </row>
    <row r="9087" spans="1:5" ht="15.6">
      <c r="A9087">
        <v>9032</v>
      </c>
      <c r="B9087" s="166">
        <v>78.327000165821502</v>
      </c>
      <c r="D9087" s="39"/>
      <c r="E9087" s="39"/>
    </row>
    <row r="9088" spans="1:5" ht="15.6">
      <c r="A9088">
        <v>9033</v>
      </c>
      <c r="B9088" s="166">
        <v>80.182499495421013</v>
      </c>
      <c r="D9088" s="39"/>
      <c r="E9088" s="39"/>
    </row>
    <row r="9089" spans="1:5" ht="15.6">
      <c r="A9089">
        <v>9034</v>
      </c>
      <c r="B9089" s="166">
        <v>158.08109586958571</v>
      </c>
      <c r="D9089" s="39"/>
      <c r="E9089" s="39"/>
    </row>
    <row r="9090" spans="1:5" ht="15.6">
      <c r="A9090">
        <v>9035</v>
      </c>
      <c r="B9090" s="166">
        <v>118.92191697417881</v>
      </c>
      <c r="D9090" s="39"/>
      <c r="E9090" s="39"/>
    </row>
    <row r="9091" spans="1:5" ht="15.6">
      <c r="A9091">
        <v>9036</v>
      </c>
      <c r="B9091" s="166">
        <v>93.21395332241903</v>
      </c>
      <c r="D9091" s="39"/>
      <c r="E9091" s="39"/>
    </row>
    <row r="9092" spans="1:5" ht="15.6">
      <c r="A9092">
        <v>9037</v>
      </c>
      <c r="B9092" s="166">
        <v>114.21398213803778</v>
      </c>
      <c r="D9092" s="39"/>
      <c r="E9092" s="39"/>
    </row>
    <row r="9093" spans="1:5" ht="15.6">
      <c r="A9093">
        <v>9038</v>
      </c>
      <c r="B9093" s="166">
        <v>80.143336593653501</v>
      </c>
      <c r="D9093" s="39"/>
      <c r="E9093" s="39"/>
    </row>
    <row r="9094" spans="1:5" ht="15.6">
      <c r="A9094">
        <v>9039</v>
      </c>
      <c r="B9094" s="166">
        <v>121.28875517893994</v>
      </c>
      <c r="D9094" s="39"/>
      <c r="E9094" s="39"/>
    </row>
    <row r="9095" spans="1:5" ht="15.6">
      <c r="A9095">
        <v>9040</v>
      </c>
      <c r="B9095" s="166">
        <v>181.08168766243529</v>
      </c>
      <c r="D9095" s="39"/>
      <c r="E9095" s="39"/>
    </row>
    <row r="9096" spans="1:5" ht="15.6">
      <c r="A9096">
        <v>9041</v>
      </c>
      <c r="B9096" s="166">
        <v>94.536489182528939</v>
      </c>
      <c r="D9096" s="39"/>
      <c r="E9096" s="39"/>
    </row>
    <row r="9097" spans="1:5" ht="15.6">
      <c r="A9097">
        <v>9042</v>
      </c>
      <c r="B9097" s="166">
        <v>81.146312155551456</v>
      </c>
      <c r="D9097" s="39"/>
      <c r="E9097" s="39"/>
    </row>
    <row r="9098" spans="1:5" ht="15.6">
      <c r="A9098">
        <v>9043</v>
      </c>
      <c r="B9098" s="166">
        <v>136.52062444238254</v>
      </c>
      <c r="D9098" s="39"/>
      <c r="E9098" s="39"/>
    </row>
    <row r="9099" spans="1:5" ht="15.6">
      <c r="A9099">
        <v>9044</v>
      </c>
      <c r="B9099" s="166">
        <v>118.21977530410406</v>
      </c>
      <c r="D9099" s="39"/>
      <c r="E9099" s="39"/>
    </row>
    <row r="9100" spans="1:5" ht="15.6">
      <c r="A9100">
        <v>9045</v>
      </c>
      <c r="B9100" s="166">
        <v>73.544141472330665</v>
      </c>
      <c r="D9100" s="39"/>
      <c r="E9100" s="39"/>
    </row>
    <row r="9101" spans="1:5" ht="15.6">
      <c r="A9101">
        <v>9046</v>
      </c>
      <c r="B9101" s="166">
        <v>109.39503768064169</v>
      </c>
      <c r="D9101" s="39"/>
      <c r="E9101" s="39"/>
    </row>
    <row r="9102" spans="1:5" ht="15.6">
      <c r="A9102">
        <v>9047</v>
      </c>
      <c r="B9102" s="166">
        <v>151.95547531979278</v>
      </c>
      <c r="D9102" s="39"/>
      <c r="E9102" s="39"/>
    </row>
    <row r="9103" spans="1:5" ht="15.6">
      <c r="A9103">
        <v>9048</v>
      </c>
      <c r="B9103" s="166">
        <v>148.2381753990324</v>
      </c>
      <c r="D9103" s="39"/>
      <c r="E9103" s="39"/>
    </row>
    <row r="9104" spans="1:5" ht="15.6">
      <c r="A9104">
        <v>9049</v>
      </c>
      <c r="B9104" s="166">
        <v>186.95224258111764</v>
      </c>
      <c r="D9104" s="39"/>
      <c r="E9104" s="39"/>
    </row>
    <row r="9105" spans="1:5" ht="15.6">
      <c r="A9105">
        <v>9050</v>
      </c>
      <c r="B9105" s="166">
        <v>61.446899698528021</v>
      </c>
      <c r="D9105" s="39"/>
      <c r="E9105" s="39"/>
    </row>
    <row r="9106" spans="1:5" ht="15.6">
      <c r="A9106">
        <v>9051</v>
      </c>
      <c r="B9106" s="166">
        <v>108.06745559894755</v>
      </c>
      <c r="D9106" s="39"/>
      <c r="E9106" s="39"/>
    </row>
    <row r="9107" spans="1:5" ht="15.6">
      <c r="A9107">
        <v>9052</v>
      </c>
      <c r="B9107" s="166">
        <v>54.947956339493743</v>
      </c>
      <c r="D9107" s="39"/>
      <c r="E9107" s="39"/>
    </row>
    <row r="9108" spans="1:5" ht="15.6">
      <c r="A9108">
        <v>9053</v>
      </c>
      <c r="B9108" s="166">
        <v>105.35288852983621</v>
      </c>
      <c r="D9108" s="39"/>
      <c r="E9108" s="39"/>
    </row>
    <row r="9109" spans="1:5" ht="15.6">
      <c r="A9109">
        <v>9054</v>
      </c>
      <c r="B9109" s="166">
        <v>136.16957192613893</v>
      </c>
      <c r="D9109" s="39"/>
      <c r="E9109" s="39"/>
    </row>
    <row r="9110" spans="1:5" ht="15.6">
      <c r="A9110">
        <v>9055</v>
      </c>
      <c r="B9110" s="166">
        <v>158.00338920188645</v>
      </c>
      <c r="D9110" s="39"/>
      <c r="E9110" s="39"/>
    </row>
    <row r="9111" spans="1:5" ht="15.6">
      <c r="A9111">
        <v>9056</v>
      </c>
      <c r="B9111" s="166">
        <v>129.48118772495113</v>
      </c>
      <c r="D9111" s="39"/>
      <c r="E9111" s="39"/>
    </row>
    <row r="9112" spans="1:5" ht="15.6">
      <c r="A9112">
        <v>9057</v>
      </c>
      <c r="B9112" s="166">
        <v>137.94499904680194</v>
      </c>
      <c r="D9112" s="39"/>
      <c r="E9112" s="39"/>
    </row>
    <row r="9113" spans="1:5" ht="15.6">
      <c r="A9113">
        <v>9058</v>
      </c>
      <c r="B9113" s="166">
        <v>88.103839335077808</v>
      </c>
      <c r="D9113" s="39"/>
      <c r="E9113" s="39"/>
    </row>
    <row r="9114" spans="1:5" ht="15.6">
      <c r="A9114">
        <v>9059</v>
      </c>
      <c r="B9114" s="166">
        <v>97.23406015636516</v>
      </c>
      <c r="D9114" s="39"/>
      <c r="E9114" s="39"/>
    </row>
    <row r="9115" spans="1:5" ht="15.6">
      <c r="A9115">
        <v>9060</v>
      </c>
      <c r="B9115" s="166">
        <v>193.76889871256711</v>
      </c>
      <c r="D9115" s="39"/>
      <c r="E9115" s="39"/>
    </row>
    <row r="9116" spans="1:5" ht="15.6">
      <c r="A9116">
        <v>9061</v>
      </c>
      <c r="B9116" s="166">
        <v>208.69062894244425</v>
      </c>
      <c r="D9116" s="39"/>
      <c r="E9116" s="39"/>
    </row>
    <row r="9117" spans="1:5" ht="15.6">
      <c r="A9117">
        <v>9062</v>
      </c>
      <c r="B9117" s="166">
        <v>190.81630672701075</v>
      </c>
      <c r="D9117" s="39"/>
      <c r="E9117" s="39"/>
    </row>
    <row r="9118" spans="1:5" ht="15.6">
      <c r="A9118">
        <v>9063</v>
      </c>
      <c r="B9118" s="166">
        <v>54.450547296950916</v>
      </c>
      <c r="D9118" s="39"/>
      <c r="E9118" s="39"/>
    </row>
    <row r="9119" spans="1:5" ht="15.6">
      <c r="A9119">
        <v>9064</v>
      </c>
      <c r="B9119" s="166">
        <v>110.91295080116419</v>
      </c>
      <c r="D9119" s="39"/>
      <c r="E9119" s="39"/>
    </row>
    <row r="9120" spans="1:5" ht="15.6">
      <c r="A9120">
        <v>9065</v>
      </c>
      <c r="B9120" s="166">
        <v>142.04552723199507</v>
      </c>
      <c r="D9120" s="39"/>
      <c r="E9120" s="39"/>
    </row>
    <row r="9121" spans="1:5" ht="15.6">
      <c r="A9121">
        <v>9066</v>
      </c>
      <c r="B9121" s="166">
        <v>82.224121420330903</v>
      </c>
      <c r="D9121" s="39"/>
      <c r="E9121" s="39"/>
    </row>
    <row r="9122" spans="1:5" ht="15.6">
      <c r="A9122">
        <v>9067</v>
      </c>
      <c r="B9122" s="166">
        <v>89.295011222417841</v>
      </c>
      <c r="D9122" s="39"/>
      <c r="E9122" s="39"/>
    </row>
    <row r="9123" spans="1:5" ht="15.6">
      <c r="A9123">
        <v>9068</v>
      </c>
      <c r="B9123" s="166">
        <v>67.33340306627413</v>
      </c>
      <c r="D9123" s="39"/>
      <c r="E9123" s="39"/>
    </row>
    <row r="9124" spans="1:5" ht="15.6">
      <c r="A9124">
        <v>9069</v>
      </c>
      <c r="B9124" s="166">
        <v>72.9366380179993</v>
      </c>
      <c r="D9124" s="39"/>
      <c r="E9124" s="39"/>
    </row>
    <row r="9125" spans="1:5" ht="15.6">
      <c r="A9125">
        <v>9070</v>
      </c>
      <c r="B9125" s="166">
        <v>100.32391688294986</v>
      </c>
      <c r="D9125" s="39"/>
      <c r="E9125" s="39"/>
    </row>
    <row r="9126" spans="1:5" ht="15.6">
      <c r="A9126">
        <v>9071</v>
      </c>
      <c r="B9126" s="166">
        <v>83.125324761101083</v>
      </c>
      <c r="D9126" s="39"/>
      <c r="E9126" s="39"/>
    </row>
    <row r="9127" spans="1:5" ht="15.6">
      <c r="A9127">
        <v>9072</v>
      </c>
      <c r="B9127" s="166">
        <v>67.131278675135391</v>
      </c>
      <c r="D9127" s="39"/>
      <c r="E9127" s="39"/>
    </row>
    <row r="9128" spans="1:5" ht="15.6">
      <c r="A9128">
        <v>9073</v>
      </c>
      <c r="B9128" s="166">
        <v>110.61085207041383</v>
      </c>
      <c r="D9128" s="39"/>
      <c r="E9128" s="39"/>
    </row>
    <row r="9129" spans="1:5" ht="15.6">
      <c r="A9129">
        <v>9074</v>
      </c>
      <c r="B9129" s="166">
        <v>97.023082461232491</v>
      </c>
      <c r="D9129" s="39"/>
      <c r="E9129" s="39"/>
    </row>
    <row r="9130" spans="1:5" ht="15.6">
      <c r="A9130">
        <v>9075</v>
      </c>
      <c r="B9130" s="166">
        <v>132.10294351563621</v>
      </c>
      <c r="D9130" s="39"/>
      <c r="E9130" s="39"/>
    </row>
    <row r="9131" spans="1:5" ht="15.6">
      <c r="A9131">
        <v>9076</v>
      </c>
      <c r="B9131" s="166">
        <v>73.612410703640364</v>
      </c>
      <c r="D9131" s="39"/>
      <c r="E9131" s="39"/>
    </row>
    <row r="9132" spans="1:5" ht="15.6">
      <c r="A9132">
        <v>9077</v>
      </c>
      <c r="B9132" s="166">
        <v>114.02878548011147</v>
      </c>
      <c r="D9132" s="39"/>
      <c r="E9132" s="39"/>
    </row>
    <row r="9133" spans="1:5" ht="15.6">
      <c r="A9133">
        <v>9078</v>
      </c>
      <c r="B9133" s="166">
        <v>118.28884708186236</v>
      </c>
      <c r="D9133" s="39"/>
      <c r="E9133" s="39"/>
    </row>
    <row r="9134" spans="1:5" ht="15.6">
      <c r="A9134">
        <v>9079</v>
      </c>
      <c r="B9134" s="166">
        <v>98.403376059083342</v>
      </c>
      <c r="D9134" s="39"/>
      <c r="E9134" s="39"/>
    </row>
    <row r="9135" spans="1:5" ht="15.6">
      <c r="A9135">
        <v>9080</v>
      </c>
      <c r="B9135" s="166">
        <v>134.52243361869941</v>
      </c>
      <c r="D9135" s="39"/>
      <c r="E9135" s="39"/>
    </row>
    <row r="9136" spans="1:5" ht="15.6">
      <c r="A9136">
        <v>9081</v>
      </c>
      <c r="B9136" s="166">
        <v>111.15112881372151</v>
      </c>
      <c r="D9136" s="39"/>
      <c r="E9136" s="39"/>
    </row>
    <row r="9137" spans="1:5" ht="15.6">
      <c r="A9137">
        <v>9082</v>
      </c>
      <c r="B9137" s="166">
        <v>212.45808450415876</v>
      </c>
      <c r="D9137" s="39"/>
      <c r="E9137" s="39"/>
    </row>
    <row r="9138" spans="1:5" ht="15.6">
      <c r="A9138">
        <v>9083</v>
      </c>
      <c r="B9138" s="166">
        <v>127.46545266206191</v>
      </c>
      <c r="D9138" s="39"/>
      <c r="E9138" s="39"/>
    </row>
    <row r="9139" spans="1:5" ht="15.6">
      <c r="A9139">
        <v>9084</v>
      </c>
      <c r="B9139" s="166">
        <v>182.45572534360127</v>
      </c>
      <c r="D9139" s="39"/>
      <c r="E9139" s="39"/>
    </row>
    <row r="9140" spans="1:5" ht="15.6">
      <c r="A9140">
        <v>9085</v>
      </c>
      <c r="B9140" s="166">
        <v>86.538532164655123</v>
      </c>
      <c r="D9140" s="39"/>
      <c r="E9140" s="39"/>
    </row>
    <row r="9141" spans="1:5" ht="15.6">
      <c r="A9141">
        <v>9086</v>
      </c>
      <c r="B9141" s="166">
        <v>161.28913137846675</v>
      </c>
      <c r="D9141" s="39"/>
      <c r="E9141" s="39"/>
    </row>
    <row r="9142" spans="1:5" ht="15.6">
      <c r="A9142">
        <v>9087</v>
      </c>
      <c r="B9142" s="166">
        <v>64.055214159467951</v>
      </c>
      <c r="D9142" s="39"/>
      <c r="E9142" s="39"/>
    </row>
    <row r="9143" spans="1:5" ht="15.6">
      <c r="A9143">
        <v>9088</v>
      </c>
      <c r="B9143" s="166">
        <v>116.93934052848442</v>
      </c>
      <c r="D9143" s="39"/>
      <c r="E9143" s="39"/>
    </row>
    <row r="9144" spans="1:5" ht="15.6">
      <c r="A9144">
        <v>9089</v>
      </c>
      <c r="B9144" s="166">
        <v>111.8709114413919</v>
      </c>
      <c r="D9144" s="39"/>
      <c r="E9144" s="39"/>
    </row>
    <row r="9145" spans="1:5" ht="15.6">
      <c r="A9145">
        <v>9090</v>
      </c>
      <c r="B9145" s="166">
        <v>155.95167053135808</v>
      </c>
      <c r="D9145" s="39"/>
      <c r="E9145" s="39"/>
    </row>
    <row r="9146" spans="1:5" ht="15.6">
      <c r="A9146">
        <v>9091</v>
      </c>
      <c r="B9146" s="166">
        <v>81.427198319060281</v>
      </c>
      <c r="D9146" s="39"/>
      <c r="E9146" s="39"/>
    </row>
    <row r="9147" spans="1:5" ht="15.6">
      <c r="A9147">
        <v>9092</v>
      </c>
      <c r="B9147" s="166">
        <v>89.835475129672233</v>
      </c>
      <c r="D9147" s="39"/>
      <c r="E9147" s="39"/>
    </row>
    <row r="9148" spans="1:5" ht="15.6">
      <c r="A9148">
        <v>9093</v>
      </c>
      <c r="B9148" s="166">
        <v>112.628272106796</v>
      </c>
      <c r="D9148" s="39"/>
      <c r="E9148" s="39"/>
    </row>
    <row r="9149" spans="1:5" ht="15.6">
      <c r="A9149">
        <v>9094</v>
      </c>
      <c r="B9149" s="166">
        <v>76.960011437228658</v>
      </c>
      <c r="D9149" s="39"/>
      <c r="E9149" s="39"/>
    </row>
    <row r="9150" spans="1:5" ht="15.6">
      <c r="A9150">
        <v>9095</v>
      </c>
      <c r="B9150" s="166">
        <v>84.225443967982628</v>
      </c>
      <c r="D9150" s="39"/>
      <c r="E9150" s="39"/>
    </row>
    <row r="9151" spans="1:5" ht="15.6">
      <c r="A9151">
        <v>9096</v>
      </c>
      <c r="B9151" s="166">
        <v>96.583792350100126</v>
      </c>
      <c r="D9151" s="39"/>
      <c r="E9151" s="39"/>
    </row>
    <row r="9152" spans="1:5" ht="15.6">
      <c r="A9152">
        <v>9097</v>
      </c>
      <c r="B9152" s="166">
        <v>134.99954927033014</v>
      </c>
      <c r="D9152" s="39"/>
      <c r="E9152" s="39"/>
    </row>
    <row r="9153" spans="1:5" ht="15.6">
      <c r="A9153">
        <v>9098</v>
      </c>
      <c r="B9153" s="166">
        <v>82.898112211384472</v>
      </c>
      <c r="D9153" s="39"/>
      <c r="E9153" s="39"/>
    </row>
    <row r="9154" spans="1:5" ht="15.6">
      <c r="A9154">
        <v>9099</v>
      </c>
      <c r="B9154" s="166">
        <v>141.66274315165478</v>
      </c>
      <c r="D9154" s="39"/>
      <c r="E9154" s="39"/>
    </row>
    <row r="9155" spans="1:5" ht="15.6">
      <c r="A9155">
        <v>9100</v>
      </c>
      <c r="B9155" s="166">
        <v>69.772104524222527</v>
      </c>
      <c r="D9155" s="39"/>
      <c r="E9155" s="39"/>
    </row>
    <row r="9156" spans="1:5" ht="15.6">
      <c r="A9156">
        <v>9101</v>
      </c>
      <c r="B9156" s="166">
        <v>96.626140501658227</v>
      </c>
      <c r="D9156" s="39"/>
      <c r="E9156" s="39"/>
    </row>
    <row r="9157" spans="1:5" ht="15.6">
      <c r="A9157">
        <v>9102</v>
      </c>
      <c r="B9157" s="166">
        <v>116.88349527985599</v>
      </c>
      <c r="D9157" s="39"/>
      <c r="E9157" s="39"/>
    </row>
    <row r="9158" spans="1:5" ht="15.6">
      <c r="A9158">
        <v>9103</v>
      </c>
      <c r="B9158" s="166">
        <v>194.5426390707558</v>
      </c>
      <c r="D9158" s="39"/>
      <c r="E9158" s="39"/>
    </row>
    <row r="9159" spans="1:5" ht="15.6">
      <c r="A9159">
        <v>9104</v>
      </c>
      <c r="B9159" s="166">
        <v>103.09783101762888</v>
      </c>
      <c r="D9159" s="39"/>
      <c r="E9159" s="39"/>
    </row>
    <row r="9160" spans="1:5" ht="15.6">
      <c r="A9160">
        <v>9105</v>
      </c>
      <c r="B9160" s="166">
        <v>71.4609570368155</v>
      </c>
      <c r="D9160" s="39"/>
      <c r="E9160" s="39"/>
    </row>
    <row r="9161" spans="1:5" ht="15.6">
      <c r="A9161">
        <v>9106</v>
      </c>
      <c r="B9161" s="166">
        <v>166.10154764172535</v>
      </c>
      <c r="D9161" s="39"/>
      <c r="E9161" s="39"/>
    </row>
    <row r="9162" spans="1:5" ht="15.6">
      <c r="A9162">
        <v>9107</v>
      </c>
      <c r="B9162" s="166">
        <v>101.59963794652126</v>
      </c>
      <c r="D9162" s="39"/>
      <c r="E9162" s="39"/>
    </row>
    <row r="9163" spans="1:5" ht="15.6">
      <c r="A9163">
        <v>9108</v>
      </c>
      <c r="B9163" s="166">
        <v>113.45014716245319</v>
      </c>
      <c r="D9163" s="39"/>
      <c r="E9163" s="39"/>
    </row>
    <row r="9164" spans="1:5" ht="15.6">
      <c r="A9164">
        <v>9109</v>
      </c>
      <c r="B9164" s="166">
        <v>117.88406191381337</v>
      </c>
      <c r="D9164" s="39"/>
      <c r="E9164" s="39"/>
    </row>
    <row r="9165" spans="1:5" ht="15.6">
      <c r="A9165">
        <v>9110</v>
      </c>
      <c r="B9165" s="166">
        <v>69.516896699870372</v>
      </c>
      <c r="D9165" s="39"/>
      <c r="E9165" s="39"/>
    </row>
    <row r="9166" spans="1:5" ht="15.6">
      <c r="A9166">
        <v>9111</v>
      </c>
      <c r="B9166" s="166">
        <v>116.52652466799825</v>
      </c>
      <c r="D9166" s="39"/>
      <c r="E9166" s="39"/>
    </row>
    <row r="9167" spans="1:5" ht="15.6">
      <c r="A9167">
        <v>9112</v>
      </c>
      <c r="B9167" s="166">
        <v>74.166509799406867</v>
      </c>
      <c r="D9167" s="39"/>
      <c r="E9167" s="39"/>
    </row>
    <row r="9168" spans="1:5" ht="15.6">
      <c r="A9168">
        <v>9113</v>
      </c>
      <c r="B9168" s="166">
        <v>164.28891754906894</v>
      </c>
      <c r="D9168" s="39"/>
      <c r="E9168" s="39"/>
    </row>
    <row r="9169" spans="1:5" ht="15.6">
      <c r="A9169">
        <v>9114</v>
      </c>
      <c r="B9169" s="166">
        <v>125.06653853059674</v>
      </c>
      <c r="D9169" s="39"/>
      <c r="E9169" s="39"/>
    </row>
    <row r="9170" spans="1:5" ht="15.6">
      <c r="A9170">
        <v>9115</v>
      </c>
      <c r="B9170" s="166">
        <v>67.015901413538614</v>
      </c>
      <c r="D9170" s="39"/>
      <c r="E9170" s="39"/>
    </row>
    <row r="9171" spans="1:5" ht="15.6">
      <c r="A9171">
        <v>9116</v>
      </c>
      <c r="B9171" s="166">
        <v>73.236233494214929</v>
      </c>
      <c r="D9171" s="39"/>
      <c r="E9171" s="39"/>
    </row>
    <row r="9172" spans="1:5" ht="15.6">
      <c r="A9172">
        <v>9117</v>
      </c>
      <c r="B9172" s="166">
        <v>86.389699231079788</v>
      </c>
      <c r="D9172" s="39"/>
      <c r="E9172" s="39"/>
    </row>
    <row r="9173" spans="1:5" ht="15.6">
      <c r="A9173">
        <v>9118</v>
      </c>
      <c r="B9173" s="166">
        <v>56.084622897960763</v>
      </c>
      <c r="D9173" s="39"/>
      <c r="E9173" s="39"/>
    </row>
    <row r="9174" spans="1:5" ht="15.6">
      <c r="A9174">
        <v>9119</v>
      </c>
      <c r="B9174" s="166">
        <v>71.466034117567148</v>
      </c>
      <c r="D9174" s="39"/>
      <c r="E9174" s="39"/>
    </row>
    <row r="9175" spans="1:5" ht="15.6">
      <c r="A9175">
        <v>9120</v>
      </c>
      <c r="B9175" s="166">
        <v>135.11760810358783</v>
      </c>
      <c r="D9175" s="39"/>
      <c r="E9175" s="39"/>
    </row>
    <row r="9176" spans="1:5" ht="15.6">
      <c r="A9176">
        <v>9121</v>
      </c>
      <c r="B9176" s="166">
        <v>68.380870367800554</v>
      </c>
      <c r="D9176" s="39"/>
      <c r="E9176" s="39"/>
    </row>
    <row r="9177" spans="1:5" ht="15.6">
      <c r="A9177">
        <v>9122</v>
      </c>
      <c r="B9177" s="166">
        <v>114.84297766034244</v>
      </c>
      <c r="D9177" s="39"/>
      <c r="E9177" s="39"/>
    </row>
    <row r="9178" spans="1:5" ht="15.6">
      <c r="A9178">
        <v>9123</v>
      </c>
      <c r="B9178" s="166">
        <v>95.004907725113384</v>
      </c>
      <c r="D9178" s="39"/>
      <c r="E9178" s="39"/>
    </row>
    <row r="9179" spans="1:5" ht="15.6">
      <c r="A9179">
        <v>9124</v>
      </c>
      <c r="B9179" s="166">
        <v>201.99531691953311</v>
      </c>
      <c r="D9179" s="39"/>
      <c r="E9179" s="39"/>
    </row>
    <row r="9180" spans="1:5" ht="15.6">
      <c r="A9180">
        <v>9125</v>
      </c>
      <c r="B9180" s="166">
        <v>91.65193516020166</v>
      </c>
      <c r="D9180" s="39"/>
      <c r="E9180" s="39"/>
    </row>
    <row r="9181" spans="1:5" ht="15.6">
      <c r="A9181">
        <v>9126</v>
      </c>
      <c r="B9181" s="166">
        <v>92.542014561817624</v>
      </c>
      <c r="D9181" s="39"/>
      <c r="E9181" s="39"/>
    </row>
    <row r="9182" spans="1:5" ht="15.6">
      <c r="A9182">
        <v>9127</v>
      </c>
      <c r="B9182" s="166">
        <v>96.684360178686177</v>
      </c>
      <c r="D9182" s="39"/>
      <c r="E9182" s="39"/>
    </row>
    <row r="9183" spans="1:5" ht="15.6">
      <c r="A9183">
        <v>9128</v>
      </c>
      <c r="B9183" s="166">
        <v>144.94513994677777</v>
      </c>
      <c r="D9183" s="39"/>
      <c r="E9183" s="39"/>
    </row>
    <row r="9184" spans="1:5" ht="15.6">
      <c r="A9184">
        <v>9129</v>
      </c>
      <c r="B9184" s="166">
        <v>90.724556131250949</v>
      </c>
      <c r="D9184" s="39"/>
      <c r="E9184" s="39"/>
    </row>
    <row r="9185" spans="1:5" ht="15.6">
      <c r="A9185">
        <v>9130</v>
      </c>
      <c r="B9185" s="166">
        <v>66.388078406613332</v>
      </c>
      <c r="D9185" s="39"/>
      <c r="E9185" s="39"/>
    </row>
    <row r="9186" spans="1:5" ht="15.6">
      <c r="A9186">
        <v>9131</v>
      </c>
      <c r="B9186" s="166">
        <v>101.12667808286579</v>
      </c>
      <c r="D9186" s="39"/>
      <c r="E9186" s="39"/>
    </row>
    <row r="9187" spans="1:5" ht="15.6">
      <c r="A9187">
        <v>9132</v>
      </c>
      <c r="B9187" s="166">
        <v>122.58144273694556</v>
      </c>
      <c r="D9187" s="39"/>
      <c r="E9187" s="39"/>
    </row>
    <row r="9188" spans="1:5" ht="15.6">
      <c r="A9188">
        <v>9133</v>
      </c>
      <c r="B9188" s="166">
        <v>74.608778574173243</v>
      </c>
      <c r="D9188" s="39"/>
      <c r="E9188" s="39"/>
    </row>
    <row r="9189" spans="1:5" ht="15.6">
      <c r="A9189">
        <v>9134</v>
      </c>
      <c r="B9189" s="166">
        <v>105.52232528116458</v>
      </c>
      <c r="D9189" s="39"/>
      <c r="E9189" s="39"/>
    </row>
    <row r="9190" spans="1:5" ht="15.6">
      <c r="A9190">
        <v>9135</v>
      </c>
      <c r="B9190" s="166">
        <v>108.93562737804984</v>
      </c>
      <c r="D9190" s="39"/>
      <c r="E9190" s="39"/>
    </row>
    <row r="9191" spans="1:5" ht="15.6">
      <c r="A9191">
        <v>9136</v>
      </c>
      <c r="B9191" s="166">
        <v>96.807307282813341</v>
      </c>
      <c r="D9191" s="39"/>
      <c r="E9191" s="39"/>
    </row>
    <row r="9192" spans="1:5" ht="15.6">
      <c r="A9192">
        <v>9137</v>
      </c>
      <c r="B9192" s="166">
        <v>103.96260862073913</v>
      </c>
      <c r="D9192" s="39"/>
      <c r="E9192" s="39"/>
    </row>
    <row r="9193" spans="1:5" ht="15.6">
      <c r="A9193">
        <v>9138</v>
      </c>
      <c r="B9193" s="166">
        <v>61.341122605770508</v>
      </c>
      <c r="D9193" s="39"/>
      <c r="E9193" s="39"/>
    </row>
    <row r="9194" spans="1:5" ht="15.6">
      <c r="A9194">
        <v>9139</v>
      </c>
      <c r="B9194" s="166">
        <v>94.49857465838484</v>
      </c>
      <c r="D9194" s="39"/>
      <c r="E9194" s="39"/>
    </row>
    <row r="9195" spans="1:5" ht="15.6">
      <c r="A9195">
        <v>9140</v>
      </c>
      <c r="B9195" s="166">
        <v>156.17438787567519</v>
      </c>
      <c r="D9195" s="39"/>
      <c r="E9195" s="39"/>
    </row>
    <row r="9196" spans="1:5" ht="15.6">
      <c r="A9196">
        <v>9141</v>
      </c>
      <c r="B9196" s="166">
        <v>56.445748683800083</v>
      </c>
      <c r="D9196" s="39"/>
      <c r="E9196" s="39"/>
    </row>
    <row r="9197" spans="1:5" ht="15.6">
      <c r="A9197">
        <v>9142</v>
      </c>
      <c r="B9197" s="166">
        <v>216.14601343128285</v>
      </c>
      <c r="D9197" s="39"/>
      <c r="E9197" s="39"/>
    </row>
    <row r="9198" spans="1:5" ht="15.6">
      <c r="A9198">
        <v>9143</v>
      </c>
      <c r="B9198" s="166">
        <v>140.10366435378754</v>
      </c>
      <c r="D9198" s="39"/>
      <c r="E9198" s="39"/>
    </row>
    <row r="9199" spans="1:5" ht="15.6">
      <c r="A9199">
        <v>9144</v>
      </c>
      <c r="B9199" s="166">
        <v>122.31109092706262</v>
      </c>
      <c r="D9199" s="39"/>
      <c r="E9199" s="39"/>
    </row>
    <row r="9200" spans="1:5" ht="15.6">
      <c r="A9200">
        <v>9145</v>
      </c>
      <c r="B9200" s="166">
        <v>85.279645348699574</v>
      </c>
      <c r="D9200" s="39"/>
      <c r="E9200" s="39"/>
    </row>
    <row r="9201" spans="1:5" ht="15.6">
      <c r="A9201">
        <v>9146</v>
      </c>
      <c r="B9201" s="166">
        <v>171.37693965137859</v>
      </c>
      <c r="D9201" s="39"/>
      <c r="E9201" s="39"/>
    </row>
    <row r="9202" spans="1:5" ht="15.6">
      <c r="A9202">
        <v>9147</v>
      </c>
      <c r="B9202" s="166">
        <v>94.897146680016562</v>
      </c>
      <c r="D9202" s="39"/>
      <c r="E9202" s="39"/>
    </row>
    <row r="9203" spans="1:5" ht="15.6">
      <c r="A9203">
        <v>9148</v>
      </c>
      <c r="B9203" s="166">
        <v>160.20869420159431</v>
      </c>
      <c r="D9203" s="39"/>
      <c r="E9203" s="39"/>
    </row>
    <row r="9204" spans="1:5" ht="15.6">
      <c r="A9204">
        <v>9149</v>
      </c>
      <c r="B9204" s="166">
        <v>78.474320674806691</v>
      </c>
      <c r="D9204" s="39"/>
      <c r="E9204" s="39"/>
    </row>
    <row r="9205" spans="1:5" ht="15.6">
      <c r="A9205">
        <v>9150</v>
      </c>
      <c r="B9205" s="166">
        <v>168.42204082258618</v>
      </c>
      <c r="D9205" s="39"/>
      <c r="E9205" s="39"/>
    </row>
    <row r="9206" spans="1:5" ht="15.6">
      <c r="A9206">
        <v>9151</v>
      </c>
      <c r="B9206" s="166">
        <v>106.77989665131057</v>
      </c>
      <c r="D9206" s="39"/>
      <c r="E9206" s="39"/>
    </row>
    <row r="9207" spans="1:5" ht="15.6">
      <c r="A9207">
        <v>9152</v>
      </c>
      <c r="B9207" s="166">
        <v>55.998704947539352</v>
      </c>
      <c r="D9207" s="39"/>
      <c r="E9207" s="39"/>
    </row>
    <row r="9208" spans="1:5" ht="15.6">
      <c r="A9208">
        <v>9153</v>
      </c>
      <c r="B9208" s="166">
        <v>148.77648379781806</v>
      </c>
      <c r="D9208" s="39"/>
      <c r="E9208" s="39"/>
    </row>
    <row r="9209" spans="1:5" ht="15.6">
      <c r="A9209">
        <v>9154</v>
      </c>
      <c r="B9209" s="166">
        <v>97.477840481988295</v>
      </c>
      <c r="D9209" s="39"/>
      <c r="E9209" s="39"/>
    </row>
    <row r="9210" spans="1:5" ht="15.6">
      <c r="A9210">
        <v>9155</v>
      </c>
      <c r="B9210" s="166">
        <v>130.42477306112346</v>
      </c>
      <c r="D9210" s="39"/>
      <c r="E9210" s="39"/>
    </row>
    <row r="9211" spans="1:5" ht="15.6">
      <c r="A9211">
        <v>9156</v>
      </c>
      <c r="B9211" s="166">
        <v>96.220942597933742</v>
      </c>
      <c r="D9211" s="39"/>
      <c r="E9211" s="39"/>
    </row>
    <row r="9212" spans="1:5" ht="15.6">
      <c r="A9212">
        <v>9157</v>
      </c>
      <c r="B9212" s="166">
        <v>119.19229479175284</v>
      </c>
      <c r="D9212" s="39"/>
      <c r="E9212" s="39"/>
    </row>
    <row r="9213" spans="1:5" ht="15.6">
      <c r="A9213">
        <v>9158</v>
      </c>
      <c r="B9213" s="166">
        <v>108.87847695812202</v>
      </c>
      <c r="D9213" s="39"/>
      <c r="E9213" s="39"/>
    </row>
    <row r="9214" spans="1:5" ht="15.6">
      <c r="A9214">
        <v>9159</v>
      </c>
      <c r="B9214" s="166">
        <v>136.80952222961918</v>
      </c>
      <c r="D9214" s="39"/>
      <c r="E9214" s="39"/>
    </row>
    <row r="9215" spans="1:5" ht="15.6">
      <c r="A9215">
        <v>9160</v>
      </c>
      <c r="B9215" s="166">
        <v>164.99237799999568</v>
      </c>
      <c r="D9215" s="39"/>
      <c r="E9215" s="39"/>
    </row>
    <row r="9216" spans="1:5" ht="15.6">
      <c r="A9216">
        <v>9161</v>
      </c>
      <c r="B9216" s="166">
        <v>116.58988105669766</v>
      </c>
      <c r="D9216" s="39"/>
      <c r="E9216" s="39"/>
    </row>
    <row r="9217" spans="1:5" ht="15.6">
      <c r="A9217">
        <v>9162</v>
      </c>
      <c r="B9217" s="166">
        <v>66.797413689517612</v>
      </c>
      <c r="D9217" s="39"/>
      <c r="E9217" s="39"/>
    </row>
    <row r="9218" spans="1:5" ht="15.6">
      <c r="A9218">
        <v>9163</v>
      </c>
      <c r="B9218" s="166">
        <v>125.67241807392422</v>
      </c>
      <c r="D9218" s="39"/>
      <c r="E9218" s="39"/>
    </row>
    <row r="9219" spans="1:5" ht="15.6">
      <c r="A9219">
        <v>9164</v>
      </c>
      <c r="B9219" s="166">
        <v>105.4600315123766</v>
      </c>
      <c r="D9219" s="39"/>
      <c r="E9219" s="39"/>
    </row>
    <row r="9220" spans="1:5" ht="15.6">
      <c r="A9220">
        <v>9165</v>
      </c>
      <c r="B9220" s="166">
        <v>170.15928489139887</v>
      </c>
      <c r="D9220" s="39"/>
      <c r="E9220" s="39"/>
    </row>
    <row r="9221" spans="1:5" ht="15.6">
      <c r="A9221">
        <v>9166</v>
      </c>
      <c r="B9221" s="166">
        <v>78.652653616962894</v>
      </c>
      <c r="D9221" s="39"/>
      <c r="E9221" s="39"/>
    </row>
    <row r="9222" spans="1:5" ht="15.6">
      <c r="A9222">
        <v>9167</v>
      </c>
      <c r="B9222" s="166">
        <v>185.43456156345269</v>
      </c>
      <c r="D9222" s="39"/>
      <c r="E9222" s="39"/>
    </row>
    <row r="9223" spans="1:5" ht="15.6">
      <c r="A9223">
        <v>9168</v>
      </c>
      <c r="B9223" s="166">
        <v>80.5945765141837</v>
      </c>
      <c r="D9223" s="39"/>
      <c r="E9223" s="39"/>
    </row>
    <row r="9224" spans="1:5" ht="15.6">
      <c r="A9224">
        <v>9169</v>
      </c>
      <c r="B9224" s="166">
        <v>83.683933455207608</v>
      </c>
      <c r="D9224" s="39"/>
      <c r="E9224" s="39"/>
    </row>
    <row r="9225" spans="1:5" ht="15.6">
      <c r="A9225">
        <v>9170</v>
      </c>
      <c r="B9225" s="166">
        <v>92.657240466888695</v>
      </c>
      <c r="D9225" s="39"/>
      <c r="E9225" s="39"/>
    </row>
    <row r="9226" spans="1:5" ht="15.6">
      <c r="A9226">
        <v>9171</v>
      </c>
      <c r="B9226" s="166">
        <v>48.159071271536583</v>
      </c>
      <c r="D9226" s="39"/>
      <c r="E9226" s="39"/>
    </row>
    <row r="9227" spans="1:5" ht="15.6">
      <c r="A9227">
        <v>9172</v>
      </c>
      <c r="B9227" s="166">
        <v>72.925942827307921</v>
      </c>
      <c r="D9227" s="39"/>
      <c r="E9227" s="39"/>
    </row>
    <row r="9228" spans="1:5" ht="15.6">
      <c r="A9228">
        <v>9173</v>
      </c>
      <c r="B9228" s="166">
        <v>98.818798021670034</v>
      </c>
      <c r="D9228" s="39"/>
      <c r="E9228" s="39"/>
    </row>
    <row r="9229" spans="1:5" ht="15.6">
      <c r="A9229">
        <v>9174</v>
      </c>
      <c r="B9229" s="166">
        <v>73.99806593303947</v>
      </c>
      <c r="D9229" s="39"/>
      <c r="E9229" s="39"/>
    </row>
    <row r="9230" spans="1:5" ht="15.6">
      <c r="A9230">
        <v>9175</v>
      </c>
      <c r="B9230" s="166">
        <v>126.9329092921526</v>
      </c>
      <c r="D9230" s="39"/>
      <c r="E9230" s="39"/>
    </row>
    <row r="9231" spans="1:5" ht="15.6">
      <c r="A9231">
        <v>9176</v>
      </c>
      <c r="B9231" s="166">
        <v>105.77570931481493</v>
      </c>
      <c r="D9231" s="39"/>
      <c r="E9231" s="39"/>
    </row>
    <row r="9232" spans="1:5" ht="15.6">
      <c r="A9232">
        <v>9177</v>
      </c>
      <c r="B9232" s="166">
        <v>119.00165879514846</v>
      </c>
      <c r="D9232" s="39"/>
      <c r="E9232" s="39"/>
    </row>
    <row r="9233" spans="1:5" ht="15.6">
      <c r="A9233">
        <v>9178</v>
      </c>
      <c r="B9233" s="166">
        <v>133.67591197102576</v>
      </c>
      <c r="D9233" s="39"/>
      <c r="E9233" s="39"/>
    </row>
    <row r="9234" spans="1:5" ht="15.6">
      <c r="A9234">
        <v>9179</v>
      </c>
      <c r="B9234" s="166">
        <v>92.726921760789025</v>
      </c>
      <c r="D9234" s="39"/>
      <c r="E9234" s="39"/>
    </row>
    <row r="9235" spans="1:5" ht="15.6">
      <c r="A9235">
        <v>9180</v>
      </c>
      <c r="B9235" s="166">
        <v>86.708329183718817</v>
      </c>
      <c r="D9235" s="39"/>
      <c r="E9235" s="39"/>
    </row>
    <row r="9236" spans="1:5" ht="15.6">
      <c r="A9236">
        <v>9181</v>
      </c>
      <c r="B9236" s="166">
        <v>72.115887587355701</v>
      </c>
      <c r="D9236" s="39"/>
      <c r="E9236" s="39"/>
    </row>
    <row r="9237" spans="1:5" ht="15.6">
      <c r="A9237">
        <v>9182</v>
      </c>
      <c r="B9237" s="166">
        <v>102.75796197300737</v>
      </c>
      <c r="D9237" s="39"/>
      <c r="E9237" s="39"/>
    </row>
    <row r="9238" spans="1:5" ht="15.6">
      <c r="A9238">
        <v>9183</v>
      </c>
      <c r="B9238" s="166">
        <v>63.768202874712138</v>
      </c>
      <c r="D9238" s="39"/>
      <c r="E9238" s="39"/>
    </row>
    <row r="9239" spans="1:5" ht="15.6">
      <c r="A9239">
        <v>9184</v>
      </c>
      <c r="B9239" s="166">
        <v>65.613515229360473</v>
      </c>
      <c r="D9239" s="39"/>
      <c r="E9239" s="39"/>
    </row>
    <row r="9240" spans="1:5" ht="15.6">
      <c r="A9240">
        <v>9185</v>
      </c>
      <c r="B9240" s="166">
        <v>141.02366343460375</v>
      </c>
      <c r="D9240" s="39"/>
      <c r="E9240" s="39"/>
    </row>
    <row r="9241" spans="1:5" ht="15.6">
      <c r="A9241">
        <v>9186</v>
      </c>
      <c r="B9241" s="166">
        <v>108.24367203945575</v>
      </c>
      <c r="D9241" s="39"/>
      <c r="E9241" s="39"/>
    </row>
    <row r="9242" spans="1:5" ht="15.6">
      <c r="A9242">
        <v>9187</v>
      </c>
      <c r="B9242" s="166">
        <v>110.52153648744151</v>
      </c>
      <c r="D9242" s="39"/>
      <c r="E9242" s="39"/>
    </row>
    <row r="9243" spans="1:5" ht="15.6">
      <c r="A9243">
        <v>9188</v>
      </c>
      <c r="B9243" s="166">
        <v>123.29191650368927</v>
      </c>
      <c r="D9243" s="39"/>
      <c r="E9243" s="39"/>
    </row>
    <row r="9244" spans="1:5" ht="15.6">
      <c r="A9244">
        <v>9189</v>
      </c>
      <c r="B9244" s="166">
        <v>62.998647312113</v>
      </c>
      <c r="D9244" s="39"/>
      <c r="E9244" s="39"/>
    </row>
    <row r="9245" spans="1:5" ht="15.6">
      <c r="A9245">
        <v>9190</v>
      </c>
      <c r="B9245" s="166">
        <v>150.61484146794854</v>
      </c>
      <c r="D9245" s="39"/>
      <c r="E9245" s="39"/>
    </row>
    <row r="9246" spans="1:5" ht="15.6">
      <c r="A9246">
        <v>9191</v>
      </c>
      <c r="B9246" s="166">
        <v>74.866610040053061</v>
      </c>
      <c r="D9246" s="39"/>
      <c r="E9246" s="39"/>
    </row>
    <row r="9247" spans="1:5" ht="15.6">
      <c r="A9247">
        <v>9192</v>
      </c>
      <c r="B9247" s="166">
        <v>98.890240965359411</v>
      </c>
      <c r="D9247" s="39"/>
      <c r="E9247" s="39"/>
    </row>
    <row r="9248" spans="1:5" ht="15.6">
      <c r="A9248">
        <v>9193</v>
      </c>
      <c r="B9248" s="166">
        <v>81.37827473865859</v>
      </c>
      <c r="D9248" s="39"/>
      <c r="E9248" s="39"/>
    </row>
    <row r="9249" spans="1:5" ht="15.6">
      <c r="A9249">
        <v>9194</v>
      </c>
      <c r="B9249" s="166">
        <v>141.83504856166732</v>
      </c>
      <c r="D9249" s="39"/>
      <c r="E9249" s="39"/>
    </row>
    <row r="9250" spans="1:5" ht="15.6">
      <c r="A9250">
        <v>9195</v>
      </c>
      <c r="B9250" s="166">
        <v>86.862981758811983</v>
      </c>
      <c r="D9250" s="39"/>
      <c r="E9250" s="39"/>
    </row>
    <row r="9251" spans="1:5" ht="15.6">
      <c r="A9251">
        <v>9196</v>
      </c>
      <c r="B9251" s="166">
        <v>76.11472300247641</v>
      </c>
      <c r="D9251" s="39"/>
      <c r="E9251" s="39"/>
    </row>
    <row r="9252" spans="1:5" ht="15.6">
      <c r="A9252">
        <v>9197</v>
      </c>
      <c r="B9252" s="166">
        <v>137.84385730023106</v>
      </c>
      <c r="D9252" s="39"/>
      <c r="E9252" s="39"/>
    </row>
    <row r="9253" spans="1:5" ht="15.6">
      <c r="A9253">
        <v>9198</v>
      </c>
      <c r="B9253" s="166">
        <v>175.24866429165476</v>
      </c>
      <c r="D9253" s="39"/>
      <c r="E9253" s="39"/>
    </row>
    <row r="9254" spans="1:5" ht="15.6">
      <c r="A9254">
        <v>9199</v>
      </c>
      <c r="B9254" s="166">
        <v>75.444852816811036</v>
      </c>
      <c r="D9254" s="39"/>
      <c r="E9254" s="39"/>
    </row>
    <row r="9255" spans="1:5" ht="15.6">
      <c r="A9255">
        <v>9200</v>
      </c>
      <c r="B9255" s="166">
        <v>120.43709496301233</v>
      </c>
      <c r="D9255" s="39"/>
      <c r="E9255" s="39"/>
    </row>
    <row r="9256" spans="1:5" ht="15.6">
      <c r="A9256">
        <v>9201</v>
      </c>
      <c r="B9256" s="166">
        <v>81.287051992441249</v>
      </c>
      <c r="D9256" s="39"/>
      <c r="E9256" s="39"/>
    </row>
    <row r="9257" spans="1:5" ht="15.6">
      <c r="A9257">
        <v>9202</v>
      </c>
      <c r="B9257" s="166">
        <v>122.84768762988107</v>
      </c>
      <c r="D9257" s="39"/>
      <c r="E9257" s="39"/>
    </row>
    <row r="9258" spans="1:5" ht="15.6">
      <c r="A9258">
        <v>9203</v>
      </c>
      <c r="B9258" s="166">
        <v>133.38318122073989</v>
      </c>
      <c r="D9258" s="39"/>
      <c r="E9258" s="39"/>
    </row>
    <row r="9259" spans="1:5" ht="15.6">
      <c r="A9259">
        <v>9204</v>
      </c>
      <c r="B9259" s="166">
        <v>91.373416048888174</v>
      </c>
      <c r="D9259" s="39"/>
      <c r="E9259" s="39"/>
    </row>
    <row r="9260" spans="1:5" ht="15.6">
      <c r="A9260">
        <v>9205</v>
      </c>
      <c r="B9260" s="166">
        <v>162.38116957703849</v>
      </c>
      <c r="D9260" s="39"/>
      <c r="E9260" s="39"/>
    </row>
    <row r="9261" spans="1:5" ht="15.6">
      <c r="A9261">
        <v>9206</v>
      </c>
      <c r="B9261" s="166">
        <v>150.37212170873073</v>
      </c>
      <c r="D9261" s="39"/>
      <c r="E9261" s="39"/>
    </row>
    <row r="9262" spans="1:5" ht="15.6">
      <c r="A9262">
        <v>9207</v>
      </c>
      <c r="B9262" s="166">
        <v>110.52415693253123</v>
      </c>
      <c r="D9262" s="39"/>
      <c r="E9262" s="39"/>
    </row>
    <row r="9263" spans="1:5" ht="15.6">
      <c r="A9263">
        <v>9208</v>
      </c>
      <c r="B9263" s="166">
        <v>140.71750671573784</v>
      </c>
      <c r="D9263" s="39"/>
      <c r="E9263" s="39"/>
    </row>
    <row r="9264" spans="1:5" ht="15.6">
      <c r="A9264">
        <v>9209</v>
      </c>
      <c r="B9264" s="166">
        <v>84.859239037768717</v>
      </c>
      <c r="D9264" s="39"/>
      <c r="E9264" s="39"/>
    </row>
    <row r="9265" spans="1:5" ht="15.6">
      <c r="A9265">
        <v>9210</v>
      </c>
      <c r="B9265" s="166">
        <v>63.956342350201552</v>
      </c>
      <c r="D9265" s="39"/>
      <c r="E9265" s="39"/>
    </row>
    <row r="9266" spans="1:5" ht="15.6">
      <c r="A9266">
        <v>9211</v>
      </c>
      <c r="B9266" s="166">
        <v>84.984818172460805</v>
      </c>
      <c r="D9266" s="39"/>
      <c r="E9266" s="39"/>
    </row>
    <row r="9267" spans="1:5" ht="15.6">
      <c r="A9267">
        <v>9212</v>
      </c>
      <c r="B9267" s="166">
        <v>76.034168351962563</v>
      </c>
      <c r="D9267" s="39"/>
      <c r="E9267" s="39"/>
    </row>
    <row r="9268" spans="1:5" ht="15.6">
      <c r="A9268">
        <v>9213</v>
      </c>
      <c r="B9268" s="166">
        <v>68.085857848154149</v>
      </c>
      <c r="D9268" s="39"/>
      <c r="E9268" s="39"/>
    </row>
    <row r="9269" spans="1:5" ht="15.6">
      <c r="A9269">
        <v>9214</v>
      </c>
      <c r="B9269" s="166">
        <v>87.027178952665153</v>
      </c>
      <c r="D9269" s="39"/>
      <c r="E9269" s="39"/>
    </row>
    <row r="9270" spans="1:5" ht="15.6">
      <c r="A9270">
        <v>9215</v>
      </c>
      <c r="B9270" s="166">
        <v>75.149118106160628</v>
      </c>
      <c r="D9270" s="39"/>
      <c r="E9270" s="39"/>
    </row>
    <row r="9271" spans="1:5" ht="15.6">
      <c r="A9271">
        <v>9216</v>
      </c>
      <c r="B9271" s="166">
        <v>94.077409183918391</v>
      </c>
      <c r="D9271" s="39"/>
      <c r="E9271" s="39"/>
    </row>
    <row r="9272" spans="1:5" ht="15.6">
      <c r="A9272">
        <v>9217</v>
      </c>
      <c r="B9272" s="166">
        <v>81.067512907583094</v>
      </c>
      <c r="D9272" s="39"/>
      <c r="E9272" s="39"/>
    </row>
    <row r="9273" spans="1:5" ht="15.6">
      <c r="A9273">
        <v>9218</v>
      </c>
      <c r="B9273" s="166">
        <v>112.39551492818623</v>
      </c>
      <c r="D9273" s="39"/>
      <c r="E9273" s="39"/>
    </row>
    <row r="9274" spans="1:5" ht="15.6">
      <c r="A9274">
        <v>9219</v>
      </c>
      <c r="B9274" s="166">
        <v>101.30159294108182</v>
      </c>
      <c r="D9274" s="39"/>
      <c r="E9274" s="39"/>
    </row>
    <row r="9275" spans="1:5" ht="15.6">
      <c r="A9275">
        <v>9220</v>
      </c>
      <c r="B9275" s="166">
        <v>137.81366800677725</v>
      </c>
      <c r="D9275" s="39"/>
      <c r="E9275" s="39"/>
    </row>
    <row r="9276" spans="1:5" ht="15.6">
      <c r="A9276">
        <v>9221</v>
      </c>
      <c r="B9276" s="166">
        <v>133.79698963838112</v>
      </c>
      <c r="D9276" s="39"/>
      <c r="E9276" s="39"/>
    </row>
    <row r="9277" spans="1:5" ht="15.6">
      <c r="A9277">
        <v>9222</v>
      </c>
      <c r="B9277" s="166">
        <v>135.63639746858797</v>
      </c>
      <c r="D9277" s="39"/>
      <c r="E9277" s="39"/>
    </row>
    <row r="9278" spans="1:5" ht="15.6">
      <c r="A9278">
        <v>9223</v>
      </c>
      <c r="B9278" s="166">
        <v>75.988525032593401</v>
      </c>
      <c r="D9278" s="39"/>
      <c r="E9278" s="39"/>
    </row>
    <row r="9279" spans="1:5" ht="15.6">
      <c r="A9279">
        <v>9224</v>
      </c>
      <c r="B9279" s="166">
        <v>82.49665770228394</v>
      </c>
      <c r="D9279" s="39"/>
      <c r="E9279" s="39"/>
    </row>
    <row r="9280" spans="1:5" ht="15.6">
      <c r="A9280">
        <v>9225</v>
      </c>
      <c r="B9280" s="166">
        <v>103.9084453037019</v>
      </c>
      <c r="D9280" s="39"/>
      <c r="E9280" s="39"/>
    </row>
    <row r="9281" spans="1:5" ht="15.6">
      <c r="A9281">
        <v>9226</v>
      </c>
      <c r="B9281" s="166">
        <v>166.48377678924291</v>
      </c>
      <c r="D9281" s="39"/>
      <c r="E9281" s="39"/>
    </row>
    <row r="9282" spans="1:5" ht="15.6">
      <c r="A9282">
        <v>9227</v>
      </c>
      <c r="B9282" s="166">
        <v>188.8840080883426</v>
      </c>
      <c r="D9282" s="39"/>
      <c r="E9282" s="39"/>
    </row>
    <row r="9283" spans="1:5" ht="15.6">
      <c r="A9283">
        <v>9228</v>
      </c>
      <c r="B9283" s="166">
        <v>119.83563547350687</v>
      </c>
      <c r="D9283" s="39"/>
      <c r="E9283" s="39"/>
    </row>
    <row r="9284" spans="1:5" ht="15.6">
      <c r="A9284">
        <v>9229</v>
      </c>
      <c r="B9284" s="166">
        <v>156.01921969778127</v>
      </c>
      <c r="D9284" s="39"/>
      <c r="E9284" s="39"/>
    </row>
    <row r="9285" spans="1:5" ht="15.6">
      <c r="A9285">
        <v>9230</v>
      </c>
      <c r="B9285" s="166">
        <v>99.224641160953965</v>
      </c>
      <c r="D9285" s="39"/>
      <c r="E9285" s="39"/>
    </row>
    <row r="9286" spans="1:5" ht="15.6">
      <c r="A9286">
        <v>9231</v>
      </c>
      <c r="B9286" s="166">
        <v>152.03853599375373</v>
      </c>
      <c r="D9286" s="39"/>
      <c r="E9286" s="39"/>
    </row>
    <row r="9287" spans="1:5" ht="15.6">
      <c r="A9287">
        <v>9232</v>
      </c>
      <c r="B9287" s="166">
        <v>122.48433278018912</v>
      </c>
      <c r="D9287" s="39"/>
      <c r="E9287" s="39"/>
    </row>
    <row r="9288" spans="1:5" ht="15.6">
      <c r="A9288">
        <v>9233</v>
      </c>
      <c r="B9288" s="166">
        <v>296.36914301581584</v>
      </c>
      <c r="D9288" s="39"/>
      <c r="E9288" s="39"/>
    </row>
    <row r="9289" spans="1:5" ht="15.6">
      <c r="A9289">
        <v>9234</v>
      </c>
      <c r="B9289" s="166">
        <v>95.406109097313063</v>
      </c>
      <c r="D9289" s="39"/>
      <c r="E9289" s="39"/>
    </row>
    <row r="9290" spans="1:5" ht="15.6">
      <c r="A9290">
        <v>9235</v>
      </c>
      <c r="B9290" s="166">
        <v>102.47027262573884</v>
      </c>
      <c r="D9290" s="39"/>
      <c r="E9290" s="39"/>
    </row>
    <row r="9291" spans="1:5" ht="15.6">
      <c r="A9291">
        <v>9236</v>
      </c>
      <c r="B9291" s="166">
        <v>167.67641927569588</v>
      </c>
      <c r="D9291" s="39"/>
      <c r="E9291" s="39"/>
    </row>
    <row r="9292" spans="1:5" ht="15.6">
      <c r="A9292">
        <v>9237</v>
      </c>
      <c r="B9292" s="166">
        <v>202.83877947041316</v>
      </c>
      <c r="D9292" s="39"/>
      <c r="E9292" s="39"/>
    </row>
    <row r="9293" spans="1:5" ht="15.6">
      <c r="A9293">
        <v>9238</v>
      </c>
      <c r="B9293" s="166">
        <v>120.1322875158706</v>
      </c>
      <c r="D9293" s="39"/>
      <c r="E9293" s="39"/>
    </row>
    <row r="9294" spans="1:5" ht="15.6">
      <c r="A9294">
        <v>9239</v>
      </c>
      <c r="B9294" s="166">
        <v>145.82552336561577</v>
      </c>
      <c r="D9294" s="39"/>
      <c r="E9294" s="39"/>
    </row>
    <row r="9295" spans="1:5" ht="15.6">
      <c r="A9295">
        <v>9240</v>
      </c>
      <c r="B9295" s="166">
        <v>83.04482300144636</v>
      </c>
      <c r="D9295" s="39"/>
      <c r="E9295" s="39"/>
    </row>
    <row r="9296" spans="1:5" ht="15.6">
      <c r="A9296">
        <v>9241</v>
      </c>
      <c r="B9296" s="166">
        <v>114.58271037426678</v>
      </c>
      <c r="D9296" s="39"/>
      <c r="E9296" s="39"/>
    </row>
    <row r="9297" spans="1:5" ht="15.6">
      <c r="A9297">
        <v>9242</v>
      </c>
      <c r="B9297" s="166">
        <v>139.1410214825157</v>
      </c>
      <c r="D9297" s="39"/>
      <c r="E9297" s="39"/>
    </row>
    <row r="9298" spans="1:5" ht="15.6">
      <c r="A9298">
        <v>9243</v>
      </c>
      <c r="B9298" s="166">
        <v>142.94502537457544</v>
      </c>
      <c r="D9298" s="39"/>
      <c r="E9298" s="39"/>
    </row>
    <row r="9299" spans="1:5" ht="15.6">
      <c r="A9299">
        <v>9244</v>
      </c>
      <c r="B9299" s="166">
        <v>109.38769542526451</v>
      </c>
      <c r="D9299" s="39"/>
      <c r="E9299" s="39"/>
    </row>
    <row r="9300" spans="1:5" ht="15.6">
      <c r="A9300">
        <v>9245</v>
      </c>
      <c r="B9300" s="166">
        <v>152.58407962142104</v>
      </c>
      <c r="D9300" s="39"/>
      <c r="E9300" s="39"/>
    </row>
    <row r="9301" spans="1:5" ht="15.6">
      <c r="A9301">
        <v>9246</v>
      </c>
      <c r="B9301" s="166">
        <v>94.585517348811692</v>
      </c>
      <c r="D9301" s="39"/>
      <c r="E9301" s="39"/>
    </row>
    <row r="9302" spans="1:5" ht="15.6">
      <c r="A9302">
        <v>9247</v>
      </c>
      <c r="B9302" s="166">
        <v>95.803161433899533</v>
      </c>
      <c r="D9302" s="39"/>
      <c r="E9302" s="39"/>
    </row>
    <row r="9303" spans="1:5" ht="15.6">
      <c r="A9303">
        <v>9248</v>
      </c>
      <c r="B9303" s="166">
        <v>85.265739944993157</v>
      </c>
      <c r="D9303" s="39"/>
      <c r="E9303" s="39"/>
    </row>
    <row r="9304" spans="1:5" ht="15.6">
      <c r="A9304">
        <v>9249</v>
      </c>
      <c r="B9304" s="166">
        <v>86.457860043667253</v>
      </c>
      <c r="D9304" s="39"/>
      <c r="E9304" s="39"/>
    </row>
    <row r="9305" spans="1:5" ht="15.6">
      <c r="A9305">
        <v>9250</v>
      </c>
      <c r="B9305" s="166">
        <v>56.472902721764818</v>
      </c>
      <c r="D9305" s="39"/>
      <c r="E9305" s="39"/>
    </row>
    <row r="9306" spans="1:5" ht="15.6">
      <c r="A9306">
        <v>9251</v>
      </c>
      <c r="B9306" s="166">
        <v>234.78152682037359</v>
      </c>
      <c r="D9306" s="39"/>
      <c r="E9306" s="39"/>
    </row>
    <row r="9307" spans="1:5" ht="15.6">
      <c r="A9307">
        <v>9252</v>
      </c>
      <c r="B9307" s="166">
        <v>122.24486088395639</v>
      </c>
      <c r="D9307" s="39"/>
      <c r="E9307" s="39"/>
    </row>
    <row r="9308" spans="1:5" ht="15.6">
      <c r="A9308">
        <v>9253</v>
      </c>
      <c r="B9308" s="166">
        <v>128.25017893288074</v>
      </c>
      <c r="D9308" s="39"/>
      <c r="E9308" s="39"/>
    </row>
    <row r="9309" spans="1:5" ht="15.6">
      <c r="A9309">
        <v>9254</v>
      </c>
      <c r="B9309" s="166">
        <v>91.703008963867632</v>
      </c>
      <c r="D9309" s="39"/>
      <c r="E9309" s="39"/>
    </row>
    <row r="9310" spans="1:5" ht="15.6">
      <c r="A9310">
        <v>9255</v>
      </c>
      <c r="B9310" s="166">
        <v>121.67286897107689</v>
      </c>
      <c r="D9310" s="39"/>
      <c r="E9310" s="39"/>
    </row>
    <row r="9311" spans="1:5" ht="15.6">
      <c r="A9311">
        <v>9256</v>
      </c>
      <c r="B9311" s="166">
        <v>86.603487788052533</v>
      </c>
      <c r="D9311" s="39"/>
      <c r="E9311" s="39"/>
    </row>
    <row r="9312" spans="1:5" ht="15.6">
      <c r="A9312">
        <v>9257</v>
      </c>
      <c r="B9312" s="166">
        <v>145.78014858246584</v>
      </c>
      <c r="D9312" s="39"/>
      <c r="E9312" s="39"/>
    </row>
    <row r="9313" spans="1:5" ht="15.6">
      <c r="A9313">
        <v>9258</v>
      </c>
      <c r="B9313" s="166">
        <v>101.30273479148946</v>
      </c>
      <c r="D9313" s="39"/>
      <c r="E9313" s="39"/>
    </row>
    <row r="9314" spans="1:5" ht="15.6">
      <c r="A9314">
        <v>9259</v>
      </c>
      <c r="B9314" s="166">
        <v>104.11300097863021</v>
      </c>
      <c r="D9314" s="39"/>
      <c r="E9314" s="39"/>
    </row>
    <row r="9315" spans="1:5" ht="15.6">
      <c r="A9315">
        <v>9260</v>
      </c>
      <c r="B9315" s="166">
        <v>156.69778327666532</v>
      </c>
      <c r="D9315" s="39"/>
      <c r="E9315" s="39"/>
    </row>
    <row r="9316" spans="1:5" ht="15.6">
      <c r="A9316">
        <v>9261</v>
      </c>
      <c r="B9316" s="166">
        <v>115.11648669687187</v>
      </c>
      <c r="D9316" s="39"/>
      <c r="E9316" s="39"/>
    </row>
    <row r="9317" spans="1:5" ht="15.6">
      <c r="A9317">
        <v>9262</v>
      </c>
      <c r="B9317" s="166">
        <v>101.57494668532404</v>
      </c>
      <c r="D9317" s="39"/>
      <c r="E9317" s="39"/>
    </row>
    <row r="9318" spans="1:5" ht="15.6">
      <c r="A9318">
        <v>9263</v>
      </c>
      <c r="B9318" s="166">
        <v>69.978471379328127</v>
      </c>
      <c r="D9318" s="39"/>
      <c r="E9318" s="39"/>
    </row>
    <row r="9319" spans="1:5" ht="15.6">
      <c r="A9319">
        <v>9264</v>
      </c>
      <c r="B9319" s="166">
        <v>127.70253622926403</v>
      </c>
      <c r="D9319" s="39"/>
      <c r="E9319" s="39"/>
    </row>
    <row r="9320" spans="1:5" ht="15.6">
      <c r="A9320">
        <v>9265</v>
      </c>
      <c r="B9320" s="166">
        <v>94.741157137730241</v>
      </c>
      <c r="D9320" s="39"/>
      <c r="E9320" s="39"/>
    </row>
    <row r="9321" spans="1:5" ht="15.6">
      <c r="A9321">
        <v>9266</v>
      </c>
      <c r="B9321" s="166">
        <v>158.08819239666164</v>
      </c>
      <c r="D9321" s="39"/>
      <c r="E9321" s="39"/>
    </row>
    <row r="9322" spans="1:5" ht="15.6">
      <c r="A9322">
        <v>9267</v>
      </c>
      <c r="B9322" s="166">
        <v>209.34842935223764</v>
      </c>
      <c r="D9322" s="39"/>
      <c r="E9322" s="39"/>
    </row>
    <row r="9323" spans="1:5" ht="15.6">
      <c r="A9323">
        <v>9268</v>
      </c>
      <c r="B9323" s="166">
        <v>130.06834621018308</v>
      </c>
      <c r="D9323" s="39"/>
      <c r="E9323" s="39"/>
    </row>
    <row r="9324" spans="1:5" ht="15.6">
      <c r="A9324">
        <v>9269</v>
      </c>
      <c r="B9324" s="166">
        <v>110.05183973192986</v>
      </c>
      <c r="D9324" s="39"/>
      <c r="E9324" s="39"/>
    </row>
    <row r="9325" spans="1:5" ht="15.6">
      <c r="A9325">
        <v>9270</v>
      </c>
      <c r="B9325" s="166">
        <v>119.86649478154071</v>
      </c>
      <c r="D9325" s="39"/>
      <c r="E9325" s="39"/>
    </row>
    <row r="9326" spans="1:5" ht="15.6">
      <c r="A9326">
        <v>9271</v>
      </c>
      <c r="B9326" s="166">
        <v>121.82634934923374</v>
      </c>
      <c r="D9326" s="39"/>
      <c r="E9326" s="39"/>
    </row>
    <row r="9327" spans="1:5" ht="15.6">
      <c r="A9327">
        <v>9272</v>
      </c>
      <c r="B9327" s="166">
        <v>74.558346152152595</v>
      </c>
      <c r="D9327" s="39"/>
      <c r="E9327" s="39"/>
    </row>
    <row r="9328" spans="1:5" ht="15.6">
      <c r="A9328">
        <v>9273</v>
      </c>
      <c r="B9328" s="166">
        <v>74.230618636822868</v>
      </c>
      <c r="D9328" s="39"/>
      <c r="E9328" s="39"/>
    </row>
    <row r="9329" spans="1:5" ht="15.6">
      <c r="A9329">
        <v>9274</v>
      </c>
      <c r="B9329" s="166">
        <v>82.509597834680946</v>
      </c>
      <c r="D9329" s="39"/>
      <c r="E9329" s="39"/>
    </row>
    <row r="9330" spans="1:5" ht="15.6">
      <c r="A9330">
        <v>9275</v>
      </c>
      <c r="B9330" s="166">
        <v>79.742838795103054</v>
      </c>
      <c r="D9330" s="39"/>
      <c r="E9330" s="39"/>
    </row>
    <row r="9331" spans="1:5" ht="15.6">
      <c r="A9331">
        <v>9276</v>
      </c>
      <c r="B9331" s="166">
        <v>96.918507635296621</v>
      </c>
      <c r="D9331" s="39"/>
      <c r="E9331" s="39"/>
    </row>
    <row r="9332" spans="1:5" ht="15.6">
      <c r="A9332">
        <v>9277</v>
      </c>
      <c r="B9332" s="166">
        <v>83.295610404472981</v>
      </c>
      <c r="D9332" s="39"/>
      <c r="E9332" s="39"/>
    </row>
    <row r="9333" spans="1:5" ht="15.6">
      <c r="A9333">
        <v>9278</v>
      </c>
      <c r="B9333" s="166">
        <v>125.86527290996652</v>
      </c>
      <c r="D9333" s="39"/>
      <c r="E9333" s="39"/>
    </row>
    <row r="9334" spans="1:5" ht="15.6">
      <c r="A9334">
        <v>9279</v>
      </c>
      <c r="B9334" s="166">
        <v>86.235307352392795</v>
      </c>
      <c r="D9334" s="39"/>
      <c r="E9334" s="39"/>
    </row>
    <row r="9335" spans="1:5" ht="15.6">
      <c r="A9335">
        <v>9280</v>
      </c>
      <c r="B9335" s="166">
        <v>104.3602020264006</v>
      </c>
      <c r="D9335" s="39"/>
      <c r="E9335" s="39"/>
    </row>
    <row r="9336" spans="1:5" ht="15.6">
      <c r="A9336">
        <v>9281</v>
      </c>
      <c r="B9336" s="166">
        <v>189.22754757942704</v>
      </c>
      <c r="D9336" s="39"/>
      <c r="E9336" s="39"/>
    </row>
    <row r="9337" spans="1:5" ht="15.6">
      <c r="A9337">
        <v>9282</v>
      </c>
      <c r="B9337" s="166">
        <v>107.21006188688487</v>
      </c>
      <c r="D9337" s="39"/>
      <c r="E9337" s="39"/>
    </row>
    <row r="9338" spans="1:5" ht="15.6">
      <c r="A9338">
        <v>9283</v>
      </c>
      <c r="B9338" s="166">
        <v>96.492586635994485</v>
      </c>
      <c r="D9338" s="39"/>
      <c r="E9338" s="39"/>
    </row>
    <row r="9339" spans="1:5" ht="15.6">
      <c r="A9339">
        <v>9284</v>
      </c>
      <c r="B9339" s="166">
        <v>119.5377168119317</v>
      </c>
      <c r="D9339" s="39"/>
      <c r="E9339" s="39"/>
    </row>
    <row r="9340" spans="1:5" ht="15.6">
      <c r="A9340">
        <v>9285</v>
      </c>
      <c r="B9340" s="166">
        <v>71.529348980579897</v>
      </c>
      <c r="D9340" s="39"/>
      <c r="E9340" s="39"/>
    </row>
    <row r="9341" spans="1:5" ht="15.6">
      <c r="A9341">
        <v>9286</v>
      </c>
      <c r="B9341" s="166">
        <v>110.26470812937315</v>
      </c>
      <c r="D9341" s="39"/>
      <c r="E9341" s="39"/>
    </row>
    <row r="9342" spans="1:5" ht="15.6">
      <c r="A9342">
        <v>9287</v>
      </c>
      <c r="B9342" s="166">
        <v>77.961983763269771</v>
      </c>
      <c r="D9342" s="39"/>
      <c r="E9342" s="39"/>
    </row>
    <row r="9343" spans="1:5" ht="15.6">
      <c r="A9343">
        <v>9288</v>
      </c>
      <c r="B9343" s="166">
        <v>90.903319607141242</v>
      </c>
      <c r="D9343" s="39"/>
      <c r="E9343" s="39"/>
    </row>
    <row r="9344" spans="1:5" ht="15.6">
      <c r="A9344">
        <v>9289</v>
      </c>
      <c r="B9344" s="166">
        <v>80.223558625072513</v>
      </c>
      <c r="D9344" s="39"/>
      <c r="E9344" s="39"/>
    </row>
    <row r="9345" spans="1:5" ht="15.6">
      <c r="A9345">
        <v>9290</v>
      </c>
      <c r="B9345" s="166">
        <v>128.27280932232281</v>
      </c>
      <c r="D9345" s="39"/>
      <c r="E9345" s="39"/>
    </row>
    <row r="9346" spans="1:5" ht="15.6">
      <c r="A9346">
        <v>9291</v>
      </c>
      <c r="B9346" s="166">
        <v>131.5438755211818</v>
      </c>
      <c r="D9346" s="39"/>
      <c r="E9346" s="39"/>
    </row>
    <row r="9347" spans="1:5" ht="15.6">
      <c r="A9347">
        <v>9292</v>
      </c>
      <c r="B9347" s="166">
        <v>83.233455422893186</v>
      </c>
      <c r="D9347" s="39"/>
      <c r="E9347" s="39"/>
    </row>
    <row r="9348" spans="1:5" ht="15.6">
      <c r="A9348">
        <v>9293</v>
      </c>
      <c r="B9348" s="166">
        <v>121.23459185096297</v>
      </c>
      <c r="D9348" s="39"/>
      <c r="E9348" s="39"/>
    </row>
    <row r="9349" spans="1:5" ht="15.6">
      <c r="A9349">
        <v>9294</v>
      </c>
      <c r="B9349" s="166">
        <v>80.012134423254508</v>
      </c>
      <c r="D9349" s="39"/>
      <c r="E9349" s="39"/>
    </row>
    <row r="9350" spans="1:5" ht="15.6">
      <c r="A9350">
        <v>9295</v>
      </c>
      <c r="B9350" s="166">
        <v>91.63898741585183</v>
      </c>
      <c r="D9350" s="39"/>
      <c r="E9350" s="39"/>
    </row>
    <row r="9351" spans="1:5" ht="15.6">
      <c r="A9351">
        <v>9296</v>
      </c>
      <c r="B9351" s="166">
        <v>152.87951932448584</v>
      </c>
      <c r="D9351" s="39"/>
      <c r="E9351" s="39"/>
    </row>
    <row r="9352" spans="1:5" ht="15.6">
      <c r="A9352">
        <v>9297</v>
      </c>
      <c r="B9352" s="166">
        <v>63.758889864134154</v>
      </c>
      <c r="D9352" s="39"/>
      <c r="E9352" s="39"/>
    </row>
    <row r="9353" spans="1:5" ht="15.6">
      <c r="A9353">
        <v>9298</v>
      </c>
      <c r="B9353" s="166">
        <v>90.264742060901256</v>
      </c>
      <c r="D9353" s="39"/>
      <c r="E9353" s="39"/>
    </row>
    <row r="9354" spans="1:5" ht="15.6">
      <c r="A9354">
        <v>9299</v>
      </c>
      <c r="B9354" s="166">
        <v>115.44513703554574</v>
      </c>
      <c r="D9354" s="39"/>
      <c r="E9354" s="39"/>
    </row>
    <row r="9355" spans="1:5" ht="15.6">
      <c r="A9355">
        <v>9300</v>
      </c>
      <c r="B9355" s="166">
        <v>149.64889041655837</v>
      </c>
      <c r="D9355" s="39"/>
      <c r="E9355" s="39"/>
    </row>
    <row r="9356" spans="1:5" ht="15.6">
      <c r="A9356">
        <v>9301</v>
      </c>
      <c r="B9356" s="166">
        <v>112.25622671454674</v>
      </c>
      <c r="D9356" s="39"/>
      <c r="E9356" s="39"/>
    </row>
    <row r="9357" spans="1:5" ht="15.6">
      <c r="A9357">
        <v>9302</v>
      </c>
      <c r="B9357" s="166">
        <v>110.09510539472183</v>
      </c>
      <c r="D9357" s="39"/>
      <c r="E9357" s="39"/>
    </row>
    <row r="9358" spans="1:5" ht="15.6">
      <c r="A9358">
        <v>9303</v>
      </c>
      <c r="B9358" s="166">
        <v>102.20901454891998</v>
      </c>
      <c r="D9358" s="39"/>
      <c r="E9358" s="39"/>
    </row>
    <row r="9359" spans="1:5" ht="15.6">
      <c r="A9359">
        <v>9304</v>
      </c>
      <c r="B9359" s="166">
        <v>107.06853983176175</v>
      </c>
      <c r="D9359" s="39"/>
      <c r="E9359" s="39"/>
    </row>
    <row r="9360" spans="1:5" ht="15.6">
      <c r="A9360">
        <v>9305</v>
      </c>
      <c r="B9360" s="166">
        <v>89.677942584318259</v>
      </c>
      <c r="D9360" s="39"/>
      <c r="E9360" s="39"/>
    </row>
    <row r="9361" spans="1:5" ht="15.6">
      <c r="A9361">
        <v>9306</v>
      </c>
      <c r="B9361" s="166">
        <v>189.69373430662611</v>
      </c>
      <c r="D9361" s="39"/>
      <c r="E9361" s="39"/>
    </row>
    <row r="9362" spans="1:5" ht="15.6">
      <c r="A9362">
        <v>9307</v>
      </c>
      <c r="B9362" s="166">
        <v>88.911029989379131</v>
      </c>
      <c r="D9362" s="39"/>
      <c r="E9362" s="39"/>
    </row>
    <row r="9363" spans="1:5" ht="15.6">
      <c r="A9363">
        <v>9308</v>
      </c>
      <c r="B9363" s="166">
        <v>167.36528563269351</v>
      </c>
      <c r="D9363" s="39"/>
      <c r="E9363" s="39"/>
    </row>
    <row r="9364" spans="1:5" ht="15.6">
      <c r="A9364">
        <v>9309</v>
      </c>
      <c r="B9364" s="166">
        <v>63.617430718324563</v>
      </c>
      <c r="D9364" s="39"/>
      <c r="E9364" s="39"/>
    </row>
    <row r="9365" spans="1:5" ht="15.6">
      <c r="A9365">
        <v>9310</v>
      </c>
      <c r="B9365" s="166">
        <v>194.89521475963778</v>
      </c>
      <c r="D9365" s="39"/>
      <c r="E9365" s="39"/>
    </row>
    <row r="9366" spans="1:5" ht="15.6">
      <c r="A9366">
        <v>9311</v>
      </c>
      <c r="B9366" s="166">
        <v>63.338928242155866</v>
      </c>
      <c r="D9366" s="39"/>
      <c r="E9366" s="39"/>
    </row>
    <row r="9367" spans="1:5" ht="15.6">
      <c r="A9367">
        <v>9312</v>
      </c>
      <c r="B9367" s="166">
        <v>94.498771371967379</v>
      </c>
      <c r="D9367" s="39"/>
      <c r="E9367" s="39"/>
    </row>
    <row r="9368" spans="1:5" ht="15.6">
      <c r="A9368">
        <v>9313</v>
      </c>
      <c r="B9368" s="166">
        <v>63.503276068100149</v>
      </c>
      <c r="D9368" s="39"/>
      <c r="E9368" s="39"/>
    </row>
    <row r="9369" spans="1:5" ht="15.6">
      <c r="A9369">
        <v>9314</v>
      </c>
      <c r="B9369" s="166">
        <v>103.3766222441981</v>
      </c>
      <c r="D9369" s="39"/>
      <c r="E9369" s="39"/>
    </row>
    <row r="9370" spans="1:5" ht="15.6">
      <c r="A9370">
        <v>9315</v>
      </c>
      <c r="B9370" s="166">
        <v>103.31245329425494</v>
      </c>
      <c r="D9370" s="39"/>
      <c r="E9370" s="39"/>
    </row>
    <row r="9371" spans="1:5" ht="15.6">
      <c r="A9371">
        <v>9316</v>
      </c>
      <c r="B9371" s="166">
        <v>73.042368211824055</v>
      </c>
      <c r="D9371" s="39"/>
      <c r="E9371" s="39"/>
    </row>
    <row r="9372" spans="1:5" ht="15.6">
      <c r="A9372">
        <v>9317</v>
      </c>
      <c r="B9372" s="166">
        <v>104.67664372318046</v>
      </c>
      <c r="D9372" s="39"/>
      <c r="E9372" s="39"/>
    </row>
    <row r="9373" spans="1:5" ht="15.6">
      <c r="A9373">
        <v>9318</v>
      </c>
      <c r="B9373" s="166">
        <v>209.07255976026457</v>
      </c>
      <c r="D9373" s="39"/>
      <c r="E9373" s="39"/>
    </row>
    <row r="9374" spans="1:5" ht="15.6">
      <c r="A9374">
        <v>9319</v>
      </c>
      <c r="B9374" s="166">
        <v>73.236851883381149</v>
      </c>
      <c r="D9374" s="39"/>
      <c r="E9374" s="39"/>
    </row>
    <row r="9375" spans="1:5" ht="15.6">
      <c r="A9375">
        <v>9320</v>
      </c>
      <c r="B9375" s="166">
        <v>70.170827184050978</v>
      </c>
      <c r="D9375" s="39"/>
      <c r="E9375" s="39"/>
    </row>
    <row r="9376" spans="1:5" ht="15.6">
      <c r="A9376">
        <v>9321</v>
      </c>
      <c r="B9376" s="166">
        <v>184.57011686736561</v>
      </c>
      <c r="D9376" s="39"/>
      <c r="E9376" s="39"/>
    </row>
    <row r="9377" spans="1:5" ht="15.6">
      <c r="A9377">
        <v>9322</v>
      </c>
      <c r="B9377" s="166">
        <v>77.828630303147023</v>
      </c>
      <c r="D9377" s="39"/>
      <c r="E9377" s="39"/>
    </row>
    <row r="9378" spans="1:5" ht="15.6">
      <c r="A9378">
        <v>9323</v>
      </c>
      <c r="B9378" s="166">
        <v>176.47184070705552</v>
      </c>
      <c r="D9378" s="39"/>
      <c r="E9378" s="39"/>
    </row>
    <row r="9379" spans="1:5" ht="15.6">
      <c r="A9379">
        <v>9324</v>
      </c>
      <c r="B9379" s="166">
        <v>128.11305594048244</v>
      </c>
      <c r="D9379" s="39"/>
      <c r="E9379" s="39"/>
    </row>
    <row r="9380" spans="1:5" ht="15.6">
      <c r="A9380">
        <v>9325</v>
      </c>
      <c r="B9380" s="166">
        <v>57.587233640182035</v>
      </c>
      <c r="D9380" s="39"/>
      <c r="E9380" s="39"/>
    </row>
    <row r="9381" spans="1:5" ht="15.6">
      <c r="A9381">
        <v>9326</v>
      </c>
      <c r="B9381" s="166">
        <v>146.45938736015464</v>
      </c>
      <c r="D9381" s="39"/>
      <c r="E9381" s="39"/>
    </row>
    <row r="9382" spans="1:5" ht="15.6">
      <c r="A9382">
        <v>9327</v>
      </c>
      <c r="B9382" s="166">
        <v>74.632257018791606</v>
      </c>
      <c r="D9382" s="39"/>
      <c r="E9382" s="39"/>
    </row>
    <row r="9383" spans="1:5" ht="15.6">
      <c r="A9383">
        <v>9328</v>
      </c>
      <c r="B9383" s="166">
        <v>104.60901083330953</v>
      </c>
      <c r="D9383" s="39"/>
      <c r="E9383" s="39"/>
    </row>
    <row r="9384" spans="1:5" ht="15.6">
      <c r="A9384">
        <v>9329</v>
      </c>
      <c r="B9384" s="166">
        <v>147.69398009578754</v>
      </c>
      <c r="D9384" s="39"/>
      <c r="E9384" s="39"/>
    </row>
    <row r="9385" spans="1:5" ht="15.6">
      <c r="A9385">
        <v>9330</v>
      </c>
      <c r="B9385" s="166">
        <v>56.994189701722625</v>
      </c>
      <c r="D9385" s="39"/>
      <c r="E9385" s="39"/>
    </row>
    <row r="9386" spans="1:5" ht="15.6">
      <c r="A9386">
        <v>9331</v>
      </c>
      <c r="B9386" s="166">
        <v>72.236362577433525</v>
      </c>
      <c r="D9386" s="39"/>
      <c r="E9386" s="39"/>
    </row>
    <row r="9387" spans="1:5" ht="15.6">
      <c r="A9387">
        <v>9332</v>
      </c>
      <c r="B9387" s="166">
        <v>93.984582061419175</v>
      </c>
      <c r="D9387" s="39"/>
      <c r="E9387" s="39"/>
    </row>
    <row r="9388" spans="1:5" ht="15.6">
      <c r="A9388">
        <v>9333</v>
      </c>
      <c r="B9388" s="166">
        <v>160.73495853689639</v>
      </c>
      <c r="D9388" s="39"/>
      <c r="E9388" s="39"/>
    </row>
    <row r="9389" spans="1:5" ht="15.6">
      <c r="A9389">
        <v>9334</v>
      </c>
      <c r="B9389" s="166">
        <v>183.08860667386361</v>
      </c>
      <c r="D9389" s="39"/>
      <c r="E9389" s="39"/>
    </row>
    <row r="9390" spans="1:5" ht="15.6">
      <c r="A9390">
        <v>9335</v>
      </c>
      <c r="B9390" s="166">
        <v>118.03990620557211</v>
      </c>
      <c r="D9390" s="39"/>
      <c r="E9390" s="39"/>
    </row>
    <row r="9391" spans="1:5" ht="15.6">
      <c r="A9391">
        <v>9336</v>
      </c>
      <c r="B9391" s="166">
        <v>61.796381107088216</v>
      </c>
      <c r="D9391" s="39"/>
      <c r="E9391" s="39"/>
    </row>
    <row r="9392" spans="1:5" ht="15.6">
      <c r="A9392">
        <v>9337</v>
      </c>
      <c r="B9392" s="166">
        <v>78.71759787832282</v>
      </c>
      <c r="D9392" s="39"/>
      <c r="E9392" s="39"/>
    </row>
    <row r="9393" spans="1:5" ht="15.6">
      <c r="A9393">
        <v>9338</v>
      </c>
      <c r="B9393" s="166">
        <v>142.6948958114765</v>
      </c>
      <c r="D9393" s="39"/>
      <c r="E9393" s="39"/>
    </row>
    <row r="9394" spans="1:5" ht="15.6">
      <c r="A9394">
        <v>9339</v>
      </c>
      <c r="B9394" s="166">
        <v>99.33095463313748</v>
      </c>
      <c r="D9394" s="39"/>
      <c r="E9394" s="39"/>
    </row>
    <row r="9395" spans="1:5" ht="15.6">
      <c r="A9395">
        <v>9340</v>
      </c>
      <c r="B9395" s="166">
        <v>93.723468665618725</v>
      </c>
      <c r="D9395" s="39"/>
      <c r="E9395" s="39"/>
    </row>
    <row r="9396" spans="1:5" ht="15.6">
      <c r="A9396">
        <v>9341</v>
      </c>
      <c r="B9396" s="166">
        <v>130.29580336590075</v>
      </c>
      <c r="D9396" s="39"/>
      <c r="E9396" s="39"/>
    </row>
    <row r="9397" spans="1:5" ht="15.6">
      <c r="A9397">
        <v>9342</v>
      </c>
      <c r="B9397" s="166">
        <v>61.480384773497704</v>
      </c>
      <c r="D9397" s="39"/>
      <c r="E9397" s="39"/>
    </row>
    <row r="9398" spans="1:5" ht="15.6">
      <c r="A9398">
        <v>9343</v>
      </c>
      <c r="B9398" s="166">
        <v>67.780305769211012</v>
      </c>
      <c r="D9398" s="39"/>
      <c r="E9398" s="39"/>
    </row>
    <row r="9399" spans="1:5" ht="15.6">
      <c r="A9399">
        <v>9344</v>
      </c>
      <c r="B9399" s="166">
        <v>51.652336391166266</v>
      </c>
      <c r="D9399" s="39"/>
      <c r="E9399" s="39"/>
    </row>
    <row r="9400" spans="1:5" ht="15.6">
      <c r="A9400">
        <v>9345</v>
      </c>
      <c r="B9400" s="166">
        <v>63.882768354817138</v>
      </c>
      <c r="D9400" s="39"/>
      <c r="E9400" s="39"/>
    </row>
    <row r="9401" spans="1:5" ht="15.6">
      <c r="A9401">
        <v>9346</v>
      </c>
      <c r="B9401" s="166">
        <v>130.27391454688268</v>
      </c>
      <c r="D9401" s="39"/>
      <c r="E9401" s="39"/>
    </row>
    <row r="9402" spans="1:5" ht="15.6">
      <c r="A9402">
        <v>9347</v>
      </c>
      <c r="B9402" s="166">
        <v>87.816485081308528</v>
      </c>
      <c r="D9402" s="39"/>
      <c r="E9402" s="39"/>
    </row>
    <row r="9403" spans="1:5" ht="15.6">
      <c r="A9403">
        <v>9348</v>
      </c>
      <c r="B9403" s="166">
        <v>91.057460992285144</v>
      </c>
      <c r="D9403" s="39"/>
      <c r="E9403" s="39"/>
    </row>
    <row r="9404" spans="1:5" ht="15.6">
      <c r="A9404">
        <v>9349</v>
      </c>
      <c r="B9404" s="166">
        <v>93.732525559433327</v>
      </c>
      <c r="D9404" s="39"/>
      <c r="E9404" s="39"/>
    </row>
    <row r="9405" spans="1:5" ht="15.6">
      <c r="A9405">
        <v>9350</v>
      </c>
      <c r="B9405" s="166">
        <v>154.57797283934889</v>
      </c>
      <c r="D9405" s="39"/>
      <c r="E9405" s="39"/>
    </row>
    <row r="9406" spans="1:5" ht="15.6">
      <c r="A9406">
        <v>9351</v>
      </c>
      <c r="B9406" s="166">
        <v>66.80501652301308</v>
      </c>
      <c r="D9406" s="39"/>
      <c r="E9406" s="39"/>
    </row>
    <row r="9407" spans="1:5" ht="15.6">
      <c r="A9407">
        <v>9352</v>
      </c>
      <c r="B9407" s="166">
        <v>102.43483237776705</v>
      </c>
      <c r="D9407" s="39"/>
      <c r="E9407" s="39"/>
    </row>
    <row r="9408" spans="1:5" ht="15.6">
      <c r="A9408">
        <v>9353</v>
      </c>
      <c r="B9408" s="166">
        <v>71.119658642059733</v>
      </c>
      <c r="D9408" s="39"/>
      <c r="E9408" s="39"/>
    </row>
    <row r="9409" spans="1:5" ht="15.6">
      <c r="A9409">
        <v>9354</v>
      </c>
      <c r="B9409" s="166">
        <v>54.809880438443265</v>
      </c>
      <c r="D9409" s="39"/>
      <c r="E9409" s="39"/>
    </row>
    <row r="9410" spans="1:5" ht="15.6">
      <c r="A9410">
        <v>9355</v>
      </c>
      <c r="B9410" s="166">
        <v>161.40251539689515</v>
      </c>
      <c r="D9410" s="39"/>
      <c r="E9410" s="39"/>
    </row>
    <row r="9411" spans="1:5" ht="15.6">
      <c r="A9411">
        <v>9356</v>
      </c>
      <c r="B9411" s="166">
        <v>53.586434929751192</v>
      </c>
      <c r="D9411" s="39"/>
      <c r="E9411" s="39"/>
    </row>
    <row r="9412" spans="1:5" ht="15.6">
      <c r="A9412">
        <v>9357</v>
      </c>
      <c r="B9412" s="166">
        <v>136.08497540979434</v>
      </c>
      <c r="D9412" s="39"/>
      <c r="E9412" s="39"/>
    </row>
    <row r="9413" spans="1:5" ht="15.6">
      <c r="A9413">
        <v>9358</v>
      </c>
      <c r="B9413" s="166">
        <v>82.442439839944711</v>
      </c>
      <c r="D9413" s="39"/>
      <c r="E9413" s="39"/>
    </row>
    <row r="9414" spans="1:5" ht="15.6">
      <c r="A9414">
        <v>9359</v>
      </c>
      <c r="B9414" s="166">
        <v>67.678427970556854</v>
      </c>
      <c r="D9414" s="39"/>
      <c r="E9414" s="39"/>
    </row>
    <row r="9415" spans="1:5" ht="15.6">
      <c r="A9415">
        <v>9360</v>
      </c>
      <c r="B9415" s="166">
        <v>128.19382629979066</v>
      </c>
      <c r="D9415" s="39"/>
      <c r="E9415" s="39"/>
    </row>
    <row r="9416" spans="1:5" ht="15.6">
      <c r="A9416">
        <v>9361</v>
      </c>
      <c r="B9416" s="166">
        <v>94.500708594175123</v>
      </c>
      <c r="D9416" s="39"/>
      <c r="E9416" s="39"/>
    </row>
    <row r="9417" spans="1:5" ht="15.6">
      <c r="A9417">
        <v>9362</v>
      </c>
      <c r="B9417" s="166">
        <v>166.5637238863894</v>
      </c>
      <c r="D9417" s="39"/>
      <c r="E9417" s="39"/>
    </row>
    <row r="9418" spans="1:5" ht="15.6">
      <c r="A9418">
        <v>9363</v>
      </c>
      <c r="B9418" s="166">
        <v>91.039747049591</v>
      </c>
      <c r="D9418" s="39"/>
      <c r="E9418" s="39"/>
    </row>
    <row r="9419" spans="1:5" ht="15.6">
      <c r="A9419">
        <v>9364</v>
      </c>
      <c r="B9419" s="166">
        <v>129.69402632595904</v>
      </c>
      <c r="D9419" s="39"/>
      <c r="E9419" s="39"/>
    </row>
    <row r="9420" spans="1:5" ht="15.6">
      <c r="A9420">
        <v>9365</v>
      </c>
      <c r="B9420" s="166">
        <v>72.596625478442235</v>
      </c>
      <c r="D9420" s="39"/>
      <c r="E9420" s="39"/>
    </row>
    <row r="9421" spans="1:5" ht="15.6">
      <c r="A9421">
        <v>9366</v>
      </c>
      <c r="B9421" s="166">
        <v>84.76904338560135</v>
      </c>
      <c r="D9421" s="39"/>
      <c r="E9421" s="39"/>
    </row>
    <row r="9422" spans="1:5" ht="15.6">
      <c r="A9422">
        <v>9367</v>
      </c>
      <c r="B9422" s="166">
        <v>96.771017987180144</v>
      </c>
      <c r="D9422" s="39"/>
      <c r="E9422" s="39"/>
    </row>
    <row r="9423" spans="1:5" ht="15.6">
      <c r="A9423">
        <v>9368</v>
      </c>
      <c r="B9423" s="166">
        <v>101.46641400011231</v>
      </c>
      <c r="D9423" s="39"/>
      <c r="E9423" s="39"/>
    </row>
    <row r="9424" spans="1:5" ht="15.6">
      <c r="A9424">
        <v>9369</v>
      </c>
      <c r="B9424" s="166">
        <v>112.98494199850683</v>
      </c>
      <c r="D9424" s="39"/>
      <c r="E9424" s="39"/>
    </row>
    <row r="9425" spans="1:5" ht="15.6">
      <c r="A9425">
        <v>9370</v>
      </c>
      <c r="B9425" s="166">
        <v>135.27014669594254</v>
      </c>
      <c r="D9425" s="39"/>
      <c r="E9425" s="39"/>
    </row>
    <row r="9426" spans="1:5" ht="15.6">
      <c r="A9426">
        <v>9371</v>
      </c>
      <c r="B9426" s="166">
        <v>86.654343505527876</v>
      </c>
      <c r="D9426" s="39"/>
      <c r="E9426" s="39"/>
    </row>
    <row r="9427" spans="1:5" ht="15.6">
      <c r="A9427">
        <v>9372</v>
      </c>
      <c r="B9427" s="166">
        <v>102.99485064183622</v>
      </c>
      <c r="D9427" s="39"/>
      <c r="E9427" s="39"/>
    </row>
    <row r="9428" spans="1:5" ht="15.6">
      <c r="A9428">
        <v>9373</v>
      </c>
      <c r="B9428" s="166">
        <v>77.476783962885733</v>
      </c>
      <c r="D9428" s="39"/>
      <c r="E9428" s="39"/>
    </row>
    <row r="9429" spans="1:5" ht="15.6">
      <c r="A9429">
        <v>9374</v>
      </c>
      <c r="B9429" s="166">
        <v>64.317285947729289</v>
      </c>
      <c r="D9429" s="39"/>
      <c r="E9429" s="39"/>
    </row>
    <row r="9430" spans="1:5" ht="15.6">
      <c r="A9430">
        <v>9375</v>
      </c>
      <c r="B9430" s="166">
        <v>85.148281903285863</v>
      </c>
      <c r="D9430" s="39"/>
      <c r="E9430" s="39"/>
    </row>
    <row r="9431" spans="1:5" ht="15.6">
      <c r="A9431">
        <v>9376</v>
      </c>
      <c r="B9431" s="166">
        <v>92.757749127470504</v>
      </c>
      <c r="D9431" s="39"/>
      <c r="E9431" s="39"/>
    </row>
    <row r="9432" spans="1:5" ht="15.6">
      <c r="A9432">
        <v>9377</v>
      </c>
      <c r="B9432" s="166">
        <v>134.04402481027097</v>
      </c>
      <c r="D9432" s="39"/>
      <c r="E9432" s="39"/>
    </row>
    <row r="9433" spans="1:5" ht="15.6">
      <c r="A9433">
        <v>9378</v>
      </c>
      <c r="B9433" s="166">
        <v>120.57968623571513</v>
      </c>
      <c r="D9433" s="39"/>
      <c r="E9433" s="39"/>
    </row>
    <row r="9434" spans="1:5" ht="15.6">
      <c r="A9434">
        <v>9379</v>
      </c>
      <c r="B9434" s="166">
        <v>78.766108768579144</v>
      </c>
      <c r="D9434" s="39"/>
      <c r="E9434" s="39"/>
    </row>
    <row r="9435" spans="1:5" ht="15.6">
      <c r="A9435">
        <v>9380</v>
      </c>
      <c r="B9435" s="166">
        <v>373.32631779353267</v>
      </c>
      <c r="D9435" s="39"/>
      <c r="E9435" s="39"/>
    </row>
    <row r="9436" spans="1:5" ht="15.6">
      <c r="A9436">
        <v>9381</v>
      </c>
      <c r="B9436" s="166">
        <v>57.473153283470438</v>
      </c>
      <c r="D9436" s="39"/>
      <c r="E9436" s="39"/>
    </row>
    <row r="9437" spans="1:5" ht="15.6">
      <c r="A9437">
        <v>9382</v>
      </c>
      <c r="B9437" s="166">
        <v>72.419656307356206</v>
      </c>
      <c r="D9437" s="39"/>
      <c r="E9437" s="39"/>
    </row>
    <row r="9438" spans="1:5" ht="15.6">
      <c r="A9438">
        <v>9383</v>
      </c>
      <c r="B9438" s="166">
        <v>87.707322515823918</v>
      </c>
      <c r="D9438" s="39"/>
      <c r="E9438" s="39"/>
    </row>
    <row r="9439" spans="1:5" ht="15.6">
      <c r="A9439">
        <v>9384</v>
      </c>
      <c r="B9439" s="166">
        <v>97.972009610374855</v>
      </c>
      <c r="D9439" s="39"/>
      <c r="E9439" s="39"/>
    </row>
    <row r="9440" spans="1:5" ht="15.6">
      <c r="A9440">
        <v>9385</v>
      </c>
      <c r="B9440" s="166">
        <v>87.096193322823225</v>
      </c>
      <c r="D9440" s="39"/>
      <c r="E9440" s="39"/>
    </row>
    <row r="9441" spans="1:5" ht="15.6">
      <c r="A9441">
        <v>9386</v>
      </c>
      <c r="B9441" s="166">
        <v>79.216379791707567</v>
      </c>
      <c r="D9441" s="39"/>
      <c r="E9441" s="39"/>
    </row>
    <row r="9442" spans="1:5" ht="15.6">
      <c r="A9442">
        <v>9387</v>
      </c>
      <c r="B9442" s="166">
        <v>60.212882373230066</v>
      </c>
      <c r="D9442" s="39"/>
      <c r="E9442" s="39"/>
    </row>
    <row r="9443" spans="1:5" ht="15.6">
      <c r="A9443">
        <v>9388</v>
      </c>
      <c r="B9443" s="166">
        <v>163.89695468785121</v>
      </c>
      <c r="D9443" s="39"/>
      <c r="E9443" s="39"/>
    </row>
    <row r="9444" spans="1:5" ht="15.6">
      <c r="A9444">
        <v>9389</v>
      </c>
      <c r="B9444" s="166">
        <v>102.50698022381735</v>
      </c>
      <c r="D9444" s="39"/>
      <c r="E9444" s="39"/>
    </row>
    <row r="9445" spans="1:5" ht="15.6">
      <c r="A9445">
        <v>9390</v>
      </c>
      <c r="B9445" s="166">
        <v>84.274096506652825</v>
      </c>
      <c r="D9445" s="39"/>
      <c r="E9445" s="39"/>
    </row>
    <row r="9446" spans="1:5" ht="15.6">
      <c r="A9446">
        <v>9391</v>
      </c>
      <c r="B9446" s="166">
        <v>171.32169502035222</v>
      </c>
      <c r="D9446" s="39"/>
      <c r="E9446" s="39"/>
    </row>
    <row r="9447" spans="1:5" ht="15.6">
      <c r="A9447">
        <v>9392</v>
      </c>
      <c r="B9447" s="166">
        <v>85.558180441050595</v>
      </c>
      <c r="D9447" s="39"/>
      <c r="E9447" s="39"/>
    </row>
    <row r="9448" spans="1:5" ht="15.6">
      <c r="A9448">
        <v>9393</v>
      </c>
      <c r="B9448" s="166">
        <v>85.903140610773505</v>
      </c>
      <c r="D9448" s="39"/>
      <c r="E9448" s="39"/>
    </row>
    <row r="9449" spans="1:5" ht="15.6">
      <c r="A9449">
        <v>9394</v>
      </c>
      <c r="B9449" s="166">
        <v>122.3431615272939</v>
      </c>
      <c r="D9449" s="39"/>
      <c r="E9449" s="39"/>
    </row>
    <row r="9450" spans="1:5" ht="15.6">
      <c r="A9450">
        <v>9395</v>
      </c>
      <c r="B9450" s="166">
        <v>165.59996231506301</v>
      </c>
      <c r="D9450" s="39"/>
      <c r="E9450" s="39"/>
    </row>
    <row r="9451" spans="1:5" ht="15.6">
      <c r="A9451">
        <v>9396</v>
      </c>
      <c r="B9451" s="166">
        <v>150.25552414337761</v>
      </c>
      <c r="D9451" s="39"/>
      <c r="E9451" s="39"/>
    </row>
    <row r="9452" spans="1:5" ht="15.6">
      <c r="A9452">
        <v>9397</v>
      </c>
      <c r="B9452" s="166">
        <v>102.24150840548758</v>
      </c>
      <c r="D9452" s="39"/>
      <c r="E9452" s="39"/>
    </row>
    <row r="9453" spans="1:5" ht="15.6">
      <c r="A9453">
        <v>9398</v>
      </c>
      <c r="B9453" s="166">
        <v>86.324163475550918</v>
      </c>
      <c r="D9453" s="39"/>
      <c r="E9453" s="39"/>
    </row>
    <row r="9454" spans="1:5" ht="15.6">
      <c r="A9454">
        <v>9399</v>
      </c>
      <c r="B9454" s="166">
        <v>175.80327721051574</v>
      </c>
      <c r="D9454" s="39"/>
      <c r="E9454" s="39"/>
    </row>
    <row r="9455" spans="1:5" ht="15.6">
      <c r="A9455">
        <v>9400</v>
      </c>
      <c r="B9455" s="166">
        <v>59.30570877808929</v>
      </c>
      <c r="D9455" s="39"/>
      <c r="E9455" s="39"/>
    </row>
    <row r="9456" spans="1:5" ht="15.6">
      <c r="A9456">
        <v>9401</v>
      </c>
      <c r="B9456" s="166">
        <v>118.44810730063145</v>
      </c>
      <c r="D9456" s="39"/>
      <c r="E9456" s="39"/>
    </row>
    <row r="9457" spans="1:5" ht="15.6">
      <c r="A9457">
        <v>9402</v>
      </c>
      <c r="B9457" s="166">
        <v>111.17270512931547</v>
      </c>
      <c r="D9457" s="39"/>
      <c r="E9457" s="39"/>
    </row>
    <row r="9458" spans="1:5" ht="15.6">
      <c r="A9458">
        <v>9403</v>
      </c>
      <c r="B9458" s="166">
        <v>154.10401291595889</v>
      </c>
      <c r="D9458" s="39"/>
      <c r="E9458" s="39"/>
    </row>
    <row r="9459" spans="1:5" ht="15.6">
      <c r="A9459">
        <v>9404</v>
      </c>
      <c r="B9459" s="166">
        <v>86.377372503972794</v>
      </c>
      <c r="D9459" s="39"/>
      <c r="E9459" s="39"/>
    </row>
    <row r="9460" spans="1:5" ht="15.6">
      <c r="A9460">
        <v>9405</v>
      </c>
      <c r="B9460" s="166">
        <v>79.696139510687402</v>
      </c>
      <c r="D9460" s="39"/>
      <c r="E9460" s="39"/>
    </row>
    <row r="9461" spans="1:5" ht="15.6">
      <c r="A9461">
        <v>9406</v>
      </c>
      <c r="B9461" s="166">
        <v>71.067051534915123</v>
      </c>
      <c r="D9461" s="39"/>
      <c r="E9461" s="39"/>
    </row>
    <row r="9462" spans="1:5" ht="15.6">
      <c r="A9462">
        <v>9407</v>
      </c>
      <c r="B9462" s="166">
        <v>72.044683246339062</v>
      </c>
      <c r="D9462" s="39"/>
      <c r="E9462" s="39"/>
    </row>
    <row r="9463" spans="1:5" ht="15.6">
      <c r="A9463">
        <v>9408</v>
      </c>
      <c r="B9463" s="166">
        <v>75.226994703585135</v>
      </c>
      <c r="D9463" s="39"/>
      <c r="E9463" s="39"/>
    </row>
    <row r="9464" spans="1:5" ht="15.6">
      <c r="A9464">
        <v>9409</v>
      </c>
      <c r="B9464" s="166">
        <v>172.37650931397746</v>
      </c>
      <c r="D9464" s="39"/>
      <c r="E9464" s="39"/>
    </row>
    <row r="9465" spans="1:5" ht="15.6">
      <c r="A9465">
        <v>9410</v>
      </c>
      <c r="B9465" s="166">
        <v>130.26895281409682</v>
      </c>
      <c r="D9465" s="39"/>
      <c r="E9465" s="39"/>
    </row>
    <row r="9466" spans="1:5" ht="15.6">
      <c r="A9466">
        <v>9411</v>
      </c>
      <c r="B9466" s="166">
        <v>115.71259137260461</v>
      </c>
      <c r="D9466" s="39"/>
      <c r="E9466" s="39"/>
    </row>
    <row r="9467" spans="1:5" ht="15.6">
      <c r="A9467">
        <v>9412</v>
      </c>
      <c r="B9467" s="166">
        <v>95.153005233875518</v>
      </c>
      <c r="D9467" s="39"/>
      <c r="E9467" s="39"/>
    </row>
    <row r="9468" spans="1:5" ht="15.6">
      <c r="A9468">
        <v>9413</v>
      </c>
      <c r="B9468" s="166">
        <v>129.94842952608451</v>
      </c>
      <c r="D9468" s="39"/>
      <c r="E9468" s="39"/>
    </row>
    <row r="9469" spans="1:5" ht="15.6">
      <c r="A9469">
        <v>9414</v>
      </c>
      <c r="B9469" s="166">
        <v>85.923363442098619</v>
      </c>
      <c r="D9469" s="39"/>
      <c r="E9469" s="39"/>
    </row>
    <row r="9470" spans="1:5" ht="15.6">
      <c r="A9470">
        <v>9415</v>
      </c>
      <c r="B9470" s="166">
        <v>126.32698507465381</v>
      </c>
      <c r="D9470" s="39"/>
      <c r="E9470" s="39"/>
    </row>
    <row r="9471" spans="1:5" ht="15.6">
      <c r="A9471">
        <v>9416</v>
      </c>
      <c r="B9471" s="166">
        <v>75.835895208042686</v>
      </c>
      <c r="D9471" s="39"/>
      <c r="E9471" s="39"/>
    </row>
    <row r="9472" spans="1:5" ht="15.6">
      <c r="A9472">
        <v>9417</v>
      </c>
      <c r="B9472" s="166">
        <v>65.927281021592577</v>
      </c>
      <c r="D9472" s="39"/>
      <c r="E9472" s="39"/>
    </row>
    <row r="9473" spans="1:5" ht="15.6">
      <c r="A9473">
        <v>9418</v>
      </c>
      <c r="B9473" s="166">
        <v>55.096008253163397</v>
      </c>
      <c r="D9473" s="39"/>
      <c r="E9473" s="39"/>
    </row>
    <row r="9474" spans="1:5" ht="15.6">
      <c r="A9474">
        <v>9419</v>
      </c>
      <c r="B9474" s="166">
        <v>154.35750359934516</v>
      </c>
      <c r="D9474" s="39"/>
      <c r="E9474" s="39"/>
    </row>
    <row r="9475" spans="1:5" ht="15.6">
      <c r="A9475">
        <v>9420</v>
      </c>
      <c r="B9475" s="166">
        <v>54.04378306460243</v>
      </c>
      <c r="D9475" s="39"/>
      <c r="E9475" s="39"/>
    </row>
    <row r="9476" spans="1:5" ht="15.6">
      <c r="A9476">
        <v>9421</v>
      </c>
      <c r="B9476" s="166">
        <v>130.96151640053446</v>
      </c>
      <c r="D9476" s="39"/>
      <c r="E9476" s="39"/>
    </row>
    <row r="9477" spans="1:5" ht="15.6">
      <c r="A9477">
        <v>9422</v>
      </c>
      <c r="B9477" s="166">
        <v>49.596585416619398</v>
      </c>
      <c r="D9477" s="39"/>
      <c r="E9477" s="39"/>
    </row>
    <row r="9478" spans="1:5" ht="15.6">
      <c r="A9478">
        <v>9423</v>
      </c>
      <c r="B9478" s="166">
        <v>200.53378223669424</v>
      </c>
      <c r="D9478" s="39"/>
      <c r="E9478" s="39"/>
    </row>
    <row r="9479" spans="1:5" ht="15.6">
      <c r="A9479">
        <v>9424</v>
      </c>
      <c r="B9479" s="166">
        <v>72.119540177992263</v>
      </c>
      <c r="D9479" s="39"/>
      <c r="E9479" s="39"/>
    </row>
    <row r="9480" spans="1:5" ht="15.6">
      <c r="A9480">
        <v>9425</v>
      </c>
      <c r="B9480" s="166">
        <v>86.741141832658869</v>
      </c>
      <c r="D9480" s="39"/>
      <c r="E9480" s="39"/>
    </row>
    <row r="9481" spans="1:5" ht="15.6">
      <c r="A9481">
        <v>9426</v>
      </c>
      <c r="B9481" s="166">
        <v>73.972051790439451</v>
      </c>
      <c r="D9481" s="39"/>
      <c r="E9481" s="39"/>
    </row>
    <row r="9482" spans="1:5" ht="15.6">
      <c r="A9482">
        <v>9427</v>
      </c>
      <c r="B9482" s="166">
        <v>145.59490702640349</v>
      </c>
      <c r="D9482" s="39"/>
      <c r="E9482" s="39"/>
    </row>
    <row r="9483" spans="1:5" ht="15.6">
      <c r="A9483">
        <v>9428</v>
      </c>
      <c r="B9483" s="166">
        <v>142.41555220396702</v>
      </c>
      <c r="D9483" s="39"/>
      <c r="E9483" s="39"/>
    </row>
    <row r="9484" spans="1:5" ht="15.6">
      <c r="A9484">
        <v>9429</v>
      </c>
      <c r="B9484" s="166">
        <v>58.060282851446559</v>
      </c>
      <c r="D9484" s="39"/>
      <c r="E9484" s="39"/>
    </row>
    <row r="9485" spans="1:5" ht="15.6">
      <c r="A9485">
        <v>9430</v>
      </c>
      <c r="B9485" s="166">
        <v>63.716229647548538</v>
      </c>
      <c r="D9485" s="39"/>
      <c r="E9485" s="39"/>
    </row>
    <row r="9486" spans="1:5" ht="15.6">
      <c r="A9486">
        <v>9431</v>
      </c>
      <c r="B9486" s="166">
        <v>119.67020565364012</v>
      </c>
      <c r="D9486" s="39"/>
      <c r="E9486" s="39"/>
    </row>
    <row r="9487" spans="1:5" ht="15.6">
      <c r="A9487">
        <v>9432</v>
      </c>
      <c r="B9487" s="166">
        <v>73.057825311966738</v>
      </c>
      <c r="D9487" s="39"/>
      <c r="E9487" s="39"/>
    </row>
    <row r="9488" spans="1:5" ht="15.6">
      <c r="A9488">
        <v>9433</v>
      </c>
      <c r="B9488" s="166">
        <v>139.38112486583108</v>
      </c>
      <c r="D9488" s="39"/>
      <c r="E9488" s="39"/>
    </row>
    <row r="9489" spans="1:5" ht="15.6">
      <c r="A9489">
        <v>9434</v>
      </c>
      <c r="B9489" s="166">
        <v>242.29669902039092</v>
      </c>
      <c r="D9489" s="39"/>
      <c r="E9489" s="39"/>
    </row>
    <row r="9490" spans="1:5" ht="15.6">
      <c r="A9490">
        <v>9435</v>
      </c>
      <c r="B9490" s="166">
        <v>216.41945343186032</v>
      </c>
      <c r="D9490" s="39"/>
      <c r="E9490" s="39"/>
    </row>
    <row r="9491" spans="1:5" ht="15.6">
      <c r="A9491">
        <v>9436</v>
      </c>
      <c r="B9491" s="166">
        <v>78.935074023515</v>
      </c>
      <c r="D9491" s="39"/>
      <c r="E9491" s="39"/>
    </row>
    <row r="9492" spans="1:5" ht="15.6">
      <c r="A9492">
        <v>9437</v>
      </c>
      <c r="B9492" s="166">
        <v>159.31954922617965</v>
      </c>
      <c r="D9492" s="39"/>
      <c r="E9492" s="39"/>
    </row>
    <row r="9493" spans="1:5" ht="15.6">
      <c r="A9493">
        <v>9438</v>
      </c>
      <c r="B9493" s="166">
        <v>83.977714101749058</v>
      </c>
      <c r="D9493" s="39"/>
      <c r="E9493" s="39"/>
    </row>
    <row r="9494" spans="1:5" ht="15.6">
      <c r="A9494">
        <v>9439</v>
      </c>
      <c r="B9494" s="166">
        <v>88.894930503943939</v>
      </c>
      <c r="D9494" s="39"/>
      <c r="E9494" s="39"/>
    </row>
    <row r="9495" spans="1:5" ht="15.6">
      <c r="A9495">
        <v>9440</v>
      </c>
      <c r="B9495" s="166">
        <v>190.27382983971646</v>
      </c>
      <c r="D9495" s="39"/>
      <c r="E9495" s="39"/>
    </row>
    <row r="9496" spans="1:5" ht="15.6">
      <c r="A9496">
        <v>9441</v>
      </c>
      <c r="B9496" s="166">
        <v>106.56331972152651</v>
      </c>
      <c r="D9496" s="39"/>
      <c r="E9496" s="39"/>
    </row>
    <row r="9497" spans="1:5" ht="15.6">
      <c r="A9497">
        <v>9442</v>
      </c>
      <c r="B9497" s="166">
        <v>104.06341952010617</v>
      </c>
      <c r="D9497" s="39"/>
      <c r="E9497" s="39"/>
    </row>
    <row r="9498" spans="1:5" ht="15.6">
      <c r="A9498">
        <v>9443</v>
      </c>
      <c r="B9498" s="166">
        <v>95.056328710404216</v>
      </c>
      <c r="D9498" s="39"/>
      <c r="E9498" s="39"/>
    </row>
    <row r="9499" spans="1:5" ht="15.6">
      <c r="A9499">
        <v>9444</v>
      </c>
      <c r="B9499" s="166">
        <v>180.79877957029404</v>
      </c>
      <c r="D9499" s="39"/>
      <c r="E9499" s="39"/>
    </row>
    <row r="9500" spans="1:5" ht="15.6">
      <c r="A9500">
        <v>9445</v>
      </c>
      <c r="B9500" s="166">
        <v>91.072287935845935</v>
      </c>
      <c r="D9500" s="39"/>
      <c r="E9500" s="39"/>
    </row>
    <row r="9501" spans="1:5" ht="15.6">
      <c r="A9501">
        <v>9446</v>
      </c>
      <c r="B9501" s="166">
        <v>98.961326217723581</v>
      </c>
      <c r="D9501" s="39"/>
      <c r="E9501" s="39"/>
    </row>
    <row r="9502" spans="1:5" ht="15.6">
      <c r="A9502">
        <v>9447</v>
      </c>
      <c r="B9502" s="166">
        <v>73.261298392436274</v>
      </c>
      <c r="D9502" s="39"/>
      <c r="E9502" s="39"/>
    </row>
    <row r="9503" spans="1:5" ht="15.6">
      <c r="A9503">
        <v>9448</v>
      </c>
      <c r="B9503" s="166">
        <v>107.98062774676207</v>
      </c>
      <c r="D9503" s="39"/>
      <c r="E9503" s="39"/>
    </row>
    <row r="9504" spans="1:5" ht="15.6">
      <c r="A9504">
        <v>9449</v>
      </c>
      <c r="B9504" s="166">
        <v>79.848411545959948</v>
      </c>
      <c r="D9504" s="39"/>
      <c r="E9504" s="39"/>
    </row>
    <row r="9505" spans="1:5" ht="15.6">
      <c r="A9505">
        <v>9450</v>
      </c>
      <c r="B9505" s="166">
        <v>116.49023125105735</v>
      </c>
      <c r="D9505" s="39"/>
      <c r="E9505" s="39"/>
    </row>
    <row r="9506" spans="1:5" ht="15.6">
      <c r="A9506">
        <v>9451</v>
      </c>
      <c r="B9506" s="166">
        <v>117.25492665742253</v>
      </c>
      <c r="D9506" s="39"/>
      <c r="E9506" s="39"/>
    </row>
    <row r="9507" spans="1:5" ht="15.6">
      <c r="A9507">
        <v>9452</v>
      </c>
      <c r="B9507" s="166">
        <v>124.27404749787812</v>
      </c>
      <c r="D9507" s="39"/>
      <c r="E9507" s="39"/>
    </row>
    <row r="9508" spans="1:5" ht="15.6">
      <c r="A9508">
        <v>9453</v>
      </c>
      <c r="B9508" s="166">
        <v>83.511110438278052</v>
      </c>
      <c r="D9508" s="39"/>
      <c r="E9508" s="39"/>
    </row>
    <row r="9509" spans="1:5" ht="15.6">
      <c r="A9509">
        <v>9454</v>
      </c>
      <c r="B9509" s="166">
        <v>135.70377343943909</v>
      </c>
      <c r="D9509" s="39"/>
      <c r="E9509" s="39"/>
    </row>
    <row r="9510" spans="1:5" ht="15.6">
      <c r="A9510">
        <v>9455</v>
      </c>
      <c r="B9510" s="166">
        <v>97.349814189523642</v>
      </c>
      <c r="D9510" s="39"/>
      <c r="E9510" s="39"/>
    </row>
    <row r="9511" spans="1:5" ht="15.6">
      <c r="A9511">
        <v>9456</v>
      </c>
      <c r="B9511" s="166">
        <v>114.85628925967278</v>
      </c>
      <c r="D9511" s="39"/>
      <c r="E9511" s="39"/>
    </row>
    <row r="9512" spans="1:5" ht="15.6">
      <c r="A9512">
        <v>9457</v>
      </c>
      <c r="B9512" s="166">
        <v>112.872048981042</v>
      </c>
      <c r="D9512" s="39"/>
      <c r="E9512" s="39"/>
    </row>
    <row r="9513" spans="1:5" ht="15.6">
      <c r="A9513">
        <v>9458</v>
      </c>
      <c r="B9513" s="166">
        <v>137.96943514350556</v>
      </c>
      <c r="D9513" s="39"/>
      <c r="E9513" s="39"/>
    </row>
    <row r="9514" spans="1:5" ht="15.6">
      <c r="A9514">
        <v>9459</v>
      </c>
      <c r="B9514" s="166">
        <v>105.0517282530102</v>
      </c>
      <c r="D9514" s="39"/>
      <c r="E9514" s="39"/>
    </row>
    <row r="9515" spans="1:5" ht="15.6">
      <c r="A9515">
        <v>9460</v>
      </c>
      <c r="B9515" s="166">
        <v>67.09073283435653</v>
      </c>
      <c r="D9515" s="39"/>
      <c r="E9515" s="39"/>
    </row>
    <row r="9516" spans="1:5" ht="15.6">
      <c r="A9516">
        <v>9461</v>
      </c>
      <c r="B9516" s="166">
        <v>169.10151426046258</v>
      </c>
      <c r="D9516" s="39"/>
      <c r="E9516" s="39"/>
    </row>
    <row r="9517" spans="1:5" ht="15.6">
      <c r="A9517">
        <v>9462</v>
      </c>
      <c r="B9517" s="166">
        <v>73.82538810425126</v>
      </c>
      <c r="D9517" s="39"/>
      <c r="E9517" s="39"/>
    </row>
    <row r="9518" spans="1:5" ht="15.6">
      <c r="A9518">
        <v>9463</v>
      </c>
      <c r="B9518" s="166">
        <v>57.168106601895033</v>
      </c>
      <c r="D9518" s="39"/>
      <c r="E9518" s="39"/>
    </row>
    <row r="9519" spans="1:5" ht="15.6">
      <c r="A9519">
        <v>9464</v>
      </c>
      <c r="B9519" s="166">
        <v>64.260373914281004</v>
      </c>
      <c r="D9519" s="39"/>
      <c r="E9519" s="39"/>
    </row>
    <row r="9520" spans="1:5" ht="15.6">
      <c r="A9520">
        <v>9465</v>
      </c>
      <c r="B9520" s="166">
        <v>173.51565736095017</v>
      </c>
      <c r="D9520" s="39"/>
      <c r="E9520" s="39"/>
    </row>
    <row r="9521" spans="1:5" ht="15.6">
      <c r="A9521">
        <v>9466</v>
      </c>
      <c r="B9521" s="166">
        <v>248.19668267141492</v>
      </c>
      <c r="D9521" s="39"/>
      <c r="E9521" s="39"/>
    </row>
    <row r="9522" spans="1:5" ht="15.6">
      <c r="A9522">
        <v>9467</v>
      </c>
      <c r="B9522" s="166">
        <v>123.2119434891631</v>
      </c>
      <c r="D9522" s="39"/>
      <c r="E9522" s="39"/>
    </row>
    <row r="9523" spans="1:5" ht="15.6">
      <c r="A9523">
        <v>9468</v>
      </c>
      <c r="B9523" s="166">
        <v>183.17424859270491</v>
      </c>
      <c r="D9523" s="39"/>
      <c r="E9523" s="39"/>
    </row>
    <row r="9524" spans="1:5" ht="15.6">
      <c r="A9524">
        <v>9469</v>
      </c>
      <c r="B9524" s="166">
        <v>96.914930701815095</v>
      </c>
      <c r="D9524" s="39"/>
      <c r="E9524" s="39"/>
    </row>
    <row r="9525" spans="1:5" ht="15.6">
      <c r="A9525">
        <v>9470</v>
      </c>
      <c r="B9525" s="166">
        <v>132.75942798361785</v>
      </c>
      <c r="D9525" s="39"/>
      <c r="E9525" s="39"/>
    </row>
    <row r="9526" spans="1:5" ht="15.6">
      <c r="A9526">
        <v>9471</v>
      </c>
      <c r="B9526" s="166">
        <v>92.315979983567914</v>
      </c>
      <c r="D9526" s="39"/>
      <c r="E9526" s="39"/>
    </row>
    <row r="9527" spans="1:5" ht="15.6">
      <c r="A9527">
        <v>9472</v>
      </c>
      <c r="B9527" s="166">
        <v>99.31227406862007</v>
      </c>
      <c r="D9527" s="39"/>
      <c r="E9527" s="39"/>
    </row>
    <row r="9528" spans="1:5" ht="15.6">
      <c r="A9528">
        <v>9473</v>
      </c>
      <c r="B9528" s="166">
        <v>62.707621282394378</v>
      </c>
      <c r="D9528" s="39"/>
      <c r="E9528" s="39"/>
    </row>
    <row r="9529" spans="1:5" ht="15.6">
      <c r="A9529">
        <v>9474</v>
      </c>
      <c r="B9529" s="166">
        <v>156.85537940794359</v>
      </c>
      <c r="D9529" s="39"/>
      <c r="E9529" s="39"/>
    </row>
    <row r="9530" spans="1:5" ht="15.6">
      <c r="A9530">
        <v>9475</v>
      </c>
      <c r="B9530" s="166">
        <v>178.25906588747694</v>
      </c>
      <c r="D9530" s="39"/>
      <c r="E9530" s="39"/>
    </row>
    <row r="9531" spans="1:5" ht="15.6">
      <c r="A9531">
        <v>9476</v>
      </c>
      <c r="B9531" s="166">
        <v>91.539519514391145</v>
      </c>
      <c r="D9531" s="39"/>
      <c r="E9531" s="39"/>
    </row>
    <row r="9532" spans="1:5" ht="15.6">
      <c r="A9532">
        <v>9477</v>
      </c>
      <c r="B9532" s="166">
        <v>153.40764608239675</v>
      </c>
      <c r="D9532" s="39"/>
      <c r="E9532" s="39"/>
    </row>
    <row r="9533" spans="1:5" ht="15.6">
      <c r="A9533">
        <v>9478</v>
      </c>
      <c r="B9533" s="166">
        <v>202.28698300180295</v>
      </c>
      <c r="D9533" s="39"/>
      <c r="E9533" s="39"/>
    </row>
    <row r="9534" spans="1:5" ht="15.6">
      <c r="A9534">
        <v>9479</v>
      </c>
      <c r="B9534" s="166">
        <v>102.14150294744859</v>
      </c>
      <c r="D9534" s="39"/>
      <c r="E9534" s="39"/>
    </row>
    <row r="9535" spans="1:5" ht="15.6">
      <c r="A9535">
        <v>9480</v>
      </c>
      <c r="B9535" s="166">
        <v>225.5807207331442</v>
      </c>
      <c r="D9535" s="39"/>
      <c r="E9535" s="39"/>
    </row>
    <row r="9536" spans="1:5" ht="15.6">
      <c r="A9536">
        <v>9481</v>
      </c>
      <c r="B9536" s="166">
        <v>104.62672659986964</v>
      </c>
      <c r="D9536" s="39"/>
      <c r="E9536" s="39"/>
    </row>
    <row r="9537" spans="1:5" ht="15.6">
      <c r="A9537">
        <v>9482</v>
      </c>
      <c r="B9537" s="166">
        <v>137.81057897597384</v>
      </c>
      <c r="D9537" s="39"/>
      <c r="E9537" s="39"/>
    </row>
    <row r="9538" spans="1:5" ht="15.6">
      <c r="A9538">
        <v>9483</v>
      </c>
      <c r="B9538" s="166">
        <v>120.53781382458997</v>
      </c>
      <c r="D9538" s="39"/>
      <c r="E9538" s="39"/>
    </row>
    <row r="9539" spans="1:5" ht="15.6">
      <c r="A9539">
        <v>9484</v>
      </c>
      <c r="B9539" s="166">
        <v>74.767762644191734</v>
      </c>
      <c r="D9539" s="39"/>
      <c r="E9539" s="39"/>
    </row>
    <row r="9540" spans="1:5" ht="15.6">
      <c r="A9540">
        <v>9485</v>
      </c>
      <c r="B9540" s="166">
        <v>83.049692669354997</v>
      </c>
      <c r="D9540" s="39"/>
      <c r="E9540" s="39"/>
    </row>
    <row r="9541" spans="1:5" ht="15.6">
      <c r="A9541">
        <v>9486</v>
      </c>
      <c r="B9541" s="166">
        <v>235.43610358860008</v>
      </c>
      <c r="D9541" s="39"/>
      <c r="E9541" s="39"/>
    </row>
    <row r="9542" spans="1:5" ht="15.6">
      <c r="A9542">
        <v>9487</v>
      </c>
      <c r="B9542" s="166">
        <v>79.689472191221526</v>
      </c>
      <c r="D9542" s="39"/>
      <c r="E9542" s="39"/>
    </row>
    <row r="9543" spans="1:5" ht="15.6">
      <c r="A9543">
        <v>9488</v>
      </c>
      <c r="B9543" s="166">
        <v>126.07486529567915</v>
      </c>
      <c r="D9543" s="39"/>
      <c r="E9543" s="39"/>
    </row>
    <row r="9544" spans="1:5" ht="15.6">
      <c r="A9544">
        <v>9489</v>
      </c>
      <c r="B9544" s="166">
        <v>84.128356852275203</v>
      </c>
      <c r="D9544" s="39"/>
      <c r="E9544" s="39"/>
    </row>
    <row r="9545" spans="1:5" ht="15.6">
      <c r="A9545">
        <v>9490</v>
      </c>
      <c r="B9545" s="166">
        <v>104.4509535399782</v>
      </c>
      <c r="D9545" s="39"/>
      <c r="E9545" s="39"/>
    </row>
    <row r="9546" spans="1:5" ht="15.6">
      <c r="A9546">
        <v>9491</v>
      </c>
      <c r="B9546" s="166">
        <v>110.03393030825276</v>
      </c>
      <c r="D9546" s="39"/>
      <c r="E9546" s="39"/>
    </row>
    <row r="9547" spans="1:5" ht="15.6">
      <c r="A9547">
        <v>9492</v>
      </c>
      <c r="B9547" s="166">
        <v>105.5792865788452</v>
      </c>
      <c r="D9547" s="39"/>
      <c r="E9547" s="39"/>
    </row>
    <row r="9548" spans="1:5" ht="15.6">
      <c r="A9548">
        <v>9493</v>
      </c>
      <c r="B9548" s="166">
        <v>122.19151407451987</v>
      </c>
      <c r="D9548" s="39"/>
      <c r="E9548" s="39"/>
    </row>
    <row r="9549" spans="1:5" ht="15.6">
      <c r="A9549">
        <v>9494</v>
      </c>
      <c r="B9549" s="166">
        <v>158.43507981184726</v>
      </c>
      <c r="D9549" s="39"/>
      <c r="E9549" s="39"/>
    </row>
    <row r="9550" spans="1:5" ht="15.6">
      <c r="A9550">
        <v>9495</v>
      </c>
      <c r="B9550" s="166">
        <v>150.33458403965628</v>
      </c>
      <c r="D9550" s="39"/>
      <c r="E9550" s="39"/>
    </row>
    <row r="9551" spans="1:5" ht="15.6">
      <c r="A9551">
        <v>9496</v>
      </c>
      <c r="B9551" s="166">
        <v>100.02610663357015</v>
      </c>
      <c r="D9551" s="39"/>
      <c r="E9551" s="39"/>
    </row>
    <row r="9552" spans="1:5" ht="15.6">
      <c r="A9552">
        <v>9497</v>
      </c>
      <c r="B9552" s="166">
        <v>74.881217182778968</v>
      </c>
      <c r="D9552" s="39"/>
      <c r="E9552" s="39"/>
    </row>
    <row r="9553" spans="1:5" ht="15.6">
      <c r="A9553">
        <v>9498</v>
      </c>
      <c r="B9553" s="166">
        <v>78.450667210462072</v>
      </c>
      <c r="D9553" s="39"/>
      <c r="E9553" s="39"/>
    </row>
    <row r="9554" spans="1:5" ht="15.6">
      <c r="A9554">
        <v>9499</v>
      </c>
      <c r="B9554" s="166">
        <v>121.3269176850181</v>
      </c>
      <c r="D9554" s="39"/>
      <c r="E9554" s="39"/>
    </row>
    <row r="9555" spans="1:5" ht="15.6">
      <c r="A9555">
        <v>9500</v>
      </c>
      <c r="B9555" s="166">
        <v>102.97060116852083</v>
      </c>
      <c r="D9555" s="39"/>
      <c r="E9555" s="39"/>
    </row>
    <row r="9556" spans="1:5" ht="15.6">
      <c r="A9556">
        <v>9501</v>
      </c>
      <c r="B9556" s="166">
        <v>111.20719929029707</v>
      </c>
      <c r="D9556" s="39"/>
      <c r="E9556" s="39"/>
    </row>
    <row r="9557" spans="1:5" ht="15.6">
      <c r="A9557">
        <v>9502</v>
      </c>
      <c r="B9557" s="166">
        <v>80.567447109101124</v>
      </c>
      <c r="D9557" s="39"/>
      <c r="E9557" s="39"/>
    </row>
    <row r="9558" spans="1:5" ht="15.6">
      <c r="A9558">
        <v>9503</v>
      </c>
      <c r="B9558" s="166">
        <v>143.3490621214286</v>
      </c>
      <c r="D9558" s="39"/>
      <c r="E9558" s="39"/>
    </row>
    <row r="9559" spans="1:5" ht="15.6">
      <c r="A9559">
        <v>9504</v>
      </c>
      <c r="B9559" s="166">
        <v>94.00158413569612</v>
      </c>
      <c r="D9559" s="39"/>
      <c r="E9559" s="39"/>
    </row>
    <row r="9560" spans="1:5" ht="15.6">
      <c r="A9560">
        <v>9505</v>
      </c>
      <c r="B9560" s="166">
        <v>83.86980073893254</v>
      </c>
      <c r="D9560" s="39"/>
      <c r="E9560" s="39"/>
    </row>
    <row r="9561" spans="1:5" ht="15.6">
      <c r="A9561">
        <v>9506</v>
      </c>
      <c r="B9561" s="166">
        <v>74.213946707016063</v>
      </c>
      <c r="D9561" s="39"/>
      <c r="E9561" s="39"/>
    </row>
    <row r="9562" spans="1:5" ht="15.6">
      <c r="A9562">
        <v>9507</v>
      </c>
      <c r="B9562" s="166">
        <v>115.12140852422138</v>
      </c>
      <c r="D9562" s="39"/>
      <c r="E9562" s="39"/>
    </row>
    <row r="9563" spans="1:5" ht="15.6">
      <c r="A9563">
        <v>9508</v>
      </c>
      <c r="B9563" s="166">
        <v>92.897427924702129</v>
      </c>
      <c r="D9563" s="39"/>
      <c r="E9563" s="39"/>
    </row>
    <row r="9564" spans="1:5" ht="15.6">
      <c r="A9564">
        <v>9509</v>
      </c>
      <c r="B9564" s="166">
        <v>81.387716947790196</v>
      </c>
      <c r="D9564" s="39"/>
      <c r="E9564" s="39"/>
    </row>
    <row r="9565" spans="1:5" ht="15.6">
      <c r="A9565">
        <v>9510</v>
      </c>
      <c r="B9565" s="166">
        <v>150.65891463732919</v>
      </c>
      <c r="D9565" s="39"/>
      <c r="E9565" s="39"/>
    </row>
    <row r="9566" spans="1:5" ht="15.6">
      <c r="A9566">
        <v>9511</v>
      </c>
      <c r="B9566" s="166">
        <v>96.304808068876483</v>
      </c>
      <c r="D9566" s="39"/>
      <c r="E9566" s="39"/>
    </row>
    <row r="9567" spans="1:5" ht="15.6">
      <c r="A9567">
        <v>9512</v>
      </c>
      <c r="B9567" s="166">
        <v>82.590143042850855</v>
      </c>
      <c r="D9567" s="39"/>
      <c r="E9567" s="39"/>
    </row>
    <row r="9568" spans="1:5" ht="15.6">
      <c r="A9568">
        <v>9513</v>
      </c>
      <c r="B9568" s="166">
        <v>99.598889355134673</v>
      </c>
      <c r="D9568" s="39"/>
      <c r="E9568" s="39"/>
    </row>
    <row r="9569" spans="1:5" ht="15.6">
      <c r="A9569">
        <v>9514</v>
      </c>
      <c r="B9569" s="166">
        <v>92.184170127206087</v>
      </c>
      <c r="D9569" s="39"/>
      <c r="E9569" s="39"/>
    </row>
    <row r="9570" spans="1:5" ht="15.6">
      <c r="A9570">
        <v>9515</v>
      </c>
      <c r="B9570" s="166">
        <v>123.49108626381667</v>
      </c>
      <c r="D9570" s="39"/>
      <c r="E9570" s="39"/>
    </row>
    <row r="9571" spans="1:5" ht="15.6">
      <c r="A9571">
        <v>9516</v>
      </c>
      <c r="B9571" s="166">
        <v>93.50578747284554</v>
      </c>
      <c r="D9571" s="39"/>
      <c r="E9571" s="39"/>
    </row>
    <row r="9572" spans="1:5" ht="15.6">
      <c r="A9572">
        <v>9517</v>
      </c>
      <c r="B9572" s="166">
        <v>116.93974400265039</v>
      </c>
      <c r="D9572" s="39"/>
      <c r="E9572" s="39"/>
    </row>
    <row r="9573" spans="1:5" ht="15.6">
      <c r="A9573">
        <v>9518</v>
      </c>
      <c r="B9573" s="166">
        <v>98.581817504981643</v>
      </c>
      <c r="D9573" s="39"/>
      <c r="E9573" s="39"/>
    </row>
    <row r="9574" spans="1:5" ht="15.6">
      <c r="A9574">
        <v>9519</v>
      </c>
      <c r="B9574" s="166">
        <v>86.926324240330203</v>
      </c>
      <c r="D9574" s="39"/>
      <c r="E9574" s="39"/>
    </row>
    <row r="9575" spans="1:5" ht="15.6">
      <c r="A9575">
        <v>9520</v>
      </c>
      <c r="B9575" s="166">
        <v>79.986978567551674</v>
      </c>
      <c r="D9575" s="39"/>
      <c r="E9575" s="39"/>
    </row>
    <row r="9576" spans="1:5" ht="15.6">
      <c r="A9576">
        <v>9521</v>
      </c>
      <c r="B9576" s="166">
        <v>122.38483798910541</v>
      </c>
      <c r="D9576" s="39"/>
      <c r="E9576" s="39"/>
    </row>
    <row r="9577" spans="1:5" ht="15.6">
      <c r="A9577">
        <v>9522</v>
      </c>
      <c r="B9577" s="166">
        <v>59.609146834025886</v>
      </c>
      <c r="D9577" s="39"/>
      <c r="E9577" s="39"/>
    </row>
    <row r="9578" spans="1:5" ht="15.6">
      <c r="A9578">
        <v>9523</v>
      </c>
      <c r="B9578" s="166">
        <v>141.33955273240721</v>
      </c>
      <c r="D9578" s="39"/>
      <c r="E9578" s="39"/>
    </row>
    <row r="9579" spans="1:5" ht="15.6">
      <c r="A9579">
        <v>9524</v>
      </c>
      <c r="B9579" s="166">
        <v>99.61163394313219</v>
      </c>
      <c r="D9579" s="39"/>
      <c r="E9579" s="39"/>
    </row>
    <row r="9580" spans="1:5" ht="15.6">
      <c r="A9580">
        <v>9525</v>
      </c>
      <c r="B9580" s="166">
        <v>152.38926447646196</v>
      </c>
      <c r="D9580" s="39"/>
      <c r="E9580" s="39"/>
    </row>
    <row r="9581" spans="1:5" ht="15.6">
      <c r="A9581">
        <v>9526</v>
      </c>
      <c r="B9581" s="166">
        <v>135.86412513267865</v>
      </c>
      <c r="D9581" s="39"/>
      <c r="E9581" s="39"/>
    </row>
    <row r="9582" spans="1:5" ht="15.6">
      <c r="A9582">
        <v>9527</v>
      </c>
      <c r="B9582" s="166">
        <v>124.73157648056178</v>
      </c>
      <c r="D9582" s="39"/>
      <c r="E9582" s="39"/>
    </row>
    <row r="9583" spans="1:5" ht="15.6">
      <c r="A9583">
        <v>9528</v>
      </c>
      <c r="B9583" s="166">
        <v>118.05639829097947</v>
      </c>
      <c r="D9583" s="39"/>
      <c r="E9583" s="39"/>
    </row>
    <row r="9584" spans="1:5" ht="15.6">
      <c r="A9584">
        <v>9529</v>
      </c>
      <c r="B9584" s="166">
        <v>219.32205845964077</v>
      </c>
      <c r="D9584" s="39"/>
      <c r="E9584" s="39"/>
    </row>
    <row r="9585" spans="1:5" ht="15.6">
      <c r="A9585">
        <v>9530</v>
      </c>
      <c r="B9585" s="166">
        <v>174.71999404821528</v>
      </c>
      <c r="D9585" s="39"/>
      <c r="E9585" s="39"/>
    </row>
    <row r="9586" spans="1:5" ht="15.6">
      <c r="A9586">
        <v>9531</v>
      </c>
      <c r="B9586" s="166">
        <v>97.289470561214245</v>
      </c>
      <c r="D9586" s="39"/>
      <c r="E9586" s="39"/>
    </row>
    <row r="9587" spans="1:5" ht="15.6">
      <c r="A9587">
        <v>9532</v>
      </c>
      <c r="B9587" s="166">
        <v>186.3740900824917</v>
      </c>
      <c r="D9587" s="39"/>
      <c r="E9587" s="39"/>
    </row>
    <row r="9588" spans="1:5" ht="15.6">
      <c r="A9588">
        <v>9533</v>
      </c>
      <c r="B9588" s="166">
        <v>131.23167408297567</v>
      </c>
      <c r="D9588" s="39"/>
      <c r="E9588" s="39"/>
    </row>
    <row r="9589" spans="1:5" ht="15.6">
      <c r="A9589">
        <v>9534</v>
      </c>
      <c r="B9589" s="166">
        <v>128.80257608672386</v>
      </c>
      <c r="D9589" s="39"/>
      <c r="E9589" s="39"/>
    </row>
    <row r="9590" spans="1:5" ht="15.6">
      <c r="A9590">
        <v>9535</v>
      </c>
      <c r="B9590" s="166">
        <v>143.57259238805747</v>
      </c>
      <c r="D9590" s="39"/>
      <c r="E9590" s="39"/>
    </row>
    <row r="9591" spans="1:5" ht="15.6">
      <c r="A9591">
        <v>9536</v>
      </c>
      <c r="B9591" s="166">
        <v>125.18405407566547</v>
      </c>
      <c r="D9591" s="39"/>
      <c r="E9591" s="39"/>
    </row>
    <row r="9592" spans="1:5" ht="15.6">
      <c r="A9592">
        <v>9537</v>
      </c>
      <c r="B9592" s="166">
        <v>108.66855012917787</v>
      </c>
      <c r="D9592" s="39"/>
      <c r="E9592" s="39"/>
    </row>
    <row r="9593" spans="1:5" ht="15.6">
      <c r="A9593">
        <v>9538</v>
      </c>
      <c r="B9593" s="166">
        <v>52.09835161126675</v>
      </c>
      <c r="D9593" s="39"/>
      <c r="E9593" s="39"/>
    </row>
    <row r="9594" spans="1:5" ht="15.6">
      <c r="A9594">
        <v>9539</v>
      </c>
      <c r="B9594" s="166">
        <v>67.585893236529245</v>
      </c>
      <c r="D9594" s="39"/>
      <c r="E9594" s="39"/>
    </row>
    <row r="9595" spans="1:5" ht="15.6">
      <c r="A9595">
        <v>9540</v>
      </c>
      <c r="B9595" s="166">
        <v>123.93687362262625</v>
      </c>
      <c r="D9595" s="39"/>
      <c r="E9595" s="39"/>
    </row>
    <row r="9596" spans="1:5" ht="15.6">
      <c r="A9596">
        <v>9541</v>
      </c>
      <c r="B9596" s="166">
        <v>148.82507633488589</v>
      </c>
      <c r="D9596" s="39"/>
      <c r="E9596" s="39"/>
    </row>
    <row r="9597" spans="1:5" ht="15.6">
      <c r="A9597">
        <v>9542</v>
      </c>
      <c r="B9597" s="166">
        <v>208.81383687982304</v>
      </c>
      <c r="D9597" s="39"/>
      <c r="E9597" s="39"/>
    </row>
    <row r="9598" spans="1:5" ht="15.6">
      <c r="A9598">
        <v>9543</v>
      </c>
      <c r="B9598" s="166">
        <v>99.895515882594921</v>
      </c>
      <c r="D9598" s="39"/>
      <c r="E9598" s="39"/>
    </row>
    <row r="9599" spans="1:5" ht="15.6">
      <c r="A9599">
        <v>9544</v>
      </c>
      <c r="B9599" s="166">
        <v>85.424139009919642</v>
      </c>
      <c r="D9599" s="39"/>
      <c r="E9599" s="39"/>
    </row>
    <row r="9600" spans="1:5" ht="15.6">
      <c r="A9600">
        <v>9545</v>
      </c>
      <c r="B9600" s="166">
        <v>161.5724800762774</v>
      </c>
      <c r="D9600" s="39"/>
      <c r="E9600" s="39"/>
    </row>
    <row r="9601" spans="1:5" ht="15.6">
      <c r="A9601">
        <v>9546</v>
      </c>
      <c r="B9601" s="166">
        <v>90.291299795897601</v>
      </c>
      <c r="D9601" s="39"/>
      <c r="E9601" s="39"/>
    </row>
    <row r="9602" spans="1:5" ht="15.6">
      <c r="A9602">
        <v>9547</v>
      </c>
      <c r="B9602" s="166">
        <v>77.025031552273745</v>
      </c>
      <c r="D9602" s="39"/>
      <c r="E9602" s="39"/>
    </row>
    <row r="9603" spans="1:5" ht="15.6">
      <c r="A9603">
        <v>9548</v>
      </c>
      <c r="B9603" s="166">
        <v>115.09277556299467</v>
      </c>
      <c r="D9603" s="39"/>
      <c r="E9603" s="39"/>
    </row>
    <row r="9604" spans="1:5" ht="15.6">
      <c r="A9604">
        <v>9549</v>
      </c>
      <c r="B9604" s="166">
        <v>122.20662343073829</v>
      </c>
      <c r="D9604" s="39"/>
      <c r="E9604" s="39"/>
    </row>
    <row r="9605" spans="1:5" ht="15.6">
      <c r="A9605">
        <v>9550</v>
      </c>
      <c r="B9605" s="166">
        <v>104.48001696972293</v>
      </c>
      <c r="D9605" s="39"/>
      <c r="E9605" s="39"/>
    </row>
    <row r="9606" spans="1:5" ht="15.6">
      <c r="A9606">
        <v>9551</v>
      </c>
      <c r="B9606" s="166">
        <v>84.275249094550347</v>
      </c>
      <c r="D9606" s="39"/>
      <c r="E9606" s="39"/>
    </row>
    <row r="9607" spans="1:5" ht="15.6">
      <c r="A9607">
        <v>9552</v>
      </c>
      <c r="B9607" s="166">
        <v>98.385180828966128</v>
      </c>
      <c r="D9607" s="39"/>
      <c r="E9607" s="39"/>
    </row>
    <row r="9608" spans="1:5" ht="15.6">
      <c r="A9608">
        <v>9553</v>
      </c>
      <c r="B9608" s="166">
        <v>132.13026669584434</v>
      </c>
      <c r="D9608" s="39"/>
      <c r="E9608" s="39"/>
    </row>
    <row r="9609" spans="1:5" ht="15.6">
      <c r="A9609">
        <v>9554</v>
      </c>
      <c r="B9609" s="166">
        <v>88.551455212291444</v>
      </c>
      <c r="D9609" s="39"/>
      <c r="E9609" s="39"/>
    </row>
    <row r="9610" spans="1:5" ht="15.6">
      <c r="A9610">
        <v>9555</v>
      </c>
      <c r="B9610" s="166">
        <v>114.0695835061195</v>
      </c>
      <c r="D9610" s="39"/>
      <c r="E9610" s="39"/>
    </row>
    <row r="9611" spans="1:5" ht="15.6">
      <c r="A9611">
        <v>9556</v>
      </c>
      <c r="B9611" s="166">
        <v>83.411027638488704</v>
      </c>
      <c r="D9611" s="39"/>
      <c r="E9611" s="39"/>
    </row>
    <row r="9612" spans="1:5" ht="15.6">
      <c r="A9612">
        <v>9557</v>
      </c>
      <c r="B9612" s="166">
        <v>72.104154757207624</v>
      </c>
      <c r="D9612" s="39"/>
      <c r="E9612" s="39"/>
    </row>
    <row r="9613" spans="1:5" ht="15.6">
      <c r="A9613">
        <v>9558</v>
      </c>
      <c r="B9613" s="166">
        <v>149.83070096081741</v>
      </c>
      <c r="D9613" s="39"/>
      <c r="E9613" s="39"/>
    </row>
    <row r="9614" spans="1:5" ht="15.6">
      <c r="A9614">
        <v>9559</v>
      </c>
      <c r="B9614" s="166">
        <v>196.36101134916589</v>
      </c>
      <c r="D9614" s="39"/>
      <c r="E9614" s="39"/>
    </row>
    <row r="9615" spans="1:5" ht="15.6">
      <c r="A9615">
        <v>9560</v>
      </c>
      <c r="B9615" s="166">
        <v>85.041868743308939</v>
      </c>
      <c r="D9615" s="39"/>
      <c r="E9615" s="39"/>
    </row>
    <row r="9616" spans="1:5" ht="15.6">
      <c r="A9616">
        <v>9561</v>
      </c>
      <c r="B9616" s="166">
        <v>59.538010939033789</v>
      </c>
      <c r="D9616" s="39"/>
      <c r="E9616" s="39"/>
    </row>
    <row r="9617" spans="1:5" ht="15.6">
      <c r="A9617">
        <v>9562</v>
      </c>
      <c r="B9617" s="166">
        <v>77.322500139300757</v>
      </c>
      <c r="D9617" s="39"/>
      <c r="E9617" s="39"/>
    </row>
    <row r="9618" spans="1:5" ht="15.6">
      <c r="A9618">
        <v>9563</v>
      </c>
      <c r="B9618" s="166">
        <v>73.618707315876307</v>
      </c>
      <c r="D9618" s="39"/>
      <c r="E9618" s="39"/>
    </row>
    <row r="9619" spans="1:5" ht="15.6">
      <c r="A9619">
        <v>9564</v>
      </c>
      <c r="B9619" s="166">
        <v>96.304784065178865</v>
      </c>
      <c r="D9619" s="39"/>
      <c r="E9619" s="39"/>
    </row>
    <row r="9620" spans="1:5" ht="15.6">
      <c r="A9620">
        <v>9565</v>
      </c>
      <c r="B9620" s="166">
        <v>76.793072953756976</v>
      </c>
      <c r="D9620" s="39"/>
      <c r="E9620" s="39"/>
    </row>
    <row r="9621" spans="1:5" ht="15.6">
      <c r="A9621">
        <v>9566</v>
      </c>
      <c r="B9621" s="166">
        <v>164.05781058680211</v>
      </c>
      <c r="D9621" s="39"/>
      <c r="E9621" s="39"/>
    </row>
    <row r="9622" spans="1:5" ht="15.6">
      <c r="A9622">
        <v>9567</v>
      </c>
      <c r="B9622" s="166">
        <v>178.31683387004273</v>
      </c>
      <c r="D9622" s="39"/>
      <c r="E9622" s="39"/>
    </row>
    <row r="9623" spans="1:5" ht="15.6">
      <c r="A9623">
        <v>9568</v>
      </c>
      <c r="B9623" s="166">
        <v>61.374733159055651</v>
      </c>
      <c r="D9623" s="39"/>
      <c r="E9623" s="39"/>
    </row>
    <row r="9624" spans="1:5" ht="15.6">
      <c r="A9624">
        <v>9569</v>
      </c>
      <c r="B9624" s="166">
        <v>89.454584443670612</v>
      </c>
      <c r="D9624" s="39"/>
      <c r="E9624" s="39"/>
    </row>
    <row r="9625" spans="1:5" ht="15.6">
      <c r="A9625">
        <v>9570</v>
      </c>
      <c r="B9625" s="166">
        <v>75.846807725717753</v>
      </c>
      <c r="D9625" s="39"/>
      <c r="E9625" s="39"/>
    </row>
    <row r="9626" spans="1:5" ht="15.6">
      <c r="A9626">
        <v>9571</v>
      </c>
      <c r="B9626" s="166">
        <v>179.33163095395761</v>
      </c>
      <c r="D9626" s="39"/>
      <c r="E9626" s="39"/>
    </row>
    <row r="9627" spans="1:5" ht="15.6">
      <c r="A9627">
        <v>9572</v>
      </c>
      <c r="B9627" s="166">
        <v>131.87966700818774</v>
      </c>
      <c r="D9627" s="39"/>
      <c r="E9627" s="39"/>
    </row>
    <row r="9628" spans="1:5" ht="15.6">
      <c r="A9628">
        <v>9573</v>
      </c>
      <c r="B9628" s="166">
        <v>138.73950143386026</v>
      </c>
      <c r="D9628" s="39"/>
      <c r="E9628" s="39"/>
    </row>
    <row r="9629" spans="1:5" ht="15.6">
      <c r="A9629">
        <v>9574</v>
      </c>
      <c r="B9629" s="166">
        <v>110.59063786869172</v>
      </c>
      <c r="D9629" s="39"/>
      <c r="E9629" s="39"/>
    </row>
    <row r="9630" spans="1:5" ht="15.6">
      <c r="A9630">
        <v>9575</v>
      </c>
      <c r="B9630" s="166">
        <v>106.88644464334192</v>
      </c>
      <c r="D9630" s="39"/>
      <c r="E9630" s="39"/>
    </row>
    <row r="9631" spans="1:5" ht="15.6">
      <c r="A9631">
        <v>9576</v>
      </c>
      <c r="B9631" s="166">
        <v>62.11949944162113</v>
      </c>
      <c r="D9631" s="39"/>
      <c r="E9631" s="39"/>
    </row>
    <row r="9632" spans="1:5" ht="15.6">
      <c r="A9632">
        <v>9577</v>
      </c>
      <c r="B9632" s="166">
        <v>78.545448593942822</v>
      </c>
      <c r="D9632" s="39"/>
      <c r="E9632" s="39"/>
    </row>
    <row r="9633" spans="1:5" ht="15.6">
      <c r="A9633">
        <v>9578</v>
      </c>
      <c r="B9633" s="166">
        <v>163.56987036482974</v>
      </c>
      <c r="D9633" s="39"/>
      <c r="E9633" s="39"/>
    </row>
    <row r="9634" spans="1:5" ht="15.6">
      <c r="A9634">
        <v>9579</v>
      </c>
      <c r="B9634" s="166">
        <v>71.543948169098599</v>
      </c>
      <c r="D9634" s="39"/>
      <c r="E9634" s="39"/>
    </row>
    <row r="9635" spans="1:5" ht="15.6">
      <c r="A9635">
        <v>9580</v>
      </c>
      <c r="B9635" s="166">
        <v>88.943742518905168</v>
      </c>
      <c r="D9635" s="39"/>
      <c r="E9635" s="39"/>
    </row>
    <row r="9636" spans="1:5" ht="15.6">
      <c r="A9636">
        <v>9581</v>
      </c>
      <c r="B9636" s="166">
        <v>73.671424188517577</v>
      </c>
      <c r="D9636" s="39"/>
      <c r="E9636" s="39"/>
    </row>
    <row r="9637" spans="1:5" ht="15.6">
      <c r="A9637">
        <v>9582</v>
      </c>
      <c r="B9637" s="166">
        <v>103.5678144188805</v>
      </c>
      <c r="D9637" s="39"/>
      <c r="E9637" s="39"/>
    </row>
    <row r="9638" spans="1:5" ht="15.6">
      <c r="A9638">
        <v>9583</v>
      </c>
      <c r="B9638" s="166">
        <v>102.91735442222281</v>
      </c>
      <c r="D9638" s="39"/>
      <c r="E9638" s="39"/>
    </row>
    <row r="9639" spans="1:5" ht="15.6">
      <c r="A9639">
        <v>9584</v>
      </c>
      <c r="B9639" s="166">
        <v>63.014651647185957</v>
      </c>
      <c r="D9639" s="39"/>
      <c r="E9639" s="39"/>
    </row>
    <row r="9640" spans="1:5" ht="15.6">
      <c r="A9640">
        <v>9585</v>
      </c>
      <c r="B9640" s="166">
        <v>84.387893129250671</v>
      </c>
      <c r="D9640" s="39"/>
      <c r="E9640" s="39"/>
    </row>
    <row r="9641" spans="1:5" ht="15.6">
      <c r="A9641">
        <v>9586</v>
      </c>
      <c r="B9641" s="166">
        <v>80.855758861356861</v>
      </c>
      <c r="D9641" s="39"/>
      <c r="E9641" s="39"/>
    </row>
    <row r="9642" spans="1:5" ht="15.6">
      <c r="A9642">
        <v>9587</v>
      </c>
      <c r="B9642" s="166">
        <v>83.431752245411559</v>
      </c>
      <c r="D9642" s="39"/>
      <c r="E9642" s="39"/>
    </row>
    <row r="9643" spans="1:5" ht="15.6">
      <c r="A9643">
        <v>9588</v>
      </c>
      <c r="B9643" s="166">
        <v>81.700039626278624</v>
      </c>
      <c r="D9643" s="39"/>
      <c r="E9643" s="39"/>
    </row>
    <row r="9644" spans="1:5" ht="15.6">
      <c r="A9644">
        <v>9589</v>
      </c>
      <c r="B9644" s="166">
        <v>140.27023732438883</v>
      </c>
      <c r="D9644" s="39"/>
      <c r="E9644" s="39"/>
    </row>
    <row r="9645" spans="1:5" ht="15.6">
      <c r="A9645">
        <v>9590</v>
      </c>
      <c r="B9645" s="166">
        <v>117.55068848837698</v>
      </c>
      <c r="D9645" s="39"/>
      <c r="E9645" s="39"/>
    </row>
    <row r="9646" spans="1:5" ht="15.6">
      <c r="A9646">
        <v>9591</v>
      </c>
      <c r="B9646" s="166">
        <v>99.47597440931527</v>
      </c>
      <c r="D9646" s="39"/>
      <c r="E9646" s="39"/>
    </row>
    <row r="9647" spans="1:5" ht="15.6">
      <c r="A9647">
        <v>9592</v>
      </c>
      <c r="B9647" s="166">
        <v>50.542560705824933</v>
      </c>
      <c r="D9647" s="39"/>
      <c r="E9647" s="39"/>
    </row>
    <row r="9648" spans="1:5" ht="15.6">
      <c r="A9648">
        <v>9593</v>
      </c>
      <c r="B9648" s="166">
        <v>134.31392262874536</v>
      </c>
      <c r="D9648" s="39"/>
      <c r="E9648" s="39"/>
    </row>
    <row r="9649" spans="1:5" ht="15.6">
      <c r="A9649">
        <v>9594</v>
      </c>
      <c r="B9649" s="166">
        <v>92.113898960160142</v>
      </c>
      <c r="D9649" s="39"/>
      <c r="E9649" s="39"/>
    </row>
    <row r="9650" spans="1:5" ht="15.6">
      <c r="A9650">
        <v>9595</v>
      </c>
      <c r="B9650" s="166">
        <v>134.10197595342962</v>
      </c>
      <c r="D9650" s="39"/>
      <c r="E9650" s="39"/>
    </row>
    <row r="9651" spans="1:5" ht="15.6">
      <c r="A9651">
        <v>9596</v>
      </c>
      <c r="B9651" s="166">
        <v>81.545655795850976</v>
      </c>
      <c r="D9651" s="39"/>
      <c r="E9651" s="39"/>
    </row>
    <row r="9652" spans="1:5" ht="15.6">
      <c r="A9652">
        <v>9597</v>
      </c>
      <c r="B9652" s="166">
        <v>218.65420523071552</v>
      </c>
      <c r="D9652" s="39"/>
      <c r="E9652" s="39"/>
    </row>
    <row r="9653" spans="1:5" ht="15.6">
      <c r="A9653">
        <v>9598</v>
      </c>
      <c r="B9653" s="166">
        <v>52.833341413267064</v>
      </c>
      <c r="D9653" s="39"/>
      <c r="E9653" s="39"/>
    </row>
    <row r="9654" spans="1:5" ht="15.6">
      <c r="A9654">
        <v>9599</v>
      </c>
      <c r="B9654" s="166">
        <v>47.511013397086515</v>
      </c>
      <c r="D9654" s="39"/>
      <c r="E9654" s="39"/>
    </row>
    <row r="9655" spans="1:5" ht="15.6">
      <c r="A9655">
        <v>9600</v>
      </c>
      <c r="B9655" s="166">
        <v>81.51721040836992</v>
      </c>
      <c r="D9655" s="39"/>
      <c r="E9655" s="39"/>
    </row>
    <row r="9656" spans="1:5" ht="15.6">
      <c r="A9656">
        <v>9601</v>
      </c>
      <c r="B9656" s="166">
        <v>86.602372417860025</v>
      </c>
      <c r="D9656" s="39"/>
      <c r="E9656" s="39"/>
    </row>
    <row r="9657" spans="1:5" ht="15.6">
      <c r="A9657">
        <v>9602</v>
      </c>
      <c r="B9657" s="166">
        <v>66.820989705563846</v>
      </c>
      <c r="D9657" s="39"/>
      <c r="E9657" s="39"/>
    </row>
    <row r="9658" spans="1:5" ht="15.6">
      <c r="A9658">
        <v>9603</v>
      </c>
      <c r="B9658" s="166">
        <v>95.629395833978677</v>
      </c>
      <c r="D9658" s="39"/>
      <c r="E9658" s="39"/>
    </row>
    <row r="9659" spans="1:5" ht="15.6">
      <c r="A9659">
        <v>9604</v>
      </c>
      <c r="B9659" s="166">
        <v>91.844505532859699</v>
      </c>
      <c r="D9659" s="39"/>
      <c r="E9659" s="39"/>
    </row>
    <row r="9660" spans="1:5" ht="15.6">
      <c r="A9660">
        <v>9605</v>
      </c>
      <c r="B9660" s="166">
        <v>91.982827911729856</v>
      </c>
      <c r="D9660" s="39"/>
      <c r="E9660" s="39"/>
    </row>
    <row r="9661" spans="1:5" ht="15.6">
      <c r="A9661">
        <v>9606</v>
      </c>
      <c r="B9661" s="166">
        <v>71.974426605853509</v>
      </c>
      <c r="D9661" s="39"/>
      <c r="E9661" s="39"/>
    </row>
    <row r="9662" spans="1:5" ht="15.6">
      <c r="A9662">
        <v>9607</v>
      </c>
      <c r="B9662" s="166">
        <v>151.91469667326024</v>
      </c>
      <c r="D9662" s="39"/>
      <c r="E9662" s="39"/>
    </row>
    <row r="9663" spans="1:5" ht="15.6">
      <c r="A9663">
        <v>9608</v>
      </c>
      <c r="B9663" s="166">
        <v>182.93849325345803</v>
      </c>
      <c r="D9663" s="39"/>
      <c r="E9663" s="39"/>
    </row>
    <row r="9664" spans="1:5" ht="15.6">
      <c r="A9664">
        <v>9609</v>
      </c>
      <c r="B9664" s="166">
        <v>159.33098134071093</v>
      </c>
      <c r="D9664" s="39"/>
      <c r="E9664" s="39"/>
    </row>
    <row r="9665" spans="1:5" ht="15.6">
      <c r="A9665">
        <v>9610</v>
      </c>
      <c r="B9665" s="166">
        <v>98.84757886493766</v>
      </c>
      <c r="D9665" s="39"/>
      <c r="E9665" s="39"/>
    </row>
    <row r="9666" spans="1:5" ht="15.6">
      <c r="A9666">
        <v>9611</v>
      </c>
      <c r="B9666" s="166">
        <v>122.08698358619691</v>
      </c>
      <c r="D9666" s="39"/>
      <c r="E9666" s="39"/>
    </row>
    <row r="9667" spans="1:5" ht="15.6">
      <c r="A9667">
        <v>9612</v>
      </c>
      <c r="B9667" s="166">
        <v>129.96775568961726</v>
      </c>
      <c r="D9667" s="39"/>
      <c r="E9667" s="39"/>
    </row>
    <row r="9668" spans="1:5" ht="15.6">
      <c r="A9668">
        <v>9613</v>
      </c>
      <c r="B9668" s="166">
        <v>141.27475444828042</v>
      </c>
      <c r="D9668" s="39"/>
      <c r="E9668" s="39"/>
    </row>
    <row r="9669" spans="1:5" ht="15.6">
      <c r="A9669">
        <v>9614</v>
      </c>
      <c r="B9669" s="166">
        <v>89.177906169660105</v>
      </c>
      <c r="D9669" s="39"/>
      <c r="E9669" s="39"/>
    </row>
    <row r="9670" spans="1:5" ht="15.6">
      <c r="A9670">
        <v>9615</v>
      </c>
      <c r="B9670" s="166">
        <v>124.31971466278449</v>
      </c>
      <c r="D9670" s="39"/>
      <c r="E9670" s="39"/>
    </row>
    <row r="9671" spans="1:5" ht="15.6">
      <c r="A9671">
        <v>9616</v>
      </c>
      <c r="B9671" s="166">
        <v>132.29141791746864</v>
      </c>
      <c r="D9671" s="39"/>
      <c r="E9671" s="39"/>
    </row>
    <row r="9672" spans="1:5" ht="15.6">
      <c r="A9672">
        <v>9617</v>
      </c>
      <c r="B9672" s="166">
        <v>68.234768955984705</v>
      </c>
      <c r="D9672" s="39"/>
      <c r="E9672" s="39"/>
    </row>
    <row r="9673" spans="1:5" ht="15.6">
      <c r="A9673">
        <v>9618</v>
      </c>
      <c r="B9673" s="166">
        <v>76.188311432671568</v>
      </c>
      <c r="D9673" s="39"/>
      <c r="E9673" s="39"/>
    </row>
    <row r="9674" spans="1:5" ht="15.6">
      <c r="A9674">
        <v>9619</v>
      </c>
      <c r="B9674" s="166">
        <v>137.99488044930771</v>
      </c>
      <c r="D9674" s="39"/>
      <c r="E9674" s="39"/>
    </row>
    <row r="9675" spans="1:5" ht="15.6">
      <c r="A9675">
        <v>9620</v>
      </c>
      <c r="B9675" s="166">
        <v>172.57736551588985</v>
      </c>
      <c r="D9675" s="39"/>
      <c r="E9675" s="39"/>
    </row>
    <row r="9676" spans="1:5" ht="15.6">
      <c r="A9676">
        <v>9621</v>
      </c>
      <c r="B9676" s="166">
        <v>63.692970964356242</v>
      </c>
      <c r="D9676" s="39"/>
      <c r="E9676" s="39"/>
    </row>
    <row r="9677" spans="1:5" ht="15.6">
      <c r="A9677">
        <v>9622</v>
      </c>
      <c r="B9677" s="166">
        <v>135.90914237522205</v>
      </c>
      <c r="D9677" s="39"/>
      <c r="E9677" s="39"/>
    </row>
    <row r="9678" spans="1:5" ht="15.6">
      <c r="A9678">
        <v>9623</v>
      </c>
      <c r="B9678" s="166">
        <v>107.67255987484472</v>
      </c>
      <c r="D9678" s="39"/>
      <c r="E9678" s="39"/>
    </row>
    <row r="9679" spans="1:5" ht="15.6">
      <c r="A9679">
        <v>9624</v>
      </c>
      <c r="B9679" s="166">
        <v>225.02770863210444</v>
      </c>
      <c r="D9679" s="39"/>
      <c r="E9679" s="39"/>
    </row>
    <row r="9680" spans="1:5" ht="15.6">
      <c r="A9680">
        <v>9625</v>
      </c>
      <c r="B9680" s="166">
        <v>84.422812596572854</v>
      </c>
      <c r="D9680" s="39"/>
      <c r="E9680" s="39"/>
    </row>
    <row r="9681" spans="1:5" ht="15.6">
      <c r="A9681">
        <v>9626</v>
      </c>
      <c r="B9681" s="166">
        <v>121.08975444885041</v>
      </c>
      <c r="D9681" s="39"/>
      <c r="E9681" s="39"/>
    </row>
    <row r="9682" spans="1:5" ht="15.6">
      <c r="A9682">
        <v>9627</v>
      </c>
      <c r="B9682" s="166">
        <v>74.582338133437318</v>
      </c>
      <c r="D9682" s="39"/>
      <c r="E9682" s="39"/>
    </row>
    <row r="9683" spans="1:5" ht="15.6">
      <c r="A9683">
        <v>9628</v>
      </c>
      <c r="B9683" s="166">
        <v>151.68774889287781</v>
      </c>
      <c r="D9683" s="39"/>
      <c r="E9683" s="39"/>
    </row>
    <row r="9684" spans="1:5" ht="15.6">
      <c r="A9684">
        <v>9629</v>
      </c>
      <c r="B9684" s="166">
        <v>145.66563972136589</v>
      </c>
      <c r="D9684" s="39"/>
      <c r="E9684" s="39"/>
    </row>
    <row r="9685" spans="1:5" ht="15.6">
      <c r="A9685">
        <v>9630</v>
      </c>
      <c r="B9685" s="166">
        <v>50.02710934976642</v>
      </c>
      <c r="D9685" s="39"/>
      <c r="E9685" s="39"/>
    </row>
    <row r="9686" spans="1:5" ht="15.6">
      <c r="A9686">
        <v>9631</v>
      </c>
      <c r="B9686" s="166">
        <v>114.14977152842202</v>
      </c>
      <c r="D9686" s="39"/>
      <c r="E9686" s="39"/>
    </row>
    <row r="9687" spans="1:5" ht="15.6">
      <c r="A9687">
        <v>9632</v>
      </c>
      <c r="B9687" s="166">
        <v>69.791068296964198</v>
      </c>
      <c r="D9687" s="39"/>
      <c r="E9687" s="39"/>
    </row>
    <row r="9688" spans="1:5" ht="15.6">
      <c r="A9688">
        <v>9633</v>
      </c>
      <c r="B9688" s="166">
        <v>163.74248069936158</v>
      </c>
      <c r="D9688" s="39"/>
      <c r="E9688" s="39"/>
    </row>
    <row r="9689" spans="1:5" ht="15.6">
      <c r="A9689">
        <v>9634</v>
      </c>
      <c r="B9689" s="166">
        <v>114.16761054303936</v>
      </c>
      <c r="D9689" s="39"/>
      <c r="E9689" s="39"/>
    </row>
    <row r="9690" spans="1:5" ht="15.6">
      <c r="A9690">
        <v>9635</v>
      </c>
      <c r="B9690" s="166">
        <v>268.79669202737006</v>
      </c>
      <c r="D9690" s="39"/>
      <c r="E9690" s="39"/>
    </row>
    <row r="9691" spans="1:5" ht="15.6">
      <c r="A9691">
        <v>9636</v>
      </c>
      <c r="B9691" s="166">
        <v>149.01255591072984</v>
      </c>
      <c r="D9691" s="39"/>
      <c r="E9691" s="39"/>
    </row>
    <row r="9692" spans="1:5" ht="15.6">
      <c r="A9692">
        <v>9637</v>
      </c>
      <c r="B9692" s="166">
        <v>117.6057925606253</v>
      </c>
      <c r="D9692" s="39"/>
      <c r="E9692" s="39"/>
    </row>
    <row r="9693" spans="1:5" ht="15.6">
      <c r="A9693">
        <v>9638</v>
      </c>
      <c r="B9693" s="166">
        <v>70.433695127716831</v>
      </c>
      <c r="D9693" s="39"/>
      <c r="E9693" s="39"/>
    </row>
    <row r="9694" spans="1:5" ht="15.6">
      <c r="A9694">
        <v>9639</v>
      </c>
      <c r="B9694" s="166">
        <v>109.67221615295021</v>
      </c>
      <c r="D9694" s="39"/>
      <c r="E9694" s="39"/>
    </row>
    <row r="9695" spans="1:5" ht="15.6">
      <c r="A9695">
        <v>9640</v>
      </c>
      <c r="B9695" s="166">
        <v>99.272408169022924</v>
      </c>
      <c r="D9695" s="39"/>
      <c r="E9695" s="39"/>
    </row>
    <row r="9696" spans="1:5" ht="15.6">
      <c r="A9696">
        <v>9641</v>
      </c>
      <c r="B9696" s="166">
        <v>140.51559208457064</v>
      </c>
      <c r="D9696" s="39"/>
      <c r="E9696" s="39"/>
    </row>
    <row r="9697" spans="1:5" ht="15.6">
      <c r="A9697">
        <v>9642</v>
      </c>
      <c r="B9697" s="166">
        <v>87.758554538712062</v>
      </c>
      <c r="D9697" s="39"/>
      <c r="E9697" s="39"/>
    </row>
    <row r="9698" spans="1:5" ht="15.6">
      <c r="A9698">
        <v>9643</v>
      </c>
      <c r="B9698" s="166">
        <v>143.11043207605681</v>
      </c>
      <c r="D9698" s="39"/>
      <c r="E9698" s="39"/>
    </row>
    <row r="9699" spans="1:5" ht="15.6">
      <c r="A9699">
        <v>9644</v>
      </c>
      <c r="B9699" s="166">
        <v>114.85873885127218</v>
      </c>
      <c r="D9699" s="39"/>
      <c r="E9699" s="39"/>
    </row>
    <row r="9700" spans="1:5" ht="15.6">
      <c r="A9700">
        <v>9645</v>
      </c>
      <c r="B9700" s="166">
        <v>76.342480488703458</v>
      </c>
      <c r="D9700" s="39"/>
      <c r="E9700" s="39"/>
    </row>
    <row r="9701" spans="1:5" ht="15.6">
      <c r="A9701">
        <v>9646</v>
      </c>
      <c r="B9701" s="166">
        <v>72.237679706722233</v>
      </c>
      <c r="D9701" s="39"/>
      <c r="E9701" s="39"/>
    </row>
    <row r="9702" spans="1:5" ht="15.6">
      <c r="A9702">
        <v>9647</v>
      </c>
      <c r="B9702" s="166">
        <v>107.97424324580192</v>
      </c>
      <c r="D9702" s="39"/>
      <c r="E9702" s="39"/>
    </row>
    <row r="9703" spans="1:5" ht="15.6">
      <c r="A9703">
        <v>9648</v>
      </c>
      <c r="B9703" s="166">
        <v>125.45706052800303</v>
      </c>
      <c r="D9703" s="39"/>
      <c r="E9703" s="39"/>
    </row>
    <row r="9704" spans="1:5" ht="15.6">
      <c r="A9704">
        <v>9649</v>
      </c>
      <c r="B9704" s="166">
        <v>243.07077985906494</v>
      </c>
      <c r="D9704" s="39"/>
      <c r="E9704" s="39"/>
    </row>
    <row r="9705" spans="1:5" ht="15.6">
      <c r="A9705">
        <v>9650</v>
      </c>
      <c r="B9705" s="166">
        <v>202.00635281268808</v>
      </c>
      <c r="D9705" s="39"/>
      <c r="E9705" s="39"/>
    </row>
    <row r="9706" spans="1:5" ht="15.6">
      <c r="A9706">
        <v>9651</v>
      </c>
      <c r="B9706" s="166">
        <v>124.50595187717826</v>
      </c>
      <c r="D9706" s="39"/>
      <c r="E9706" s="39"/>
    </row>
    <row r="9707" spans="1:5" ht="15.6">
      <c r="A9707">
        <v>9652</v>
      </c>
      <c r="B9707" s="166">
        <v>177.956310277157</v>
      </c>
      <c r="D9707" s="39"/>
      <c r="E9707" s="39"/>
    </row>
    <row r="9708" spans="1:5" ht="15.6">
      <c r="A9708">
        <v>9653</v>
      </c>
      <c r="B9708" s="166">
        <v>94.742099544449061</v>
      </c>
      <c r="D9708" s="39"/>
      <c r="E9708" s="39"/>
    </row>
    <row r="9709" spans="1:5" ht="15.6">
      <c r="A9709">
        <v>9654</v>
      </c>
      <c r="B9709" s="166">
        <v>52.11448133149829</v>
      </c>
      <c r="D9709" s="39"/>
      <c r="E9709" s="39"/>
    </row>
    <row r="9710" spans="1:5" ht="15.6">
      <c r="A9710">
        <v>9655</v>
      </c>
      <c r="B9710" s="166">
        <v>134.74030134709417</v>
      </c>
      <c r="D9710" s="39"/>
      <c r="E9710" s="39"/>
    </row>
    <row r="9711" spans="1:5" ht="15.6">
      <c r="A9711">
        <v>9656</v>
      </c>
      <c r="B9711" s="166">
        <v>60.139865173556188</v>
      </c>
      <c r="D9711" s="39"/>
      <c r="E9711" s="39"/>
    </row>
    <row r="9712" spans="1:5" ht="15.6">
      <c r="A9712">
        <v>9657</v>
      </c>
      <c r="B9712" s="166">
        <v>90.831670559683033</v>
      </c>
      <c r="D9712" s="39"/>
      <c r="E9712" s="39"/>
    </row>
    <row r="9713" spans="1:5" ht="15.6">
      <c r="A9713">
        <v>9658</v>
      </c>
      <c r="B9713" s="166">
        <v>131.74309324996494</v>
      </c>
      <c r="D9713" s="39"/>
      <c r="E9713" s="39"/>
    </row>
    <row r="9714" spans="1:5" ht="15.6">
      <c r="A9714">
        <v>9659</v>
      </c>
      <c r="B9714" s="166">
        <v>99.970417035059356</v>
      </c>
      <c r="D9714" s="39"/>
      <c r="E9714" s="39"/>
    </row>
    <row r="9715" spans="1:5" ht="15.6">
      <c r="A9715">
        <v>9660</v>
      </c>
      <c r="B9715" s="166">
        <v>147.00674231465018</v>
      </c>
      <c r="D9715" s="39"/>
      <c r="E9715" s="39"/>
    </row>
    <row r="9716" spans="1:5" ht="15.6">
      <c r="A9716">
        <v>9661</v>
      </c>
      <c r="B9716" s="166">
        <v>146.95483866485054</v>
      </c>
      <c r="D9716" s="39"/>
      <c r="E9716" s="39"/>
    </row>
    <row r="9717" spans="1:5" ht="15.6">
      <c r="A9717">
        <v>9662</v>
      </c>
      <c r="B9717" s="166">
        <v>190.72025270263643</v>
      </c>
      <c r="D9717" s="39"/>
      <c r="E9717" s="39"/>
    </row>
    <row r="9718" spans="1:5" ht="15.6">
      <c r="A9718">
        <v>9663</v>
      </c>
      <c r="B9718" s="166">
        <v>90.70811727661858</v>
      </c>
      <c r="D9718" s="39"/>
      <c r="E9718" s="39"/>
    </row>
    <row r="9719" spans="1:5" ht="15.6">
      <c r="A9719">
        <v>9664</v>
      </c>
      <c r="B9719" s="166">
        <v>157.37249290914886</v>
      </c>
      <c r="D9719" s="39"/>
      <c r="E9719" s="39"/>
    </row>
    <row r="9720" spans="1:5" ht="15.6">
      <c r="A9720">
        <v>9665</v>
      </c>
      <c r="B9720" s="166">
        <v>88.877835558561898</v>
      </c>
      <c r="D9720" s="39"/>
      <c r="E9720" s="39"/>
    </row>
    <row r="9721" spans="1:5" ht="15.6">
      <c r="A9721">
        <v>9666</v>
      </c>
      <c r="B9721" s="166">
        <v>128.78207221566916</v>
      </c>
      <c r="D9721" s="39"/>
      <c r="E9721" s="39"/>
    </row>
    <row r="9722" spans="1:5" ht="15.6">
      <c r="A9722">
        <v>9667</v>
      </c>
      <c r="B9722" s="166">
        <v>169.12435605145248</v>
      </c>
      <c r="D9722" s="39"/>
      <c r="E9722" s="39"/>
    </row>
    <row r="9723" spans="1:5" ht="15.6">
      <c r="A9723">
        <v>9668</v>
      </c>
      <c r="B9723" s="166">
        <v>90.732370472733095</v>
      </c>
      <c r="D9723" s="39"/>
      <c r="E9723" s="39"/>
    </row>
    <row r="9724" spans="1:5" ht="15.6">
      <c r="A9724">
        <v>9669</v>
      </c>
      <c r="B9724" s="166">
        <v>65.892692035168466</v>
      </c>
      <c r="D9724" s="39"/>
      <c r="E9724" s="39"/>
    </row>
    <row r="9725" spans="1:5" ht="15.6">
      <c r="A9725">
        <v>9670</v>
      </c>
      <c r="B9725" s="166">
        <v>151.85012036496786</v>
      </c>
      <c r="D9725" s="39"/>
      <c r="E9725" s="39"/>
    </row>
    <row r="9726" spans="1:5" ht="15.6">
      <c r="A9726">
        <v>9671</v>
      </c>
      <c r="B9726" s="166">
        <v>213.63895096590844</v>
      </c>
      <c r="D9726" s="39"/>
      <c r="E9726" s="39"/>
    </row>
    <row r="9727" spans="1:5" ht="15.6">
      <c r="A9727">
        <v>9672</v>
      </c>
      <c r="B9727" s="166">
        <v>95.702863033415923</v>
      </c>
      <c r="D9727" s="39"/>
      <c r="E9727" s="39"/>
    </row>
    <row r="9728" spans="1:5" ht="15.6">
      <c r="A9728">
        <v>9673</v>
      </c>
      <c r="B9728" s="166">
        <v>160.87617944976864</v>
      </c>
      <c r="D9728" s="39"/>
      <c r="E9728" s="39"/>
    </row>
    <row r="9729" spans="1:5" ht="15.6">
      <c r="A9729">
        <v>9674</v>
      </c>
      <c r="B9729" s="166">
        <v>152.745938486954</v>
      </c>
      <c r="D9729" s="39"/>
      <c r="E9729" s="39"/>
    </row>
    <row r="9730" spans="1:5" ht="15.6">
      <c r="A9730">
        <v>9675</v>
      </c>
      <c r="B9730" s="166">
        <v>90.40318091137793</v>
      </c>
      <c r="D9730" s="39"/>
      <c r="E9730" s="39"/>
    </row>
    <row r="9731" spans="1:5" ht="15.6">
      <c r="A9731">
        <v>9676</v>
      </c>
      <c r="B9731" s="166">
        <v>157.91667450968362</v>
      </c>
      <c r="D9731" s="39"/>
      <c r="E9731" s="39"/>
    </row>
    <row r="9732" spans="1:5" ht="15.6">
      <c r="A9732">
        <v>9677</v>
      </c>
      <c r="B9732" s="166">
        <v>99.051697293933856</v>
      </c>
      <c r="D9732" s="39"/>
      <c r="E9732" s="39"/>
    </row>
    <row r="9733" spans="1:5" ht="15.6">
      <c r="A9733">
        <v>9678</v>
      </c>
      <c r="B9733" s="166">
        <v>136.5067680692392</v>
      </c>
      <c r="D9733" s="39"/>
      <c r="E9733" s="39"/>
    </row>
    <row r="9734" spans="1:5" ht="15.6">
      <c r="A9734">
        <v>9679</v>
      </c>
      <c r="B9734" s="166">
        <v>73.504467237695238</v>
      </c>
      <c r="D9734" s="39"/>
      <c r="E9734" s="39"/>
    </row>
    <row r="9735" spans="1:5" ht="15.6">
      <c r="A9735">
        <v>9680</v>
      </c>
      <c r="B9735" s="166">
        <v>56.593279113719099</v>
      </c>
      <c r="D9735" s="39"/>
      <c r="E9735" s="39"/>
    </row>
    <row r="9736" spans="1:5" ht="15.6">
      <c r="A9736">
        <v>9681</v>
      </c>
      <c r="B9736" s="166">
        <v>90.074869347131184</v>
      </c>
      <c r="D9736" s="39"/>
      <c r="E9736" s="39"/>
    </row>
    <row r="9737" spans="1:5" ht="15.6">
      <c r="A9737">
        <v>9682</v>
      </c>
      <c r="B9737" s="166">
        <v>141.13863195389683</v>
      </c>
      <c r="D9737" s="39"/>
      <c r="E9737" s="39"/>
    </row>
    <row r="9738" spans="1:5" ht="15.6">
      <c r="A9738">
        <v>9683</v>
      </c>
      <c r="B9738" s="166">
        <v>178.09391726213269</v>
      </c>
      <c r="D9738" s="39"/>
      <c r="E9738" s="39"/>
    </row>
    <row r="9739" spans="1:5" ht="15.6">
      <c r="A9739">
        <v>9684</v>
      </c>
      <c r="B9739" s="166">
        <v>129.89783216028837</v>
      </c>
      <c r="D9739" s="39"/>
      <c r="E9739" s="39"/>
    </row>
    <row r="9740" spans="1:5" ht="15.6">
      <c r="A9740">
        <v>9685</v>
      </c>
      <c r="B9740" s="166">
        <v>79.488199213941144</v>
      </c>
      <c r="D9740" s="39"/>
      <c r="E9740" s="39"/>
    </row>
    <row r="9741" spans="1:5" ht="15.6">
      <c r="A9741">
        <v>9686</v>
      </c>
      <c r="B9741" s="166">
        <v>99.456754918174653</v>
      </c>
      <c r="D9741" s="39"/>
      <c r="E9741" s="39"/>
    </row>
    <row r="9742" spans="1:5" ht="15.6">
      <c r="A9742">
        <v>9687</v>
      </c>
      <c r="B9742" s="166">
        <v>201.53907000103919</v>
      </c>
      <c r="D9742" s="39"/>
      <c r="E9742" s="39"/>
    </row>
    <row r="9743" spans="1:5" ht="15.6">
      <c r="A9743">
        <v>9688</v>
      </c>
      <c r="B9743" s="166">
        <v>156.31331811551027</v>
      </c>
      <c r="D9743" s="39"/>
      <c r="E9743" s="39"/>
    </row>
    <row r="9744" spans="1:5" ht="15.6">
      <c r="A9744">
        <v>9689</v>
      </c>
      <c r="B9744" s="166">
        <v>110.4610591281714</v>
      </c>
      <c r="D9744" s="39"/>
      <c r="E9744" s="39"/>
    </row>
    <row r="9745" spans="1:5" ht="15.6">
      <c r="A9745">
        <v>9690</v>
      </c>
      <c r="B9745" s="166">
        <v>196.52050393115547</v>
      </c>
      <c r="D9745" s="39"/>
      <c r="E9745" s="39"/>
    </row>
    <row r="9746" spans="1:5" ht="15.6">
      <c r="A9746">
        <v>9691</v>
      </c>
      <c r="B9746" s="166">
        <v>63.886982840527054</v>
      </c>
      <c r="D9746" s="39"/>
      <c r="E9746" s="39"/>
    </row>
    <row r="9747" spans="1:5" ht="15.6">
      <c r="A9747">
        <v>9692</v>
      </c>
      <c r="B9747" s="166">
        <v>57.864436334356334</v>
      </c>
      <c r="D9747" s="39"/>
      <c r="E9747" s="39"/>
    </row>
    <row r="9748" spans="1:5" ht="15.6">
      <c r="A9748">
        <v>9693</v>
      </c>
      <c r="B9748" s="166">
        <v>244.54908703540875</v>
      </c>
      <c r="D9748" s="39"/>
      <c r="E9748" s="39"/>
    </row>
    <row r="9749" spans="1:5" ht="15.6">
      <c r="A9749">
        <v>9694</v>
      </c>
      <c r="B9749" s="166">
        <v>112.67192074178415</v>
      </c>
      <c r="D9749" s="39"/>
      <c r="E9749" s="39"/>
    </row>
    <row r="9750" spans="1:5" ht="15.6">
      <c r="A9750">
        <v>9695</v>
      </c>
      <c r="B9750" s="166">
        <v>63.825217316917993</v>
      </c>
      <c r="D9750" s="39"/>
      <c r="E9750" s="39"/>
    </row>
    <row r="9751" spans="1:5" ht="15.6">
      <c r="A9751">
        <v>9696</v>
      </c>
      <c r="B9751" s="166">
        <v>74.176664233765806</v>
      </c>
      <c r="D9751" s="39"/>
      <c r="E9751" s="39"/>
    </row>
    <row r="9752" spans="1:5" ht="15.6">
      <c r="A9752">
        <v>9697</v>
      </c>
      <c r="B9752" s="166">
        <v>106.7294778986</v>
      </c>
      <c r="D9752" s="39"/>
      <c r="E9752" s="39"/>
    </row>
    <row r="9753" spans="1:5" ht="15.6">
      <c r="A9753">
        <v>9698</v>
      </c>
      <c r="B9753" s="166">
        <v>106.34021806683121</v>
      </c>
      <c r="D9753" s="39"/>
      <c r="E9753" s="39"/>
    </row>
    <row r="9754" spans="1:5" ht="15.6">
      <c r="A9754">
        <v>9699</v>
      </c>
      <c r="B9754" s="166">
        <v>104.06362775376245</v>
      </c>
      <c r="D9754" s="39"/>
      <c r="E9754" s="39"/>
    </row>
    <row r="9755" spans="1:5" ht="15.6">
      <c r="A9755">
        <v>9700</v>
      </c>
      <c r="B9755" s="166">
        <v>117.88822890971331</v>
      </c>
      <c r="D9755" s="39"/>
      <c r="E9755" s="39"/>
    </row>
    <row r="9756" spans="1:5" ht="15.6">
      <c r="A9756">
        <v>9701</v>
      </c>
      <c r="B9756" s="166">
        <v>157.35040144576934</v>
      </c>
      <c r="D9756" s="39"/>
      <c r="E9756" s="39"/>
    </row>
    <row r="9757" spans="1:5" ht="15.6">
      <c r="A9757">
        <v>9702</v>
      </c>
      <c r="B9757" s="166">
        <v>83.104973493013688</v>
      </c>
      <c r="D9757" s="39"/>
      <c r="E9757" s="39"/>
    </row>
    <row r="9758" spans="1:5" ht="15.6">
      <c r="A9758">
        <v>9703</v>
      </c>
      <c r="B9758" s="166">
        <v>68.210413428244649</v>
      </c>
      <c r="D9758" s="39"/>
      <c r="E9758" s="39"/>
    </row>
    <row r="9759" spans="1:5" ht="15.6">
      <c r="A9759">
        <v>9704</v>
      </c>
      <c r="B9759" s="166">
        <v>100.67539551745536</v>
      </c>
      <c r="D9759" s="39"/>
      <c r="E9759" s="39"/>
    </row>
    <row r="9760" spans="1:5" ht="15.6">
      <c r="A9760">
        <v>9705</v>
      </c>
      <c r="B9760" s="166">
        <v>143.7706602438171</v>
      </c>
      <c r="D9760" s="39"/>
      <c r="E9760" s="39"/>
    </row>
    <row r="9761" spans="1:5" ht="15.6">
      <c r="A9761">
        <v>9706</v>
      </c>
      <c r="B9761" s="166">
        <v>82.238573340417702</v>
      </c>
      <c r="D9761" s="39"/>
      <c r="E9761" s="39"/>
    </row>
    <row r="9762" spans="1:5" ht="15.6">
      <c r="A9762">
        <v>9707</v>
      </c>
      <c r="B9762" s="166">
        <v>111.05867336216653</v>
      </c>
      <c r="D9762" s="39"/>
      <c r="E9762" s="39"/>
    </row>
    <row r="9763" spans="1:5" ht="15.6">
      <c r="A9763">
        <v>9708</v>
      </c>
      <c r="B9763" s="166">
        <v>219.6539358575528</v>
      </c>
      <c r="D9763" s="39"/>
      <c r="E9763" s="39"/>
    </row>
    <row r="9764" spans="1:5" ht="15.6">
      <c r="A9764">
        <v>9709</v>
      </c>
      <c r="B9764" s="166">
        <v>69.897369252086449</v>
      </c>
      <c r="D9764" s="39"/>
      <c r="E9764" s="39"/>
    </row>
    <row r="9765" spans="1:5" ht="15.6">
      <c r="A9765">
        <v>9710</v>
      </c>
      <c r="B9765" s="166">
        <v>62.150757590259119</v>
      </c>
      <c r="D9765" s="39"/>
      <c r="E9765" s="39"/>
    </row>
    <row r="9766" spans="1:5" ht="15.6">
      <c r="A9766">
        <v>9711</v>
      </c>
      <c r="B9766" s="166">
        <v>141.49943690492844</v>
      </c>
      <c r="D9766" s="39"/>
      <c r="E9766" s="39"/>
    </row>
    <row r="9767" spans="1:5" ht="15.6">
      <c r="A9767">
        <v>9712</v>
      </c>
      <c r="B9767" s="166">
        <v>71.367892850405852</v>
      </c>
      <c r="D9767" s="39"/>
      <c r="E9767" s="39"/>
    </row>
    <row r="9768" spans="1:5" ht="15.6">
      <c r="A9768">
        <v>9713</v>
      </c>
      <c r="B9768" s="166">
        <v>88.911096877027617</v>
      </c>
      <c r="D9768" s="39"/>
      <c r="E9768" s="39"/>
    </row>
    <row r="9769" spans="1:5" ht="15.6">
      <c r="A9769">
        <v>9714</v>
      </c>
      <c r="B9769" s="166">
        <v>139.45233792537545</v>
      </c>
      <c r="D9769" s="39"/>
      <c r="E9769" s="39"/>
    </row>
    <row r="9770" spans="1:5" ht="15.6">
      <c r="A9770">
        <v>9715</v>
      </c>
      <c r="B9770" s="166">
        <v>95.735253420143692</v>
      </c>
      <c r="D9770" s="39"/>
      <c r="E9770" s="39"/>
    </row>
    <row r="9771" spans="1:5" ht="15.6">
      <c r="A9771">
        <v>9716</v>
      </c>
      <c r="B9771" s="166">
        <v>71.413685226455343</v>
      </c>
      <c r="D9771" s="39"/>
      <c r="E9771" s="39"/>
    </row>
    <row r="9772" spans="1:5" ht="15.6">
      <c r="A9772">
        <v>9717</v>
      </c>
      <c r="B9772" s="166">
        <v>76.757877351601152</v>
      </c>
      <c r="D9772" s="39"/>
      <c r="E9772" s="39"/>
    </row>
    <row r="9773" spans="1:5" ht="15.6">
      <c r="A9773">
        <v>9718</v>
      </c>
      <c r="B9773" s="166">
        <v>128.19429315032608</v>
      </c>
      <c r="D9773" s="39"/>
      <c r="E9773" s="39"/>
    </row>
    <row r="9774" spans="1:5" ht="15.6">
      <c r="A9774">
        <v>9719</v>
      </c>
      <c r="B9774" s="166">
        <v>102.17506037678861</v>
      </c>
      <c r="D9774" s="39"/>
      <c r="E9774" s="39"/>
    </row>
    <row r="9775" spans="1:5" ht="15.6">
      <c r="A9775">
        <v>9720</v>
      </c>
      <c r="B9775" s="166">
        <v>121.61511245267337</v>
      </c>
      <c r="D9775" s="39"/>
      <c r="E9775" s="39"/>
    </row>
    <row r="9776" spans="1:5" ht="15.6">
      <c r="A9776">
        <v>9721</v>
      </c>
      <c r="B9776" s="166">
        <v>64.4967112768025</v>
      </c>
      <c r="D9776" s="39"/>
      <c r="E9776" s="39"/>
    </row>
    <row r="9777" spans="1:5" ht="15.6">
      <c r="A9777">
        <v>9722</v>
      </c>
      <c r="B9777" s="166">
        <v>126.99272352627138</v>
      </c>
      <c r="D9777" s="39"/>
      <c r="E9777" s="39"/>
    </row>
    <row r="9778" spans="1:5" ht="15.6">
      <c r="A9778">
        <v>9723</v>
      </c>
      <c r="B9778" s="166">
        <v>110.01520249108273</v>
      </c>
      <c r="D9778" s="39"/>
      <c r="E9778" s="39"/>
    </row>
    <row r="9779" spans="1:5" ht="15.6">
      <c r="A9779">
        <v>9724</v>
      </c>
      <c r="B9779" s="166">
        <v>50.853515131712001</v>
      </c>
      <c r="D9779" s="39"/>
      <c r="E9779" s="39"/>
    </row>
    <row r="9780" spans="1:5" ht="15.6">
      <c r="A9780">
        <v>9725</v>
      </c>
      <c r="B9780" s="166">
        <v>46.492308981451188</v>
      </c>
      <c r="D9780" s="39"/>
      <c r="E9780" s="39"/>
    </row>
    <row r="9781" spans="1:5" ht="15.6">
      <c r="A9781">
        <v>9726</v>
      </c>
      <c r="B9781" s="166">
        <v>123.20148938586794</v>
      </c>
      <c r="D9781" s="39"/>
      <c r="E9781" s="39"/>
    </row>
    <row r="9782" spans="1:5" ht="15.6">
      <c r="A9782">
        <v>9727</v>
      </c>
      <c r="B9782" s="166">
        <v>163.11234455809691</v>
      </c>
      <c r="D9782" s="39"/>
      <c r="E9782" s="39"/>
    </row>
    <row r="9783" spans="1:5" ht="15.6">
      <c r="A9783">
        <v>9728</v>
      </c>
      <c r="B9783" s="166">
        <v>61.264397995883677</v>
      </c>
      <c r="D9783" s="39"/>
      <c r="E9783" s="39"/>
    </row>
    <row r="9784" spans="1:5" ht="15.6">
      <c r="A9784">
        <v>9729</v>
      </c>
      <c r="B9784" s="166">
        <v>86.925018237313182</v>
      </c>
      <c r="D9784" s="39"/>
      <c r="E9784" s="39"/>
    </row>
    <row r="9785" spans="1:5" ht="15.6">
      <c r="A9785">
        <v>9730</v>
      </c>
      <c r="B9785" s="166">
        <v>143.25646033199115</v>
      </c>
      <c r="D9785" s="39"/>
      <c r="E9785" s="39"/>
    </row>
    <row r="9786" spans="1:5" ht="15.6">
      <c r="A9786">
        <v>9731</v>
      </c>
      <c r="B9786" s="166">
        <v>106.39346862567385</v>
      </c>
      <c r="D9786" s="39"/>
      <c r="E9786" s="39"/>
    </row>
    <row r="9787" spans="1:5" ht="15.6">
      <c r="A9787">
        <v>9732</v>
      </c>
      <c r="B9787" s="166">
        <v>98.361249875979183</v>
      </c>
      <c r="D9787" s="39"/>
      <c r="E9787" s="39"/>
    </row>
    <row r="9788" spans="1:5" ht="15.6">
      <c r="A9788">
        <v>9733</v>
      </c>
      <c r="B9788" s="166">
        <v>87.401341009904698</v>
      </c>
      <c r="D9788" s="39"/>
      <c r="E9788" s="39"/>
    </row>
    <row r="9789" spans="1:5" ht="15.6">
      <c r="A9789">
        <v>9734</v>
      </c>
      <c r="B9789" s="166">
        <v>117.05221872496978</v>
      </c>
      <c r="D9789" s="39"/>
      <c r="E9789" s="39"/>
    </row>
    <row r="9790" spans="1:5" ht="15.6">
      <c r="A9790">
        <v>9735</v>
      </c>
      <c r="B9790" s="166">
        <v>109.03300733814666</v>
      </c>
      <c r="D9790" s="39"/>
      <c r="E9790" s="39"/>
    </row>
    <row r="9791" spans="1:5" ht="15.6">
      <c r="A9791">
        <v>9736</v>
      </c>
      <c r="B9791" s="166">
        <v>52.156577786553868</v>
      </c>
      <c r="D9791" s="39"/>
      <c r="E9791" s="39"/>
    </row>
    <row r="9792" spans="1:5" ht="15.6">
      <c r="A9792">
        <v>9737</v>
      </c>
      <c r="B9792" s="166">
        <v>199.48141092256839</v>
      </c>
      <c r="D9792" s="39"/>
      <c r="E9792" s="39"/>
    </row>
    <row r="9793" spans="1:5" ht="15.6">
      <c r="A9793">
        <v>9738</v>
      </c>
      <c r="B9793" s="166">
        <v>110.93410655314104</v>
      </c>
      <c r="D9793" s="39"/>
      <c r="E9793" s="39"/>
    </row>
    <row r="9794" spans="1:5" ht="15.6">
      <c r="A9794">
        <v>9739</v>
      </c>
      <c r="B9794" s="166">
        <v>79.127878058108664</v>
      </c>
      <c r="D9794" s="39"/>
      <c r="E9794" s="39"/>
    </row>
    <row r="9795" spans="1:5" ht="15.6">
      <c r="A9795">
        <v>9740</v>
      </c>
      <c r="B9795" s="166">
        <v>103.6701826282946</v>
      </c>
      <c r="D9795" s="39"/>
      <c r="E9795" s="39"/>
    </row>
    <row r="9796" spans="1:5" ht="15.6">
      <c r="A9796">
        <v>9741</v>
      </c>
      <c r="B9796" s="166">
        <v>81.751428708445772</v>
      </c>
      <c r="D9796" s="39"/>
      <c r="E9796" s="39"/>
    </row>
    <row r="9797" spans="1:5" ht="15.6">
      <c r="A9797">
        <v>9742</v>
      </c>
      <c r="B9797" s="166">
        <v>124.06711091332309</v>
      </c>
      <c r="D9797" s="39"/>
      <c r="E9797" s="39"/>
    </row>
    <row r="9798" spans="1:5" ht="15.6">
      <c r="A9798">
        <v>9743</v>
      </c>
      <c r="B9798" s="166">
        <v>92.7123294976561</v>
      </c>
      <c r="D9798" s="39"/>
      <c r="E9798" s="39"/>
    </row>
    <row r="9799" spans="1:5" ht="15.6">
      <c r="A9799">
        <v>9744</v>
      </c>
      <c r="B9799" s="166">
        <v>146.28580027968115</v>
      </c>
      <c r="D9799" s="39"/>
      <c r="E9799" s="39"/>
    </row>
    <row r="9800" spans="1:5" ht="15.6">
      <c r="A9800">
        <v>9745</v>
      </c>
      <c r="B9800" s="166">
        <v>126.8826172671572</v>
      </c>
      <c r="D9800" s="39"/>
      <c r="E9800" s="39"/>
    </row>
    <row r="9801" spans="1:5" ht="15.6">
      <c r="A9801">
        <v>9746</v>
      </c>
      <c r="B9801" s="166">
        <v>84.57496032438921</v>
      </c>
      <c r="D9801" s="39"/>
      <c r="E9801" s="39"/>
    </row>
    <row r="9802" spans="1:5" ht="15.6">
      <c r="A9802">
        <v>9747</v>
      </c>
      <c r="B9802" s="166">
        <v>63.998771615871</v>
      </c>
      <c r="D9802" s="39"/>
      <c r="E9802" s="39"/>
    </row>
    <row r="9803" spans="1:5" ht="15.6">
      <c r="A9803">
        <v>9748</v>
      </c>
      <c r="B9803" s="166">
        <v>111.07497350003558</v>
      </c>
      <c r="D9803" s="39"/>
      <c r="E9803" s="39"/>
    </row>
    <row r="9804" spans="1:5" ht="15.6">
      <c r="A9804">
        <v>9749</v>
      </c>
      <c r="B9804" s="166">
        <v>63.82569817487159</v>
      </c>
      <c r="D9804" s="39"/>
      <c r="E9804" s="39"/>
    </row>
    <row r="9805" spans="1:5" ht="15.6">
      <c r="A9805">
        <v>9750</v>
      </c>
      <c r="B9805" s="166">
        <v>118.98833528610555</v>
      </c>
      <c r="D9805" s="39"/>
      <c r="E9805" s="39"/>
    </row>
    <row r="9806" spans="1:5" ht="15.6">
      <c r="A9806">
        <v>9751</v>
      </c>
      <c r="B9806" s="166">
        <v>88.056767484870306</v>
      </c>
      <c r="D9806" s="39"/>
      <c r="E9806" s="39"/>
    </row>
    <row r="9807" spans="1:5" ht="15.6">
      <c r="A9807">
        <v>9752</v>
      </c>
      <c r="B9807" s="166">
        <v>123.85950814382291</v>
      </c>
      <c r="D9807" s="39"/>
      <c r="E9807" s="39"/>
    </row>
    <row r="9808" spans="1:5" ht="15.6">
      <c r="A9808">
        <v>9753</v>
      </c>
      <c r="B9808" s="166">
        <v>134.99830037429714</v>
      </c>
      <c r="D9808" s="39"/>
      <c r="E9808" s="39"/>
    </row>
    <row r="9809" spans="1:5" ht="15.6">
      <c r="A9809">
        <v>9754</v>
      </c>
      <c r="B9809" s="166">
        <v>60.861956803565029</v>
      </c>
      <c r="D9809" s="39"/>
      <c r="E9809" s="39"/>
    </row>
    <row r="9810" spans="1:5" ht="15.6">
      <c r="A9810">
        <v>9755</v>
      </c>
      <c r="B9810" s="166">
        <v>117.31330114813268</v>
      </c>
      <c r="D9810" s="39"/>
      <c r="E9810" s="39"/>
    </row>
    <row r="9811" spans="1:5" ht="15.6">
      <c r="A9811">
        <v>9756</v>
      </c>
      <c r="B9811" s="166">
        <v>103.47590118505978</v>
      </c>
      <c r="D9811" s="39"/>
      <c r="E9811" s="39"/>
    </row>
    <row r="9812" spans="1:5" ht="15.6">
      <c r="A9812">
        <v>9757</v>
      </c>
      <c r="B9812" s="166">
        <v>147.81858534352426</v>
      </c>
      <c r="D9812" s="39"/>
      <c r="E9812" s="39"/>
    </row>
    <row r="9813" spans="1:5" ht="15.6">
      <c r="A9813">
        <v>9758</v>
      </c>
      <c r="B9813" s="166">
        <v>92.401632528312589</v>
      </c>
      <c r="D9813" s="39"/>
      <c r="E9813" s="39"/>
    </row>
    <row r="9814" spans="1:5" ht="15.6">
      <c r="A9814">
        <v>9759</v>
      </c>
      <c r="B9814" s="166">
        <v>258.36460427281276</v>
      </c>
      <c r="D9814" s="39"/>
      <c r="E9814" s="39"/>
    </row>
    <row r="9815" spans="1:5" ht="15.6">
      <c r="A9815">
        <v>9760</v>
      </c>
      <c r="B9815" s="166">
        <v>43.960999664283122</v>
      </c>
      <c r="D9815" s="39"/>
      <c r="E9815" s="39"/>
    </row>
    <row r="9816" spans="1:5" ht="15.6">
      <c r="A9816">
        <v>9761</v>
      </c>
      <c r="B9816" s="166">
        <v>89.053589183229406</v>
      </c>
      <c r="D9816" s="39"/>
      <c r="E9816" s="39"/>
    </row>
    <row r="9817" spans="1:5" ht="15.6">
      <c r="A9817">
        <v>9762</v>
      </c>
      <c r="B9817" s="166">
        <v>97.229902820297639</v>
      </c>
      <c r="D9817" s="39"/>
      <c r="E9817" s="39"/>
    </row>
    <row r="9818" spans="1:5" ht="15.6">
      <c r="A9818">
        <v>9763</v>
      </c>
      <c r="B9818" s="166">
        <v>50.386186996496882</v>
      </c>
      <c r="D9818" s="39"/>
      <c r="E9818" s="39"/>
    </row>
    <row r="9819" spans="1:5" ht="15.6">
      <c r="A9819">
        <v>9764</v>
      </c>
      <c r="B9819" s="166">
        <v>176.6208365879088</v>
      </c>
      <c r="D9819" s="39"/>
      <c r="E9819" s="39"/>
    </row>
    <row r="9820" spans="1:5" ht="15.6">
      <c r="A9820">
        <v>9765</v>
      </c>
      <c r="B9820" s="166">
        <v>51.828000410417154</v>
      </c>
      <c r="D9820" s="39"/>
      <c r="E9820" s="39"/>
    </row>
    <row r="9821" spans="1:5" ht="15.6">
      <c r="A9821">
        <v>9766</v>
      </c>
      <c r="B9821" s="166">
        <v>71.683907211569505</v>
      </c>
      <c r="D9821" s="39"/>
      <c r="E9821" s="39"/>
    </row>
    <row r="9822" spans="1:5" ht="15.6">
      <c r="A9822">
        <v>9767</v>
      </c>
      <c r="B9822" s="166">
        <v>124.99734824813457</v>
      </c>
      <c r="D9822" s="39"/>
      <c r="E9822" s="39"/>
    </row>
    <row r="9823" spans="1:5" ht="15.6">
      <c r="A9823">
        <v>9768</v>
      </c>
      <c r="B9823" s="166">
        <v>56.877636236480669</v>
      </c>
      <c r="D9823" s="39"/>
      <c r="E9823" s="39"/>
    </row>
    <row r="9824" spans="1:5" ht="15.6">
      <c r="A9824">
        <v>9769</v>
      </c>
      <c r="B9824" s="166">
        <v>201.32360396898798</v>
      </c>
      <c r="D9824" s="39"/>
      <c r="E9824" s="39"/>
    </row>
    <row r="9825" spans="1:5" ht="15.6">
      <c r="A9825">
        <v>9770</v>
      </c>
      <c r="B9825" s="166">
        <v>106.61637190851243</v>
      </c>
      <c r="D9825" s="39"/>
      <c r="E9825" s="39"/>
    </row>
    <row r="9826" spans="1:5" ht="15.6">
      <c r="A9826">
        <v>9771</v>
      </c>
      <c r="B9826" s="166">
        <v>82.015019597970962</v>
      </c>
      <c r="D9826" s="39"/>
      <c r="E9826" s="39"/>
    </row>
    <row r="9827" spans="1:5" ht="15.6">
      <c r="A9827">
        <v>9772</v>
      </c>
      <c r="B9827" s="166">
        <v>89.250100563660794</v>
      </c>
      <c r="D9827" s="39"/>
      <c r="E9827" s="39"/>
    </row>
    <row r="9828" spans="1:5" ht="15.6">
      <c r="A9828">
        <v>9773</v>
      </c>
      <c r="B9828" s="166">
        <v>131.19533211670202</v>
      </c>
      <c r="D9828" s="39"/>
      <c r="E9828" s="39"/>
    </row>
    <row r="9829" spans="1:5" ht="15.6">
      <c r="A9829">
        <v>9774</v>
      </c>
      <c r="B9829" s="166">
        <v>70.297235618870388</v>
      </c>
      <c r="D9829" s="39"/>
      <c r="E9829" s="39"/>
    </row>
    <row r="9830" spans="1:5" ht="15.6">
      <c r="A9830">
        <v>9775</v>
      </c>
      <c r="B9830" s="166">
        <v>192.91424971301984</v>
      </c>
      <c r="D9830" s="39"/>
      <c r="E9830" s="39"/>
    </row>
    <row r="9831" spans="1:5" ht="15.6">
      <c r="A9831">
        <v>9776</v>
      </c>
      <c r="B9831" s="166">
        <v>98.394198280214638</v>
      </c>
      <c r="D9831" s="39"/>
      <c r="E9831" s="39"/>
    </row>
    <row r="9832" spans="1:5" ht="15.6">
      <c r="A9832">
        <v>9777</v>
      </c>
      <c r="B9832" s="166">
        <v>123.70270618613979</v>
      </c>
      <c r="D9832" s="39"/>
      <c r="E9832" s="39"/>
    </row>
    <row r="9833" spans="1:5" ht="15.6">
      <c r="A9833">
        <v>9778</v>
      </c>
      <c r="B9833" s="166">
        <v>96.481738775795705</v>
      </c>
      <c r="D9833" s="39"/>
      <c r="E9833" s="39"/>
    </row>
    <row r="9834" spans="1:5" ht="15.6">
      <c r="A9834">
        <v>9779</v>
      </c>
      <c r="B9834" s="166">
        <v>113.63972371148594</v>
      </c>
      <c r="D9834" s="39"/>
      <c r="E9834" s="39"/>
    </row>
    <row r="9835" spans="1:5" ht="15.6">
      <c r="A9835">
        <v>9780</v>
      </c>
      <c r="B9835" s="166">
        <v>89.103666172419011</v>
      </c>
      <c r="D9835" s="39"/>
      <c r="E9835" s="39"/>
    </row>
    <row r="9836" spans="1:5" ht="15.6">
      <c r="A9836">
        <v>9781</v>
      </c>
      <c r="B9836" s="166">
        <v>137.00777330908434</v>
      </c>
      <c r="D9836" s="39"/>
      <c r="E9836" s="39"/>
    </row>
    <row r="9837" spans="1:5" ht="15.6">
      <c r="A9837">
        <v>9782</v>
      </c>
      <c r="B9837" s="166">
        <v>128.72894094324391</v>
      </c>
      <c r="D9837" s="39"/>
      <c r="E9837" s="39"/>
    </row>
    <row r="9838" spans="1:5" ht="15.6">
      <c r="A9838">
        <v>9783</v>
      </c>
      <c r="B9838" s="166">
        <v>169.53139887014717</v>
      </c>
      <c r="D9838" s="39"/>
      <c r="E9838" s="39"/>
    </row>
    <row r="9839" spans="1:5" ht="15.6">
      <c r="A9839">
        <v>9784</v>
      </c>
      <c r="B9839" s="166">
        <v>224.07513845710346</v>
      </c>
      <c r="D9839" s="39"/>
      <c r="E9839" s="39"/>
    </row>
    <row r="9840" spans="1:5" ht="15.6">
      <c r="A9840">
        <v>9785</v>
      </c>
      <c r="B9840" s="166">
        <v>89.102740089169785</v>
      </c>
      <c r="D9840" s="39"/>
      <c r="E9840" s="39"/>
    </row>
    <row r="9841" spans="1:5" ht="15.6">
      <c r="A9841">
        <v>9786</v>
      </c>
      <c r="B9841" s="166">
        <v>108.41428639183749</v>
      </c>
      <c r="D9841" s="39"/>
      <c r="E9841" s="39"/>
    </row>
    <row r="9842" spans="1:5" ht="15.6">
      <c r="A9842">
        <v>9787</v>
      </c>
      <c r="B9842" s="166">
        <v>81.490113159369002</v>
      </c>
      <c r="D9842" s="39"/>
      <c r="E9842" s="39"/>
    </row>
    <row r="9843" spans="1:5" ht="15.6">
      <c r="A9843">
        <v>9788</v>
      </c>
      <c r="B9843" s="166">
        <v>157.7029317929279</v>
      </c>
      <c r="D9843" s="39"/>
      <c r="E9843" s="39"/>
    </row>
    <row r="9844" spans="1:5" ht="15.6">
      <c r="A9844">
        <v>9789</v>
      </c>
      <c r="B9844" s="166">
        <v>133.50075035720249</v>
      </c>
      <c r="D9844" s="39"/>
      <c r="E9844" s="39"/>
    </row>
    <row r="9845" spans="1:5" ht="15.6">
      <c r="A9845">
        <v>9790</v>
      </c>
      <c r="B9845" s="166">
        <v>109.39291111646774</v>
      </c>
      <c r="D9845" s="39"/>
      <c r="E9845" s="39"/>
    </row>
    <row r="9846" spans="1:5" ht="15.6">
      <c r="A9846">
        <v>9791</v>
      </c>
      <c r="B9846" s="166">
        <v>78.730714753091306</v>
      </c>
      <c r="D9846" s="39"/>
      <c r="E9846" s="39"/>
    </row>
    <row r="9847" spans="1:5" ht="15.6">
      <c r="A9847">
        <v>9792</v>
      </c>
      <c r="B9847" s="166">
        <v>169.06034561929229</v>
      </c>
      <c r="D9847" s="39"/>
      <c r="E9847" s="39"/>
    </row>
    <row r="9848" spans="1:5" ht="15.6">
      <c r="A9848">
        <v>9793</v>
      </c>
      <c r="B9848" s="166">
        <v>51.785386066970851</v>
      </c>
      <c r="D9848" s="39"/>
      <c r="E9848" s="39"/>
    </row>
    <row r="9849" spans="1:5" ht="15.6">
      <c r="A9849">
        <v>9794</v>
      </c>
      <c r="B9849" s="166">
        <v>127.55152371851653</v>
      </c>
      <c r="D9849" s="39"/>
      <c r="E9849" s="39"/>
    </row>
    <row r="9850" spans="1:5" ht="15.6">
      <c r="A9850">
        <v>9795</v>
      </c>
      <c r="B9850" s="166">
        <v>120.11083252184335</v>
      </c>
      <c r="D9850" s="39"/>
      <c r="E9850" s="39"/>
    </row>
    <row r="9851" spans="1:5" ht="15.6">
      <c r="A9851">
        <v>9796</v>
      </c>
      <c r="B9851" s="166">
        <v>81.510569726294761</v>
      </c>
      <c r="D9851" s="39"/>
      <c r="E9851" s="39"/>
    </row>
    <row r="9852" spans="1:5" ht="15.6">
      <c r="A9852">
        <v>9797</v>
      </c>
      <c r="B9852" s="166">
        <v>182.76485753862409</v>
      </c>
      <c r="D9852" s="39"/>
      <c r="E9852" s="39"/>
    </row>
    <row r="9853" spans="1:5" ht="15.6">
      <c r="A9853">
        <v>9798</v>
      </c>
      <c r="B9853" s="166">
        <v>71.395638704801613</v>
      </c>
      <c r="D9853" s="39"/>
      <c r="E9853" s="39"/>
    </row>
    <row r="9854" spans="1:5" ht="15.6">
      <c r="A9854">
        <v>9799</v>
      </c>
      <c r="B9854" s="166">
        <v>98.937341780712771</v>
      </c>
      <c r="D9854" s="39"/>
      <c r="E9854" s="39"/>
    </row>
    <row r="9855" spans="1:5" ht="15.6">
      <c r="A9855">
        <v>9800</v>
      </c>
      <c r="B9855" s="166">
        <v>53.135077809568578</v>
      </c>
      <c r="D9855" s="39"/>
      <c r="E9855" s="39"/>
    </row>
    <row r="9856" spans="1:5" ht="15.6">
      <c r="A9856">
        <v>9801</v>
      </c>
      <c r="B9856" s="166">
        <v>118.97306937935521</v>
      </c>
      <c r="D9856" s="39"/>
      <c r="E9856" s="39"/>
    </row>
    <row r="9857" spans="1:5" ht="15.6">
      <c r="A9857">
        <v>9802</v>
      </c>
      <c r="B9857" s="166">
        <v>76.717697698661709</v>
      </c>
      <c r="D9857" s="39"/>
      <c r="E9857" s="39"/>
    </row>
    <row r="9858" spans="1:5" ht="15.6">
      <c r="A9858">
        <v>9803</v>
      </c>
      <c r="B9858" s="166">
        <v>87.883278387662287</v>
      </c>
      <c r="D9858" s="39"/>
      <c r="E9858" s="39"/>
    </row>
    <row r="9859" spans="1:5" ht="15.6">
      <c r="A9859">
        <v>9804</v>
      </c>
      <c r="B9859" s="166">
        <v>102.1404579194194</v>
      </c>
      <c r="D9859" s="39"/>
      <c r="E9859" s="39"/>
    </row>
    <row r="9860" spans="1:5" ht="15.6">
      <c r="A9860">
        <v>9805</v>
      </c>
      <c r="B9860" s="166">
        <v>76.770884638062057</v>
      </c>
      <c r="D9860" s="39"/>
      <c r="E9860" s="39"/>
    </row>
    <row r="9861" spans="1:5" ht="15.6">
      <c r="A9861">
        <v>9806</v>
      </c>
      <c r="B9861" s="166">
        <v>83.35765097895144</v>
      </c>
      <c r="D9861" s="39"/>
      <c r="E9861" s="39"/>
    </row>
    <row r="9862" spans="1:5" ht="15.6">
      <c r="A9862">
        <v>9807</v>
      </c>
      <c r="B9862" s="166">
        <v>73.631287282211801</v>
      </c>
      <c r="D9862" s="39"/>
      <c r="E9862" s="39"/>
    </row>
    <row r="9863" spans="1:5" ht="15.6">
      <c r="A9863">
        <v>9808</v>
      </c>
      <c r="B9863" s="166">
        <v>84.089366332978344</v>
      </c>
      <c r="D9863" s="39"/>
      <c r="E9863" s="39"/>
    </row>
    <row r="9864" spans="1:5" ht="15.6">
      <c r="A9864">
        <v>9809</v>
      </c>
      <c r="B9864" s="166">
        <v>87.354990052561931</v>
      </c>
      <c r="D9864" s="39"/>
      <c r="E9864" s="39"/>
    </row>
    <row r="9865" spans="1:5" ht="15.6">
      <c r="A9865">
        <v>9810</v>
      </c>
      <c r="B9865" s="166">
        <v>142.47894915059592</v>
      </c>
      <c r="D9865" s="39"/>
      <c r="E9865" s="39"/>
    </row>
    <row r="9866" spans="1:5" ht="15.6">
      <c r="A9866">
        <v>9811</v>
      </c>
      <c r="B9866" s="166">
        <v>197.09320070532576</v>
      </c>
      <c r="D9866" s="39"/>
      <c r="E9866" s="39"/>
    </row>
    <row r="9867" spans="1:5" ht="15.6">
      <c r="A9867">
        <v>9812</v>
      </c>
      <c r="B9867" s="166">
        <v>80.65811604908275</v>
      </c>
      <c r="D9867" s="39"/>
      <c r="E9867" s="39"/>
    </row>
    <row r="9868" spans="1:5" ht="15.6">
      <c r="A9868">
        <v>9813</v>
      </c>
      <c r="B9868" s="166">
        <v>59.73816003628356</v>
      </c>
      <c r="D9868" s="39"/>
      <c r="E9868" s="39"/>
    </row>
    <row r="9869" spans="1:5" ht="15.6">
      <c r="A9869">
        <v>9814</v>
      </c>
      <c r="B9869" s="166">
        <v>176.17485759573347</v>
      </c>
      <c r="D9869" s="39"/>
      <c r="E9869" s="39"/>
    </row>
    <row r="9870" spans="1:5" ht="15.6">
      <c r="A9870">
        <v>9815</v>
      </c>
      <c r="B9870" s="166">
        <v>132.04815887720051</v>
      </c>
      <c r="D9870" s="39"/>
      <c r="E9870" s="39"/>
    </row>
    <row r="9871" spans="1:5" ht="15.6">
      <c r="A9871">
        <v>9816</v>
      </c>
      <c r="B9871" s="166">
        <v>129.05050561973326</v>
      </c>
      <c r="D9871" s="39"/>
      <c r="E9871" s="39"/>
    </row>
    <row r="9872" spans="1:5" ht="15.6">
      <c r="A9872">
        <v>9817</v>
      </c>
      <c r="B9872" s="166">
        <v>98.265329621239275</v>
      </c>
      <c r="D9872" s="39"/>
      <c r="E9872" s="39"/>
    </row>
    <row r="9873" spans="1:5" ht="15.6">
      <c r="A9873">
        <v>9818</v>
      </c>
      <c r="B9873" s="166">
        <v>81.903608617973276</v>
      </c>
      <c r="D9873" s="39"/>
      <c r="E9873" s="39"/>
    </row>
    <row r="9874" spans="1:5" ht="15.6">
      <c r="A9874">
        <v>9819</v>
      </c>
      <c r="B9874" s="166">
        <v>77.081550780289945</v>
      </c>
      <c r="D9874" s="39"/>
      <c r="E9874" s="39"/>
    </row>
    <row r="9875" spans="1:5" ht="15.6">
      <c r="A9875">
        <v>9820</v>
      </c>
      <c r="B9875" s="166">
        <v>154.72408606498823</v>
      </c>
      <c r="D9875" s="39"/>
      <c r="E9875" s="39"/>
    </row>
    <row r="9876" spans="1:5" ht="15.6">
      <c r="A9876">
        <v>9821</v>
      </c>
      <c r="B9876" s="166">
        <v>120.85876361368734</v>
      </c>
      <c r="D9876" s="39"/>
      <c r="E9876" s="39"/>
    </row>
    <row r="9877" spans="1:5" ht="15.6">
      <c r="A9877">
        <v>9822</v>
      </c>
      <c r="B9877" s="166">
        <v>150.58718852329315</v>
      </c>
      <c r="D9877" s="39"/>
      <c r="E9877" s="39"/>
    </row>
    <row r="9878" spans="1:5" ht="15.6">
      <c r="A9878">
        <v>9823</v>
      </c>
      <c r="B9878" s="166">
        <v>108.05785278891726</v>
      </c>
      <c r="D9878" s="39"/>
      <c r="E9878" s="39"/>
    </row>
    <row r="9879" spans="1:5" ht="15.6">
      <c r="A9879">
        <v>9824</v>
      </c>
      <c r="B9879" s="166">
        <v>92.263535948362332</v>
      </c>
      <c r="D9879" s="39"/>
      <c r="E9879" s="39"/>
    </row>
    <row r="9880" spans="1:5" ht="15.6">
      <c r="A9880">
        <v>9825</v>
      </c>
      <c r="B9880" s="166">
        <v>63.399341876134336</v>
      </c>
      <c r="D9880" s="39"/>
      <c r="E9880" s="39"/>
    </row>
    <row r="9881" spans="1:5" ht="15.6">
      <c r="A9881">
        <v>9826</v>
      </c>
      <c r="B9881" s="166">
        <v>77.820832054314309</v>
      </c>
      <c r="D9881" s="39"/>
      <c r="E9881" s="39"/>
    </row>
    <row r="9882" spans="1:5" ht="15.6">
      <c r="A9882">
        <v>9827</v>
      </c>
      <c r="B9882" s="166">
        <v>73.430854337317299</v>
      </c>
      <c r="D9882" s="39"/>
      <c r="E9882" s="39"/>
    </row>
    <row r="9883" spans="1:5" ht="15.6">
      <c r="A9883">
        <v>9828</v>
      </c>
      <c r="B9883" s="166">
        <v>60.048796379010213</v>
      </c>
      <c r="D9883" s="39"/>
      <c r="E9883" s="39"/>
    </row>
    <row r="9884" spans="1:5" ht="15.6">
      <c r="A9884">
        <v>9829</v>
      </c>
      <c r="B9884" s="166">
        <v>121.42408446615937</v>
      </c>
      <c r="D9884" s="39"/>
      <c r="E9884" s="39"/>
    </row>
    <row r="9885" spans="1:5" ht="15.6">
      <c r="A9885">
        <v>9830</v>
      </c>
      <c r="B9885" s="166">
        <v>100.94130323938684</v>
      </c>
      <c r="D9885" s="39"/>
      <c r="E9885" s="39"/>
    </row>
    <row r="9886" spans="1:5" ht="15.6">
      <c r="A9886">
        <v>9831</v>
      </c>
      <c r="B9886" s="166">
        <v>155.9619818042685</v>
      </c>
      <c r="D9886" s="39"/>
      <c r="E9886" s="39"/>
    </row>
    <row r="9887" spans="1:5" ht="15.6">
      <c r="A9887">
        <v>9832</v>
      </c>
      <c r="B9887" s="166">
        <v>133.99577476564019</v>
      </c>
      <c r="D9887" s="39"/>
      <c r="E9887" s="39"/>
    </row>
    <row r="9888" spans="1:5" ht="15.6">
      <c r="A9888">
        <v>9833</v>
      </c>
      <c r="B9888" s="166">
        <v>138.8650531936469</v>
      </c>
      <c r="D9888" s="39"/>
      <c r="E9888" s="39"/>
    </row>
    <row r="9889" spans="1:5" ht="15.6">
      <c r="A9889">
        <v>9834</v>
      </c>
      <c r="B9889" s="166">
        <v>151.64570252758719</v>
      </c>
      <c r="D9889" s="39"/>
      <c r="E9889" s="39"/>
    </row>
    <row r="9890" spans="1:5" ht="15.6">
      <c r="A9890">
        <v>9835</v>
      </c>
      <c r="B9890" s="166">
        <v>95.096827147428968</v>
      </c>
      <c r="D9890" s="39"/>
      <c r="E9890" s="39"/>
    </row>
    <row r="9891" spans="1:5" ht="15.6">
      <c r="A9891">
        <v>9836</v>
      </c>
      <c r="B9891" s="166">
        <v>82.867193464287027</v>
      </c>
      <c r="D9891" s="39"/>
      <c r="E9891" s="39"/>
    </row>
    <row r="9892" spans="1:5" ht="15.6">
      <c r="A9892">
        <v>9837</v>
      </c>
      <c r="B9892" s="166">
        <v>173.19588631943617</v>
      </c>
      <c r="D9892" s="39"/>
      <c r="E9892" s="39"/>
    </row>
    <row r="9893" spans="1:5" ht="15.6">
      <c r="A9893">
        <v>9838</v>
      </c>
      <c r="B9893" s="166">
        <v>88.936161368175036</v>
      </c>
      <c r="D9893" s="39"/>
      <c r="E9893" s="39"/>
    </row>
    <row r="9894" spans="1:5" ht="15.6">
      <c r="A9894">
        <v>9839</v>
      </c>
      <c r="B9894" s="166">
        <v>175.16341795342547</v>
      </c>
      <c r="D9894" s="39"/>
      <c r="E9894" s="39"/>
    </row>
    <row r="9895" spans="1:5" ht="15.6">
      <c r="A9895">
        <v>9840</v>
      </c>
      <c r="B9895" s="166">
        <v>121.43439975751701</v>
      </c>
      <c r="D9895" s="39"/>
      <c r="E9895" s="39"/>
    </row>
    <row r="9896" spans="1:5" ht="15.6">
      <c r="A9896">
        <v>9841</v>
      </c>
      <c r="B9896" s="166">
        <v>95.289242414657821</v>
      </c>
      <c r="D9896" s="39"/>
      <c r="E9896" s="39"/>
    </row>
    <row r="9897" spans="1:5" ht="15.6">
      <c r="A9897">
        <v>9842</v>
      </c>
      <c r="B9897" s="166">
        <v>81.264804729493321</v>
      </c>
      <c r="D9897" s="39"/>
      <c r="E9897" s="39"/>
    </row>
    <row r="9898" spans="1:5" ht="15.6">
      <c r="A9898">
        <v>9843</v>
      </c>
      <c r="B9898" s="166">
        <v>110.36687494586451</v>
      </c>
      <c r="D9898" s="39"/>
      <c r="E9898" s="39"/>
    </row>
    <row r="9899" spans="1:5" ht="15.6">
      <c r="A9899">
        <v>9844</v>
      </c>
      <c r="B9899" s="166">
        <v>71.577185089939164</v>
      </c>
      <c r="D9899" s="39"/>
      <c r="E9899" s="39"/>
    </row>
    <row r="9900" spans="1:5" ht="15.6">
      <c r="A9900">
        <v>9845</v>
      </c>
      <c r="B9900" s="166">
        <v>125.89953941023197</v>
      </c>
      <c r="D9900" s="39"/>
      <c r="E9900" s="39"/>
    </row>
    <row r="9901" spans="1:5" ht="15.6">
      <c r="A9901">
        <v>9846</v>
      </c>
      <c r="B9901" s="166">
        <v>82.580306658303243</v>
      </c>
      <c r="D9901" s="39"/>
      <c r="E9901" s="39"/>
    </row>
    <row r="9902" spans="1:5" ht="15.6">
      <c r="A9902">
        <v>9847</v>
      </c>
      <c r="B9902" s="166">
        <v>95.519480105640369</v>
      </c>
      <c r="D9902" s="39"/>
      <c r="E9902" s="39"/>
    </row>
    <row r="9903" spans="1:5" ht="15.6">
      <c r="A9903">
        <v>9848</v>
      </c>
      <c r="B9903" s="166">
        <v>150.41122968882968</v>
      </c>
      <c r="D9903" s="39"/>
      <c r="E9903" s="39"/>
    </row>
    <row r="9904" spans="1:5" ht="15.6">
      <c r="A9904">
        <v>9849</v>
      </c>
      <c r="B9904" s="166">
        <v>168.37395271695192</v>
      </c>
      <c r="D9904" s="39"/>
      <c r="E9904" s="39"/>
    </row>
    <row r="9905" spans="1:5" ht="15.6">
      <c r="A9905">
        <v>9850</v>
      </c>
      <c r="B9905" s="166">
        <v>103.85578567673635</v>
      </c>
      <c r="D9905" s="39"/>
      <c r="E9905" s="39"/>
    </row>
    <row r="9906" spans="1:5" ht="15.6">
      <c r="A9906">
        <v>9851</v>
      </c>
      <c r="B9906" s="166">
        <v>63.759300476728122</v>
      </c>
      <c r="D9906" s="39"/>
      <c r="E9906" s="39"/>
    </row>
    <row r="9907" spans="1:5" ht="15.6">
      <c r="A9907">
        <v>9852</v>
      </c>
      <c r="B9907" s="166">
        <v>179.1098574450059</v>
      </c>
      <c r="D9907" s="39"/>
      <c r="E9907" s="39"/>
    </row>
    <row r="9908" spans="1:5" ht="15.6">
      <c r="A9908">
        <v>9853</v>
      </c>
      <c r="B9908" s="166">
        <v>186.59786942307343</v>
      </c>
      <c r="D9908" s="39"/>
      <c r="E9908" s="39"/>
    </row>
    <row r="9909" spans="1:5" ht="15.6">
      <c r="A9909">
        <v>9854</v>
      </c>
      <c r="B9909" s="166">
        <v>121.83042850050155</v>
      </c>
      <c r="D9909" s="39"/>
      <c r="E9909" s="39"/>
    </row>
    <row r="9910" spans="1:5" ht="15.6">
      <c r="A9910">
        <v>9855</v>
      </c>
      <c r="B9910" s="166">
        <v>90.202445072094392</v>
      </c>
      <c r="D9910" s="39"/>
      <c r="E9910" s="39"/>
    </row>
    <row r="9911" spans="1:5" ht="15.6">
      <c r="A9911">
        <v>9856</v>
      </c>
      <c r="B9911" s="166">
        <v>81.726189209675809</v>
      </c>
      <c r="D9911" s="39"/>
      <c r="E9911" s="39"/>
    </row>
    <row r="9912" spans="1:5" ht="15.6">
      <c r="A9912">
        <v>9857</v>
      </c>
      <c r="B9912" s="166">
        <v>80.597338769910991</v>
      </c>
      <c r="D9912" s="39"/>
      <c r="E9912" s="39"/>
    </row>
    <row r="9913" spans="1:5" ht="15.6">
      <c r="A9913">
        <v>9858</v>
      </c>
      <c r="B9913" s="166">
        <v>93.568260767300103</v>
      </c>
      <c r="D9913" s="39"/>
      <c r="E9913" s="39"/>
    </row>
    <row r="9914" spans="1:5" ht="15.6">
      <c r="A9914">
        <v>9859</v>
      </c>
      <c r="B9914" s="166">
        <v>115.33926587474613</v>
      </c>
      <c r="D9914" s="39"/>
      <c r="E9914" s="39"/>
    </row>
    <row r="9915" spans="1:5" ht="15.6">
      <c r="A9915">
        <v>9860</v>
      </c>
      <c r="B9915" s="166">
        <v>98.712225491942291</v>
      </c>
      <c r="D9915" s="39"/>
      <c r="E9915" s="39"/>
    </row>
    <row r="9916" spans="1:5" ht="15.6">
      <c r="A9916">
        <v>9861</v>
      </c>
      <c r="B9916" s="166">
        <v>107.28336933986935</v>
      </c>
      <c r="D9916" s="39"/>
      <c r="E9916" s="39"/>
    </row>
    <row r="9917" spans="1:5" ht="15.6">
      <c r="A9917">
        <v>9862</v>
      </c>
      <c r="B9917" s="166">
        <v>96.893407945977629</v>
      </c>
      <c r="D9917" s="39"/>
      <c r="E9917" s="39"/>
    </row>
    <row r="9918" spans="1:5" ht="15.6">
      <c r="A9918">
        <v>9863</v>
      </c>
      <c r="B9918" s="166">
        <v>76.061599788069586</v>
      </c>
      <c r="D9918" s="39"/>
      <c r="E9918" s="39"/>
    </row>
    <row r="9919" spans="1:5" ht="15.6">
      <c r="A9919">
        <v>9864</v>
      </c>
      <c r="B9919" s="166">
        <v>119.34186149534521</v>
      </c>
      <c r="D9919" s="39"/>
      <c r="E9919" s="39"/>
    </row>
    <row r="9920" spans="1:5" ht="15.6">
      <c r="A9920">
        <v>9865</v>
      </c>
      <c r="B9920" s="166">
        <v>187.00084165214221</v>
      </c>
      <c r="D9920" s="39"/>
      <c r="E9920" s="39"/>
    </row>
    <row r="9921" spans="1:5" ht="15.6">
      <c r="A9921">
        <v>9866</v>
      </c>
      <c r="B9921" s="166">
        <v>78.114628036274894</v>
      </c>
      <c r="D9921" s="39"/>
      <c r="E9921" s="39"/>
    </row>
    <row r="9922" spans="1:5" ht="15.6">
      <c r="A9922">
        <v>9867</v>
      </c>
      <c r="B9922" s="166">
        <v>101.22899875743323</v>
      </c>
      <c r="D9922" s="39"/>
      <c r="E9922" s="39"/>
    </row>
    <row r="9923" spans="1:5" ht="15.6">
      <c r="A9923">
        <v>9868</v>
      </c>
      <c r="B9923" s="166">
        <v>50.647770317660395</v>
      </c>
      <c r="D9923" s="39"/>
      <c r="E9923" s="39"/>
    </row>
    <row r="9924" spans="1:5" ht="15.6">
      <c r="A9924">
        <v>9869</v>
      </c>
      <c r="B9924" s="166">
        <v>136.02543576363644</v>
      </c>
      <c r="D9924" s="39"/>
      <c r="E9924" s="39"/>
    </row>
    <row r="9925" spans="1:5" ht="15.6">
      <c r="A9925">
        <v>9870</v>
      </c>
      <c r="B9925" s="166">
        <v>131.87350892023582</v>
      </c>
      <c r="D9925" s="39"/>
      <c r="E9925" s="39"/>
    </row>
    <row r="9926" spans="1:5" ht="15.6">
      <c r="A9926">
        <v>9871</v>
      </c>
      <c r="B9926" s="166">
        <v>58.194626358114533</v>
      </c>
      <c r="D9926" s="39"/>
      <c r="E9926" s="39"/>
    </row>
    <row r="9927" spans="1:5" ht="15.6">
      <c r="A9927">
        <v>9872</v>
      </c>
      <c r="B9927" s="166">
        <v>65.482034937626423</v>
      </c>
      <c r="D9927" s="39"/>
      <c r="E9927" s="39"/>
    </row>
    <row r="9928" spans="1:5" ht="15.6">
      <c r="A9928">
        <v>9873</v>
      </c>
      <c r="B9928" s="166">
        <v>122.23853077259398</v>
      </c>
      <c r="D9928" s="39"/>
      <c r="E9928" s="39"/>
    </row>
    <row r="9929" spans="1:5" ht="15.6">
      <c r="A9929">
        <v>9874</v>
      </c>
      <c r="B9929" s="166">
        <v>101.8068973943785</v>
      </c>
      <c r="D9929" s="39"/>
      <c r="E9929" s="39"/>
    </row>
    <row r="9930" spans="1:5" ht="15.6">
      <c r="A9930">
        <v>9875</v>
      </c>
      <c r="B9930" s="166">
        <v>101.51831328741272</v>
      </c>
      <c r="D9930" s="39"/>
      <c r="E9930" s="39"/>
    </row>
    <row r="9931" spans="1:5" ht="15.6">
      <c r="A9931">
        <v>9876</v>
      </c>
      <c r="B9931" s="166">
        <v>173.7103630732272</v>
      </c>
      <c r="D9931" s="39"/>
      <c r="E9931" s="39"/>
    </row>
    <row r="9932" spans="1:5" ht="15.6">
      <c r="A9932">
        <v>9877</v>
      </c>
      <c r="B9932" s="166">
        <v>75.733941614014924</v>
      </c>
      <c r="D9932" s="39"/>
      <c r="E9932" s="39"/>
    </row>
    <row r="9933" spans="1:5" ht="15.6">
      <c r="A9933">
        <v>9878</v>
      </c>
      <c r="B9933" s="166">
        <v>121.68330259010114</v>
      </c>
      <c r="D9933" s="39"/>
      <c r="E9933" s="39"/>
    </row>
    <row r="9934" spans="1:5" ht="15.6">
      <c r="A9934">
        <v>9879</v>
      </c>
      <c r="B9934" s="166">
        <v>104.15907320514894</v>
      </c>
      <c r="D9934" s="39"/>
      <c r="E9934" s="39"/>
    </row>
    <row r="9935" spans="1:5" ht="15.6">
      <c r="A9935">
        <v>9880</v>
      </c>
      <c r="B9935" s="166">
        <v>227.71887194837646</v>
      </c>
      <c r="D9935" s="39"/>
      <c r="E9935" s="39"/>
    </row>
    <row r="9936" spans="1:5" ht="15.6">
      <c r="A9936">
        <v>9881</v>
      </c>
      <c r="B9936" s="166">
        <v>208.17432572841935</v>
      </c>
      <c r="D9936" s="39"/>
      <c r="E9936" s="39"/>
    </row>
    <row r="9937" spans="1:5" ht="15.6">
      <c r="A9937">
        <v>9882</v>
      </c>
      <c r="B9937" s="166">
        <v>86.312977992005116</v>
      </c>
      <c r="D9937" s="39"/>
      <c r="E9937" s="39"/>
    </row>
    <row r="9938" spans="1:5" ht="15.6">
      <c r="A9938">
        <v>9883</v>
      </c>
      <c r="B9938" s="166">
        <v>82.792134470376041</v>
      </c>
      <c r="D9938" s="39"/>
      <c r="E9938" s="39"/>
    </row>
    <row r="9939" spans="1:5" ht="15.6">
      <c r="A9939">
        <v>9884</v>
      </c>
      <c r="B9939" s="166">
        <v>105.20347654910972</v>
      </c>
      <c r="D9939" s="39"/>
      <c r="E9939" s="39"/>
    </row>
    <row r="9940" spans="1:5" ht="15.6">
      <c r="A9940">
        <v>9885</v>
      </c>
      <c r="B9940" s="166">
        <v>204.36517313712983</v>
      </c>
      <c r="D9940" s="39"/>
      <c r="E9940" s="39"/>
    </row>
    <row r="9941" spans="1:5" ht="15.6">
      <c r="A9941">
        <v>9886</v>
      </c>
      <c r="B9941" s="166">
        <v>158.74564210127699</v>
      </c>
      <c r="D9941" s="39"/>
      <c r="E9941" s="39"/>
    </row>
    <row r="9942" spans="1:5" ht="15.6">
      <c r="A9942">
        <v>9887</v>
      </c>
      <c r="B9942" s="166">
        <v>118.50040788536525</v>
      </c>
      <c r="D9942" s="39"/>
      <c r="E9942" s="39"/>
    </row>
    <row r="9943" spans="1:5" ht="15.6">
      <c r="A9943">
        <v>9888</v>
      </c>
      <c r="B9943" s="166">
        <v>116.42027021869151</v>
      </c>
      <c r="D9943" s="39"/>
      <c r="E9943" s="39"/>
    </row>
    <row r="9944" spans="1:5" ht="15.6">
      <c r="A9944">
        <v>9889</v>
      </c>
      <c r="B9944" s="166">
        <v>107.55993179742789</v>
      </c>
      <c r="D9944" s="39"/>
      <c r="E9944" s="39"/>
    </row>
    <row r="9945" spans="1:5" ht="15.6">
      <c r="A9945">
        <v>9890</v>
      </c>
      <c r="B9945" s="166">
        <v>79.148789293406111</v>
      </c>
      <c r="D9945" s="39"/>
      <c r="E9945" s="39"/>
    </row>
    <row r="9946" spans="1:5" ht="15.6">
      <c r="A9946">
        <v>9891</v>
      </c>
      <c r="B9946" s="166">
        <v>75.796585430538784</v>
      </c>
      <c r="D9946" s="39"/>
      <c r="E9946" s="39"/>
    </row>
    <row r="9947" spans="1:5" ht="15.6">
      <c r="A9947">
        <v>9892</v>
      </c>
      <c r="B9947" s="166">
        <v>88.113774507491343</v>
      </c>
      <c r="D9947" s="39"/>
      <c r="E9947" s="39"/>
    </row>
    <row r="9948" spans="1:5" ht="15.6">
      <c r="A9948">
        <v>9893</v>
      </c>
      <c r="B9948" s="166">
        <v>72.724054815930188</v>
      </c>
      <c r="D9948" s="39"/>
      <c r="E9948" s="39"/>
    </row>
    <row r="9949" spans="1:5" ht="15.6">
      <c r="A9949">
        <v>9894</v>
      </c>
      <c r="B9949" s="166">
        <v>88.611074182638447</v>
      </c>
      <c r="D9949" s="39"/>
      <c r="E9949" s="39"/>
    </row>
    <row r="9950" spans="1:5" ht="15.6">
      <c r="A9950">
        <v>9895</v>
      </c>
      <c r="B9950" s="166">
        <v>87.793375860829258</v>
      </c>
      <c r="D9950" s="39"/>
      <c r="E9950" s="39"/>
    </row>
    <row r="9951" spans="1:5" ht="15.6">
      <c r="A9951">
        <v>9896</v>
      </c>
      <c r="B9951" s="166">
        <v>103.22901501545952</v>
      </c>
      <c r="D9951" s="39"/>
      <c r="E9951" s="39"/>
    </row>
    <row r="9952" spans="1:5" ht="15.6">
      <c r="A9952">
        <v>9897</v>
      </c>
      <c r="B9952" s="166">
        <v>94.842102557018038</v>
      </c>
      <c r="D9952" s="39"/>
      <c r="E9952" s="39"/>
    </row>
    <row r="9953" spans="1:5" ht="15.6">
      <c r="A9953">
        <v>9898</v>
      </c>
      <c r="B9953" s="166">
        <v>129.43710551275413</v>
      </c>
      <c r="D9953" s="39"/>
      <c r="E9953" s="39"/>
    </row>
    <row r="9954" spans="1:5" ht="15.6">
      <c r="A9954">
        <v>9899</v>
      </c>
      <c r="B9954" s="166">
        <v>72.679635707811926</v>
      </c>
      <c r="D9954" s="39"/>
      <c r="E9954" s="39"/>
    </row>
    <row r="9955" spans="1:5" ht="15.6">
      <c r="A9955">
        <v>9900</v>
      </c>
      <c r="B9955" s="166">
        <v>76.359494965064343</v>
      </c>
      <c r="D9955" s="39"/>
      <c r="E9955" s="39"/>
    </row>
    <row r="9956" spans="1:5" ht="15.6">
      <c r="A9956">
        <v>9901</v>
      </c>
      <c r="B9956" s="166">
        <v>111.40857515836642</v>
      </c>
      <c r="D9956" s="39"/>
      <c r="E9956" s="39"/>
    </row>
    <row r="9957" spans="1:5" ht="15.6">
      <c r="A9957">
        <v>9902</v>
      </c>
      <c r="B9957" s="166">
        <v>269.93746022560782</v>
      </c>
      <c r="D9957" s="39"/>
      <c r="E9957" s="39"/>
    </row>
    <row r="9958" spans="1:5" ht="15.6">
      <c r="A9958">
        <v>9903</v>
      </c>
      <c r="B9958" s="166">
        <v>83.89831992019522</v>
      </c>
      <c r="D9958" s="39"/>
      <c r="E9958" s="39"/>
    </row>
    <row r="9959" spans="1:5" ht="15.6">
      <c r="A9959">
        <v>9904</v>
      </c>
      <c r="B9959" s="166">
        <v>81.203941637552802</v>
      </c>
      <c r="D9959" s="39"/>
      <c r="E9959" s="39"/>
    </row>
    <row r="9960" spans="1:5" ht="15.6">
      <c r="A9960">
        <v>9905</v>
      </c>
      <c r="B9960" s="166">
        <v>116.85945930735657</v>
      </c>
      <c r="D9960" s="39"/>
      <c r="E9960" s="39"/>
    </row>
    <row r="9961" spans="1:5" ht="15.6">
      <c r="A9961">
        <v>9906</v>
      </c>
      <c r="B9961" s="166">
        <v>85.668218250442919</v>
      </c>
      <c r="D9961" s="39"/>
      <c r="E9961" s="39"/>
    </row>
    <row r="9962" spans="1:5" ht="15.6">
      <c r="A9962">
        <v>9907</v>
      </c>
      <c r="B9962" s="166">
        <v>102.77660339231957</v>
      </c>
      <c r="D9962" s="39"/>
      <c r="E9962" s="39"/>
    </row>
    <row r="9963" spans="1:5" ht="15.6">
      <c r="A9963">
        <v>9908</v>
      </c>
      <c r="B9963" s="166">
        <v>106.319017670901</v>
      </c>
      <c r="D9963" s="39"/>
      <c r="E9963" s="39"/>
    </row>
    <row r="9964" spans="1:5" ht="15.6">
      <c r="A9964">
        <v>9909</v>
      </c>
      <c r="B9964" s="166">
        <v>141.00740174157241</v>
      </c>
      <c r="D9964" s="39"/>
      <c r="E9964" s="39"/>
    </row>
    <row r="9965" spans="1:5" ht="15.6">
      <c r="A9965">
        <v>9910</v>
      </c>
      <c r="B9965" s="166">
        <v>136.17134362492442</v>
      </c>
      <c r="D9965" s="39"/>
      <c r="E9965" s="39"/>
    </row>
    <row r="9966" spans="1:5" ht="15.6">
      <c r="A9966">
        <v>9911</v>
      </c>
      <c r="B9966" s="166">
        <v>107.46205224437333</v>
      </c>
      <c r="D9966" s="39"/>
      <c r="E9966" s="39"/>
    </row>
    <row r="9967" spans="1:5" ht="15.6">
      <c r="A9967">
        <v>9912</v>
      </c>
      <c r="B9967" s="166">
        <v>142.50513452084746</v>
      </c>
      <c r="D9967" s="39"/>
      <c r="E9967" s="39"/>
    </row>
    <row r="9968" spans="1:5" ht="15.6">
      <c r="A9968">
        <v>9913</v>
      </c>
      <c r="B9968" s="166">
        <v>95.001496236767807</v>
      </c>
      <c r="D9968" s="39"/>
      <c r="E9968" s="39"/>
    </row>
    <row r="9969" spans="1:5" ht="15.6">
      <c r="A9969">
        <v>9914</v>
      </c>
      <c r="B9969" s="166">
        <v>68.394846282152017</v>
      </c>
      <c r="D9969" s="39"/>
      <c r="E9969" s="39"/>
    </row>
    <row r="9970" spans="1:5" ht="15.6">
      <c r="A9970">
        <v>9915</v>
      </c>
      <c r="B9970" s="166">
        <v>116.60276366418574</v>
      </c>
      <c r="D9970" s="39"/>
      <c r="E9970" s="39"/>
    </row>
    <row r="9971" spans="1:5" ht="15.6">
      <c r="A9971">
        <v>9916</v>
      </c>
      <c r="B9971" s="166">
        <v>74.752632669409621</v>
      </c>
      <c r="D9971" s="39"/>
      <c r="E9971" s="39"/>
    </row>
    <row r="9972" spans="1:5" ht="15.6">
      <c r="A9972">
        <v>9917</v>
      </c>
      <c r="B9972" s="166">
        <v>73.139910302039084</v>
      </c>
      <c r="D9972" s="39"/>
      <c r="E9972" s="39"/>
    </row>
    <row r="9973" spans="1:5" ht="15.6">
      <c r="A9973">
        <v>9918</v>
      </c>
      <c r="B9973" s="166">
        <v>125.65983471452513</v>
      </c>
      <c r="D9973" s="39"/>
      <c r="E9973" s="39"/>
    </row>
    <row r="9974" spans="1:5" ht="15.6">
      <c r="A9974">
        <v>9919</v>
      </c>
      <c r="B9974" s="166">
        <v>150.11110426263363</v>
      </c>
      <c r="D9974" s="39"/>
      <c r="E9974" s="39"/>
    </row>
    <row r="9975" spans="1:5" ht="15.6">
      <c r="A9975">
        <v>9920</v>
      </c>
      <c r="B9975" s="166">
        <v>94.081969716391626</v>
      </c>
      <c r="D9975" s="39"/>
      <c r="E9975" s="39"/>
    </row>
    <row r="9976" spans="1:5" ht="15.6">
      <c r="A9976">
        <v>9921</v>
      </c>
      <c r="B9976" s="166">
        <v>82.565226284101897</v>
      </c>
      <c r="D9976" s="39"/>
      <c r="E9976" s="39"/>
    </row>
    <row r="9977" spans="1:5" ht="15.6">
      <c r="A9977">
        <v>9922</v>
      </c>
      <c r="B9977" s="166">
        <v>46.044891543349586</v>
      </c>
      <c r="D9977" s="39"/>
      <c r="E9977" s="39"/>
    </row>
    <row r="9978" spans="1:5" ht="15.6">
      <c r="A9978">
        <v>9923</v>
      </c>
      <c r="B9978" s="166">
        <v>86.348575044416151</v>
      </c>
      <c r="D9978" s="39"/>
      <c r="E9978" s="39"/>
    </row>
    <row r="9979" spans="1:5" ht="15.6">
      <c r="A9979">
        <v>9924</v>
      </c>
      <c r="B9979" s="166">
        <v>140.32048435999761</v>
      </c>
      <c r="D9979" s="39"/>
      <c r="E9979" s="39"/>
    </row>
    <row r="9980" spans="1:5" ht="15.6">
      <c r="A9980">
        <v>9925</v>
      </c>
      <c r="B9980" s="166">
        <v>88.858154390405531</v>
      </c>
      <c r="D9980" s="39"/>
      <c r="E9980" s="39"/>
    </row>
    <row r="9981" spans="1:5" ht="15.6">
      <c r="A9981">
        <v>9926</v>
      </c>
      <c r="B9981" s="166">
        <v>145.08041494559959</v>
      </c>
      <c r="D9981" s="39"/>
      <c r="E9981" s="39"/>
    </row>
    <row r="9982" spans="1:5" ht="15.6">
      <c r="A9982">
        <v>9927</v>
      </c>
      <c r="B9982" s="166">
        <v>151.72371430505652</v>
      </c>
      <c r="D9982" s="39"/>
      <c r="E9982" s="39"/>
    </row>
    <row r="9983" spans="1:5" ht="15.6">
      <c r="A9983">
        <v>9928</v>
      </c>
      <c r="B9983" s="166">
        <v>143.18936476056578</v>
      </c>
      <c r="D9983" s="39"/>
      <c r="E9983" s="39"/>
    </row>
    <row r="9984" spans="1:5" ht="15.6">
      <c r="A9984">
        <v>9929</v>
      </c>
      <c r="B9984" s="166">
        <v>141.42436961957549</v>
      </c>
      <c r="D9984" s="39"/>
      <c r="E9984" s="39"/>
    </row>
    <row r="9985" spans="1:5" ht="15.6">
      <c r="A9985">
        <v>9930</v>
      </c>
      <c r="B9985" s="166">
        <v>90.141210457537596</v>
      </c>
      <c r="D9985" s="39"/>
      <c r="E9985" s="39"/>
    </row>
    <row r="9986" spans="1:5" ht="15.6">
      <c r="A9986">
        <v>9931</v>
      </c>
      <c r="B9986" s="166">
        <v>135.47865750141452</v>
      </c>
      <c r="D9986" s="39"/>
      <c r="E9986" s="39"/>
    </row>
    <row r="9987" spans="1:5" ht="15.6">
      <c r="A9987">
        <v>9932</v>
      </c>
      <c r="B9987" s="166">
        <v>108.11430667446052</v>
      </c>
      <c r="D9987" s="39"/>
      <c r="E9987" s="39"/>
    </row>
    <row r="9988" spans="1:5" ht="15.6">
      <c r="A9988">
        <v>9933</v>
      </c>
      <c r="B9988" s="166">
        <v>71.536066061543465</v>
      </c>
      <c r="D9988" s="39"/>
      <c r="E9988" s="39"/>
    </row>
    <row r="9989" spans="1:5" ht="15.6">
      <c r="A9989">
        <v>9934</v>
      </c>
      <c r="B9989" s="166">
        <v>89.160123007388492</v>
      </c>
      <c r="D9989" s="39"/>
      <c r="E9989" s="39"/>
    </row>
    <row r="9990" spans="1:5" ht="15.6">
      <c r="A9990">
        <v>9935</v>
      </c>
      <c r="B9990" s="166">
        <v>75.749157030536978</v>
      </c>
      <c r="D9990" s="39"/>
      <c r="E9990" s="39"/>
    </row>
    <row r="9991" spans="1:5" ht="15.6">
      <c r="A9991">
        <v>9936</v>
      </c>
      <c r="B9991" s="166">
        <v>74.980899004218713</v>
      </c>
      <c r="D9991" s="39"/>
      <c r="E9991" s="39"/>
    </row>
    <row r="9992" spans="1:5" ht="15.6">
      <c r="A9992">
        <v>9937</v>
      </c>
      <c r="B9992" s="166">
        <v>107.14838030323693</v>
      </c>
      <c r="D9992" s="39"/>
      <c r="E9992" s="39"/>
    </row>
    <row r="9993" spans="1:5" ht="15.6">
      <c r="A9993">
        <v>9938</v>
      </c>
      <c r="B9993" s="166">
        <v>83.333132307116344</v>
      </c>
      <c r="D9993" s="39"/>
      <c r="E9993" s="39"/>
    </row>
    <row r="9994" spans="1:5" ht="15.6">
      <c r="A9994">
        <v>9939</v>
      </c>
      <c r="B9994" s="166">
        <v>102.50165661129385</v>
      </c>
      <c r="D9994" s="39"/>
      <c r="E9994" s="39"/>
    </row>
    <row r="9995" spans="1:5" ht="15.6">
      <c r="A9995">
        <v>9940</v>
      </c>
      <c r="B9995" s="166">
        <v>121.09260652807571</v>
      </c>
      <c r="D9995" s="39"/>
      <c r="E9995" s="39"/>
    </row>
    <row r="9996" spans="1:5" ht="15.6">
      <c r="A9996">
        <v>9941</v>
      </c>
      <c r="B9996" s="166">
        <v>115.99098315183143</v>
      </c>
      <c r="D9996" s="39"/>
      <c r="E9996" s="39"/>
    </row>
    <row r="9997" spans="1:5" ht="15.6">
      <c r="A9997">
        <v>9942</v>
      </c>
      <c r="B9997" s="166">
        <v>74.384197734973228</v>
      </c>
      <c r="D9997" s="39"/>
      <c r="E9997" s="39"/>
    </row>
    <row r="9998" spans="1:5" ht="15.6">
      <c r="A9998">
        <v>9943</v>
      </c>
      <c r="B9998" s="166">
        <v>181.96863286720904</v>
      </c>
      <c r="D9998" s="39"/>
      <c r="E9998" s="39"/>
    </row>
    <row r="9999" spans="1:5" ht="15.6">
      <c r="A9999">
        <v>9944</v>
      </c>
      <c r="B9999" s="166">
        <v>112.22320957234945</v>
      </c>
      <c r="D9999" s="39"/>
      <c r="E9999" s="39"/>
    </row>
    <row r="10000" spans="1:5" ht="15.6">
      <c r="A10000">
        <v>9945</v>
      </c>
      <c r="B10000" s="166">
        <v>109.90259338313044</v>
      </c>
      <c r="D10000" s="39"/>
      <c r="E10000" s="39"/>
    </row>
    <row r="10001" spans="1:5" ht="15.6">
      <c r="A10001">
        <v>9946</v>
      </c>
      <c r="B10001" s="166">
        <v>145.94338492853916</v>
      </c>
      <c r="D10001" s="39"/>
      <c r="E10001" s="39"/>
    </row>
    <row r="10002" spans="1:5" ht="15.6">
      <c r="A10002">
        <v>9947</v>
      </c>
      <c r="B10002" s="166">
        <v>62.372412931665075</v>
      </c>
      <c r="D10002" s="39"/>
      <c r="E10002" s="39"/>
    </row>
    <row r="10003" spans="1:5" ht="15.6">
      <c r="A10003">
        <v>9948</v>
      </c>
      <c r="B10003" s="166">
        <v>47.824833124415491</v>
      </c>
      <c r="D10003" s="39"/>
      <c r="E10003" s="39"/>
    </row>
    <row r="10004" spans="1:5" ht="15.6">
      <c r="A10004">
        <v>9949</v>
      </c>
      <c r="B10004" s="166">
        <v>125.00260514986959</v>
      </c>
      <c r="D10004" s="39"/>
      <c r="E10004" s="39"/>
    </row>
    <row r="10005" spans="1:5" ht="15.6">
      <c r="A10005">
        <v>9950</v>
      </c>
      <c r="B10005" s="166">
        <v>126.15106003151489</v>
      </c>
      <c r="D10005" s="39"/>
      <c r="E10005" s="39"/>
    </row>
    <row r="10006" spans="1:5" ht="15.6">
      <c r="A10006">
        <v>9951</v>
      </c>
      <c r="B10006" s="166">
        <v>147.99419501184062</v>
      </c>
      <c r="D10006" s="39"/>
      <c r="E10006" s="39"/>
    </row>
    <row r="10007" spans="1:5" ht="15.6">
      <c r="A10007">
        <v>9952</v>
      </c>
      <c r="B10007" s="166">
        <v>107.2406759254222</v>
      </c>
      <c r="D10007" s="39"/>
      <c r="E10007" s="39"/>
    </row>
    <row r="10008" spans="1:5" ht="15.6">
      <c r="A10008">
        <v>9953</v>
      </c>
      <c r="B10008" s="166">
        <v>121.83599789888683</v>
      </c>
      <c r="D10008" s="39"/>
      <c r="E10008" s="39"/>
    </row>
    <row r="10009" spans="1:5" ht="15.6">
      <c r="A10009">
        <v>9954</v>
      </c>
      <c r="B10009" s="166">
        <v>97.89360699165718</v>
      </c>
      <c r="D10009" s="39"/>
      <c r="E10009" s="39"/>
    </row>
    <row r="10010" spans="1:5" ht="15.6">
      <c r="A10010">
        <v>9955</v>
      </c>
      <c r="B10010" s="166">
        <v>89.598741692428533</v>
      </c>
      <c r="D10010" s="39"/>
      <c r="E10010" s="39"/>
    </row>
    <row r="10011" spans="1:5" ht="15.6">
      <c r="A10011">
        <v>9956</v>
      </c>
      <c r="B10011" s="166">
        <v>88.310752231640919</v>
      </c>
      <c r="D10011" s="39"/>
      <c r="E10011" s="39"/>
    </row>
    <row r="10012" spans="1:5" ht="15.6">
      <c r="A10012">
        <v>9957</v>
      </c>
      <c r="B10012" s="166">
        <v>112.6973615314335</v>
      </c>
      <c r="D10012" s="39"/>
      <c r="E10012" s="39"/>
    </row>
    <row r="10013" spans="1:5" ht="15.6">
      <c r="A10013">
        <v>9958</v>
      </c>
      <c r="B10013" s="166">
        <v>110.91313034861875</v>
      </c>
      <c r="D10013" s="39"/>
      <c r="E10013" s="39"/>
    </row>
    <row r="10014" spans="1:5" ht="15.6">
      <c r="A10014">
        <v>9959</v>
      </c>
      <c r="B10014" s="166">
        <v>79.849193900805702</v>
      </c>
      <c r="D10014" s="39"/>
      <c r="E10014" s="39"/>
    </row>
    <row r="10015" spans="1:5" ht="15.6">
      <c r="A10015">
        <v>9960</v>
      </c>
      <c r="B10015" s="166">
        <v>108.97403622761063</v>
      </c>
      <c r="D10015" s="39"/>
      <c r="E10015" s="39"/>
    </row>
    <row r="10016" spans="1:5" ht="15.6">
      <c r="A10016">
        <v>9961</v>
      </c>
      <c r="B10016" s="166">
        <v>93.221346878800077</v>
      </c>
      <c r="D10016" s="39"/>
      <c r="E10016" s="39"/>
    </row>
    <row r="10017" spans="1:5" ht="15.6">
      <c r="A10017">
        <v>9962</v>
      </c>
      <c r="B10017" s="166">
        <v>103.43355643653865</v>
      </c>
      <c r="D10017" s="39"/>
      <c r="E10017" s="39"/>
    </row>
    <row r="10018" spans="1:5" ht="15.6">
      <c r="A10018">
        <v>9963</v>
      </c>
      <c r="B10018" s="166">
        <v>78.709182411930996</v>
      </c>
      <c r="D10018" s="39"/>
      <c r="E10018" s="39"/>
    </row>
    <row r="10019" spans="1:5" ht="15.6">
      <c r="A10019">
        <v>9964</v>
      </c>
      <c r="B10019" s="166">
        <v>68.056434026746444</v>
      </c>
      <c r="D10019" s="39"/>
      <c r="E10019" s="39"/>
    </row>
    <row r="10020" spans="1:5" ht="15.6">
      <c r="A10020">
        <v>9965</v>
      </c>
      <c r="B10020" s="166">
        <v>95.436049293984993</v>
      </c>
      <c r="D10020" s="39"/>
      <c r="E10020" s="39"/>
    </row>
    <row r="10021" spans="1:5" ht="15.6">
      <c r="A10021">
        <v>9966</v>
      </c>
      <c r="B10021" s="166">
        <v>185.15729195421744</v>
      </c>
      <c r="D10021" s="39"/>
      <c r="E10021" s="39"/>
    </row>
    <row r="10022" spans="1:5" ht="15.6">
      <c r="A10022">
        <v>9967</v>
      </c>
      <c r="B10022" s="166">
        <v>59.683703591975451</v>
      </c>
      <c r="D10022" s="39"/>
      <c r="E10022" s="39"/>
    </row>
    <row r="10023" spans="1:5" ht="15.6">
      <c r="A10023">
        <v>9968</v>
      </c>
      <c r="B10023" s="166">
        <v>59.051323793021588</v>
      </c>
      <c r="D10023" s="39"/>
      <c r="E10023" s="39"/>
    </row>
    <row r="10024" spans="1:5" ht="15.6">
      <c r="A10024">
        <v>9969</v>
      </c>
      <c r="B10024" s="166">
        <v>95.366831363888181</v>
      </c>
      <c r="D10024" s="39"/>
      <c r="E10024" s="39"/>
    </row>
    <row r="10025" spans="1:5" ht="15.6">
      <c r="A10025">
        <v>9970</v>
      </c>
      <c r="B10025" s="166">
        <v>148.29689625210389</v>
      </c>
      <c r="D10025" s="39"/>
      <c r="E10025" s="39"/>
    </row>
    <row r="10026" spans="1:5" ht="15.6">
      <c r="A10026">
        <v>9971</v>
      </c>
      <c r="B10026" s="166">
        <v>91.774608910197472</v>
      </c>
      <c r="D10026" s="39"/>
      <c r="E10026" s="39"/>
    </row>
    <row r="10027" spans="1:5" ht="15.6">
      <c r="A10027">
        <v>9972</v>
      </c>
      <c r="B10027" s="166">
        <v>102.83817089540105</v>
      </c>
      <c r="D10027" s="39"/>
      <c r="E10027" s="39"/>
    </row>
    <row r="10028" spans="1:5" ht="15.6">
      <c r="A10028">
        <v>9973</v>
      </c>
      <c r="B10028" s="166">
        <v>114.82881144928648</v>
      </c>
      <c r="D10028" s="39"/>
      <c r="E10028" s="39"/>
    </row>
    <row r="10029" spans="1:5" ht="15.6">
      <c r="A10029">
        <v>9974</v>
      </c>
      <c r="B10029" s="166">
        <v>74.924478868873621</v>
      </c>
      <c r="D10029" s="39"/>
      <c r="E10029" s="39"/>
    </row>
    <row r="10030" spans="1:5" ht="15.6">
      <c r="A10030">
        <v>9975</v>
      </c>
      <c r="B10030" s="166">
        <v>49.205501590205515</v>
      </c>
      <c r="D10030" s="39"/>
      <c r="E10030" s="39"/>
    </row>
    <row r="10031" spans="1:5" ht="15.6">
      <c r="A10031">
        <v>9976</v>
      </c>
      <c r="B10031" s="166">
        <v>149.49454792046271</v>
      </c>
      <c r="D10031" s="39"/>
      <c r="E10031" s="39"/>
    </row>
    <row r="10032" spans="1:5" ht="15.6">
      <c r="A10032">
        <v>9977</v>
      </c>
      <c r="B10032" s="166">
        <v>67.565118466655832</v>
      </c>
      <c r="D10032" s="39"/>
      <c r="E10032" s="39"/>
    </row>
    <row r="10033" spans="1:5" ht="15.6">
      <c r="A10033">
        <v>9978</v>
      </c>
      <c r="B10033" s="166">
        <v>163.72231477570077</v>
      </c>
      <c r="D10033" s="39"/>
      <c r="E10033" s="39"/>
    </row>
    <row r="10034" spans="1:5" ht="15.6">
      <c r="A10034">
        <v>9979</v>
      </c>
      <c r="B10034" s="166">
        <v>164.02087167749863</v>
      </c>
      <c r="D10034" s="39"/>
      <c r="E10034" s="39"/>
    </row>
    <row r="10035" spans="1:5" ht="15.6">
      <c r="A10035">
        <v>9980</v>
      </c>
      <c r="B10035" s="166">
        <v>110.19376165049886</v>
      </c>
      <c r="D10035" s="39"/>
      <c r="E10035" s="39"/>
    </row>
    <row r="10036" spans="1:5" ht="15.6">
      <c r="A10036">
        <v>9981</v>
      </c>
      <c r="B10036" s="166">
        <v>188.44573907291752</v>
      </c>
      <c r="D10036" s="39"/>
      <c r="E10036" s="39"/>
    </row>
    <row r="10037" spans="1:5" ht="15.6">
      <c r="A10037">
        <v>9982</v>
      </c>
      <c r="B10037" s="166">
        <v>86.265796620137209</v>
      </c>
      <c r="D10037" s="39"/>
      <c r="E10037" s="39"/>
    </row>
    <row r="10038" spans="1:5" ht="15.6">
      <c r="A10038">
        <v>9983</v>
      </c>
      <c r="B10038" s="166">
        <v>97.755579967926209</v>
      </c>
      <c r="D10038" s="39"/>
      <c r="E10038" s="39"/>
    </row>
    <row r="10039" spans="1:5" ht="15.6">
      <c r="A10039">
        <v>9984</v>
      </c>
      <c r="B10039" s="166">
        <v>130.4934227734305</v>
      </c>
      <c r="D10039" s="39"/>
      <c r="E10039" s="39"/>
    </row>
    <row r="10040" spans="1:5" ht="15.6">
      <c r="A10040">
        <v>9985</v>
      </c>
      <c r="B10040" s="166">
        <v>71.840542862982844</v>
      </c>
      <c r="D10040" s="39"/>
      <c r="E10040" s="39"/>
    </row>
    <row r="10041" spans="1:5" ht="15.6">
      <c r="A10041">
        <v>9986</v>
      </c>
      <c r="B10041" s="166">
        <v>149.57631080511621</v>
      </c>
      <c r="D10041" s="39"/>
      <c r="E10041" s="39"/>
    </row>
    <row r="10042" spans="1:5" ht="15.6">
      <c r="A10042">
        <v>9987</v>
      </c>
      <c r="B10042" s="166">
        <v>79.34688561955744</v>
      </c>
      <c r="D10042" s="39"/>
      <c r="E10042" s="39"/>
    </row>
    <row r="10043" spans="1:5" ht="15.6">
      <c r="A10043">
        <v>9988</v>
      </c>
      <c r="B10043" s="166">
        <v>102.52824303598693</v>
      </c>
      <c r="D10043" s="39"/>
      <c r="E10043" s="39"/>
    </row>
    <row r="10044" spans="1:5" ht="15.6">
      <c r="A10044">
        <v>9989</v>
      </c>
      <c r="B10044" s="166">
        <v>147.826236898915</v>
      </c>
      <c r="D10044" s="39"/>
      <c r="E10044" s="39"/>
    </row>
    <row r="10045" spans="1:5" ht="15.6">
      <c r="A10045">
        <v>9990</v>
      </c>
      <c r="B10045" s="166">
        <v>83.003881258608857</v>
      </c>
      <c r="D10045" s="39"/>
      <c r="E10045" s="39"/>
    </row>
    <row r="10046" spans="1:5" ht="15.6">
      <c r="A10046">
        <v>9991</v>
      </c>
      <c r="B10046" s="166">
        <v>120.99878335104775</v>
      </c>
      <c r="D10046" s="39"/>
      <c r="E10046" s="39"/>
    </row>
    <row r="10047" spans="1:5" ht="15.6">
      <c r="A10047">
        <v>9992</v>
      </c>
      <c r="B10047" s="166">
        <v>113.21929948248938</v>
      </c>
      <c r="D10047" s="39"/>
      <c r="E10047" s="39"/>
    </row>
    <row r="10048" spans="1:5" ht="15.6">
      <c r="A10048">
        <v>9993</v>
      </c>
      <c r="B10048" s="166">
        <v>97.336490428421115</v>
      </c>
      <c r="D10048" s="39"/>
      <c r="E10048" s="39"/>
    </row>
    <row r="10049" spans="1:5" ht="15.6">
      <c r="A10049">
        <v>9994</v>
      </c>
      <c r="B10049" s="166">
        <v>90.757393624852554</v>
      </c>
      <c r="D10049" s="39"/>
      <c r="E10049" s="39"/>
    </row>
    <row r="10050" spans="1:5" ht="15.6">
      <c r="A10050">
        <v>9995</v>
      </c>
      <c r="B10050" s="166">
        <v>127.76706543431095</v>
      </c>
      <c r="D10050" s="39"/>
      <c r="E10050" s="39"/>
    </row>
    <row r="10051" spans="1:5" ht="15.6">
      <c r="A10051">
        <v>9996</v>
      </c>
      <c r="B10051" s="166">
        <v>97.189847812018527</v>
      </c>
      <c r="D10051" s="39"/>
      <c r="E10051" s="39"/>
    </row>
    <row r="10052" spans="1:5" ht="15.6">
      <c r="A10052">
        <v>9997</v>
      </c>
      <c r="B10052" s="166">
        <v>127.19762611071849</v>
      </c>
      <c r="D10052" s="39"/>
      <c r="E10052" s="39"/>
    </row>
    <row r="10053" spans="1:5" ht="15.6">
      <c r="A10053">
        <v>9998</v>
      </c>
      <c r="B10053" s="166">
        <v>134.63168267911198</v>
      </c>
      <c r="D10053" s="39"/>
      <c r="E10053" s="39"/>
    </row>
    <row r="10054" spans="1:5" ht="15.6">
      <c r="A10054">
        <v>9999</v>
      </c>
      <c r="B10054" s="166">
        <v>105.80813019674498</v>
      </c>
      <c r="D10054" s="39"/>
      <c r="E10054" s="39"/>
    </row>
    <row r="10055" spans="1:5" ht="15.6">
      <c r="A10055">
        <v>10000</v>
      </c>
      <c r="B10055" s="166">
        <v>95.504881702063969</v>
      </c>
      <c r="D10055" s="39"/>
      <c r="E10055" s="39"/>
    </row>
    <row r="10056" spans="1:5" ht="15.6">
      <c r="B10056" s="166"/>
    </row>
  </sheetData>
  <conditionalFormatting sqref="D17:F20 F26 E21:F22 L4:L5 D33:F40 E27:F32 L12:L16">
    <cfRule type="colorScale" priority="2">
      <colorScale>
        <cfvo type="num" val="-0.5"/>
        <cfvo type="num" val="0"/>
        <cfvo type="num" val="$F$17"/>
        <color rgb="FFF8696B"/>
        <color theme="0"/>
        <color rgb="FF63BE7B"/>
      </colorScale>
    </cfRule>
  </conditionalFormatting>
  <conditionalFormatting sqref="D7:H11">
    <cfRule type="colorScale" priority="1">
      <colorScale>
        <cfvo type="num" val="-0.5"/>
        <cfvo type="num" val="0"/>
        <cfvo type="num" val="$H$11"/>
        <color rgb="FFF8696B"/>
        <color theme="0"/>
        <color rgb="FF63BE7B"/>
      </colorScale>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2:T394"/>
  <sheetViews>
    <sheetView showGridLines="0" zoomScale="70" zoomScaleNormal="100" workbookViewId="0">
      <selection activeCell="N5" sqref="N5:O11"/>
    </sheetView>
  </sheetViews>
  <sheetFormatPr defaultColWidth="8.875" defaultRowHeight="14.1"/>
  <cols>
    <col min="1" max="1" width="2.375" customWidth="1"/>
    <col min="2" max="2" width="18.125" customWidth="1"/>
    <col min="3" max="3" width="25.125" bestFit="1" customWidth="1"/>
    <col min="6" max="6" width="13.125" customWidth="1"/>
    <col min="7" max="8" width="11.125" style="26" hidden="1" customWidth="1"/>
    <col min="9" max="10" width="11.125" style="26" bestFit="1" customWidth="1"/>
    <col min="11" max="11" width="12" style="26" customWidth="1"/>
    <col min="12" max="13" width="11.625" style="26" customWidth="1"/>
    <col min="14" max="17" width="10.625" style="26" customWidth="1"/>
    <col min="18" max="18" width="21.625" style="6" customWidth="1"/>
  </cols>
  <sheetData>
    <row r="2" spans="1:18" s="41" customFormat="1" ht="20.100000000000001" customHeight="1">
      <c r="B2" s="40" t="s">
        <v>694</v>
      </c>
      <c r="G2" s="216"/>
      <c r="H2" s="216"/>
      <c r="I2" s="216"/>
      <c r="J2" s="216"/>
      <c r="K2" s="216"/>
      <c r="L2" s="216"/>
      <c r="M2" s="216"/>
      <c r="N2" s="216"/>
      <c r="O2" s="216"/>
      <c r="P2" s="216"/>
      <c r="Q2" s="216"/>
      <c r="R2" s="42"/>
    </row>
    <row r="3" spans="1:18" ht="14.45">
      <c r="B3" s="83" t="s">
        <v>695</v>
      </c>
      <c r="Q3" s="254"/>
    </row>
    <row r="4" spans="1:18" ht="15.6">
      <c r="A4" t="s">
        <v>472</v>
      </c>
      <c r="B4" s="217" t="s">
        <v>293</v>
      </c>
      <c r="C4" s="55"/>
      <c r="D4" s="55"/>
      <c r="E4" s="55"/>
      <c r="F4" s="55"/>
      <c r="G4" s="218">
        <v>2014</v>
      </c>
      <c r="H4" s="218">
        <f>+G4+1</f>
        <v>2015</v>
      </c>
      <c r="I4" s="218">
        <f t="shared" ref="I4:K4" si="0">+H4+1</f>
        <v>2016</v>
      </c>
      <c r="J4" s="218">
        <f t="shared" si="0"/>
        <v>2017</v>
      </c>
      <c r="K4" s="218">
        <f t="shared" si="0"/>
        <v>2018</v>
      </c>
      <c r="L4" s="750">
        <v>2019</v>
      </c>
      <c r="M4" s="218">
        <v>2020</v>
      </c>
      <c r="N4" s="218">
        <f>2021</f>
        <v>2021</v>
      </c>
      <c r="O4" s="218">
        <f>+N4+1</f>
        <v>2022</v>
      </c>
      <c r="P4" s="218">
        <f t="shared" ref="P4" si="1">+O4+1</f>
        <v>2023</v>
      </c>
      <c r="Q4" s="218">
        <f>+P4+1</f>
        <v>2024</v>
      </c>
      <c r="R4" s="57" t="str">
        <f>"CAGR "&amp;$G$4&amp;" - "&amp;$Q$4</f>
        <v>CAGR 2014 - 2024</v>
      </c>
    </row>
    <row r="5" spans="1:18" ht="3.95" customHeight="1">
      <c r="B5" s="52"/>
      <c r="C5" s="52"/>
      <c r="D5" s="52"/>
      <c r="E5" s="52"/>
      <c r="F5" s="52"/>
      <c r="G5" s="219"/>
      <c r="H5" s="219"/>
      <c r="I5" s="219"/>
      <c r="J5" s="219"/>
      <c r="K5" s="219"/>
      <c r="L5" s="219"/>
      <c r="M5" s="219"/>
      <c r="N5" s="219"/>
      <c r="O5" s="219"/>
      <c r="P5" s="219"/>
      <c r="Q5" s="219"/>
      <c r="R5" s="59"/>
    </row>
    <row r="6" spans="1:18">
      <c r="B6" s="1" t="s">
        <v>553</v>
      </c>
      <c r="G6" s="220"/>
      <c r="H6" s="220">
        <f>'Income - GAAP'!B6</f>
        <v>191.4</v>
      </c>
      <c r="I6" s="220">
        <f>'Income - GAAP'!C6</f>
        <v>229.6</v>
      </c>
      <c r="J6" s="220">
        <f>'Income - GAAP'!D6</f>
        <v>269.89999999999998</v>
      </c>
      <c r="K6" s="220">
        <f>'Income - GAAP'!E6</f>
        <v>267.39999999999998</v>
      </c>
      <c r="L6" s="220">
        <v>0</v>
      </c>
      <c r="M6" s="220">
        <f>'Income - GAAP'!F6</f>
        <v>282.89999999999998</v>
      </c>
      <c r="N6" s="220">
        <f>'Income - GAAP'!G6</f>
        <v>318.10000000000002</v>
      </c>
      <c r="O6" s="220">
        <f>'Income - GAAP'!H6</f>
        <v>392.2</v>
      </c>
      <c r="P6" s="220">
        <f>'Income - GAAP'!I6</f>
        <v>578.79999999999995</v>
      </c>
      <c r="Q6" s="220">
        <f>'Income - GAAP'!J6</f>
        <v>1023.9</v>
      </c>
      <c r="R6" s="641" t="str">
        <f t="shared" ref="R6:R26" si="2">IFERROR((Q6/G6)^(1/COUNT($G$4:$Q$4))-1,"")</f>
        <v/>
      </c>
    </row>
    <row r="7" spans="1:18">
      <c r="B7" t="s">
        <v>300</v>
      </c>
      <c r="G7" s="220"/>
      <c r="H7" s="220">
        <f>'Income - GAAP'!B8</f>
        <v>91.1</v>
      </c>
      <c r="I7" s="220">
        <f>'Income - GAAP'!C8</f>
        <v>97.3</v>
      </c>
      <c r="J7" s="220">
        <f>'Income - GAAP'!D8</f>
        <v>105.2</v>
      </c>
      <c r="K7" s="220">
        <f>'Income - GAAP'!E8</f>
        <v>104.7</v>
      </c>
      <c r="L7" s="220"/>
      <c r="M7" s="220">
        <f>'Income - GAAP'!F8</f>
        <v>101.7</v>
      </c>
      <c r="N7" s="220">
        <f>'Income - GAAP'!G8</f>
        <v>111.9</v>
      </c>
      <c r="O7" s="220">
        <f>'Income - GAAP'!H8</f>
        <v>140.4</v>
      </c>
      <c r="P7" s="220">
        <f>'Income - GAAP'!I8</f>
        <v>188.4</v>
      </c>
      <c r="Q7" s="220">
        <f>'Income - GAAP'!J8</f>
        <v>299.8</v>
      </c>
      <c r="R7" s="62" t="str">
        <f t="shared" si="2"/>
        <v/>
      </c>
    </row>
    <row r="8" spans="1:18">
      <c r="B8" s="1" t="s">
        <v>301</v>
      </c>
      <c r="G8" s="221">
        <f>G6-G7</f>
        <v>0</v>
      </c>
      <c r="H8" s="221">
        <f t="shared" ref="H8:Q8" si="3">H6-H7</f>
        <v>100.30000000000001</v>
      </c>
      <c r="I8" s="221">
        <f t="shared" si="3"/>
        <v>132.30000000000001</v>
      </c>
      <c r="J8" s="221">
        <f t="shared" si="3"/>
        <v>164.7</v>
      </c>
      <c r="K8" s="221">
        <f t="shared" si="3"/>
        <v>162.69999999999999</v>
      </c>
      <c r="L8" s="221">
        <f>L6-L7</f>
        <v>0</v>
      </c>
      <c r="M8" s="221">
        <f t="shared" si="3"/>
        <v>181.2</v>
      </c>
      <c r="N8" s="221">
        <f t="shared" si="3"/>
        <v>206.20000000000002</v>
      </c>
      <c r="O8" s="221">
        <f t="shared" si="3"/>
        <v>251.79999999999998</v>
      </c>
      <c r="P8" s="221">
        <f t="shared" si="3"/>
        <v>390.4</v>
      </c>
      <c r="Q8" s="221">
        <f t="shared" si="3"/>
        <v>724.09999999999991</v>
      </c>
      <c r="R8" s="65" t="str">
        <f t="shared" si="2"/>
        <v/>
      </c>
    </row>
    <row r="9" spans="1:18">
      <c r="B9" t="s">
        <v>556</v>
      </c>
      <c r="G9" s="220"/>
      <c r="H9" s="220">
        <f>'Income - GAAP'!B12</f>
        <v>74.8</v>
      </c>
      <c r="I9" s="220">
        <f>'Income - GAAP'!C12</f>
        <v>109.2</v>
      </c>
      <c r="J9" s="220">
        <f>'Income - GAAP'!D12</f>
        <v>131.4</v>
      </c>
      <c r="K9" s="220">
        <f>'Income - GAAP'!E12</f>
        <v>136.6</v>
      </c>
      <c r="L9" s="220"/>
      <c r="M9" s="220">
        <f>'Income - GAAP'!F13</f>
        <v>157.19999999999999</v>
      </c>
      <c r="N9" s="220">
        <f>'Income - GAAP'!G13</f>
        <v>194.2</v>
      </c>
      <c r="O9" s="220">
        <f>'Income - GAAP'!H13</f>
        <v>221.9</v>
      </c>
      <c r="P9" s="220">
        <f>'Income - GAAP'!I13</f>
        <v>322.3</v>
      </c>
      <c r="Q9" s="220">
        <f>'Income - GAAP'!J13</f>
        <v>574.4</v>
      </c>
      <c r="R9" s="62" t="str">
        <f t="shared" si="2"/>
        <v/>
      </c>
    </row>
    <row r="10" spans="1:18">
      <c r="B10" t="s">
        <v>308</v>
      </c>
      <c r="G10" s="220"/>
      <c r="H10" s="220">
        <v>0</v>
      </c>
      <c r="I10" s="220">
        <v>0</v>
      </c>
      <c r="J10" s="220">
        <v>0</v>
      </c>
      <c r="K10" s="220">
        <v>0</v>
      </c>
      <c r="L10" s="220"/>
      <c r="M10" s="220">
        <v>0</v>
      </c>
      <c r="N10" s="220">
        <v>0</v>
      </c>
      <c r="O10" s="220">
        <v>0</v>
      </c>
      <c r="P10" s="220">
        <v>0</v>
      </c>
      <c r="Q10" s="220">
        <v>0</v>
      </c>
      <c r="R10" s="62" t="str">
        <f t="shared" si="2"/>
        <v/>
      </c>
    </row>
    <row r="11" spans="1:18">
      <c r="B11" t="s">
        <v>557</v>
      </c>
      <c r="G11" s="220"/>
      <c r="H11" s="220">
        <v>0</v>
      </c>
      <c r="I11" s="220">
        <v>0</v>
      </c>
      <c r="J11" s="220">
        <v>0</v>
      </c>
      <c r="K11" s="220">
        <v>0</v>
      </c>
      <c r="L11" s="220"/>
      <c r="M11" s="220">
        <f>'Income - GAAP'!F15</f>
        <v>-6</v>
      </c>
      <c r="N11" s="220">
        <f>'Income - GAAP'!G15</f>
        <v>2.6</v>
      </c>
      <c r="O11" s="220">
        <f>'Income - GAAP'!H15</f>
        <v>0.5</v>
      </c>
      <c r="P11" s="220">
        <f>'Income - GAAP'!I15</f>
        <v>0</v>
      </c>
      <c r="Q11" s="220">
        <f>'Income - GAAP'!J15</f>
        <v>0</v>
      </c>
      <c r="R11" s="62" t="str">
        <f t="shared" si="2"/>
        <v/>
      </c>
    </row>
    <row r="12" spans="1:18">
      <c r="B12" s="1" t="s">
        <v>245</v>
      </c>
      <c r="G12" s="222">
        <f>+G8-G9-G10-G11</f>
        <v>0</v>
      </c>
      <c r="H12" s="222">
        <f t="shared" ref="H12:Q12" si="4">+H8-H9-H10-H11</f>
        <v>25.500000000000014</v>
      </c>
      <c r="I12" s="222">
        <f t="shared" si="4"/>
        <v>23.100000000000009</v>
      </c>
      <c r="J12" s="222">
        <f t="shared" si="4"/>
        <v>33.299999999999983</v>
      </c>
      <c r="K12" s="222">
        <f t="shared" si="4"/>
        <v>26.099999999999994</v>
      </c>
      <c r="L12" s="222">
        <f>+L8-L9-L10-L11</f>
        <v>0</v>
      </c>
      <c r="M12" s="222">
        <f t="shared" si="4"/>
        <v>30</v>
      </c>
      <c r="N12" s="222">
        <f t="shared" si="4"/>
        <v>9.4000000000000288</v>
      </c>
      <c r="O12" s="222">
        <f t="shared" si="4"/>
        <v>29.399999999999977</v>
      </c>
      <c r="P12" s="222">
        <f t="shared" si="4"/>
        <v>68.099999999999966</v>
      </c>
      <c r="Q12" s="222">
        <f t="shared" si="4"/>
        <v>149.69999999999993</v>
      </c>
      <c r="R12" s="65" t="str">
        <f t="shared" si="2"/>
        <v/>
      </c>
    </row>
    <row r="13" spans="1:18">
      <c r="B13" t="s">
        <v>558</v>
      </c>
      <c r="G13" s="236">
        <f>+SUM(G14:G15)</f>
        <v>0</v>
      </c>
      <c r="H13" s="236"/>
      <c r="I13" s="236">
        <f>'Cash Flow - Standardized'!B8</f>
        <v>13.2</v>
      </c>
      <c r="J13" s="236">
        <f>'Cash Flow - Standardized'!C8</f>
        <v>14.5</v>
      </c>
      <c r="K13" s="236">
        <f>'Cash Flow - Standardized'!D8</f>
        <v>17.899999999999999</v>
      </c>
      <c r="L13" s="236"/>
      <c r="M13" s="236">
        <f>'Cash Flow - Standardized'!E8</f>
        <v>22.8</v>
      </c>
      <c r="N13" s="236">
        <f>'Cash Flow - Standardized'!F8</f>
        <v>25.2</v>
      </c>
      <c r="O13" s="236">
        <f>'Cash Flow - Standardized'!G8</f>
        <v>27.1</v>
      </c>
      <c r="P13" s="236">
        <f>'Cash Flow - Standardized'!H8</f>
        <v>22.2</v>
      </c>
      <c r="Q13" s="236">
        <f>'Cash Flow - Standardized'!I8</f>
        <v>35.9</v>
      </c>
      <c r="R13" s="62" t="str">
        <f t="shared" si="2"/>
        <v/>
      </c>
    </row>
    <row r="14" spans="1:18" ht="14.45">
      <c r="B14" s="257" t="s">
        <v>560</v>
      </c>
      <c r="G14" s="258"/>
      <c r="H14" s="258"/>
      <c r="I14" s="258"/>
      <c r="J14" s="258"/>
      <c r="K14" s="258"/>
      <c r="L14" s="258"/>
      <c r="M14" s="258"/>
      <c r="N14" s="258"/>
      <c r="O14" s="258"/>
      <c r="P14" s="258"/>
      <c r="Q14" s="258"/>
      <c r="R14" s="62" t="str">
        <f t="shared" si="2"/>
        <v/>
      </c>
    </row>
    <row r="15" spans="1:18" ht="14.45">
      <c r="B15" s="257" t="s">
        <v>562</v>
      </c>
      <c r="G15" s="274"/>
      <c r="H15" s="274"/>
      <c r="I15" s="258"/>
      <c r="J15" s="258"/>
      <c r="K15" s="258"/>
      <c r="L15" s="258"/>
      <c r="M15" s="258"/>
      <c r="N15" s="258"/>
      <c r="O15" s="258"/>
      <c r="P15" s="258"/>
      <c r="Q15" s="258"/>
      <c r="R15" s="62" t="str">
        <f t="shared" si="2"/>
        <v/>
      </c>
    </row>
    <row r="16" spans="1:18">
      <c r="B16" s="752" t="s">
        <v>302</v>
      </c>
      <c r="G16" s="222">
        <f>+G12-G13</f>
        <v>0</v>
      </c>
      <c r="H16" s="222">
        <f t="shared" ref="H16" si="5">+H12</f>
        <v>25.500000000000014</v>
      </c>
      <c r="I16" s="222">
        <f t="shared" ref="I16:Q16" si="6">I12-I13</f>
        <v>9.9000000000000092</v>
      </c>
      <c r="J16" s="222">
        <f t="shared" si="6"/>
        <v>18.799999999999983</v>
      </c>
      <c r="K16" s="222">
        <f t="shared" si="6"/>
        <v>8.1999999999999957</v>
      </c>
      <c r="L16" s="222">
        <f t="shared" si="6"/>
        <v>0</v>
      </c>
      <c r="M16" s="222">
        <f t="shared" si="6"/>
        <v>7.1999999999999993</v>
      </c>
      <c r="N16" s="222">
        <f t="shared" si="6"/>
        <v>-15.799999999999971</v>
      </c>
      <c r="O16" s="222">
        <f t="shared" si="6"/>
        <v>2.2999999999999758</v>
      </c>
      <c r="P16" s="222">
        <f t="shared" si="6"/>
        <v>45.899999999999963</v>
      </c>
      <c r="Q16" s="222">
        <f t="shared" si="6"/>
        <v>113.79999999999993</v>
      </c>
      <c r="R16" s="65" t="str">
        <f t="shared" si="2"/>
        <v/>
      </c>
    </row>
    <row r="17" spans="1:18">
      <c r="B17" t="s">
        <v>303</v>
      </c>
      <c r="G17" s="236">
        <f>+G18-G19</f>
        <v>0</v>
      </c>
      <c r="H17" s="236">
        <f t="shared" ref="H17:Q17" si="7">+H18-H19</f>
        <v>0</v>
      </c>
      <c r="I17" s="236">
        <f t="shared" si="7"/>
        <v>16.3</v>
      </c>
      <c r="J17" s="236">
        <f t="shared" si="7"/>
        <v>8.8000000000000007</v>
      </c>
      <c r="K17" s="236">
        <f t="shared" si="7"/>
        <v>7.8</v>
      </c>
      <c r="L17" s="236">
        <f t="shared" si="7"/>
        <v>0</v>
      </c>
      <c r="M17" s="236">
        <f t="shared" si="7"/>
        <v>6.3</v>
      </c>
      <c r="N17" s="236">
        <f t="shared" si="7"/>
        <v>4.0999999999999996</v>
      </c>
      <c r="O17" s="236">
        <f t="shared" si="7"/>
        <v>2.4</v>
      </c>
      <c r="P17" s="236">
        <f t="shared" si="7"/>
        <v>2</v>
      </c>
      <c r="Q17" s="236">
        <f t="shared" si="7"/>
        <v>7</v>
      </c>
      <c r="R17" s="62" t="str">
        <f t="shared" si="2"/>
        <v/>
      </c>
    </row>
    <row r="18" spans="1:18" ht="14.45">
      <c r="B18" s="257" t="s">
        <v>565</v>
      </c>
      <c r="C18" s="83"/>
      <c r="D18" s="83"/>
      <c r="E18" s="83"/>
      <c r="G18" s="258"/>
      <c r="H18" s="258"/>
      <c r="I18" s="258">
        <f>'Income - GAAP'!C19</f>
        <v>16.3</v>
      </c>
      <c r="J18" s="258">
        <f>'Income - GAAP'!D19</f>
        <v>8.8000000000000007</v>
      </c>
      <c r="K18" s="258">
        <f>'Income - GAAP'!E19</f>
        <v>7.8</v>
      </c>
      <c r="L18" s="258"/>
      <c r="M18" s="258">
        <f>'Income - GAAP'!F19</f>
        <v>6.3</v>
      </c>
      <c r="N18" s="258">
        <f>'Income - GAAP'!G19</f>
        <v>4.0999999999999996</v>
      </c>
      <c r="O18" s="258">
        <f>'Income - GAAP'!H19</f>
        <v>2.4</v>
      </c>
      <c r="P18" s="258">
        <f>'Income - GAAP'!I19</f>
        <v>2</v>
      </c>
      <c r="Q18" s="258">
        <f>'Income - GAAP'!J19</f>
        <v>7</v>
      </c>
      <c r="R18" s="62" t="str">
        <f t="shared" si="2"/>
        <v/>
      </c>
    </row>
    <row r="19" spans="1:18" ht="14.45">
      <c r="B19" s="257" t="s">
        <v>567</v>
      </c>
      <c r="C19" s="83"/>
      <c r="D19" s="83"/>
      <c r="E19" s="83"/>
      <c r="G19" s="258"/>
      <c r="H19" s="258">
        <f>'Income - GAAP'!C20</f>
        <v>0</v>
      </c>
      <c r="I19" s="258">
        <f>'Income - GAAP'!D20</f>
        <v>0</v>
      </c>
      <c r="J19" s="258">
        <f>'Income - GAAP'!E20</f>
        <v>0</v>
      </c>
      <c r="K19" s="258">
        <f>'Income - GAAP'!F20</f>
        <v>0</v>
      </c>
      <c r="L19" s="258"/>
      <c r="M19" s="258">
        <f>'Income - GAAP'!H20</f>
        <v>0</v>
      </c>
      <c r="N19" s="258">
        <f>'Income - GAAP'!I20</f>
        <v>0</v>
      </c>
      <c r="O19" s="258">
        <f>'Income - GAAP'!J20</f>
        <v>0</v>
      </c>
      <c r="P19" s="258">
        <f>'Income - GAAP'!K20</f>
        <v>0</v>
      </c>
      <c r="Q19" s="258">
        <f>'Income - GAAP'!L20</f>
        <v>0</v>
      </c>
      <c r="R19" s="62" t="str">
        <f t="shared" si="2"/>
        <v/>
      </c>
    </row>
    <row r="20" spans="1:18">
      <c r="B20" t="s">
        <v>569</v>
      </c>
      <c r="G20" s="220"/>
      <c r="H20" s="220">
        <f>'Income - GAAP'!B21</f>
        <v>0</v>
      </c>
      <c r="I20" s="220">
        <f>'Income - GAAP'!C21</f>
        <v>0</v>
      </c>
      <c r="J20" s="220">
        <f>'Income - GAAP'!D21</f>
        <v>0</v>
      </c>
      <c r="K20" s="220">
        <f>'Income - GAAP'!E21</f>
        <v>0</v>
      </c>
      <c r="L20" s="220"/>
      <c r="M20" s="220">
        <f>'Income - GAAP'!G21</f>
        <v>0</v>
      </c>
      <c r="N20" s="220">
        <f>'Income - GAAP'!H21</f>
        <v>0</v>
      </c>
      <c r="O20" s="220">
        <f>'Income - GAAP'!I21</f>
        <v>0</v>
      </c>
      <c r="P20" s="220">
        <f>'Income - GAAP'!J21</f>
        <v>0</v>
      </c>
      <c r="Q20" s="220">
        <v>0</v>
      </c>
      <c r="R20" s="62" t="str">
        <f t="shared" si="2"/>
        <v/>
      </c>
    </row>
    <row r="21" spans="1:18">
      <c r="B21" t="s">
        <v>570</v>
      </c>
      <c r="G21" s="220"/>
      <c r="H21" s="220"/>
      <c r="I21" s="220">
        <f>'Income - GAAP'!C22</f>
        <v>-3</v>
      </c>
      <c r="J21" s="220">
        <f>'Income - GAAP'!D22</f>
        <v>2</v>
      </c>
      <c r="K21" s="220">
        <f>'Income - GAAP'!E22</f>
        <v>0.4</v>
      </c>
      <c r="L21" s="220"/>
      <c r="M21" s="220">
        <f>'Income - GAAP'!F22</f>
        <v>-0.4</v>
      </c>
      <c r="N21" s="220">
        <f>'Income - GAAP'!G22</f>
        <v>1.6</v>
      </c>
      <c r="O21" s="220">
        <f>'Income - GAAP'!H22</f>
        <v>1.4</v>
      </c>
      <c r="P21" s="220">
        <f>'Income - GAAP'!I22</f>
        <v>2.1</v>
      </c>
      <c r="Q21" s="220">
        <f>'Income - GAAP'!J22</f>
        <v>1.7</v>
      </c>
      <c r="R21" s="62" t="str">
        <f t="shared" si="2"/>
        <v/>
      </c>
    </row>
    <row r="22" spans="1:18">
      <c r="B22" s="1" t="s">
        <v>304</v>
      </c>
      <c r="D22" s="1"/>
      <c r="E22" s="1"/>
      <c r="G22" s="477">
        <f>+G16-G17-G20-G21</f>
        <v>0</v>
      </c>
      <c r="H22" s="477">
        <f t="shared" ref="H22:P22" si="8">+H16-H17-H20-H21</f>
        <v>25.500000000000014</v>
      </c>
      <c r="I22" s="477">
        <f>+I16-I17-I20-I21</f>
        <v>-3.3999999999999915</v>
      </c>
      <c r="J22" s="477">
        <f t="shared" si="8"/>
        <v>7.9999999999999822</v>
      </c>
      <c r="K22" s="477">
        <f t="shared" si="8"/>
        <v>-4.1078251911130792E-15</v>
      </c>
      <c r="L22" s="477">
        <f t="shared" si="8"/>
        <v>0</v>
      </c>
      <c r="M22" s="477">
        <f t="shared" si="8"/>
        <v>1.2999999999999994</v>
      </c>
      <c r="N22" s="477">
        <f t="shared" si="8"/>
        <v>-21.499999999999972</v>
      </c>
      <c r="O22" s="477">
        <f t="shared" si="8"/>
        <v>-1.500000000000024</v>
      </c>
      <c r="P22" s="477">
        <f t="shared" si="8"/>
        <v>41.799999999999962</v>
      </c>
      <c r="Q22" s="477">
        <f>+Q16-Q17-Q20-Q21</f>
        <v>105.09999999999992</v>
      </c>
      <c r="R22" s="65" t="str">
        <f t="shared" si="2"/>
        <v/>
      </c>
    </row>
    <row r="23" spans="1:18">
      <c r="B23" t="s">
        <v>305</v>
      </c>
      <c r="G23" s="220"/>
      <c r="H23" s="220"/>
      <c r="I23" s="220">
        <f>'Income - GAAP'!C24</f>
        <v>4.5</v>
      </c>
      <c r="J23" s="220">
        <f>'Income - GAAP'!D24</f>
        <v>-11</v>
      </c>
      <c r="K23" s="220">
        <f>'Income - GAAP'!E24</f>
        <v>2.4</v>
      </c>
      <c r="L23" s="220"/>
      <c r="M23" s="220">
        <f>'Income - GAAP'!F24</f>
        <v>6.2</v>
      </c>
      <c r="N23" s="220">
        <f>'Income - GAAP'!G24</f>
        <v>-2.5</v>
      </c>
      <c r="O23" s="220">
        <f>'Income - GAAP'!H24</f>
        <v>3.7</v>
      </c>
      <c r="P23" s="220">
        <f>'Income - GAAP'!I24</f>
        <v>2.5</v>
      </c>
      <c r="Q23" s="220">
        <f>'Income - GAAP'!J24</f>
        <v>13.3</v>
      </c>
      <c r="R23" s="62" t="str">
        <f t="shared" si="2"/>
        <v/>
      </c>
    </row>
    <row r="24" spans="1:18">
      <c r="B24" s="752" t="s">
        <v>306</v>
      </c>
      <c r="G24" s="222">
        <f t="shared" ref="G24:H24" si="9">+G22-G23</f>
        <v>0</v>
      </c>
      <c r="H24" s="222">
        <f t="shared" si="9"/>
        <v>25.500000000000014</v>
      </c>
      <c r="I24" s="222">
        <f t="shared" ref="I24:Q24" si="10">+I22-I23+I13</f>
        <v>5.3000000000000078</v>
      </c>
      <c r="J24" s="222">
        <f t="shared" si="10"/>
        <v>33.499999999999986</v>
      </c>
      <c r="K24" s="222">
        <f t="shared" si="10"/>
        <v>15.499999999999995</v>
      </c>
      <c r="L24" s="222">
        <f t="shared" si="10"/>
        <v>0</v>
      </c>
      <c r="M24" s="222">
        <f t="shared" si="10"/>
        <v>17.899999999999999</v>
      </c>
      <c r="N24" s="222">
        <f t="shared" si="10"/>
        <v>6.2000000000000277</v>
      </c>
      <c r="O24" s="222">
        <f t="shared" si="10"/>
        <v>21.899999999999977</v>
      </c>
      <c r="P24" s="222">
        <f t="shared" si="10"/>
        <v>61.499999999999957</v>
      </c>
      <c r="Q24" s="222">
        <f t="shared" si="10"/>
        <v>127.69999999999993</v>
      </c>
      <c r="R24" s="65" t="str">
        <f t="shared" si="2"/>
        <v/>
      </c>
    </row>
    <row r="25" spans="1:18">
      <c r="B25" s="1" t="s">
        <v>307</v>
      </c>
      <c r="G25" s="223"/>
      <c r="H25" s="223"/>
      <c r="I25" s="223">
        <f>'Income - GAAP'!C43</f>
        <v>-39.47</v>
      </c>
      <c r="J25" s="223">
        <f>'Income - GAAP'!D43</f>
        <v>0.74</v>
      </c>
      <c r="K25" s="223">
        <f>'Income - GAAP'!E43</f>
        <v>0.33</v>
      </c>
      <c r="L25" s="223"/>
      <c r="M25" s="223">
        <f>'Income - Adjusted'!F50</f>
        <v>0.37</v>
      </c>
      <c r="N25" s="223">
        <f>'Income - Adjusted'!G50</f>
        <v>0.13</v>
      </c>
      <c r="O25" s="223">
        <f>'Income - Adjusted'!H50</f>
        <v>0.43</v>
      </c>
      <c r="P25" s="223">
        <f>'Income - Adjusted'!I50</f>
        <v>1.17</v>
      </c>
      <c r="Q25" s="223">
        <f>'Income - Adjusted'!J50</f>
        <v>2.33</v>
      </c>
      <c r="R25" s="65" t="str">
        <f t="shared" si="2"/>
        <v/>
      </c>
    </row>
    <row r="26" spans="1:18">
      <c r="B26" s="1" t="s">
        <v>696</v>
      </c>
      <c r="G26" s="223"/>
      <c r="H26" s="223"/>
      <c r="I26" s="223">
        <f>'Income - GAAP'!C48</f>
        <v>-39.47</v>
      </c>
      <c r="J26" s="223">
        <f>'Income - GAAP'!D48</f>
        <v>0.68</v>
      </c>
      <c r="K26" s="223">
        <f>'Income - GAAP'!E48</f>
        <v>0.32</v>
      </c>
      <c r="L26" s="223"/>
      <c r="M26" s="223">
        <f>'Income - GAAP'!F48</f>
        <v>0.35</v>
      </c>
      <c r="N26" s="223">
        <f>'Income - GAAP'!G48</f>
        <v>0.12</v>
      </c>
      <c r="O26" s="223">
        <f>'Income - GAAP'!H48</f>
        <v>0.41</v>
      </c>
      <c r="P26" s="223">
        <f>'Income - GAAP'!I48</f>
        <v>1.1100000000000001</v>
      </c>
      <c r="Q26" s="223">
        <f>'Income - GAAP'!J48</f>
        <v>2.21</v>
      </c>
      <c r="R26" s="65" t="str">
        <f t="shared" si="2"/>
        <v/>
      </c>
    </row>
    <row r="27" spans="1:18">
      <c r="B27" t="s">
        <v>697</v>
      </c>
      <c r="G27" s="220"/>
      <c r="H27" s="220"/>
      <c r="I27" s="220">
        <f>'Income - GAAP'!C42</f>
        <v>12.6</v>
      </c>
      <c r="J27" s="220">
        <f>'Income - GAAP'!D42</f>
        <v>45.4</v>
      </c>
      <c r="K27" s="220">
        <f>'Income - GAAP'!E42</f>
        <v>46.8</v>
      </c>
      <c r="L27" s="220"/>
      <c r="M27" s="220">
        <f>'Income - GAAP'!F42</f>
        <v>48.5</v>
      </c>
      <c r="N27" s="220">
        <f>'Income - GAAP'!G42</f>
        <v>49.4</v>
      </c>
      <c r="O27" s="220">
        <f>'Income - GAAP'!H42</f>
        <v>50.9</v>
      </c>
      <c r="P27" s="220">
        <f>'Income - GAAP'!I42</f>
        <v>52.5</v>
      </c>
      <c r="Q27" s="220">
        <f>'Income - GAAP'!J42</f>
        <v>54.7</v>
      </c>
      <c r="R27" s="62" t="s">
        <v>433</v>
      </c>
    </row>
    <row r="28" spans="1:18">
      <c r="B28" t="s">
        <v>698</v>
      </c>
      <c r="G28" s="220"/>
      <c r="H28" s="220"/>
      <c r="I28" s="220">
        <f>'Income - GAAP'!C47</f>
        <v>12.6</v>
      </c>
      <c r="J28" s="220">
        <f>'Income - GAAP'!D47</f>
        <v>49.4</v>
      </c>
      <c r="K28" s="220">
        <f>'Income - GAAP'!E47</f>
        <v>49.3</v>
      </c>
      <c r="L28" s="220"/>
      <c r="M28" s="220">
        <f>'Income - GAAP'!F47</f>
        <v>50.8</v>
      </c>
      <c r="N28" s="220">
        <f>'Income - GAAP'!G47</f>
        <v>52</v>
      </c>
      <c r="O28" s="220">
        <f>'Income - GAAP'!H47</f>
        <v>53.7</v>
      </c>
      <c r="P28" s="220">
        <f>'Income - GAAP'!I47</f>
        <v>55.3</v>
      </c>
      <c r="Q28" s="220">
        <f>'Income - GAAP'!J47</f>
        <v>57.8</v>
      </c>
      <c r="R28" s="62" t="str">
        <f>IFERROR((Q28/G28)^(1/COUNT($G$4:$Q$4))-1,"")</f>
        <v/>
      </c>
    </row>
    <row r="29" spans="1:18" ht="3.95" customHeight="1"/>
    <row r="30" spans="1:18" ht="15.6">
      <c r="A30" t="s">
        <v>472</v>
      </c>
      <c r="B30" s="51" t="s">
        <v>310</v>
      </c>
      <c r="C30" s="55"/>
      <c r="D30" s="55"/>
      <c r="E30" s="55"/>
      <c r="F30" s="55"/>
      <c r="G30" s="218">
        <v>2014</v>
      </c>
      <c r="H30" s="218">
        <f t="shared" ref="H30:K30" si="11">H4</f>
        <v>2015</v>
      </c>
      <c r="I30" s="218">
        <f t="shared" si="11"/>
        <v>2016</v>
      </c>
      <c r="J30" s="218">
        <f t="shared" si="11"/>
        <v>2017</v>
      </c>
      <c r="K30" s="218">
        <f t="shared" si="11"/>
        <v>2018</v>
      </c>
      <c r="L30" s="750">
        <f t="shared" ref="L30:Q30" si="12">L4</f>
        <v>2019</v>
      </c>
      <c r="M30" s="218">
        <f t="shared" si="12"/>
        <v>2020</v>
      </c>
      <c r="N30" s="218">
        <f t="shared" si="12"/>
        <v>2021</v>
      </c>
      <c r="O30" s="218">
        <f t="shared" si="12"/>
        <v>2022</v>
      </c>
      <c r="P30" s="218">
        <f t="shared" si="12"/>
        <v>2023</v>
      </c>
      <c r="Q30" s="218">
        <f t="shared" si="12"/>
        <v>2024</v>
      </c>
      <c r="R30" s="57" t="str">
        <f>"CAGR "&amp;$G$4&amp;" - "&amp;$Q$4</f>
        <v>CAGR 2014 - 2024</v>
      </c>
    </row>
    <row r="31" spans="1:18" s="88" customFormat="1" ht="3.95" customHeight="1">
      <c r="B31" s="224"/>
      <c r="C31" s="224"/>
      <c r="D31" s="224"/>
      <c r="E31" s="224"/>
      <c r="F31" s="224"/>
      <c r="G31" s="225"/>
      <c r="H31" s="225"/>
      <c r="I31" s="225"/>
      <c r="J31" s="225"/>
      <c r="K31" s="225"/>
      <c r="L31" s="225"/>
      <c r="M31" s="225"/>
      <c r="N31" s="225"/>
      <c r="O31" s="225"/>
      <c r="P31" s="225"/>
      <c r="Q31" s="225"/>
      <c r="R31" s="59"/>
    </row>
    <row r="32" spans="1:18">
      <c r="B32" t="s">
        <v>573</v>
      </c>
      <c r="G32" s="229">
        <f>+SUM(G33:G34)</f>
        <v>0</v>
      </c>
      <c r="H32" s="229">
        <f t="shared" ref="H32:Q32" si="13">+SUM(H33:H34)</f>
        <v>14</v>
      </c>
      <c r="I32" s="229">
        <f t="shared" si="13"/>
        <v>15.3</v>
      </c>
      <c r="J32" s="229">
        <f t="shared" si="13"/>
        <v>10.1</v>
      </c>
      <c r="K32" s="229">
        <f t="shared" si="13"/>
        <v>51.2</v>
      </c>
      <c r="L32" s="229">
        <f t="shared" si="13"/>
        <v>53.9</v>
      </c>
      <c r="M32" s="229">
        <f t="shared" si="13"/>
        <v>46.2</v>
      </c>
      <c r="N32" s="229">
        <f t="shared" si="13"/>
        <v>57.8</v>
      </c>
      <c r="O32" s="229">
        <f t="shared" si="13"/>
        <v>43.4</v>
      </c>
      <c r="P32" s="229">
        <f t="shared" si="13"/>
        <v>120.8</v>
      </c>
      <c r="Q32" s="229">
        <f t="shared" si="13"/>
        <v>108.2</v>
      </c>
      <c r="R32" s="62" t="str">
        <f t="shared" ref="R32:R44" si="14">IFERROR((Q32/G32)^(1/COUNT($G$4:$Q$4))-1,"")</f>
        <v/>
      </c>
    </row>
    <row r="33" spans="2:20" ht="14.45">
      <c r="B33" s="257" t="s">
        <v>311</v>
      </c>
      <c r="C33" s="83"/>
      <c r="D33" s="83"/>
      <c r="E33" s="83"/>
      <c r="G33" s="258"/>
      <c r="H33" s="258">
        <f>'Bal Sheet - Standardized'!B8</f>
        <v>14</v>
      </c>
      <c r="I33" s="258">
        <f>'Bal Sheet - Standardized'!C8</f>
        <v>15.3</v>
      </c>
      <c r="J33" s="258">
        <f>'Bal Sheet - Standardized'!D8</f>
        <v>10.1</v>
      </c>
      <c r="K33" s="258">
        <f>'Bal Sheet - Standardized'!E8</f>
        <v>51.2</v>
      </c>
      <c r="L33" s="258">
        <f>'Bal Sheet - Standardized'!F8</f>
        <v>53.9</v>
      </c>
      <c r="M33" s="258">
        <f>'Bal Sheet - Standardized'!G8</f>
        <v>46.2</v>
      </c>
      <c r="N33" s="258">
        <f>'Bal Sheet - Standardized'!H8</f>
        <v>57.8</v>
      </c>
      <c r="O33" s="258">
        <f>'Bal Sheet - Standardized'!I8</f>
        <v>43.4</v>
      </c>
      <c r="P33" s="258">
        <f>'Bal Sheet - Standardized'!J8</f>
        <v>120.8</v>
      </c>
      <c r="Q33" s="258">
        <f>'Bal Sheet - Standardized'!K8</f>
        <v>108.2</v>
      </c>
      <c r="R33" s="62" t="str">
        <f t="shared" si="14"/>
        <v/>
      </c>
    </row>
    <row r="34" spans="2:20" ht="14.45">
      <c r="B34" s="257" t="s">
        <v>699</v>
      </c>
      <c r="C34" s="83"/>
      <c r="D34" s="83"/>
      <c r="E34" s="83"/>
      <c r="G34" s="258"/>
      <c r="H34" s="258">
        <f>'Bal Sheet - Standardized'!B9</f>
        <v>0</v>
      </c>
      <c r="I34" s="258">
        <f>'Bal Sheet - Standardized'!C9</f>
        <v>0</v>
      </c>
      <c r="J34" s="258">
        <f>'Bal Sheet - Standardized'!D9</f>
        <v>0</v>
      </c>
      <c r="K34" s="258">
        <f>'Bal Sheet - Standardized'!E9</f>
        <v>0</v>
      </c>
      <c r="L34" s="258">
        <f>'Bal Sheet - Standardized'!F9</f>
        <v>0</v>
      </c>
      <c r="M34" s="258">
        <f>'Bal Sheet - Standardized'!G9</f>
        <v>0</v>
      </c>
      <c r="N34" s="258">
        <f>'Bal Sheet - Standardized'!H9</f>
        <v>0</v>
      </c>
      <c r="O34" s="258">
        <f>'Bal Sheet - Standardized'!I9</f>
        <v>0</v>
      </c>
      <c r="P34" s="258">
        <f>'Bal Sheet - Standardized'!J9</f>
        <v>0</v>
      </c>
      <c r="Q34" s="258">
        <f>'Bal Sheet - Standardized'!K9</f>
        <v>0</v>
      </c>
      <c r="R34" s="62" t="str">
        <f t="shared" si="14"/>
        <v/>
      </c>
    </row>
    <row r="35" spans="2:20">
      <c r="B35" t="s">
        <v>312</v>
      </c>
      <c r="G35" s="220"/>
      <c r="H35" s="220">
        <f>'Bal Sheet - Standardized'!B11</f>
        <v>22.5</v>
      </c>
      <c r="I35" s="220">
        <f>'Bal Sheet - Standardized'!C11</f>
        <v>37.799999999999997</v>
      </c>
      <c r="J35" s="220">
        <f>'Bal Sheet - Standardized'!D11</f>
        <v>44.6</v>
      </c>
      <c r="K35" s="220">
        <f>'Bal Sheet - Standardized'!E11</f>
        <v>36.700000000000003</v>
      </c>
      <c r="L35" s="220">
        <f>'Bal Sheet - Standardized'!F11</f>
        <v>32.299999999999997</v>
      </c>
      <c r="M35" s="220">
        <f>'Bal Sheet - Standardized'!G11</f>
        <v>29.7</v>
      </c>
      <c r="N35" s="220">
        <f>'Bal Sheet - Standardized'!H11</f>
        <v>40.200000000000003</v>
      </c>
      <c r="O35" s="220">
        <f>'Bal Sheet - Standardized'!I11</f>
        <v>45.6</v>
      </c>
      <c r="P35" s="220">
        <f>'Bal Sheet - Standardized'!J11</f>
        <v>67.900000000000006</v>
      </c>
      <c r="Q35" s="220">
        <f>'Bal Sheet - Standardized'!K11</f>
        <v>123.8</v>
      </c>
      <c r="R35" s="62" t="str">
        <f t="shared" si="14"/>
        <v/>
      </c>
    </row>
    <row r="36" spans="2:20">
      <c r="B36" t="s">
        <v>575</v>
      </c>
      <c r="G36" s="220"/>
      <c r="H36" s="220">
        <f>'Bal Sheet - Standardized'!B13</f>
        <v>31.3</v>
      </c>
      <c r="I36" s="220">
        <f>'Bal Sheet - Standardized'!C13</f>
        <v>69.400000000000006</v>
      </c>
      <c r="J36" s="220">
        <f>'Bal Sheet - Standardized'!D13</f>
        <v>62.7</v>
      </c>
      <c r="K36" s="220">
        <f>'Bal Sheet - Standardized'!E13</f>
        <v>46.3</v>
      </c>
      <c r="L36" s="220">
        <f>'Bal Sheet - Standardized'!F13</f>
        <v>43.8</v>
      </c>
      <c r="M36" s="220">
        <f>'Bal Sheet - Standardized'!G13</f>
        <v>46.2</v>
      </c>
      <c r="N36" s="220">
        <f>'Bal Sheet - Standardized'!H13</f>
        <v>56.8</v>
      </c>
      <c r="O36" s="220">
        <f>'Bal Sheet - Standardized'!I13</f>
        <v>84.5</v>
      </c>
      <c r="P36" s="220">
        <f>'Bal Sheet - Standardized'!J13</f>
        <v>81.3</v>
      </c>
      <c r="Q36" s="220">
        <f>'Bal Sheet - Standardized'!K13</f>
        <v>191.5</v>
      </c>
      <c r="R36" s="62" t="str">
        <f t="shared" si="14"/>
        <v/>
      </c>
    </row>
    <row r="37" spans="2:20">
      <c r="B37" s="38" t="s">
        <v>577</v>
      </c>
      <c r="C37" s="38"/>
      <c r="D37" s="38"/>
      <c r="E37" s="38"/>
      <c r="G37" s="226">
        <f t="shared" ref="G37:Q37" si="15">+G38-G32-G35-G36</f>
        <v>0</v>
      </c>
      <c r="H37" s="226">
        <f t="shared" si="15"/>
        <v>2.9000000000000021</v>
      </c>
      <c r="I37" s="226">
        <f t="shared" si="15"/>
        <v>2.4000000000000057</v>
      </c>
      <c r="J37" s="226">
        <f t="shared" si="15"/>
        <v>6.2000000000000028</v>
      </c>
      <c r="K37" s="226">
        <f t="shared" si="15"/>
        <v>7.4999999999999858</v>
      </c>
      <c r="L37" s="226">
        <f t="shared" si="15"/>
        <v>7.3000000000000114</v>
      </c>
      <c r="M37" s="226">
        <f t="shared" si="15"/>
        <v>10.299999999999997</v>
      </c>
      <c r="N37" s="226">
        <f t="shared" si="15"/>
        <v>15.299999999999997</v>
      </c>
      <c r="O37" s="226">
        <f t="shared" si="15"/>
        <v>19.5</v>
      </c>
      <c r="P37" s="226">
        <f t="shared" si="15"/>
        <v>33.299999999999997</v>
      </c>
      <c r="Q37" s="226">
        <f t="shared" si="15"/>
        <v>53.600000000000023</v>
      </c>
      <c r="R37" s="227" t="str">
        <f t="shared" si="14"/>
        <v/>
      </c>
      <c r="T37" s="71"/>
    </row>
    <row r="38" spans="2:20" s="1" customFormat="1">
      <c r="B38" s="74" t="s">
        <v>315</v>
      </c>
      <c r="C38" s="74"/>
      <c r="D38" s="74"/>
      <c r="E38" s="74"/>
      <c r="F38" s="589"/>
      <c r="G38" s="255"/>
      <c r="H38" s="255">
        <f>'Bal Sheet - Standardized'!B17</f>
        <v>70.7</v>
      </c>
      <c r="I38" s="255">
        <f>'Bal Sheet - Standardized'!C17</f>
        <v>124.9</v>
      </c>
      <c r="J38" s="255">
        <f>'Bal Sheet - Standardized'!D17</f>
        <v>123.6</v>
      </c>
      <c r="K38" s="255">
        <f>'Bal Sheet - Standardized'!E17</f>
        <v>141.69999999999999</v>
      </c>
      <c r="L38" s="255">
        <f>'Bal Sheet - Standardized'!F17</f>
        <v>137.30000000000001</v>
      </c>
      <c r="M38" s="255">
        <f>'Bal Sheet - Standardized'!G17</f>
        <v>132.4</v>
      </c>
      <c r="N38" s="255">
        <f>'Bal Sheet - Standardized'!H17</f>
        <v>170.1</v>
      </c>
      <c r="O38" s="255">
        <f>'Bal Sheet - Standardized'!I17</f>
        <v>193</v>
      </c>
      <c r="P38" s="255">
        <f>'Bal Sheet - Standardized'!J17</f>
        <v>303.3</v>
      </c>
      <c r="Q38" s="255">
        <f>'Bal Sheet - Standardized'!K17</f>
        <v>477.1</v>
      </c>
      <c r="R38" s="228" t="str">
        <f t="shared" si="14"/>
        <v/>
      </c>
    </row>
    <row r="39" spans="2:20">
      <c r="B39" t="s">
        <v>316</v>
      </c>
      <c r="G39" s="256">
        <f t="shared" ref="G39:Q39" si="16">+G40-G41</f>
        <v>0</v>
      </c>
      <c r="H39" s="256">
        <f t="shared" si="16"/>
        <v>0</v>
      </c>
      <c r="I39" s="256">
        <f t="shared" si="16"/>
        <v>17.200000000000003</v>
      </c>
      <c r="J39" s="256">
        <f t="shared" si="16"/>
        <v>18</v>
      </c>
      <c r="K39" s="256">
        <f t="shared" si="16"/>
        <v>21.8</v>
      </c>
      <c r="L39" s="256">
        <f t="shared" si="16"/>
        <v>0</v>
      </c>
      <c r="M39" s="256">
        <f t="shared" si="16"/>
        <v>17.200000000000003</v>
      </c>
      <c r="N39" s="256">
        <f t="shared" si="16"/>
        <v>36.4</v>
      </c>
      <c r="O39" s="256">
        <f t="shared" si="16"/>
        <v>28.799999999999997</v>
      </c>
      <c r="P39" s="256">
        <f t="shared" si="16"/>
        <v>21.9</v>
      </c>
      <c r="Q39" s="256">
        <f t="shared" si="16"/>
        <v>41.4</v>
      </c>
      <c r="R39" s="62" t="str">
        <f t="shared" si="14"/>
        <v/>
      </c>
    </row>
    <row r="40" spans="2:20" ht="14.45">
      <c r="B40" s="257" t="s">
        <v>700</v>
      </c>
      <c r="C40" s="83"/>
      <c r="D40" s="83"/>
      <c r="E40" s="83"/>
      <c r="G40" s="258"/>
      <c r="H40" s="258"/>
      <c r="I40" s="258">
        <f>'Bal Sheet - Standardized'!C19</f>
        <v>23.3</v>
      </c>
      <c r="J40" s="258">
        <f>'Bal Sheet - Standardized'!D19</f>
        <v>29.1</v>
      </c>
      <c r="K40" s="258">
        <f>'Bal Sheet - Standardized'!E19</f>
        <v>39.1</v>
      </c>
      <c r="L40" s="258"/>
      <c r="M40" s="258">
        <f>'Bal Sheet - Standardized'!G19</f>
        <v>29.8</v>
      </c>
      <c r="N40" s="258">
        <f>'Bal Sheet - Standardized'!H19</f>
        <v>53.9</v>
      </c>
      <c r="O40" s="258">
        <f>'Bal Sheet - Standardized'!I19</f>
        <v>53.3</v>
      </c>
      <c r="P40" s="258">
        <f>'Bal Sheet - Standardized'!J19</f>
        <v>45.9</v>
      </c>
      <c r="Q40" s="258">
        <f>'Bal Sheet - Standardized'!K19</f>
        <v>66.3</v>
      </c>
      <c r="R40" s="62" t="str">
        <f t="shared" si="14"/>
        <v/>
      </c>
    </row>
    <row r="41" spans="2:20" ht="14.45">
      <c r="B41" s="257" t="s">
        <v>581</v>
      </c>
      <c r="C41" s="83"/>
      <c r="D41" s="83"/>
      <c r="E41" s="83"/>
      <c r="G41" s="258"/>
      <c r="H41" s="258"/>
      <c r="I41" s="258">
        <f>'Bal Sheet - Standardized'!C20</f>
        <v>6.1</v>
      </c>
      <c r="J41" s="258">
        <f>'Bal Sheet - Standardized'!D20</f>
        <v>11.1</v>
      </c>
      <c r="K41" s="258">
        <f>'Bal Sheet - Standardized'!E20</f>
        <v>17.3</v>
      </c>
      <c r="L41" s="258"/>
      <c r="M41" s="258">
        <f>'Bal Sheet - Standardized'!G20</f>
        <v>12.6</v>
      </c>
      <c r="N41" s="258">
        <f>'Bal Sheet - Standardized'!H20</f>
        <v>17.5</v>
      </c>
      <c r="O41" s="258">
        <f>'Bal Sheet - Standardized'!I20</f>
        <v>24.5</v>
      </c>
      <c r="P41" s="258">
        <f>'Bal Sheet - Standardized'!J20</f>
        <v>24</v>
      </c>
      <c r="Q41" s="258">
        <f>'Bal Sheet - Standardized'!K20</f>
        <v>24.9</v>
      </c>
      <c r="R41" s="62" t="str">
        <f t="shared" si="14"/>
        <v/>
      </c>
    </row>
    <row r="42" spans="2:20">
      <c r="B42" s="78" t="s">
        <v>580</v>
      </c>
      <c r="G42" s="287"/>
      <c r="H42" s="287"/>
      <c r="I42" s="287">
        <v>0</v>
      </c>
      <c r="J42" s="287">
        <v>0</v>
      </c>
      <c r="K42" s="287">
        <v>0</v>
      </c>
      <c r="L42" s="287">
        <v>0.89200000000000002</v>
      </c>
      <c r="M42" s="287">
        <v>3.2919999999999998</v>
      </c>
      <c r="N42" s="287">
        <v>5.2939999999999996</v>
      </c>
      <c r="O42" s="287">
        <v>4.2939999999999996</v>
      </c>
      <c r="P42" s="287">
        <v>3.359</v>
      </c>
      <c r="Q42" s="287">
        <v>4.8010000000000002</v>
      </c>
      <c r="R42" s="62" t="str">
        <f t="shared" si="14"/>
        <v/>
      </c>
    </row>
    <row r="43" spans="2:20">
      <c r="B43" t="s">
        <v>701</v>
      </c>
      <c r="G43" s="220"/>
      <c r="H43" s="220">
        <f>'Bal Sheet - Standardized'!B24</f>
        <v>278.5</v>
      </c>
      <c r="I43" s="220">
        <f>'Bal Sheet - Standardized'!C24</f>
        <v>270.3</v>
      </c>
      <c r="J43" s="220">
        <f>'Bal Sheet - Standardized'!D24</f>
        <v>263.10000000000002</v>
      </c>
      <c r="K43" s="220">
        <f>'Bal Sheet - Standardized'!E24</f>
        <v>256</v>
      </c>
      <c r="L43" s="220">
        <f>'Bal Sheet - Standardized'!F24</f>
        <v>254.3</v>
      </c>
      <c r="M43" s="220">
        <f>'Bal Sheet - Standardized'!G24</f>
        <v>273.7</v>
      </c>
      <c r="N43" s="220">
        <f>'Bal Sheet - Standardized'!H24</f>
        <v>265.89999999999998</v>
      </c>
      <c r="O43" s="220">
        <f>'Bal Sheet - Standardized'!I24</f>
        <v>257.8</v>
      </c>
      <c r="P43" s="220">
        <f>'Bal Sheet - Standardized'!J24</f>
        <v>249.7</v>
      </c>
      <c r="Q43" s="220">
        <f>'Bal Sheet - Standardized'!K24</f>
        <v>565.70000000000005</v>
      </c>
      <c r="R43" s="62" t="str">
        <f t="shared" si="14"/>
        <v/>
      </c>
    </row>
    <row r="44" spans="2:20" ht="14.45">
      <c r="B44" s="257" t="s">
        <v>702</v>
      </c>
      <c r="C44" s="83"/>
      <c r="D44" s="83"/>
      <c r="E44" s="83"/>
      <c r="G44" s="258"/>
      <c r="H44" s="258">
        <f>'Bal Sheet - Standardized'!B25</f>
        <v>157.30000000000001</v>
      </c>
      <c r="I44" s="258">
        <f>'Bal Sheet - Standardized'!C25</f>
        <v>157.30000000000001</v>
      </c>
      <c r="J44" s="258">
        <f>'Bal Sheet - Standardized'!D25</f>
        <v>157.30000000000001</v>
      </c>
      <c r="K44" s="258">
        <f>'Bal Sheet - Standardized'!E25</f>
        <v>157.30000000000001</v>
      </c>
      <c r="L44" s="258">
        <f>'Bal Sheet - Standardized'!F25</f>
        <v>157.30000000000001</v>
      </c>
      <c r="M44" s="258">
        <f>'Bal Sheet - Standardized'!G25</f>
        <v>171.3</v>
      </c>
      <c r="N44" s="258">
        <f>'Bal Sheet - Standardized'!H25</f>
        <v>171.6</v>
      </c>
      <c r="O44" s="258">
        <f>'Bal Sheet - Standardized'!I25</f>
        <v>171.6</v>
      </c>
      <c r="P44" s="258">
        <f>'Bal Sheet - Standardized'!J25</f>
        <v>171.6</v>
      </c>
      <c r="Q44" s="258">
        <f>'Bal Sheet - Standardized'!K25</f>
        <v>340.6</v>
      </c>
      <c r="R44" s="62" t="str">
        <f t="shared" si="14"/>
        <v/>
      </c>
    </row>
    <row r="45" spans="2:20" ht="14.45">
      <c r="B45" s="257" t="s">
        <v>582</v>
      </c>
      <c r="C45" s="83"/>
      <c r="D45" s="83"/>
      <c r="E45" s="83"/>
      <c r="G45" s="259">
        <f>+G43-G44</f>
        <v>0</v>
      </c>
      <c r="H45" s="259">
        <f t="shared" ref="H45:Q45" si="17">+H43-H44</f>
        <v>121.19999999999999</v>
      </c>
      <c r="I45" s="259">
        <f t="shared" si="17"/>
        <v>113</v>
      </c>
      <c r="J45" s="259">
        <f t="shared" si="17"/>
        <v>105.80000000000001</v>
      </c>
      <c r="K45" s="259">
        <f t="shared" si="17"/>
        <v>98.699999999999989</v>
      </c>
      <c r="L45" s="259">
        <f t="shared" si="17"/>
        <v>97</v>
      </c>
      <c r="M45" s="259">
        <f t="shared" si="17"/>
        <v>102.39999999999998</v>
      </c>
      <c r="N45" s="259">
        <f t="shared" si="17"/>
        <v>94.299999999999983</v>
      </c>
      <c r="O45" s="259">
        <f t="shared" si="17"/>
        <v>86.200000000000017</v>
      </c>
      <c r="P45" s="259">
        <f t="shared" si="17"/>
        <v>78.099999999999994</v>
      </c>
      <c r="Q45" s="259">
        <f t="shared" si="17"/>
        <v>225.10000000000002</v>
      </c>
      <c r="R45" s="62"/>
    </row>
    <row r="46" spans="2:20">
      <c r="B46" s="38" t="s">
        <v>703</v>
      </c>
      <c r="C46" s="38"/>
      <c r="D46" s="38"/>
      <c r="E46" s="38"/>
      <c r="G46" s="226">
        <f>+G47-G39-G42-G43</f>
        <v>0</v>
      </c>
      <c r="H46" s="226">
        <f t="shared" ref="H46:Q46" si="18">+H47-H39-H42-H43</f>
        <v>11.899999999999977</v>
      </c>
      <c r="I46" s="226">
        <f t="shared" si="18"/>
        <v>2.3000000000000114</v>
      </c>
      <c r="J46" s="226">
        <f t="shared" si="18"/>
        <v>12.5</v>
      </c>
      <c r="K46" s="226">
        <f t="shared" si="18"/>
        <v>16.300000000000011</v>
      </c>
      <c r="L46" s="226">
        <f t="shared" si="18"/>
        <v>39.20799999999997</v>
      </c>
      <c r="M46" s="226">
        <f t="shared" si="18"/>
        <v>26.508000000000038</v>
      </c>
      <c r="N46" s="226">
        <f t="shared" si="18"/>
        <v>9.6060000000000514</v>
      </c>
      <c r="O46" s="226">
        <f t="shared" si="18"/>
        <v>10.706000000000017</v>
      </c>
      <c r="P46" s="226">
        <f t="shared" si="18"/>
        <v>17.341000000000065</v>
      </c>
      <c r="Q46" s="226">
        <f t="shared" si="18"/>
        <v>40.298999999999978</v>
      </c>
      <c r="R46" s="227" t="str">
        <f t="shared" ref="R46:R61" si="19">IFERROR((Q46/G46)^(1/COUNT($G$4:$Q$4))-1,"")</f>
        <v/>
      </c>
    </row>
    <row r="47" spans="2:20" s="1" customFormat="1" ht="14.45" thickBot="1">
      <c r="B47" s="1" t="s">
        <v>704</v>
      </c>
      <c r="F47" s="588"/>
      <c r="G47" s="230"/>
      <c r="H47" s="230">
        <f>'Bal Sheet - Standardized'!B30</f>
        <v>290.39999999999998</v>
      </c>
      <c r="I47" s="230">
        <f>'Bal Sheet - Standardized'!C30</f>
        <v>289.8</v>
      </c>
      <c r="J47" s="230">
        <f>'Bal Sheet - Standardized'!D30</f>
        <v>293.60000000000002</v>
      </c>
      <c r="K47" s="230">
        <f>'Bal Sheet - Standardized'!E30</f>
        <v>294.10000000000002</v>
      </c>
      <c r="L47" s="230">
        <f>'Bal Sheet - Standardized'!F30</f>
        <v>294.39999999999998</v>
      </c>
      <c r="M47" s="230">
        <f>'Bal Sheet - Standardized'!G30</f>
        <v>320.7</v>
      </c>
      <c r="N47" s="230">
        <f>'Bal Sheet - Standardized'!H30</f>
        <v>317.2</v>
      </c>
      <c r="O47" s="230">
        <f>'Bal Sheet - Standardized'!I30</f>
        <v>301.60000000000002</v>
      </c>
      <c r="P47" s="230">
        <f>'Bal Sheet - Standardized'!J30</f>
        <v>292.3</v>
      </c>
      <c r="Q47" s="230">
        <f>'Bal Sheet - Standardized'!K30</f>
        <v>652.20000000000005</v>
      </c>
      <c r="R47" s="231" t="str">
        <f t="shared" si="19"/>
        <v/>
      </c>
    </row>
    <row r="48" spans="2:20" s="1" customFormat="1" ht="14.45" thickBot="1">
      <c r="B48" s="232" t="s">
        <v>317</v>
      </c>
      <c r="C48" s="232"/>
      <c r="D48" s="232"/>
      <c r="E48" s="232"/>
      <c r="F48" s="590"/>
      <c r="G48" s="233">
        <f t="shared" ref="G48:Q48" si="20">SUM(G47,G38)</f>
        <v>0</v>
      </c>
      <c r="H48" s="233">
        <f t="shared" si="20"/>
        <v>361.09999999999997</v>
      </c>
      <c r="I48" s="233">
        <f t="shared" si="20"/>
        <v>414.70000000000005</v>
      </c>
      <c r="J48" s="233">
        <f t="shared" si="20"/>
        <v>417.20000000000005</v>
      </c>
      <c r="K48" s="233">
        <f t="shared" si="20"/>
        <v>435.8</v>
      </c>
      <c r="L48" s="233">
        <f t="shared" si="20"/>
        <v>431.7</v>
      </c>
      <c r="M48" s="233">
        <f t="shared" si="20"/>
        <v>453.1</v>
      </c>
      <c r="N48" s="233">
        <f t="shared" si="20"/>
        <v>487.29999999999995</v>
      </c>
      <c r="O48" s="233">
        <f t="shared" si="20"/>
        <v>494.6</v>
      </c>
      <c r="P48" s="233">
        <f t="shared" si="20"/>
        <v>595.6</v>
      </c>
      <c r="Q48" s="233">
        <f t="shared" si="20"/>
        <v>1129.3000000000002</v>
      </c>
      <c r="R48" s="234" t="str">
        <f t="shared" si="19"/>
        <v/>
      </c>
    </row>
    <row r="49" spans="1:18">
      <c r="B49" t="s">
        <v>318</v>
      </c>
      <c r="G49" s="220"/>
      <c r="H49" s="220">
        <f>'Bal Sheet - Standardized'!B35</f>
        <v>11.1</v>
      </c>
      <c r="I49" s="220">
        <f>'Bal Sheet - Standardized'!C35</f>
        <v>37.9</v>
      </c>
      <c r="J49" s="220">
        <f>'Bal Sheet - Standardized'!D35</f>
        <v>26.8</v>
      </c>
      <c r="K49" s="220">
        <f>'Bal Sheet - Standardized'!E35</f>
        <v>20.5</v>
      </c>
      <c r="L49" s="220">
        <f>'Bal Sheet - Standardized'!F35</f>
        <v>16.3</v>
      </c>
      <c r="M49" s="220">
        <f>'Bal Sheet - Standardized'!G35</f>
        <v>12.4</v>
      </c>
      <c r="N49" s="220">
        <f>'Bal Sheet - Standardized'!H35</f>
        <v>15.7</v>
      </c>
      <c r="O49" s="220">
        <f>'Bal Sheet - Standardized'!I35</f>
        <v>19.2</v>
      </c>
      <c r="P49" s="220">
        <f>'Bal Sheet - Standardized'!J35</f>
        <v>31.4</v>
      </c>
      <c r="Q49" s="220">
        <f>'Bal Sheet - Standardized'!K35</f>
        <v>81.099999999999994</v>
      </c>
      <c r="R49" s="62" t="str">
        <f t="shared" si="19"/>
        <v/>
      </c>
    </row>
    <row r="50" spans="1:18">
      <c r="B50" t="s">
        <v>705</v>
      </c>
      <c r="G50" s="229">
        <f>+SUM(G51:G52)</f>
        <v>0</v>
      </c>
      <c r="H50" s="229">
        <f t="shared" ref="H50:Q50" si="21">+SUM(H51:H52)</f>
        <v>0</v>
      </c>
      <c r="I50" s="229">
        <f t="shared" si="21"/>
        <v>0</v>
      </c>
      <c r="J50" s="229">
        <f t="shared" si="21"/>
        <v>0</v>
      </c>
      <c r="K50" s="229">
        <f t="shared" si="21"/>
        <v>0</v>
      </c>
      <c r="L50" s="229">
        <f t="shared" si="21"/>
        <v>4.9000000000000004</v>
      </c>
      <c r="M50" s="229">
        <f t="shared" si="21"/>
        <v>3.9</v>
      </c>
      <c r="N50" s="229">
        <f t="shared" si="21"/>
        <v>5.0999999999999996</v>
      </c>
      <c r="O50" s="229">
        <f t="shared" si="21"/>
        <v>4.4000000000000004</v>
      </c>
      <c r="P50" s="229">
        <f t="shared" si="21"/>
        <v>4.5</v>
      </c>
      <c r="Q50" s="229">
        <f t="shared" si="21"/>
        <v>7</v>
      </c>
      <c r="R50" s="62" t="str">
        <f t="shared" si="19"/>
        <v/>
      </c>
    </row>
    <row r="51" spans="1:18" ht="14.45">
      <c r="B51" s="257" t="s">
        <v>706</v>
      </c>
      <c r="G51" s="258"/>
      <c r="H51" s="258">
        <f>I51</f>
        <v>0</v>
      </c>
      <c r="I51" s="258">
        <f>'Bal Sheet - Standardized'!C38</f>
        <v>0</v>
      </c>
      <c r="J51" s="258">
        <f>'Bal Sheet - Standardized'!D38</f>
        <v>0</v>
      </c>
      <c r="K51" s="258">
        <f>'Bal Sheet - Standardized'!E38</f>
        <v>0</v>
      </c>
      <c r="L51" s="258">
        <f>'Bal Sheet - Standardized'!F38</f>
        <v>0</v>
      </c>
      <c r="M51" s="258">
        <f>'Bal Sheet - Standardized'!G38</f>
        <v>0</v>
      </c>
      <c r="N51" s="258">
        <f>'Bal Sheet - Standardized'!H38</f>
        <v>0</v>
      </c>
      <c r="O51" s="258">
        <f>'Bal Sheet - Standardized'!I38</f>
        <v>0</v>
      </c>
      <c r="P51" s="258">
        <f>'Bal Sheet - Standardized'!J38</f>
        <v>0</v>
      </c>
      <c r="Q51" s="258">
        <f>'Bal Sheet - Standardized'!K38</f>
        <v>0</v>
      </c>
      <c r="R51" s="62" t="str">
        <f t="shared" si="19"/>
        <v/>
      </c>
    </row>
    <row r="52" spans="1:18" ht="14.45">
      <c r="B52" s="257" t="s">
        <v>707</v>
      </c>
      <c r="G52" s="258"/>
      <c r="H52" s="258">
        <v>0</v>
      </c>
      <c r="I52" s="258">
        <v>0</v>
      </c>
      <c r="J52" s="258">
        <v>0</v>
      </c>
      <c r="K52" s="258">
        <v>0</v>
      </c>
      <c r="L52" s="258">
        <f>'Bal Sheet - Standardized'!F39</f>
        <v>4.9000000000000004</v>
      </c>
      <c r="M52" s="258">
        <f>'Bal Sheet - Standardized'!G39</f>
        <v>3.9</v>
      </c>
      <c r="N52" s="258">
        <f>'Bal Sheet - Standardized'!H39</f>
        <v>5.0999999999999996</v>
      </c>
      <c r="O52" s="258">
        <f>'Bal Sheet - Standardized'!I39</f>
        <v>4.4000000000000004</v>
      </c>
      <c r="P52" s="258">
        <f>'Bal Sheet - Standardized'!J39</f>
        <v>4.5</v>
      </c>
      <c r="Q52" s="258">
        <f>'Bal Sheet - Standardized'!K39</f>
        <v>7</v>
      </c>
      <c r="R52" s="62" t="str">
        <f t="shared" si="19"/>
        <v/>
      </c>
    </row>
    <row r="53" spans="1:18">
      <c r="B53" s="38" t="s">
        <v>586</v>
      </c>
      <c r="C53" s="38"/>
      <c r="D53" s="38"/>
      <c r="E53" s="38"/>
      <c r="G53" s="226">
        <f t="shared" ref="G53:Q53" si="22">+G54-G49-G50</f>
        <v>0</v>
      </c>
      <c r="H53" s="226">
        <f t="shared" si="22"/>
        <v>34.799999999999997</v>
      </c>
      <c r="I53" s="226">
        <f t="shared" si="22"/>
        <v>42.4</v>
      </c>
      <c r="J53" s="226">
        <f t="shared" si="22"/>
        <v>24.599999999999998</v>
      </c>
      <c r="K53" s="226">
        <f t="shared" si="22"/>
        <v>22.5</v>
      </c>
      <c r="L53" s="226">
        <f t="shared" si="22"/>
        <v>23.9</v>
      </c>
      <c r="M53" s="226">
        <f t="shared" si="22"/>
        <v>34.800000000000004</v>
      </c>
      <c r="N53" s="226">
        <f t="shared" si="22"/>
        <v>52.499999999999993</v>
      </c>
      <c r="O53" s="226">
        <f t="shared" si="22"/>
        <v>41.4</v>
      </c>
      <c r="P53" s="226">
        <f t="shared" si="22"/>
        <v>72.099999999999994</v>
      </c>
      <c r="Q53" s="226">
        <f t="shared" si="22"/>
        <v>211.00000000000003</v>
      </c>
      <c r="R53" s="227" t="str">
        <f t="shared" si="19"/>
        <v/>
      </c>
    </row>
    <row r="54" spans="1:18">
      <c r="B54" s="38" t="s">
        <v>319</v>
      </c>
      <c r="C54" s="38"/>
      <c r="D54" s="38"/>
      <c r="E54" s="38"/>
      <c r="F54" s="589"/>
      <c r="G54" s="220"/>
      <c r="H54" s="220">
        <f>'Bal Sheet - Standardized'!B47</f>
        <v>45.9</v>
      </c>
      <c r="I54" s="220">
        <f>'Bal Sheet - Standardized'!C47</f>
        <v>80.3</v>
      </c>
      <c r="J54" s="220">
        <f>'Bal Sheet - Standardized'!D47</f>
        <v>51.4</v>
      </c>
      <c r="K54" s="220">
        <f>'Bal Sheet - Standardized'!E47</f>
        <v>43</v>
      </c>
      <c r="L54" s="220">
        <f>'Bal Sheet - Standardized'!F47</f>
        <v>45.1</v>
      </c>
      <c r="M54" s="220">
        <f>'Bal Sheet - Standardized'!G47</f>
        <v>51.1</v>
      </c>
      <c r="N54" s="220">
        <f>'Bal Sheet - Standardized'!H47</f>
        <v>73.3</v>
      </c>
      <c r="O54" s="220">
        <f>'Bal Sheet - Standardized'!I47</f>
        <v>65</v>
      </c>
      <c r="P54" s="220">
        <f>'Bal Sheet - Standardized'!J47</f>
        <v>108</v>
      </c>
      <c r="Q54" s="220">
        <f>'Bal Sheet - Standardized'!K47</f>
        <v>299.10000000000002</v>
      </c>
      <c r="R54" s="227" t="str">
        <f t="shared" si="19"/>
        <v/>
      </c>
    </row>
    <row r="55" spans="1:18">
      <c r="B55" t="s">
        <v>708</v>
      </c>
      <c r="G55" s="256">
        <f>+SUM(G56:G57)</f>
        <v>0</v>
      </c>
      <c r="H55" s="256">
        <f t="shared" ref="H55:Q55" si="23">+SUM(H56:H57)</f>
        <v>134.6</v>
      </c>
      <c r="I55" s="256">
        <f t="shared" si="23"/>
        <v>156.19999999999999</v>
      </c>
      <c r="J55" s="256">
        <f t="shared" si="23"/>
        <v>147.69999999999999</v>
      </c>
      <c r="K55" s="256">
        <f t="shared" si="23"/>
        <v>140.5</v>
      </c>
      <c r="L55" s="256">
        <f t="shared" si="23"/>
        <v>153.9</v>
      </c>
      <c r="M55" s="256">
        <f t="shared" si="23"/>
        <v>137.30000000000001</v>
      </c>
      <c r="N55" s="256">
        <f t="shared" si="23"/>
        <v>130.4</v>
      </c>
      <c r="O55" s="256">
        <f t="shared" si="23"/>
        <v>106.9</v>
      </c>
      <c r="P55" s="256">
        <f t="shared" si="23"/>
        <v>72</v>
      </c>
      <c r="Q55" s="256">
        <f t="shared" si="23"/>
        <v>183.3</v>
      </c>
      <c r="R55" s="62" t="str">
        <f t="shared" si="19"/>
        <v/>
      </c>
    </row>
    <row r="56" spans="1:18" ht="14.45">
      <c r="B56" s="257" t="s">
        <v>709</v>
      </c>
      <c r="G56" s="258"/>
      <c r="H56" s="258">
        <f>'Bal Sheet - Standardized'!B49</f>
        <v>0</v>
      </c>
      <c r="I56" s="258">
        <f>'Bal Sheet - Standardized'!C49</f>
        <v>0</v>
      </c>
      <c r="J56" s="258">
        <f>'Bal Sheet - Standardized'!D49</f>
        <v>0</v>
      </c>
      <c r="K56" s="258">
        <f>'Bal Sheet - Standardized'!E49</f>
        <v>0</v>
      </c>
      <c r="L56" s="258">
        <f>'Bal Sheet - Standardized'!F49</f>
        <v>135</v>
      </c>
      <c r="M56" s="258">
        <f>'Bal Sheet - Standardized'!G49</f>
        <v>123.9</v>
      </c>
      <c r="N56" s="258">
        <f>'Bal Sheet - Standardized'!H49</f>
        <v>108.9</v>
      </c>
      <c r="O56" s="258">
        <f>'Bal Sheet - Standardized'!I49</f>
        <v>89.7</v>
      </c>
      <c r="P56" s="258">
        <f>'Bal Sheet - Standardized'!J49</f>
        <v>60.2</v>
      </c>
      <c r="Q56" s="258">
        <f>'Bal Sheet - Standardized'!K49</f>
        <v>161.80000000000001</v>
      </c>
      <c r="R56" s="62" t="str">
        <f t="shared" si="19"/>
        <v/>
      </c>
    </row>
    <row r="57" spans="1:18" ht="14.45">
      <c r="B57" s="257" t="s">
        <v>710</v>
      </c>
      <c r="G57" s="258"/>
      <c r="H57" s="258">
        <f>'Bal Sheet - Standardized'!B50</f>
        <v>134.6</v>
      </c>
      <c r="I57" s="258">
        <f>'Bal Sheet - Standardized'!C50</f>
        <v>156.19999999999999</v>
      </c>
      <c r="J57" s="258">
        <f>'Bal Sheet - Standardized'!D50</f>
        <v>147.69999999999999</v>
      </c>
      <c r="K57" s="258">
        <f>'Bal Sheet - Standardized'!E50</f>
        <v>140.5</v>
      </c>
      <c r="L57" s="258">
        <f>'Bal Sheet - Standardized'!F50</f>
        <v>18.899999999999999</v>
      </c>
      <c r="M57" s="258">
        <f>'Bal Sheet - Standardized'!G50</f>
        <v>13.4</v>
      </c>
      <c r="N57" s="258">
        <f>'Bal Sheet - Standardized'!H50</f>
        <v>21.5</v>
      </c>
      <c r="O57" s="258">
        <f>'Bal Sheet - Standardized'!I50</f>
        <v>17.2</v>
      </c>
      <c r="P57" s="258">
        <f>'Bal Sheet - Standardized'!J50</f>
        <v>11.8</v>
      </c>
      <c r="Q57" s="258">
        <f>'Bal Sheet - Standardized'!K50</f>
        <v>21.5</v>
      </c>
      <c r="R57" s="62" t="str">
        <f t="shared" si="19"/>
        <v/>
      </c>
    </row>
    <row r="58" spans="1:18">
      <c r="B58" s="38" t="s">
        <v>711</v>
      </c>
      <c r="C58" s="38"/>
      <c r="D58" s="38"/>
      <c r="E58" s="38"/>
      <c r="G58" s="235">
        <f>+G59-G55</f>
        <v>0</v>
      </c>
      <c r="H58" s="235">
        <f t="shared" ref="H58:Q58" si="24">+H59-H55</f>
        <v>43.700000000000017</v>
      </c>
      <c r="I58" s="235">
        <f t="shared" si="24"/>
        <v>37.400000000000006</v>
      </c>
      <c r="J58" s="235">
        <f t="shared" si="24"/>
        <v>24.300000000000011</v>
      </c>
      <c r="K58" s="235">
        <f t="shared" si="24"/>
        <v>23</v>
      </c>
      <c r="L58" s="235">
        <f t="shared" si="24"/>
        <v>17.400000000000006</v>
      </c>
      <c r="M58" s="235">
        <f t="shared" si="24"/>
        <v>22.5</v>
      </c>
      <c r="N58" s="235">
        <f t="shared" si="24"/>
        <v>14</v>
      </c>
      <c r="O58" s="235">
        <f t="shared" si="24"/>
        <v>10.299999999999997</v>
      </c>
      <c r="P58" s="235">
        <f t="shared" si="24"/>
        <v>4.5999999999999943</v>
      </c>
      <c r="Q58" s="235">
        <f t="shared" si="24"/>
        <v>4.2999999999999829</v>
      </c>
      <c r="R58" s="227" t="str">
        <f t="shared" si="19"/>
        <v/>
      </c>
    </row>
    <row r="59" spans="1:18" s="1" customFormat="1" ht="14.45" thickBot="1">
      <c r="B59" s="1" t="s">
        <v>712</v>
      </c>
      <c r="F59" s="588"/>
      <c r="G59" s="220"/>
      <c r="H59" s="220">
        <f>'Bal Sheet - Standardized'!B60</f>
        <v>178.3</v>
      </c>
      <c r="I59" s="220">
        <f>'Bal Sheet - Standardized'!C60</f>
        <v>193.6</v>
      </c>
      <c r="J59" s="220">
        <f>'Bal Sheet - Standardized'!D60</f>
        <v>172</v>
      </c>
      <c r="K59" s="220">
        <f>'Bal Sheet - Standardized'!E60</f>
        <v>163.5</v>
      </c>
      <c r="L59" s="220">
        <f>'Bal Sheet - Standardized'!F60</f>
        <v>171.3</v>
      </c>
      <c r="M59" s="220">
        <f>'Bal Sheet - Standardized'!G60</f>
        <v>159.80000000000001</v>
      </c>
      <c r="N59" s="220">
        <f>'Bal Sheet - Standardized'!H60</f>
        <v>144.4</v>
      </c>
      <c r="O59" s="220">
        <f>'Bal Sheet - Standardized'!I60</f>
        <v>117.2</v>
      </c>
      <c r="P59" s="220">
        <f>'Bal Sheet - Standardized'!J60</f>
        <v>76.599999999999994</v>
      </c>
      <c r="Q59" s="220">
        <f>'Bal Sheet - Standardized'!K60</f>
        <v>187.6</v>
      </c>
      <c r="R59" s="65" t="str">
        <f t="shared" si="19"/>
        <v/>
      </c>
    </row>
    <row r="60" spans="1:18" s="1" customFormat="1" ht="14.45" thickBot="1">
      <c r="B60" s="232" t="s">
        <v>523</v>
      </c>
      <c r="C60" s="232"/>
      <c r="D60" s="232"/>
      <c r="E60" s="232"/>
      <c r="F60" s="590"/>
      <c r="G60" s="233">
        <f t="shared" ref="G60:Q60" si="25">SUM(G59,G54)</f>
        <v>0</v>
      </c>
      <c r="H60" s="233">
        <f t="shared" si="25"/>
        <v>224.20000000000002</v>
      </c>
      <c r="I60" s="233">
        <f t="shared" si="25"/>
        <v>273.89999999999998</v>
      </c>
      <c r="J60" s="233">
        <f t="shared" si="25"/>
        <v>223.4</v>
      </c>
      <c r="K60" s="233">
        <f t="shared" si="25"/>
        <v>206.5</v>
      </c>
      <c r="L60" s="233">
        <f t="shared" si="25"/>
        <v>216.4</v>
      </c>
      <c r="M60" s="233">
        <f t="shared" si="25"/>
        <v>210.9</v>
      </c>
      <c r="N60" s="233">
        <f t="shared" si="25"/>
        <v>217.7</v>
      </c>
      <c r="O60" s="233">
        <f t="shared" si="25"/>
        <v>182.2</v>
      </c>
      <c r="P60" s="233">
        <f t="shared" si="25"/>
        <v>184.6</v>
      </c>
      <c r="Q60" s="233">
        <f t="shared" si="25"/>
        <v>486.70000000000005</v>
      </c>
      <c r="R60" s="234" t="str">
        <f t="shared" si="19"/>
        <v/>
      </c>
    </row>
    <row r="61" spans="1:18" s="1" customFormat="1">
      <c r="B61" s="1" t="s">
        <v>322</v>
      </c>
      <c r="F61"/>
      <c r="G61" s="222">
        <f t="shared" ref="G61:Q61" si="26">G48-G60</f>
        <v>0</v>
      </c>
      <c r="H61" s="222">
        <f t="shared" si="26"/>
        <v>136.89999999999995</v>
      </c>
      <c r="I61" s="222">
        <f t="shared" si="26"/>
        <v>140.80000000000007</v>
      </c>
      <c r="J61" s="222">
        <f t="shared" si="26"/>
        <v>193.80000000000004</v>
      </c>
      <c r="K61" s="222">
        <f t="shared" si="26"/>
        <v>229.3</v>
      </c>
      <c r="L61" s="222">
        <f t="shared" si="26"/>
        <v>215.29999999999998</v>
      </c>
      <c r="M61" s="222">
        <f t="shared" si="26"/>
        <v>242.20000000000002</v>
      </c>
      <c r="N61" s="222">
        <f t="shared" si="26"/>
        <v>269.59999999999997</v>
      </c>
      <c r="O61" s="222">
        <f t="shared" si="26"/>
        <v>312.40000000000003</v>
      </c>
      <c r="P61" s="222">
        <f t="shared" si="26"/>
        <v>411</v>
      </c>
      <c r="Q61" s="222">
        <f t="shared" si="26"/>
        <v>642.60000000000014</v>
      </c>
      <c r="R61" s="65" t="str">
        <f t="shared" si="19"/>
        <v/>
      </c>
    </row>
    <row r="62" spans="1:18" ht="14.45">
      <c r="B62" t="s">
        <v>713</v>
      </c>
      <c r="G62" s="258"/>
      <c r="H62" s="258"/>
      <c r="I62" s="258"/>
      <c r="J62" s="258"/>
      <c r="K62" s="258"/>
      <c r="L62" s="258"/>
      <c r="M62" s="258"/>
      <c r="N62" s="258"/>
      <c r="O62" s="258"/>
      <c r="P62" s="258"/>
      <c r="Q62" s="258"/>
      <c r="R62" s="62"/>
    </row>
    <row r="63" spans="1:18" ht="3.95" customHeight="1"/>
    <row r="64" spans="1:18" ht="15.6">
      <c r="A64" t="s">
        <v>472</v>
      </c>
      <c r="B64" s="51" t="s">
        <v>273</v>
      </c>
      <c r="C64" s="55"/>
      <c r="D64" s="55"/>
      <c r="E64" s="55"/>
      <c r="F64" s="55"/>
      <c r="G64" s="218">
        <v>2014</v>
      </c>
      <c r="H64" s="218">
        <f t="shared" ref="H64:Q64" si="27">H30</f>
        <v>2015</v>
      </c>
      <c r="I64" s="218">
        <f t="shared" si="27"/>
        <v>2016</v>
      </c>
      <c r="J64" s="218">
        <f t="shared" si="27"/>
        <v>2017</v>
      </c>
      <c r="K64" s="218">
        <f t="shared" si="27"/>
        <v>2018</v>
      </c>
      <c r="L64" s="750">
        <f t="shared" si="27"/>
        <v>2019</v>
      </c>
      <c r="M64" s="218">
        <f t="shared" si="27"/>
        <v>2020</v>
      </c>
      <c r="N64" s="218">
        <f t="shared" si="27"/>
        <v>2021</v>
      </c>
      <c r="O64" s="218">
        <f t="shared" si="27"/>
        <v>2022</v>
      </c>
      <c r="P64" s="218">
        <f t="shared" si="27"/>
        <v>2023</v>
      </c>
      <c r="Q64" s="218">
        <f t="shared" si="27"/>
        <v>2024</v>
      </c>
      <c r="R64" s="57" t="str">
        <f>"CAGR "&amp;$G$4&amp;" - "&amp;$Q$4</f>
        <v>CAGR 2014 - 2024</v>
      </c>
    </row>
    <row r="65" spans="2:18" ht="3.95" customHeight="1">
      <c r="B65" s="224"/>
      <c r="C65" s="224"/>
      <c r="D65" s="224"/>
      <c r="E65" s="224"/>
      <c r="F65" s="224"/>
      <c r="G65" s="225"/>
      <c r="H65" s="225"/>
      <c r="I65" s="225"/>
      <c r="J65" s="225"/>
      <c r="K65" s="225"/>
      <c r="L65" s="225"/>
      <c r="M65" s="225"/>
      <c r="N65" s="225"/>
      <c r="O65" s="225"/>
      <c r="P65" s="225"/>
      <c r="Q65" s="225"/>
      <c r="R65" s="59"/>
    </row>
    <row r="66" spans="2:18">
      <c r="B66" t="s">
        <v>306</v>
      </c>
      <c r="G66" s="236">
        <f>G24</f>
        <v>0</v>
      </c>
      <c r="H66" s="236">
        <f t="shared" ref="H66:K66" si="28">H24</f>
        <v>25.500000000000014</v>
      </c>
      <c r="I66" s="236">
        <f t="shared" si="28"/>
        <v>5.3000000000000078</v>
      </c>
      <c r="J66" s="236">
        <f t="shared" si="28"/>
        <v>33.499999999999986</v>
      </c>
      <c r="K66" s="236">
        <f t="shared" si="28"/>
        <v>15.499999999999995</v>
      </c>
      <c r="L66" s="236">
        <f t="shared" ref="L66:Q66" si="29">L24</f>
        <v>0</v>
      </c>
      <c r="M66" s="236">
        <f t="shared" si="29"/>
        <v>17.899999999999999</v>
      </c>
      <c r="N66" s="236">
        <f t="shared" si="29"/>
        <v>6.2000000000000277</v>
      </c>
      <c r="O66" s="236">
        <f t="shared" si="29"/>
        <v>21.899999999999977</v>
      </c>
      <c r="P66" s="236">
        <f t="shared" si="29"/>
        <v>61.499999999999957</v>
      </c>
      <c r="Q66" s="236">
        <f t="shared" si="29"/>
        <v>127.69999999999993</v>
      </c>
      <c r="R66" s="62" t="str">
        <f>IFERROR((Q66/G66)^(1/COUNT($G$4:$Q$4))-1,"")</f>
        <v/>
      </c>
    </row>
    <row r="67" spans="2:18">
      <c r="B67" t="s">
        <v>714</v>
      </c>
      <c r="G67" s="229">
        <f>+G13</f>
        <v>0</v>
      </c>
      <c r="H67" s="229">
        <f t="shared" ref="H67:K67" si="30">+H13</f>
        <v>0</v>
      </c>
      <c r="I67" s="229">
        <f t="shared" si="30"/>
        <v>13.2</v>
      </c>
      <c r="J67" s="229">
        <f t="shared" si="30"/>
        <v>14.5</v>
      </c>
      <c r="K67" s="229">
        <f t="shared" si="30"/>
        <v>17.899999999999999</v>
      </c>
      <c r="L67" s="229">
        <f t="shared" ref="L67:Q67" si="31">+L13</f>
        <v>0</v>
      </c>
      <c r="M67" s="229">
        <f t="shared" si="31"/>
        <v>22.8</v>
      </c>
      <c r="N67" s="229">
        <f t="shared" si="31"/>
        <v>25.2</v>
      </c>
      <c r="O67" s="229">
        <f t="shared" si="31"/>
        <v>27.1</v>
      </c>
      <c r="P67" s="229">
        <f t="shared" si="31"/>
        <v>22.2</v>
      </c>
      <c r="Q67" s="229">
        <f t="shared" si="31"/>
        <v>35.9</v>
      </c>
      <c r="R67" s="62" t="str">
        <f>IFERROR((Q67/G67)^(1/COUNT($G$4:$Q$4))-1,"")</f>
        <v/>
      </c>
    </row>
    <row r="68" spans="2:18">
      <c r="B68" t="s">
        <v>593</v>
      </c>
      <c r="G68" s="256">
        <f t="shared" ref="G68:Q68" si="32">+SUM(G69:G71)</f>
        <v>0</v>
      </c>
      <c r="H68" s="256">
        <f t="shared" si="32"/>
        <v>0</v>
      </c>
      <c r="I68" s="256">
        <f t="shared" si="32"/>
        <v>-10.899999999999999</v>
      </c>
      <c r="J68" s="256">
        <f t="shared" si="32"/>
        <v>-38</v>
      </c>
      <c r="K68" s="256">
        <f t="shared" si="32"/>
        <v>5.1999999999999993</v>
      </c>
      <c r="L68" s="256">
        <f t="shared" si="32"/>
        <v>0</v>
      </c>
      <c r="M68" s="256">
        <f t="shared" si="32"/>
        <v>1.6</v>
      </c>
      <c r="N68" s="256">
        <f t="shared" si="32"/>
        <v>-13.599999999999998</v>
      </c>
      <c r="O68" s="256">
        <f t="shared" si="32"/>
        <v>-42.4</v>
      </c>
      <c r="P68" s="256">
        <f t="shared" si="32"/>
        <v>-0.80000000000000071</v>
      </c>
      <c r="Q68" s="256">
        <f t="shared" si="32"/>
        <v>-117.5</v>
      </c>
      <c r="R68" s="62" t="str">
        <f>IFERROR((Q68/G68)^(1/COUNT($G$4:$Q$4))-1,"")</f>
        <v/>
      </c>
    </row>
    <row r="69" spans="2:18" ht="14.45">
      <c r="B69" s="257" t="s">
        <v>715</v>
      </c>
      <c r="G69" s="220"/>
      <c r="H69" s="220"/>
      <c r="I69" s="220">
        <f>'Cash Flow - Standardized'!B14</f>
        <v>-15.4</v>
      </c>
      <c r="J69" s="220">
        <f>'Cash Flow - Standardized'!C14</f>
        <v>-8</v>
      </c>
      <c r="K69" s="220">
        <f>'Cash Flow - Standardized'!D14</f>
        <v>7.6</v>
      </c>
      <c r="L69" s="220"/>
      <c r="M69" s="220">
        <f>'Cash Flow - Standardized'!E14</f>
        <v>2.5</v>
      </c>
      <c r="N69" s="220">
        <f>'Cash Flow - Standardized'!F14</f>
        <v>-10.5</v>
      </c>
      <c r="O69" s="220">
        <f>'Cash Flow - Standardized'!G14</f>
        <v>-5.6</v>
      </c>
      <c r="P69" s="220">
        <f>'Cash Flow - Standardized'!H14</f>
        <v>-22.4</v>
      </c>
      <c r="Q69" s="220">
        <f>'Cash Flow - Standardized'!I14</f>
        <v>-49.6</v>
      </c>
      <c r="R69" s="62"/>
    </row>
    <row r="70" spans="2:18" ht="14.45">
      <c r="B70" s="257" t="s">
        <v>716</v>
      </c>
      <c r="G70" s="220"/>
      <c r="H70" s="220"/>
      <c r="I70" s="220">
        <f>'Cash Flow - Standardized'!B15</f>
        <v>-38</v>
      </c>
      <c r="J70" s="220">
        <f>'Cash Flow - Standardized'!C15</f>
        <v>6.7</v>
      </c>
      <c r="K70" s="220">
        <f>'Cash Flow - Standardized'!D15</f>
        <v>16.3</v>
      </c>
      <c r="L70" s="220"/>
      <c r="M70" s="220">
        <f>'Cash Flow - Standardized'!E15</f>
        <v>-0.4</v>
      </c>
      <c r="N70" s="220">
        <f>'Cash Flow - Standardized'!F15</f>
        <v>-10.9</v>
      </c>
      <c r="O70" s="220">
        <f>'Cash Flow - Standardized'!G15</f>
        <v>-27.7</v>
      </c>
      <c r="P70" s="220">
        <f>'Cash Flow - Standardized'!H15</f>
        <v>3.2</v>
      </c>
      <c r="Q70" s="220">
        <f>'Cash Flow - Standardized'!I15</f>
        <v>-93.9</v>
      </c>
      <c r="R70" s="62"/>
    </row>
    <row r="71" spans="2:18" ht="14.45">
      <c r="B71" s="257" t="s">
        <v>717</v>
      </c>
      <c r="G71" s="220"/>
      <c r="H71" s="220"/>
      <c r="I71" s="220">
        <f>'Cash Flow - Standardized'!B16</f>
        <v>42.5</v>
      </c>
      <c r="J71" s="220">
        <f>'Cash Flow - Standardized'!C16</f>
        <v>-36.700000000000003</v>
      </c>
      <c r="K71" s="220">
        <f>'Cash Flow - Standardized'!D16</f>
        <v>-18.7</v>
      </c>
      <c r="L71" s="220"/>
      <c r="M71" s="220">
        <f>'Cash Flow - Standardized'!E16</f>
        <v>-0.5</v>
      </c>
      <c r="N71" s="220">
        <f>'Cash Flow - Standardized'!F16</f>
        <v>7.8</v>
      </c>
      <c r="O71" s="220">
        <f>'Cash Flow - Standardized'!G16</f>
        <v>-9.1</v>
      </c>
      <c r="P71" s="220">
        <f>'Cash Flow - Standardized'!H16</f>
        <v>18.399999999999999</v>
      </c>
      <c r="Q71" s="220">
        <f>'Cash Flow - Standardized'!I16</f>
        <v>26</v>
      </c>
      <c r="R71" s="62"/>
    </row>
    <row r="72" spans="2:18">
      <c r="B72" t="s">
        <v>591</v>
      </c>
      <c r="G72" s="220"/>
      <c r="H72" s="220"/>
      <c r="I72" s="220">
        <f>'Cash Flow - Standardized'!B10</f>
        <v>7.1</v>
      </c>
      <c r="J72" s="220">
        <f>'Cash Flow - Standardized'!C10</f>
        <v>13.5</v>
      </c>
      <c r="K72" s="220">
        <f>'Cash Flow - Standardized'!D10</f>
        <v>16.8</v>
      </c>
      <c r="L72" s="220"/>
      <c r="M72" s="220">
        <f>'Cash Flow - Standardized'!E10</f>
        <v>15.5</v>
      </c>
      <c r="N72" s="220">
        <f>'Cash Flow - Standardized'!F10</f>
        <v>19.7</v>
      </c>
      <c r="O72" s="220">
        <f>'Cash Flow - Standardized'!G10</f>
        <v>19.600000000000001</v>
      </c>
      <c r="P72" s="220">
        <f>'Cash Flow - Standardized'!H10</f>
        <v>29.1</v>
      </c>
      <c r="Q72" s="220">
        <f>'Cash Flow - Standardized'!I10</f>
        <v>40.6</v>
      </c>
      <c r="R72" s="62"/>
    </row>
    <row r="73" spans="2:18">
      <c r="B73" t="s">
        <v>594</v>
      </c>
      <c r="G73" s="256">
        <f t="shared" ref="G73:Q73" si="33">+G74-G66-G67-G68-G72</f>
        <v>0</v>
      </c>
      <c r="H73" s="256">
        <f t="shared" si="33"/>
        <v>-25.500000000000014</v>
      </c>
      <c r="I73" s="256">
        <f t="shared" si="33"/>
        <v>-12.600000000000007</v>
      </c>
      <c r="J73" s="256">
        <f t="shared" si="33"/>
        <v>-11.099999999999987</v>
      </c>
      <c r="K73" s="256">
        <f t="shared" si="33"/>
        <v>0.20000000000000995</v>
      </c>
      <c r="L73" s="256">
        <f t="shared" si="33"/>
        <v>0</v>
      </c>
      <c r="M73" s="256">
        <f t="shared" si="33"/>
        <v>-13.500000000000002</v>
      </c>
      <c r="N73" s="256">
        <f t="shared" si="33"/>
        <v>-8.0000000000000284</v>
      </c>
      <c r="O73" s="256">
        <f t="shared" si="33"/>
        <v>-6.6999999999999815</v>
      </c>
      <c r="P73" s="256">
        <f t="shared" si="33"/>
        <v>-10.099999999999952</v>
      </c>
      <c r="Q73" s="256">
        <f t="shared" si="33"/>
        <v>-15.499999999999922</v>
      </c>
      <c r="R73" s="62" t="str">
        <f t="shared" ref="R73:R93" si="34">IFERROR((Q73/G73)^(1/COUNT($G$4:$Q$4))-1,"")</f>
        <v/>
      </c>
    </row>
    <row r="74" spans="2:18" s="1" customFormat="1">
      <c r="B74" s="260" t="s">
        <v>324</v>
      </c>
      <c r="C74" s="260"/>
      <c r="D74" s="260"/>
      <c r="E74" s="260"/>
      <c r="F74" s="589"/>
      <c r="G74" s="261"/>
      <c r="H74" s="261"/>
      <c r="I74" s="261">
        <f>'Cash Flow - Standardized'!B18</f>
        <v>2.1</v>
      </c>
      <c r="J74" s="261">
        <f>'Cash Flow - Standardized'!C18</f>
        <v>12.4</v>
      </c>
      <c r="K74" s="261">
        <f>'Cash Flow - Standardized'!D18</f>
        <v>55.6</v>
      </c>
      <c r="L74" s="261"/>
      <c r="M74" s="261">
        <f>'Cash Flow - Standardized'!E18</f>
        <v>44.3</v>
      </c>
      <c r="N74" s="261">
        <f>'Cash Flow - Standardized'!F18</f>
        <v>29.5</v>
      </c>
      <c r="O74" s="261">
        <f>'Cash Flow - Standardized'!G18</f>
        <v>19.5</v>
      </c>
      <c r="P74" s="261">
        <f>'Cash Flow - Standardized'!H18</f>
        <v>101.9</v>
      </c>
      <c r="Q74" s="261">
        <f>'Cash Flow - Standardized'!I18</f>
        <v>71.2</v>
      </c>
      <c r="R74" s="262" t="str">
        <f t="shared" si="34"/>
        <v/>
      </c>
    </row>
    <row r="75" spans="2:18">
      <c r="B75" t="s">
        <v>30</v>
      </c>
      <c r="G75" s="229">
        <f t="shared" ref="G75:Q75" si="35">+SUM(G76:G77)</f>
        <v>0</v>
      </c>
      <c r="H75" s="229">
        <f t="shared" si="35"/>
        <v>0</v>
      </c>
      <c r="I75" s="229">
        <f t="shared" si="35"/>
        <v>-9.1</v>
      </c>
      <c r="J75" s="229">
        <f t="shared" si="35"/>
        <v>-7.5</v>
      </c>
      <c r="K75" s="229">
        <f t="shared" si="35"/>
        <v>-8.9</v>
      </c>
      <c r="L75" s="229">
        <f t="shared" si="35"/>
        <v>0</v>
      </c>
      <c r="M75" s="229">
        <f t="shared" si="35"/>
        <v>-9.4</v>
      </c>
      <c r="N75" s="229">
        <f t="shared" si="35"/>
        <v>-6.5</v>
      </c>
      <c r="O75" s="229">
        <f t="shared" si="35"/>
        <v>-4.8</v>
      </c>
      <c r="P75" s="229">
        <f t="shared" si="35"/>
        <v>-1.7</v>
      </c>
      <c r="Q75" s="229">
        <f t="shared" si="35"/>
        <v>-8.6999999999999993</v>
      </c>
      <c r="R75" s="62" t="str">
        <f t="shared" si="34"/>
        <v/>
      </c>
    </row>
    <row r="76" spans="2:18" ht="14.45">
      <c r="B76" s="257" t="s">
        <v>596</v>
      </c>
      <c r="G76" s="258"/>
      <c r="H76" s="258"/>
      <c r="I76" s="258">
        <f>'Cash Flow - Standardized'!B25</f>
        <v>-9.1999999999999993</v>
      </c>
      <c r="J76" s="258">
        <f>'Cash Flow - Standardized'!C25</f>
        <v>-7.5</v>
      </c>
      <c r="K76" s="258">
        <f>'Cash Flow - Standardized'!D25</f>
        <v>-8.9</v>
      </c>
      <c r="L76" s="258"/>
      <c r="M76" s="258">
        <f>'Cash Flow - Standardized'!E25</f>
        <v>-9.4</v>
      </c>
      <c r="N76" s="258">
        <f>'Cash Flow - Standardized'!F25</f>
        <v>-6.5</v>
      </c>
      <c r="O76" s="258">
        <f>'Cash Flow - Standardized'!G25</f>
        <v>-4.8</v>
      </c>
      <c r="P76" s="258">
        <f>'Cash Flow - Standardized'!H25</f>
        <v>-1.7</v>
      </c>
      <c r="Q76" s="258">
        <f>'Cash Flow - Standardized'!I25</f>
        <v>-8.6999999999999993</v>
      </c>
      <c r="R76" s="62" t="str">
        <f t="shared" si="34"/>
        <v/>
      </c>
    </row>
    <row r="77" spans="2:18" ht="14.45">
      <c r="B77" s="257" t="s">
        <v>597</v>
      </c>
      <c r="G77" s="258"/>
      <c r="H77" s="258"/>
      <c r="I77" s="258">
        <f>'Cash Flow - Standardized'!B22</f>
        <v>0.1</v>
      </c>
      <c r="J77" s="258">
        <f>'Cash Flow - Standardized'!C22</f>
        <v>0</v>
      </c>
      <c r="K77" s="258">
        <f>'Cash Flow - Standardized'!D22</f>
        <v>0</v>
      </c>
      <c r="L77" s="258"/>
      <c r="M77" s="258">
        <f>'Cash Flow - Standardized'!E22</f>
        <v>0</v>
      </c>
      <c r="N77" s="258">
        <f>'Cash Flow - Standardized'!F22</f>
        <v>0</v>
      </c>
      <c r="O77" s="258">
        <f>'Cash Flow - Standardized'!G22</f>
        <v>0</v>
      </c>
      <c r="P77" s="258">
        <f>'Cash Flow - Standardized'!H22</f>
        <v>0</v>
      </c>
      <c r="Q77" s="258">
        <f>'Cash Flow - Standardized'!I22</f>
        <v>0</v>
      </c>
      <c r="R77" s="62" t="str">
        <f t="shared" si="34"/>
        <v/>
      </c>
    </row>
    <row r="78" spans="2:18" ht="14.45">
      <c r="B78" s="83" t="s">
        <v>599</v>
      </c>
      <c r="G78" s="229">
        <f t="shared" ref="G78:Q78" si="36">+SUM(G79:G82)</f>
        <v>0</v>
      </c>
      <c r="H78" s="229">
        <f t="shared" si="36"/>
        <v>0</v>
      </c>
      <c r="I78" s="229">
        <f t="shared" si="36"/>
        <v>0</v>
      </c>
      <c r="J78" s="229">
        <f t="shared" si="36"/>
        <v>-2.9</v>
      </c>
      <c r="K78" s="229">
        <f t="shared" si="36"/>
        <v>0</v>
      </c>
      <c r="L78" s="229">
        <f t="shared" si="36"/>
        <v>0</v>
      </c>
      <c r="M78" s="229">
        <f>+SUM(M79:M82)</f>
        <v>-25.9</v>
      </c>
      <c r="N78" s="229">
        <f t="shared" si="36"/>
        <v>0</v>
      </c>
      <c r="O78" s="229">
        <f t="shared" si="36"/>
        <v>0</v>
      </c>
      <c r="P78" s="229">
        <f t="shared" si="36"/>
        <v>0</v>
      </c>
      <c r="Q78" s="229">
        <f t="shared" si="36"/>
        <v>-275</v>
      </c>
      <c r="R78" s="62" t="str">
        <f t="shared" si="34"/>
        <v/>
      </c>
    </row>
    <row r="79" spans="2:18" ht="14.45">
      <c r="B79" s="257" t="s">
        <v>718</v>
      </c>
      <c r="G79" s="258"/>
      <c r="H79" s="258"/>
      <c r="I79" s="258">
        <f>'Cash Flow - Standardized'!B33</f>
        <v>0</v>
      </c>
      <c r="J79" s="258">
        <f>'Cash Flow - Standardized'!C33</f>
        <v>0</v>
      </c>
      <c r="K79" s="258">
        <f>'Cash Flow - Standardized'!D33</f>
        <v>0</v>
      </c>
      <c r="L79" s="258"/>
      <c r="M79" s="258">
        <f>'Cash Flow - Standardized'!E33</f>
        <v>-25.9</v>
      </c>
      <c r="N79" s="258">
        <f>'Cash Flow - Standardized'!F33</f>
        <v>0</v>
      </c>
      <c r="O79" s="258">
        <f>'Cash Flow - Standardized'!G33</f>
        <v>0</v>
      </c>
      <c r="P79" s="258">
        <f>'Cash Flow - Standardized'!H33</f>
        <v>0</v>
      </c>
      <c r="Q79" s="258">
        <f>'Cash Flow - Standardized'!I33</f>
        <v>-275</v>
      </c>
      <c r="R79" s="62" t="str">
        <f t="shared" si="34"/>
        <v/>
      </c>
    </row>
    <row r="80" spans="2:18" ht="14.45">
      <c r="B80" s="257" t="s">
        <v>719</v>
      </c>
      <c r="G80" s="258"/>
      <c r="H80" s="258"/>
      <c r="I80" s="258">
        <f>'Cash Flow - Standardized'!B32</f>
        <v>0</v>
      </c>
      <c r="J80" s="258">
        <f>'Cash Flow - Standardized'!C32</f>
        <v>0</v>
      </c>
      <c r="K80" s="258">
        <f>'Cash Flow - Standardized'!D32</f>
        <v>0</v>
      </c>
      <c r="L80" s="258"/>
      <c r="M80" s="258">
        <f>'Cash Flow - Standardized'!E32</f>
        <v>0</v>
      </c>
      <c r="N80" s="258">
        <f>'Cash Flow - Standardized'!F32</f>
        <v>0</v>
      </c>
      <c r="O80" s="258">
        <f>'Cash Flow - Standardized'!G32</f>
        <v>0</v>
      </c>
      <c r="P80" s="258">
        <f>'Cash Flow - Standardized'!H32</f>
        <v>0</v>
      </c>
      <c r="Q80" s="258">
        <f>'Cash Flow - Standardized'!I32</f>
        <v>0</v>
      </c>
      <c r="R80" s="62" t="str">
        <f t="shared" si="34"/>
        <v/>
      </c>
    </row>
    <row r="81" spans="1:18" ht="14.45">
      <c r="B81" s="257" t="s">
        <v>720</v>
      </c>
      <c r="G81" s="258"/>
      <c r="H81" s="258"/>
      <c r="I81" s="258">
        <f>'Cash Flow - Standardized'!B30</f>
        <v>0</v>
      </c>
      <c r="J81" s="258">
        <f>'Cash Flow - Standardized'!C30</f>
        <v>-2.9</v>
      </c>
      <c r="K81" s="258">
        <f>'Cash Flow - Standardized'!D30</f>
        <v>0</v>
      </c>
      <c r="L81" s="258"/>
      <c r="M81" s="258">
        <f>'Cash Flow - Standardized'!F30</f>
        <v>0</v>
      </c>
      <c r="N81" s="258">
        <f>'Cash Flow - Standardized'!G30</f>
        <v>0</v>
      </c>
      <c r="O81" s="258">
        <f>'Cash Flow - Standardized'!H30</f>
        <v>0</v>
      </c>
      <c r="P81" s="258">
        <f>'Cash Flow - Standardized'!I30</f>
        <v>0</v>
      </c>
      <c r="Q81" s="258">
        <f>'Cash Flow - Standardized'!J30</f>
        <v>0</v>
      </c>
      <c r="R81" s="62" t="str">
        <f t="shared" si="34"/>
        <v/>
      </c>
    </row>
    <row r="82" spans="1:18" ht="14.45">
      <c r="B82" s="257" t="s">
        <v>721</v>
      </c>
      <c r="G82" s="258"/>
      <c r="H82" s="258"/>
      <c r="I82" s="258">
        <f>'Cash Flow - Standardized'!B29</f>
        <v>0</v>
      </c>
      <c r="J82" s="258">
        <f>'Cash Flow - Standardized'!C29</f>
        <v>0</v>
      </c>
      <c r="K82" s="258">
        <f>'Cash Flow - Standardized'!D29</f>
        <v>0</v>
      </c>
      <c r="L82" s="258">
        <f>'Cash Flow - Standardized'!E29</f>
        <v>0</v>
      </c>
      <c r="M82" s="258">
        <f>'Cash Flow - Standardized'!F29</f>
        <v>0</v>
      </c>
      <c r="N82" s="258">
        <f>'Cash Flow - Standardized'!G29</f>
        <v>0</v>
      </c>
      <c r="O82" s="258">
        <f>'Cash Flow - Standardized'!H29</f>
        <v>0</v>
      </c>
      <c r="P82" s="258">
        <f>'Cash Flow - Standardized'!I29</f>
        <v>0</v>
      </c>
      <c r="Q82" s="258">
        <f>'Cash Flow - Standardized'!J29</f>
        <v>0</v>
      </c>
      <c r="R82" s="62" t="str">
        <f t="shared" si="34"/>
        <v/>
      </c>
    </row>
    <row r="83" spans="1:18">
      <c r="B83" t="s">
        <v>600</v>
      </c>
      <c r="G83" s="229">
        <f>+G84-G75-G78</f>
        <v>0</v>
      </c>
      <c r="H83" s="229">
        <f t="shared" ref="H83:Q83" si="37">+H84-H75-H78</f>
        <v>0</v>
      </c>
      <c r="I83" s="229">
        <f t="shared" si="37"/>
        <v>0</v>
      </c>
      <c r="J83" s="229">
        <f t="shared" si="37"/>
        <v>0</v>
      </c>
      <c r="K83" s="229">
        <f t="shared" si="37"/>
        <v>0</v>
      </c>
      <c r="L83" s="229">
        <f t="shared" si="37"/>
        <v>0</v>
      </c>
      <c r="M83" s="229">
        <f t="shared" si="37"/>
        <v>0</v>
      </c>
      <c r="N83" s="229">
        <f t="shared" si="37"/>
        <v>0</v>
      </c>
      <c r="O83" s="229">
        <f t="shared" si="37"/>
        <v>0</v>
      </c>
      <c r="P83" s="229">
        <f t="shared" si="37"/>
        <v>0</v>
      </c>
      <c r="Q83" s="229">
        <f t="shared" si="37"/>
        <v>-1</v>
      </c>
      <c r="R83" s="62" t="str">
        <f t="shared" si="34"/>
        <v/>
      </c>
    </row>
    <row r="84" spans="1:18" s="1" customFormat="1">
      <c r="B84" s="260" t="s">
        <v>325</v>
      </c>
      <c r="C84" s="260"/>
      <c r="D84" s="260"/>
      <c r="E84" s="260"/>
      <c r="F84" s="589"/>
      <c r="G84" s="261"/>
      <c r="H84" s="261"/>
      <c r="I84" s="261">
        <f>'Cash Flow - Standardized'!B37</f>
        <v>-9.1</v>
      </c>
      <c r="J84" s="261">
        <f>'Cash Flow - Standardized'!C37</f>
        <v>-10.4</v>
      </c>
      <c r="K84" s="261">
        <f>'Cash Flow - Standardized'!D37</f>
        <v>-8.9</v>
      </c>
      <c r="L84" s="261"/>
      <c r="M84" s="261">
        <f>'Cash Flow - Standardized'!E37</f>
        <v>-35.299999999999997</v>
      </c>
      <c r="N84" s="261">
        <f>'Cash Flow - Standardized'!F37</f>
        <v>-6.5</v>
      </c>
      <c r="O84" s="261">
        <f>'Cash Flow - Standardized'!G37</f>
        <v>-4.8</v>
      </c>
      <c r="P84" s="261">
        <f>'Cash Flow - Standardized'!H37</f>
        <v>-1.7</v>
      </c>
      <c r="Q84" s="261">
        <f>'Cash Flow - Standardized'!I37</f>
        <v>-284.7</v>
      </c>
      <c r="R84" s="262" t="str">
        <f t="shared" si="34"/>
        <v/>
      </c>
    </row>
    <row r="85" spans="1:18">
      <c r="B85" t="s">
        <v>326</v>
      </c>
      <c r="G85" s="220"/>
      <c r="H85" s="220"/>
      <c r="I85" s="220">
        <f>'Cash Flow - Standardized'!B43</f>
        <v>172.7</v>
      </c>
      <c r="J85" s="220">
        <f>'Cash Flow - Standardized'!C43</f>
        <v>0</v>
      </c>
      <c r="K85" s="220">
        <f>'Cash Flow - Standardized'!D43</f>
        <v>0</v>
      </c>
      <c r="L85" s="220"/>
      <c r="M85" s="220">
        <f>'Cash Flow - Standardized'!E43</f>
        <v>0</v>
      </c>
      <c r="N85" s="220">
        <f>'Cash Flow - Standardized'!F43</f>
        <v>0</v>
      </c>
      <c r="O85" s="220">
        <f>'Cash Flow - Standardized'!G43</f>
        <v>25.6</v>
      </c>
      <c r="P85" s="220">
        <f>'Cash Flow - Standardized'!H43</f>
        <v>0</v>
      </c>
      <c r="Q85" s="220">
        <f>'Cash Flow - Standardized'!I43</f>
        <v>204.5</v>
      </c>
      <c r="R85" s="62" t="str">
        <f t="shared" si="34"/>
        <v/>
      </c>
    </row>
    <row r="86" spans="1:18">
      <c r="B86" t="s">
        <v>327</v>
      </c>
      <c r="G86" s="220"/>
      <c r="H86" s="220"/>
      <c r="I86" s="220">
        <f>'Cash Flow - Standardized'!B44</f>
        <v>-151.5</v>
      </c>
      <c r="J86" s="220">
        <f>'Cash Flow - Standardized'!C44</f>
        <v>-8.3000000000000007</v>
      </c>
      <c r="K86" s="220">
        <f>'Cash Flow - Standardized'!D44</f>
        <v>-8.3000000000000007</v>
      </c>
      <c r="L86" s="220"/>
      <c r="M86" s="220">
        <f>'Cash Flow - Standardized'!E44</f>
        <v>-9.5</v>
      </c>
      <c r="N86" s="220">
        <f>'Cash Flow - Standardized'!F44</f>
        <v>-11.8</v>
      </c>
      <c r="O86" s="220">
        <f>'Cash Flow - Standardized'!G44</f>
        <v>-54.5</v>
      </c>
      <c r="P86" s="220">
        <f>'Cash Flow - Standardized'!H44</f>
        <v>-30</v>
      </c>
      <c r="Q86" s="220">
        <f>'Cash Flow - Standardized'!I44</f>
        <v>-7.9</v>
      </c>
      <c r="R86" s="62" t="str">
        <f t="shared" si="34"/>
        <v/>
      </c>
    </row>
    <row r="87" spans="1:18">
      <c r="B87" s="78" t="s">
        <v>607</v>
      </c>
      <c r="G87" s="220"/>
      <c r="H87" s="220"/>
      <c r="I87" s="754">
        <v>0</v>
      </c>
      <c r="J87" s="754">
        <v>0</v>
      </c>
      <c r="K87" s="754">
        <v>0</v>
      </c>
      <c r="L87" s="754"/>
      <c r="M87" s="754">
        <v>2.95</v>
      </c>
      <c r="N87" s="754">
        <v>4.7560000000000002</v>
      </c>
      <c r="O87" s="754">
        <v>4.6859999999999999</v>
      </c>
      <c r="P87" s="754">
        <v>4.6379999999999999</v>
      </c>
      <c r="Q87" s="754">
        <v>7.3410000000000002</v>
      </c>
      <c r="R87" s="62" t="str">
        <f t="shared" si="34"/>
        <v/>
      </c>
    </row>
    <row r="88" spans="1:18">
      <c r="B88" t="s">
        <v>601</v>
      </c>
      <c r="G88" s="220"/>
      <c r="H88" s="220"/>
      <c r="I88" s="220">
        <f>'Cash Flow - Standardized'!B40</f>
        <v>-68</v>
      </c>
      <c r="J88" s="220">
        <f>'Cash Flow - Standardized'!C40</f>
        <v>0</v>
      </c>
      <c r="K88" s="220">
        <f>'Cash Flow - Standardized'!D40</f>
        <v>0</v>
      </c>
      <c r="L88" s="220">
        <f>'Cash Flow - Standardized'!E40</f>
        <v>0</v>
      </c>
      <c r="M88" s="220">
        <f>'Cash Flow - Standardized'!F40</f>
        <v>0</v>
      </c>
      <c r="N88" s="220">
        <f>'Cash Flow - Standardized'!G40</f>
        <v>0</v>
      </c>
      <c r="O88" s="220">
        <f>'Cash Flow - Standardized'!H40</f>
        <v>0</v>
      </c>
      <c r="P88" s="220">
        <f>'Cash Flow - Standardized'!I40</f>
        <v>0</v>
      </c>
      <c r="Q88" s="220">
        <f>'Cash Flow - Standardized'!J40</f>
        <v>0</v>
      </c>
      <c r="R88" s="62" t="str">
        <f t="shared" si="34"/>
        <v/>
      </c>
    </row>
    <row r="89" spans="1:18">
      <c r="B89" t="s">
        <v>603</v>
      </c>
      <c r="G89" s="220"/>
      <c r="H89" s="220"/>
      <c r="I89" s="220">
        <f>'Cash Flow - Standardized'!B45</f>
        <v>64.099999999999994</v>
      </c>
      <c r="J89" s="220">
        <f>'Cash Flow - Standardized'!C45</f>
        <v>2</v>
      </c>
      <c r="K89" s="220">
        <f>'Cash Flow - Standardized'!D45</f>
        <v>3.2</v>
      </c>
      <c r="L89" s="220"/>
      <c r="M89" s="220">
        <f>'Cash Flow - Standardized'!E45</f>
        <v>-6.4</v>
      </c>
      <c r="N89" s="220">
        <f>'Cash Flow - Standardized'!F45</f>
        <v>1.5</v>
      </c>
      <c r="O89" s="220">
        <f>'Cash Flow - Standardized'!G45</f>
        <v>1.7</v>
      </c>
      <c r="P89" s="220">
        <f>'Cash Flow - Standardized'!H45</f>
        <v>8.1</v>
      </c>
      <c r="Q89" s="220">
        <f>'Cash Flow - Standardized'!I45</f>
        <v>5.6</v>
      </c>
      <c r="R89" s="62" t="str">
        <f t="shared" si="34"/>
        <v/>
      </c>
    </row>
    <row r="90" spans="1:18">
      <c r="B90" t="s">
        <v>612</v>
      </c>
      <c r="G90" s="229">
        <f>+G91-G85-G86-G87-G88-G89</f>
        <v>0</v>
      </c>
      <c r="H90" s="229">
        <f t="shared" ref="H90:Q90" si="38">+H91-H85-H86-H87-H88-H89</f>
        <v>0</v>
      </c>
      <c r="I90" s="229">
        <f t="shared" si="38"/>
        <v>-8.9999999999999716</v>
      </c>
      <c r="J90" s="229">
        <f t="shared" si="38"/>
        <v>-0.89999999999999947</v>
      </c>
      <c r="K90" s="229">
        <f t="shared" si="38"/>
        <v>-0.49999999999999911</v>
      </c>
      <c r="L90" s="229">
        <f t="shared" si="38"/>
        <v>0</v>
      </c>
      <c r="M90" s="229">
        <f t="shared" si="38"/>
        <v>-3.7499999999999982</v>
      </c>
      <c r="N90" s="229">
        <f t="shared" si="38"/>
        <v>-5.8559999999999999</v>
      </c>
      <c r="O90" s="229">
        <f t="shared" si="38"/>
        <v>-6.586000000000003</v>
      </c>
      <c r="P90" s="229">
        <f t="shared" si="38"/>
        <v>-5.4379999999999988</v>
      </c>
      <c r="Q90" s="229">
        <f t="shared" si="38"/>
        <v>-8.6409999999999947</v>
      </c>
      <c r="R90" s="62" t="str">
        <f t="shared" si="34"/>
        <v/>
      </c>
    </row>
    <row r="91" spans="1:18" s="1" customFormat="1">
      <c r="B91" s="260" t="s">
        <v>328</v>
      </c>
      <c r="C91" s="260"/>
      <c r="D91" s="260"/>
      <c r="E91" s="260"/>
      <c r="F91" s="589"/>
      <c r="G91" s="265"/>
      <c r="H91" s="265"/>
      <c r="I91" s="265">
        <f>'Cash Flow - Standardized'!B50</f>
        <v>8.3000000000000007</v>
      </c>
      <c r="J91" s="265">
        <f>'Cash Flow - Standardized'!C50</f>
        <v>-7.2</v>
      </c>
      <c r="K91" s="265">
        <f>'Cash Flow - Standardized'!D50</f>
        <v>-5.6</v>
      </c>
      <c r="L91" s="265"/>
      <c r="M91" s="265">
        <f>'Cash Flow - Standardized'!E50</f>
        <v>-16.7</v>
      </c>
      <c r="N91" s="265">
        <f>'Cash Flow - Standardized'!F50</f>
        <v>-11.4</v>
      </c>
      <c r="O91" s="265">
        <f>'Cash Flow - Standardized'!G50</f>
        <v>-29.1</v>
      </c>
      <c r="P91" s="265">
        <f>'Cash Flow - Standardized'!H50</f>
        <v>-22.7</v>
      </c>
      <c r="Q91" s="265">
        <f>'Cash Flow - Standardized'!I50</f>
        <v>200.9</v>
      </c>
      <c r="R91" s="262" t="str">
        <f t="shared" si="34"/>
        <v/>
      </c>
    </row>
    <row r="92" spans="1:18" s="1" customFormat="1" ht="14.45" thickBot="1">
      <c r="B92" s="266" t="s">
        <v>722</v>
      </c>
      <c r="C92" s="263"/>
      <c r="D92" s="263"/>
      <c r="E92" s="263"/>
      <c r="F92" s="591"/>
      <c r="G92" s="267"/>
      <c r="H92" s="267"/>
      <c r="I92" s="267">
        <f>'Cash Flow - Standardized'!B52</f>
        <v>0</v>
      </c>
      <c r="J92" s="267">
        <f>'Cash Flow - Standardized'!C52</f>
        <v>0</v>
      </c>
      <c r="K92" s="267">
        <f>'Cash Flow - Standardized'!D52</f>
        <v>0</v>
      </c>
      <c r="L92" s="267">
        <f>'Cash Flow - Standardized'!E52</f>
        <v>0</v>
      </c>
      <c r="M92" s="267">
        <f>'Cash Flow - Standardized'!F52</f>
        <v>0</v>
      </c>
      <c r="N92" s="267">
        <f>'Cash Flow - Standardized'!G52</f>
        <v>0</v>
      </c>
      <c r="O92" s="267">
        <f>'Cash Flow - Standardized'!H52</f>
        <v>0</v>
      </c>
      <c r="P92" s="267">
        <f>'Cash Flow - Standardized'!I52</f>
        <v>0</v>
      </c>
      <c r="Q92" s="267">
        <f>'Cash Flow - Standardized'!J52</f>
        <v>0</v>
      </c>
      <c r="R92" s="264" t="str">
        <f t="shared" si="34"/>
        <v/>
      </c>
    </row>
    <row r="93" spans="1:18" s="1" customFormat="1">
      <c r="B93" s="1" t="s">
        <v>329</v>
      </c>
      <c r="F93"/>
      <c r="G93" s="230"/>
      <c r="H93" s="230"/>
      <c r="I93" s="230">
        <f>'Cash Flow - Standardized'!B54</f>
        <v>1.3</v>
      </c>
      <c r="J93" s="230">
        <f>'Cash Flow - Standardized'!C54</f>
        <v>-5.2</v>
      </c>
      <c r="K93" s="230">
        <f>'Cash Flow - Standardized'!D54</f>
        <v>41.1</v>
      </c>
      <c r="L93" s="230"/>
      <c r="M93" s="230">
        <f>'Cash Flow - Standardized'!E54</f>
        <v>-7.7</v>
      </c>
      <c r="N93" s="230">
        <f>'Cash Flow - Standardized'!F54</f>
        <v>11.6</v>
      </c>
      <c r="O93" s="230">
        <f>'Cash Flow - Standardized'!G54</f>
        <v>-14.4</v>
      </c>
      <c r="P93" s="230">
        <f>'Cash Flow - Standardized'!H54</f>
        <v>77.400000000000006</v>
      </c>
      <c r="Q93" s="230">
        <f>'Cash Flow - Standardized'!I54</f>
        <v>-12.6</v>
      </c>
      <c r="R93" s="65" t="str">
        <f t="shared" si="34"/>
        <v/>
      </c>
    </row>
    <row r="94" spans="1:18" ht="14.45">
      <c r="B94" s="83" t="s">
        <v>723</v>
      </c>
    </row>
    <row r="95" spans="1:18" ht="15.6">
      <c r="A95" t="s">
        <v>472</v>
      </c>
      <c r="B95" s="217" t="s">
        <v>724</v>
      </c>
      <c r="C95" s="55"/>
      <c r="D95" s="55"/>
      <c r="E95" s="55"/>
      <c r="F95" s="55"/>
      <c r="G95" s="480">
        <v>42004</v>
      </c>
      <c r="H95" s="480">
        <v>42369</v>
      </c>
      <c r="I95" s="480">
        <v>42735</v>
      </c>
      <c r="J95" s="480">
        <v>43100</v>
      </c>
      <c r="K95" s="480">
        <v>43465</v>
      </c>
      <c r="L95" s="753">
        <v>43830</v>
      </c>
      <c r="M95" s="480">
        <v>43921</v>
      </c>
      <c r="N95" s="480">
        <v>44286</v>
      </c>
      <c r="O95" s="480">
        <v>44651</v>
      </c>
      <c r="P95" s="480">
        <v>45016</v>
      </c>
      <c r="Q95" s="480">
        <v>45382</v>
      </c>
      <c r="R95" s="26"/>
    </row>
    <row r="96" spans="1:18" ht="3.95" customHeight="1">
      <c r="B96" s="224"/>
      <c r="C96" s="224"/>
      <c r="D96" s="224"/>
      <c r="E96" s="224"/>
      <c r="F96" s="224"/>
      <c r="G96" s="225"/>
      <c r="H96" s="225"/>
      <c r="I96" s="225"/>
      <c r="J96" s="225"/>
      <c r="K96" s="225"/>
      <c r="L96" s="225"/>
      <c r="M96" s="225"/>
      <c r="N96" s="225"/>
      <c r="O96" s="225"/>
      <c r="P96" s="225"/>
      <c r="Q96" s="225"/>
      <c r="R96" s="26"/>
    </row>
    <row r="97" spans="1:18">
      <c r="B97" t="s">
        <v>725</v>
      </c>
      <c r="G97" s="256" cm="1">
        <f t="array" aca="1" ref="G97" ca="1">(IFERROR(_xlfn.STOCKHISTORY("CMG", G95, G95, 0, 0, 1), IFERROR(_xlfn.STOCKHISTORY("CMG", G95+1, G95+1, 0, 0, 1), _xlfn.STOCKHISTORY("CMG", G95-2, G95-2, 0, 0, 1))))*_xlfn.XLOOKUP("Basic Weighted Average Shares",$B:$B,G:G)</f>
        <v>0</v>
      </c>
      <c r="H97" s="256" cm="1">
        <f t="array" aca="1" ref="H97" ca="1">(IFERROR(_xlfn.STOCKHISTORY("CMG", H95, H95, 0, 0, 1), IFERROR(_xlfn.STOCKHISTORY("CMG", H95+1, H95+1, 0, 0, 1), _xlfn.STOCKHISTORY("CMG", H95-2, H95-2, 0, 0, 1))))*_xlfn.XLOOKUP("Basic Weighted Average Shares",$B:$B,H:H)</f>
        <v>0</v>
      </c>
      <c r="I97" s="256" cm="1">
        <f t="array" aca="1" ref="I97" ca="1">(IFERROR(_xlfn.STOCKHISTORY(DCF!$R$4, I95, I95, 0, 0, 1), IFERROR(_xlfn.STOCKHISTORY(DCF!$R$4, I95+1, I95+1, 0, 0, 1), _xlfn.STOCKHISTORY(DCF!$R$4, I95-2, I95-2, 0, 0, 1))))*_xlfn.XLOOKUP("Basic Weighted Average Shares",$B:$B,I:I)</f>
        <v>365.904</v>
      </c>
      <c r="J97" s="256" cm="1">
        <f t="array" aca="1" ref="J97" ca="1">(IFERROR(_xlfn.STOCKHISTORY(DCF!$R$4, J95, J95, 0, 0, 1), IFERROR(_xlfn.STOCKHISTORY(DCF!$R$4, J95+1, J95+1, 0, 0, 1), _xlfn.STOCKHISTORY(DCF!$R$4, J95-2, J95-2, 0, 0, 1))))*_xlfn.XLOOKUP("Basic Weighted Average Shares",$B:$B,J:J)</f>
        <v>1012.8739999999999</v>
      </c>
      <c r="K97" s="256" cm="1">
        <f t="array" aca="1" ref="K97" ca="1">(IFERROR(_xlfn.STOCKHISTORY(DCF!$R$4, K95, K95, 0, 0, 1), IFERROR(_xlfn.STOCKHISTORY(DCF!$R$4, K95+1, K95+1, 0, 0, 1), _xlfn.STOCKHISTORY(DCF!$R$4, K95-2, K95-2, 0, 0, 1))))*_xlfn.XLOOKUP("Basic Weighted Average Shares",$B:$B,K:K)</f>
        <v>405.28799999999995</v>
      </c>
      <c r="L97" s="256" cm="1">
        <f t="array" aca="1" ref="L97" ca="1">(IFERROR(_xlfn.STOCKHISTORY(DCF!$R$4, L95, L95, 0, 0, 1), IFERROR(_xlfn.STOCKHISTORY(DCF!$R$4, L95+1, L95+1, 0, 0, 1), _xlfn.STOCKHISTORY(DCF!$R$4, L95-2, L95-2, 0, 0, 1))))*_xlfn.XLOOKUP("Basic Weighted Average Shares",$B:$B,L:L)</f>
        <v>0</v>
      </c>
      <c r="M97" s="256" cm="1">
        <f t="array" aca="1" ref="M97" ca="1">(IFERROR(_xlfn.STOCKHISTORY(DCF!$R$4, M95, M95, 0, 0, 1), IFERROR(_xlfn.STOCKHISTORY(DCF!$R$4, M95+1, M95+1, 0, 0, 1), _xlfn.STOCKHISTORY(DCF!$R$4, M95-2, M95-2, 0, 0, 1))))*_xlfn.XLOOKUP("Basic Weighted Average Shares",$B:$B,M:M)</f>
        <v>477.24</v>
      </c>
      <c r="N97" s="256" cm="1">
        <f t="array" aca="1" ref="N97" ca="1">(IFERROR(_xlfn.STOCKHISTORY(DCF!$R$4, N95, N95, 0, 0, 1), IFERROR(_xlfn.STOCKHISTORY(DCF!$R$4, N95+1, N95+1, 0, 0, 1), _xlfn.STOCKHISTORY(DCF!$R$4, N95-2, N95-2, 0, 0, 1))))*_xlfn.XLOOKUP("Basic Weighted Average Shares",$B:$B,N:N)</f>
        <v>1325.4019999999998</v>
      </c>
      <c r="O97" s="256" cm="1">
        <f t="array" aca="1" ref="O97" ca="1">(IFERROR(_xlfn.STOCKHISTORY(DCF!$R$4, O95, O95, 0, 0, 1), IFERROR(_xlfn.STOCKHISTORY(DCF!$R$4, O95+1, O95+1, 0, 0, 1), _xlfn.STOCKHISTORY(DCF!$R$4, O95-2, O95-2, 0, 0, 1))))*_xlfn.XLOOKUP("Basic Weighted Average Shares",$B:$B,O:O)</f>
        <v>1314.7469999999998</v>
      </c>
      <c r="P97" s="256" cm="1">
        <f t="array" aca="1" ref="P97" ca="1">(IFERROR(_xlfn.STOCKHISTORY(DCF!$R$4, P95, P95, 0, 0, 1), IFERROR(_xlfn.STOCKHISTORY(DCF!$R$4, P95+1, P95+1, 0, 0, 1), _xlfn.STOCKHISTORY(DCF!$R$4, P95-2, P95-2, 0, 0, 1))))*_xlfn.XLOOKUP("Basic Weighted Average Shares",$B:$B,P:P)</f>
        <v>4323.375</v>
      </c>
      <c r="Q97" s="256" cm="1">
        <f t="array" aca="1" ref="Q97" ca="1">(IFERROR(_xlfn.STOCKHISTORY(DCF!$R$4, Q95, Q95, 0, 0, 1), IFERROR(_xlfn.STOCKHISTORY(DCF!$R$4, Q95+1, Q95+1, 0, 0, 1), _xlfn.STOCKHISTORY(DCF!$R$4, Q95-2, Q95-2, 0, 0, 1))))*_xlfn.XLOOKUP("Basic Weighted Average Shares",$B:$B,Q:Q)</f>
        <v>10500.759</v>
      </c>
    </row>
    <row r="98" spans="1:18">
      <c r="B98" t="s">
        <v>311</v>
      </c>
      <c r="G98" s="237">
        <f t="shared" ref="G98:H98" si="39">_xlfn.XLOOKUP("Cash &amp; Cash Equivalents &amp; ST Investments",$B$30:$B$62,G$30:G$62)/1000</f>
        <v>0</v>
      </c>
      <c r="H98" s="237">
        <f t="shared" si="39"/>
        <v>1.4E-2</v>
      </c>
      <c r="I98" s="256">
        <f>_xlfn.XLOOKUP("Cash &amp; Cash Equivalents &amp; ST Investments",$B$30:$B$62,I$30:I$62)</f>
        <v>15.3</v>
      </c>
      <c r="J98" s="256">
        <f t="shared" ref="J98:Q98" si="40">_xlfn.XLOOKUP("Cash &amp; Cash Equivalents &amp; ST Investments",$B$30:$B$62,J$30:J$62)</f>
        <v>10.1</v>
      </c>
      <c r="K98" s="256">
        <f t="shared" si="40"/>
        <v>51.2</v>
      </c>
      <c r="L98" s="256">
        <f t="shared" si="40"/>
        <v>53.9</v>
      </c>
      <c r="M98" s="256">
        <f t="shared" si="40"/>
        <v>46.2</v>
      </c>
      <c r="N98" s="256">
        <f t="shared" si="40"/>
        <v>57.8</v>
      </c>
      <c r="O98" s="256">
        <f t="shared" si="40"/>
        <v>43.4</v>
      </c>
      <c r="P98" s="256">
        <f t="shared" si="40"/>
        <v>120.8</v>
      </c>
      <c r="Q98" s="256">
        <f t="shared" si="40"/>
        <v>108.2</v>
      </c>
    </row>
    <row r="99" spans="1:18">
      <c r="B99" t="s">
        <v>321</v>
      </c>
      <c r="G99" s="237">
        <f t="shared" ref="G99:H99" si="41">(_xlfn.XLOOKUP("Short-Term Debt",$B$30:$B$62,G$30:G$62)+_xlfn.XLOOKUP("Long-Term Debt",$B$30:$B$62,G$30:G$62))/1000</f>
        <v>0</v>
      </c>
      <c r="H99" s="237">
        <f t="shared" si="41"/>
        <v>0.1346</v>
      </c>
      <c r="I99" s="256">
        <f>(_xlfn.XLOOKUP("Short-Term Debt",$B$30:$B$62,I$30:I$62)+_xlfn.XLOOKUP("Long-Term Debt",$B$30:$B$62,I$30:I$62))</f>
        <v>156.19999999999999</v>
      </c>
      <c r="J99" s="256">
        <f t="shared" ref="J99:Q99" si="42">(_xlfn.XLOOKUP("Short-Term Debt",$B$30:$B$62,J$30:J$62)+_xlfn.XLOOKUP("Long-Term Debt",$B$30:$B$62,J$30:J$62))</f>
        <v>147.69999999999999</v>
      </c>
      <c r="K99" s="256">
        <f t="shared" si="42"/>
        <v>140.5</v>
      </c>
      <c r="L99" s="256">
        <f t="shared" si="42"/>
        <v>158.80000000000001</v>
      </c>
      <c r="M99" s="256">
        <f t="shared" si="42"/>
        <v>141.20000000000002</v>
      </c>
      <c r="N99" s="256">
        <f t="shared" si="42"/>
        <v>135.5</v>
      </c>
      <c r="O99" s="256">
        <f t="shared" si="42"/>
        <v>111.30000000000001</v>
      </c>
      <c r="P99" s="256">
        <f t="shared" si="42"/>
        <v>76.5</v>
      </c>
      <c r="Q99" s="256">
        <f t="shared" si="42"/>
        <v>190.3</v>
      </c>
    </row>
    <row r="100" spans="1:18">
      <c r="B100" s="78" t="s">
        <v>726</v>
      </c>
      <c r="G100" s="238"/>
      <c r="H100" s="238"/>
      <c r="I100" s="238">
        <v>0</v>
      </c>
      <c r="J100" s="238">
        <v>0</v>
      </c>
      <c r="K100" s="238">
        <v>0</v>
      </c>
      <c r="L100" s="238">
        <v>0</v>
      </c>
      <c r="M100" s="238">
        <v>0</v>
      </c>
      <c r="N100" s="238">
        <v>0</v>
      </c>
      <c r="O100" s="238">
        <v>0</v>
      </c>
      <c r="P100" s="238">
        <v>0</v>
      </c>
      <c r="Q100" s="238">
        <v>0</v>
      </c>
    </row>
    <row r="101" spans="1:18">
      <c r="B101" t="s">
        <v>713</v>
      </c>
      <c r="G101" s="26">
        <f t="shared" ref="G101:H101" si="43">_xlfn.XLOOKUP("Non-Controlling Interest",$B$30:$B$62,G$30:G$62)/1000</f>
        <v>0</v>
      </c>
      <c r="H101" s="26">
        <f t="shared" si="43"/>
        <v>0</v>
      </c>
      <c r="I101" s="256">
        <f>_xlfn.XLOOKUP("Non-Controlling Interest",$B$30:$B$62,I$30:I$62)</f>
        <v>0</v>
      </c>
      <c r="J101" s="256">
        <f t="shared" ref="J101:Q101" si="44">_xlfn.XLOOKUP("Non-Controlling Interest",$B$30:$B$62,J$30:J$62)</f>
        <v>0</v>
      </c>
      <c r="K101" s="256">
        <f t="shared" si="44"/>
        <v>0</v>
      </c>
      <c r="L101" s="256">
        <f t="shared" si="44"/>
        <v>0</v>
      </c>
      <c r="M101" s="256">
        <f t="shared" si="44"/>
        <v>0</v>
      </c>
      <c r="N101" s="256">
        <f t="shared" si="44"/>
        <v>0</v>
      </c>
      <c r="O101" s="256">
        <f t="shared" si="44"/>
        <v>0</v>
      </c>
      <c r="P101" s="256">
        <f t="shared" si="44"/>
        <v>0</v>
      </c>
      <c r="Q101" s="256">
        <f t="shared" si="44"/>
        <v>0</v>
      </c>
    </row>
    <row r="102" spans="1:18">
      <c r="B102" t="s">
        <v>623</v>
      </c>
      <c r="G102" s="239">
        <f t="shared" ref="G102:M102" ca="1" si="45">+G97-G98+G99+G100+G101</f>
        <v>0</v>
      </c>
      <c r="H102" s="239">
        <f t="shared" ca="1" si="45"/>
        <v>0.1206</v>
      </c>
      <c r="I102" s="239">
        <f t="shared" ca="1" si="45"/>
        <v>506.80399999999997</v>
      </c>
      <c r="J102" s="239">
        <f t="shared" ca="1" si="45"/>
        <v>1150.4739999999999</v>
      </c>
      <c r="K102" s="239">
        <f t="shared" ca="1" si="45"/>
        <v>494.58799999999997</v>
      </c>
      <c r="L102" s="239">
        <f t="shared" ca="1" si="45"/>
        <v>104.9</v>
      </c>
      <c r="M102" s="239">
        <f t="shared" ca="1" si="45"/>
        <v>572.24</v>
      </c>
      <c r="N102" s="239">
        <f ca="1">+N97-N98+N99+N100+N101</f>
        <v>1403.1019999999999</v>
      </c>
      <c r="O102" s="239">
        <f t="shared" ref="O102:Q102" ca="1" si="46">+O97-O98+O99+O100+O101</f>
        <v>1382.6469999999997</v>
      </c>
      <c r="P102" s="239">
        <f t="shared" ca="1" si="46"/>
        <v>4279.0749999999998</v>
      </c>
      <c r="Q102" s="239">
        <f t="shared" ca="1" si="46"/>
        <v>10582.858999999999</v>
      </c>
    </row>
    <row r="103" spans="1:18" ht="5.25" customHeight="1"/>
    <row r="104" spans="1:18" ht="15.6">
      <c r="A104" t="s">
        <v>472</v>
      </c>
      <c r="B104" s="51" t="s">
        <v>92</v>
      </c>
      <c r="C104" s="55"/>
      <c r="D104" s="55"/>
      <c r="E104" s="55"/>
      <c r="F104" s="55"/>
      <c r="G104" s="240" t="s">
        <v>727</v>
      </c>
      <c r="H104" s="218">
        <v>2025</v>
      </c>
      <c r="I104" s="218">
        <f>+H104+1</f>
        <v>2026</v>
      </c>
      <c r="J104" s="218">
        <f t="shared" ref="J104:Q104" si="47">+I104+1</f>
        <v>2027</v>
      </c>
      <c r="K104" s="218">
        <f t="shared" si="47"/>
        <v>2028</v>
      </c>
      <c r="L104" s="218">
        <f t="shared" si="47"/>
        <v>2029</v>
      </c>
      <c r="M104" s="218">
        <f t="shared" si="47"/>
        <v>2030</v>
      </c>
      <c r="N104" s="218">
        <f t="shared" si="47"/>
        <v>2031</v>
      </c>
      <c r="O104" s="218">
        <f t="shared" si="47"/>
        <v>2032</v>
      </c>
      <c r="P104" s="218">
        <f t="shared" si="47"/>
        <v>2033</v>
      </c>
      <c r="Q104" s="696">
        <f t="shared" si="47"/>
        <v>2034</v>
      </c>
    </row>
    <row r="105" spans="1:18" ht="3.95" customHeight="1">
      <c r="B105" s="224"/>
      <c r="C105" s="224"/>
      <c r="D105" s="224"/>
      <c r="E105" s="224"/>
      <c r="F105" s="224"/>
      <c r="G105" s="225"/>
      <c r="H105" s="225"/>
      <c r="I105" s="225"/>
      <c r="J105" s="225"/>
      <c r="K105" s="225"/>
      <c r="L105" s="225" t="s">
        <v>728</v>
      </c>
      <c r="M105" s="225" t="s">
        <v>728</v>
      </c>
      <c r="N105" s="225" t="s">
        <v>728</v>
      </c>
      <c r="O105" s="225" t="s">
        <v>728</v>
      </c>
      <c r="P105" s="225" t="s">
        <v>728</v>
      </c>
      <c r="Q105" s="225" t="s">
        <v>728</v>
      </c>
    </row>
    <row r="106" spans="1:18">
      <c r="B106" s="751" t="s">
        <v>727</v>
      </c>
      <c r="G106" s="695"/>
      <c r="H106" s="238"/>
      <c r="I106" s="238"/>
      <c r="J106" s="238"/>
      <c r="K106" s="238"/>
      <c r="L106" s="238"/>
      <c r="M106" s="238"/>
      <c r="N106" s="238"/>
      <c r="O106" s="238"/>
      <c r="P106" s="238"/>
      <c r="Q106" s="238"/>
    </row>
    <row r="107" spans="1:18">
      <c r="B107" s="751" t="s">
        <v>729</v>
      </c>
      <c r="G107"/>
      <c r="H107" s="238"/>
      <c r="I107" s="238"/>
      <c r="J107" s="238"/>
      <c r="K107" s="238"/>
      <c r="L107" s="238"/>
      <c r="M107" s="238"/>
      <c r="N107" s="238"/>
      <c r="O107" s="238"/>
      <c r="P107" s="238"/>
      <c r="Q107" s="238"/>
    </row>
    <row r="108" spans="1:18">
      <c r="B108" s="751" t="s">
        <v>730</v>
      </c>
      <c r="G108"/>
      <c r="H108" s="238"/>
      <c r="I108" s="238"/>
      <c r="J108" s="238"/>
      <c r="K108" s="238"/>
      <c r="L108" s="238"/>
      <c r="M108" s="238"/>
      <c r="N108" s="238"/>
      <c r="O108" s="238"/>
      <c r="P108" s="238"/>
      <c r="Q108" s="238"/>
    </row>
    <row r="109" spans="1:18" ht="3.75" customHeight="1"/>
    <row r="110" spans="1:18" ht="15.6">
      <c r="A110" t="s">
        <v>472</v>
      </c>
      <c r="B110" s="51" t="s">
        <v>731</v>
      </c>
      <c r="C110" s="55"/>
      <c r="D110" s="55"/>
      <c r="E110" s="55"/>
      <c r="F110" s="55"/>
      <c r="G110" s="218">
        <v>2014</v>
      </c>
      <c r="H110" s="218">
        <f t="shared" ref="H110:Q110" si="48">H64</f>
        <v>2015</v>
      </c>
      <c r="I110" s="218">
        <f t="shared" si="48"/>
        <v>2016</v>
      </c>
      <c r="J110" s="218">
        <f t="shared" si="48"/>
        <v>2017</v>
      </c>
      <c r="K110" s="218">
        <f t="shared" si="48"/>
        <v>2018</v>
      </c>
      <c r="L110" s="218">
        <f t="shared" si="48"/>
        <v>2019</v>
      </c>
      <c r="M110" s="218">
        <f t="shared" si="48"/>
        <v>2020</v>
      </c>
      <c r="N110" s="218">
        <f t="shared" si="48"/>
        <v>2021</v>
      </c>
      <c r="O110" s="218">
        <f t="shared" si="48"/>
        <v>2022</v>
      </c>
      <c r="P110" s="218">
        <f t="shared" si="48"/>
        <v>2023</v>
      </c>
      <c r="Q110" s="218">
        <f t="shared" si="48"/>
        <v>2024</v>
      </c>
      <c r="R110" s="57" t="str">
        <f>"CAGR "&amp;$G$4&amp;" - "&amp;$Q$4</f>
        <v>CAGR 2014 - 2024</v>
      </c>
    </row>
    <row r="111" spans="1:18" ht="5.25" customHeight="1">
      <c r="B111" s="224"/>
      <c r="C111" s="224"/>
      <c r="D111" s="224"/>
      <c r="E111" s="224"/>
      <c r="F111" s="224"/>
      <c r="G111" s="225"/>
      <c r="H111" s="225"/>
      <c r="I111" s="225"/>
      <c r="J111" s="225"/>
      <c r="K111" s="225"/>
      <c r="L111" s="225"/>
      <c r="M111" s="225"/>
      <c r="N111" s="225"/>
      <c r="O111" s="225"/>
      <c r="P111" s="225"/>
      <c r="Q111" s="225"/>
      <c r="R111" s="59"/>
    </row>
    <row r="112" spans="1:18">
      <c r="B112" t="s">
        <v>321</v>
      </c>
      <c r="G112" s="236">
        <f t="shared" ref="G112:Q112" si="49">IFERROR(SUM(G55+G50),"")</f>
        <v>0</v>
      </c>
      <c r="H112" s="236">
        <f t="shared" si="49"/>
        <v>134.6</v>
      </c>
      <c r="I112" s="236">
        <f t="shared" si="49"/>
        <v>156.19999999999999</v>
      </c>
      <c r="J112" s="236">
        <f t="shared" si="49"/>
        <v>147.69999999999999</v>
      </c>
      <c r="K112" s="236">
        <f t="shared" si="49"/>
        <v>140.5</v>
      </c>
      <c r="L112" s="236">
        <f t="shared" si="49"/>
        <v>158.80000000000001</v>
      </c>
      <c r="M112" s="236">
        <f t="shared" si="49"/>
        <v>141.20000000000002</v>
      </c>
      <c r="N112" s="236">
        <f t="shared" si="49"/>
        <v>135.5</v>
      </c>
      <c r="O112" s="236">
        <f t="shared" si="49"/>
        <v>111.30000000000001</v>
      </c>
      <c r="P112" s="236">
        <f t="shared" si="49"/>
        <v>76.5</v>
      </c>
      <c r="Q112" s="236">
        <f t="shared" si="49"/>
        <v>190.3</v>
      </c>
      <c r="R112" s="62" t="str">
        <f t="shared" ref="R112:R120" si="50">IFERROR((Q112/G112)^(1/COUNT($G$4:$Q$4))-1,"")</f>
        <v/>
      </c>
    </row>
    <row r="113" spans="2:18">
      <c r="B113" t="s">
        <v>588</v>
      </c>
      <c r="G113" s="236">
        <f t="shared" ref="G113:Q113" si="51">IFERROR(SUM(G51,G56),"")</f>
        <v>0</v>
      </c>
      <c r="H113" s="236">
        <f t="shared" si="51"/>
        <v>0</v>
      </c>
      <c r="I113" s="236">
        <f t="shared" si="51"/>
        <v>0</v>
      </c>
      <c r="J113" s="236">
        <f t="shared" si="51"/>
        <v>0</v>
      </c>
      <c r="K113" s="236">
        <f t="shared" si="51"/>
        <v>0</v>
      </c>
      <c r="L113" s="236">
        <f t="shared" si="51"/>
        <v>135</v>
      </c>
      <c r="M113" s="236">
        <f t="shared" si="51"/>
        <v>123.9</v>
      </c>
      <c r="N113" s="236">
        <f t="shared" si="51"/>
        <v>108.9</v>
      </c>
      <c r="O113" s="236">
        <f t="shared" si="51"/>
        <v>89.7</v>
      </c>
      <c r="P113" s="236">
        <f t="shared" si="51"/>
        <v>60.2</v>
      </c>
      <c r="Q113" s="236">
        <f t="shared" si="51"/>
        <v>161.80000000000001</v>
      </c>
      <c r="R113" s="62" t="str">
        <f t="shared" si="50"/>
        <v/>
      </c>
    </row>
    <row r="114" spans="2:18">
      <c r="B114" t="s">
        <v>589</v>
      </c>
      <c r="G114" s="236">
        <f t="shared" ref="G114:Q114" si="52">IFERROR(SUM(G52,G57),"")</f>
        <v>0</v>
      </c>
      <c r="H114" s="236">
        <f t="shared" si="52"/>
        <v>134.6</v>
      </c>
      <c r="I114" s="236">
        <f t="shared" si="52"/>
        <v>156.19999999999999</v>
      </c>
      <c r="J114" s="236">
        <f t="shared" si="52"/>
        <v>147.69999999999999</v>
      </c>
      <c r="K114" s="236">
        <f t="shared" si="52"/>
        <v>140.5</v>
      </c>
      <c r="L114" s="236">
        <f t="shared" si="52"/>
        <v>23.799999999999997</v>
      </c>
      <c r="M114" s="236">
        <f t="shared" si="52"/>
        <v>17.3</v>
      </c>
      <c r="N114" s="236">
        <f t="shared" si="52"/>
        <v>26.6</v>
      </c>
      <c r="O114" s="236">
        <f t="shared" si="52"/>
        <v>21.6</v>
      </c>
      <c r="P114" s="236">
        <f t="shared" si="52"/>
        <v>16.3</v>
      </c>
      <c r="Q114" s="236">
        <f t="shared" si="52"/>
        <v>28.5</v>
      </c>
      <c r="R114" s="62" t="str">
        <f t="shared" si="50"/>
        <v/>
      </c>
    </row>
    <row r="115" spans="2:18">
      <c r="B115" t="s">
        <v>732</v>
      </c>
      <c r="G115" s="236">
        <f t="shared" ref="G115:Q115" si="53">+G112-G32</f>
        <v>0</v>
      </c>
      <c r="H115" s="236">
        <f t="shared" si="53"/>
        <v>120.6</v>
      </c>
      <c r="I115" s="236">
        <f t="shared" si="53"/>
        <v>140.89999999999998</v>
      </c>
      <c r="J115" s="236">
        <f t="shared" si="53"/>
        <v>137.6</v>
      </c>
      <c r="K115" s="236">
        <f t="shared" si="53"/>
        <v>89.3</v>
      </c>
      <c r="L115" s="236">
        <f t="shared" si="53"/>
        <v>104.9</v>
      </c>
      <c r="M115" s="236">
        <f t="shared" si="53"/>
        <v>95.000000000000014</v>
      </c>
      <c r="N115" s="236">
        <f t="shared" si="53"/>
        <v>77.7</v>
      </c>
      <c r="O115" s="236">
        <f t="shared" si="53"/>
        <v>67.900000000000006</v>
      </c>
      <c r="P115" s="236">
        <f t="shared" si="53"/>
        <v>-44.3</v>
      </c>
      <c r="Q115" s="236">
        <f t="shared" si="53"/>
        <v>82.100000000000009</v>
      </c>
      <c r="R115" s="62" t="str">
        <f t="shared" si="50"/>
        <v/>
      </c>
    </row>
    <row r="116" spans="2:18">
      <c r="B116" t="s">
        <v>733</v>
      </c>
      <c r="G116" s="251" t="str">
        <f t="shared" ref="G116:K116" si="54">IFERROR(G23/G22,"")</f>
        <v/>
      </c>
      <c r="H116" s="251">
        <f t="shared" si="54"/>
        <v>0</v>
      </c>
      <c r="I116" s="251">
        <f t="shared" si="54"/>
        <v>-1.3235294117647092</v>
      </c>
      <c r="J116" s="251">
        <f t="shared" si="54"/>
        <v>-1.3750000000000031</v>
      </c>
      <c r="K116" s="251">
        <f t="shared" si="54"/>
        <v>-584250762469686</v>
      </c>
      <c r="L116" s="251" t="str">
        <f t="shared" ref="L116:Q116" si="55">IFERROR(L23/L22,"")</f>
        <v/>
      </c>
      <c r="M116" s="251">
        <f t="shared" si="55"/>
        <v>4.7692307692307718</v>
      </c>
      <c r="N116" s="251">
        <f t="shared" si="55"/>
        <v>0.11627906976744201</v>
      </c>
      <c r="O116" s="251">
        <f t="shared" si="55"/>
        <v>-2.4666666666666273</v>
      </c>
      <c r="P116" s="251">
        <f t="shared" si="55"/>
        <v>5.9808612440191443E-2</v>
      </c>
      <c r="Q116" s="251">
        <f t="shared" si="55"/>
        <v>0.12654614652711713</v>
      </c>
      <c r="R116" s="62" t="str">
        <f t="shared" si="50"/>
        <v/>
      </c>
    </row>
    <row r="117" spans="2:18">
      <c r="B117" t="s">
        <v>521</v>
      </c>
      <c r="G117" s="256" t="str">
        <f t="shared" ref="G117:K117" si="56">IFERROR(G16*(1-G116),"")</f>
        <v/>
      </c>
      <c r="H117" s="256">
        <f t="shared" si="56"/>
        <v>25.500000000000014</v>
      </c>
      <c r="I117" s="256">
        <f t="shared" si="56"/>
        <v>23.002941176470642</v>
      </c>
      <c r="J117" s="256">
        <f t="shared" si="56"/>
        <v>44.65000000000002</v>
      </c>
      <c r="K117" s="256">
        <f t="shared" si="56"/>
        <v>4790856252251431</v>
      </c>
      <c r="L117" s="256" t="str">
        <f t="shared" ref="L117:Q117" si="57">IFERROR(L16*(1-L116),"")</f>
        <v/>
      </c>
      <c r="M117" s="256">
        <f t="shared" si="57"/>
        <v>-27.138461538461556</v>
      </c>
      <c r="N117" s="256">
        <f t="shared" si="57"/>
        <v>-13.962790697674389</v>
      </c>
      <c r="O117" s="256">
        <f t="shared" si="57"/>
        <v>7.9733333333331586</v>
      </c>
      <c r="P117" s="256">
        <f t="shared" si="57"/>
        <v>43.154784688995178</v>
      </c>
      <c r="Q117" s="256">
        <f t="shared" si="57"/>
        <v>99.399048525213999</v>
      </c>
      <c r="R117" s="62" t="str">
        <f t="shared" si="50"/>
        <v/>
      </c>
    </row>
    <row r="118" spans="2:18">
      <c r="B118" t="s">
        <v>574</v>
      </c>
      <c r="G118" s="481" t="str">
        <f>IFERROR(G35/G6*365,"")</f>
        <v/>
      </c>
      <c r="H118" s="481">
        <f t="shared" ref="H118:K118" si="58">IFERROR(H35/H6*365,"")</f>
        <v>42.907523510971785</v>
      </c>
      <c r="I118" s="481">
        <f t="shared" si="58"/>
        <v>60.091463414634141</v>
      </c>
      <c r="J118" s="481">
        <f t="shared" si="58"/>
        <v>60.314931456094854</v>
      </c>
      <c r="K118" s="481">
        <f t="shared" si="58"/>
        <v>50.095362752430823</v>
      </c>
      <c r="L118" s="481" t="str">
        <f t="shared" ref="L118:Q119" si="59">IFERROR(L35/L6*365,"")</f>
        <v/>
      </c>
      <c r="M118" s="481">
        <f t="shared" si="59"/>
        <v>38.319194061505833</v>
      </c>
      <c r="N118" s="481">
        <f t="shared" si="59"/>
        <v>46.127004086765169</v>
      </c>
      <c r="O118" s="481">
        <f t="shared" si="59"/>
        <v>42.437531871494137</v>
      </c>
      <c r="P118" s="481">
        <f t="shared" si="59"/>
        <v>42.818762957843823</v>
      </c>
      <c r="Q118" s="481">
        <f t="shared" si="59"/>
        <v>44.13223947651138</v>
      </c>
      <c r="R118" s="62" t="str">
        <f t="shared" si="50"/>
        <v/>
      </c>
    </row>
    <row r="119" spans="2:18">
      <c r="B119" t="s">
        <v>576</v>
      </c>
      <c r="G119" s="481" t="str">
        <f>IFERROR(G36/G7*365,"")</f>
        <v/>
      </c>
      <c r="H119" s="481">
        <f t="shared" ref="H119:K119" si="60">IFERROR(H36/H7*365,"")</f>
        <v>125.40614709110868</v>
      </c>
      <c r="I119" s="481">
        <f t="shared" si="60"/>
        <v>260.33915724563207</v>
      </c>
      <c r="J119" s="481">
        <f t="shared" si="60"/>
        <v>217.54277566539923</v>
      </c>
      <c r="K119" s="481">
        <f t="shared" si="60"/>
        <v>161.40878701050622</v>
      </c>
      <c r="L119" s="481" t="str">
        <f t="shared" si="59"/>
        <v/>
      </c>
      <c r="M119" s="481">
        <f t="shared" si="59"/>
        <v>165.81120943952803</v>
      </c>
      <c r="N119" s="481">
        <f t="shared" si="59"/>
        <v>185.27256478999104</v>
      </c>
      <c r="O119" s="481">
        <f t="shared" si="59"/>
        <v>219.67592592592592</v>
      </c>
      <c r="P119" s="481">
        <f t="shared" si="59"/>
        <v>157.50796178343947</v>
      </c>
      <c r="Q119" s="481">
        <f t="shared" si="59"/>
        <v>233.14709806537692</v>
      </c>
      <c r="R119" s="62" t="str">
        <f t="shared" si="50"/>
        <v/>
      </c>
    </row>
    <row r="120" spans="2:18">
      <c r="B120" t="s">
        <v>585</v>
      </c>
      <c r="G120" s="481" t="str">
        <f>IFERROR(G49/G6*365,"")</f>
        <v/>
      </c>
      <c r="H120" s="481">
        <f t="shared" ref="H120:K120" si="61">IFERROR(H49/H6*365,"")</f>
        <v>21.167711598746081</v>
      </c>
      <c r="I120" s="481">
        <f t="shared" si="61"/>
        <v>60.250435540069688</v>
      </c>
      <c r="J120" s="481">
        <f t="shared" si="61"/>
        <v>36.243052982586143</v>
      </c>
      <c r="K120" s="481">
        <f t="shared" si="61"/>
        <v>27.982423335826478</v>
      </c>
      <c r="L120" s="481" t="str">
        <f t="shared" ref="L120:Q120" si="62">IFERROR(L49/L6*365,"")</f>
        <v/>
      </c>
      <c r="M120" s="481">
        <f t="shared" si="62"/>
        <v>15.99858607281725</v>
      </c>
      <c r="N120" s="481">
        <f t="shared" si="62"/>
        <v>18.014775227915749</v>
      </c>
      <c r="O120" s="481">
        <f t="shared" si="62"/>
        <v>17.868434472208058</v>
      </c>
      <c r="P120" s="481">
        <f t="shared" si="62"/>
        <v>19.801313061506566</v>
      </c>
      <c r="Q120" s="481">
        <f t="shared" si="62"/>
        <v>28.910538138490082</v>
      </c>
      <c r="R120" s="62" t="str">
        <f t="shared" si="50"/>
        <v/>
      </c>
    </row>
    <row r="123" spans="2:18">
      <c r="O123"/>
    </row>
    <row r="124" spans="2:18">
      <c r="C124" s="555"/>
    </row>
    <row r="125" spans="2:18">
      <c r="C125" s="555"/>
    </row>
    <row r="126" spans="2:18">
      <c r="C126" s="555"/>
    </row>
    <row r="127" spans="2:18">
      <c r="C127" s="555"/>
    </row>
    <row r="128" spans="2:18">
      <c r="C128" s="555"/>
    </row>
    <row r="129" spans="3:3">
      <c r="C129" s="555"/>
    </row>
    <row r="130" spans="3:3">
      <c r="C130" s="555"/>
    </row>
    <row r="131" spans="3:3">
      <c r="C131" s="555"/>
    </row>
    <row r="132" spans="3:3">
      <c r="C132" s="555"/>
    </row>
    <row r="133" spans="3:3">
      <c r="C133" s="555"/>
    </row>
    <row r="134" spans="3:3">
      <c r="C134" s="555"/>
    </row>
    <row r="135" spans="3:3">
      <c r="C135" s="555"/>
    </row>
    <row r="136" spans="3:3">
      <c r="C136" s="555"/>
    </row>
    <row r="137" spans="3:3">
      <c r="C137" s="555"/>
    </row>
    <row r="138" spans="3:3">
      <c r="C138" s="555"/>
    </row>
    <row r="139" spans="3:3">
      <c r="C139" s="555"/>
    </row>
    <row r="140" spans="3:3">
      <c r="C140" s="555"/>
    </row>
    <row r="141" spans="3:3">
      <c r="C141" s="555"/>
    </row>
    <row r="142" spans="3:3">
      <c r="C142" s="555"/>
    </row>
    <row r="143" spans="3:3">
      <c r="C143" s="555"/>
    </row>
    <row r="144" spans="3:3">
      <c r="C144" s="555"/>
    </row>
    <row r="145" spans="3:3">
      <c r="C145" s="555"/>
    </row>
    <row r="146" spans="3:3">
      <c r="C146" s="555"/>
    </row>
    <row r="147" spans="3:3">
      <c r="C147" s="555"/>
    </row>
    <row r="148" spans="3:3">
      <c r="C148" s="555"/>
    </row>
    <row r="149" spans="3:3">
      <c r="C149" s="555"/>
    </row>
    <row r="150" spans="3:3">
      <c r="C150" s="555"/>
    </row>
    <row r="151" spans="3:3">
      <c r="C151" s="555"/>
    </row>
    <row r="152" spans="3:3">
      <c r="C152" s="555"/>
    </row>
    <row r="153" spans="3:3">
      <c r="C153" s="555"/>
    </row>
    <row r="154" spans="3:3">
      <c r="C154" s="555"/>
    </row>
    <row r="155" spans="3:3">
      <c r="C155" s="555"/>
    </row>
    <row r="156" spans="3:3">
      <c r="C156" s="555"/>
    </row>
    <row r="157" spans="3:3">
      <c r="C157" s="555"/>
    </row>
    <row r="158" spans="3:3">
      <c r="C158" s="555"/>
    </row>
    <row r="159" spans="3:3">
      <c r="C159" s="555"/>
    </row>
    <row r="160" spans="3:3">
      <c r="C160" s="555"/>
    </row>
    <row r="161" spans="3:3">
      <c r="C161" s="555"/>
    </row>
    <row r="162" spans="3:3">
      <c r="C162" s="555"/>
    </row>
    <row r="163" spans="3:3">
      <c r="C163" s="555"/>
    </row>
    <row r="164" spans="3:3">
      <c r="C164" s="555"/>
    </row>
    <row r="165" spans="3:3">
      <c r="C165" s="555"/>
    </row>
    <row r="166" spans="3:3">
      <c r="C166" s="555"/>
    </row>
    <row r="167" spans="3:3">
      <c r="C167" s="555"/>
    </row>
    <row r="168" spans="3:3">
      <c r="C168" s="555"/>
    </row>
    <row r="169" spans="3:3">
      <c r="C169" s="555"/>
    </row>
    <row r="170" spans="3:3">
      <c r="C170" s="555"/>
    </row>
    <row r="171" spans="3:3">
      <c r="C171" s="555"/>
    </row>
    <row r="172" spans="3:3">
      <c r="C172" s="555"/>
    </row>
    <row r="173" spans="3:3">
      <c r="C173" s="555"/>
    </row>
    <row r="174" spans="3:3">
      <c r="C174" s="555"/>
    </row>
    <row r="175" spans="3:3">
      <c r="C175" s="555"/>
    </row>
    <row r="176" spans="3:3">
      <c r="C176" s="555"/>
    </row>
    <row r="177" spans="3:3">
      <c r="C177" s="555"/>
    </row>
    <row r="178" spans="3:3">
      <c r="C178" s="555"/>
    </row>
    <row r="179" spans="3:3">
      <c r="C179" s="555"/>
    </row>
    <row r="180" spans="3:3">
      <c r="C180" s="555"/>
    </row>
    <row r="181" spans="3:3">
      <c r="C181" s="555"/>
    </row>
    <row r="182" spans="3:3">
      <c r="C182" s="555"/>
    </row>
    <row r="183" spans="3:3">
      <c r="C183" s="555"/>
    </row>
    <row r="184" spans="3:3">
      <c r="C184" s="555"/>
    </row>
    <row r="185" spans="3:3">
      <c r="C185" s="555"/>
    </row>
    <row r="186" spans="3:3">
      <c r="C186" s="555"/>
    </row>
    <row r="187" spans="3:3">
      <c r="C187" s="555"/>
    </row>
    <row r="188" spans="3:3">
      <c r="C188" s="555"/>
    </row>
    <row r="189" spans="3:3">
      <c r="C189" s="555"/>
    </row>
    <row r="190" spans="3:3">
      <c r="C190" s="555"/>
    </row>
    <row r="191" spans="3:3">
      <c r="C191" s="555"/>
    </row>
    <row r="192" spans="3:3">
      <c r="C192" s="555"/>
    </row>
    <row r="193" spans="3:3">
      <c r="C193" s="555"/>
    </row>
    <row r="194" spans="3:3">
      <c r="C194" s="555"/>
    </row>
    <row r="195" spans="3:3">
      <c r="C195" s="555"/>
    </row>
    <row r="196" spans="3:3">
      <c r="C196" s="555"/>
    </row>
    <row r="197" spans="3:3">
      <c r="C197" s="555"/>
    </row>
    <row r="198" spans="3:3">
      <c r="C198" s="555"/>
    </row>
    <row r="199" spans="3:3">
      <c r="C199" s="555"/>
    </row>
    <row r="200" spans="3:3">
      <c r="C200" s="555"/>
    </row>
    <row r="201" spans="3:3">
      <c r="C201" s="555"/>
    </row>
    <row r="202" spans="3:3">
      <c r="C202" s="555"/>
    </row>
    <row r="203" spans="3:3">
      <c r="C203" s="555"/>
    </row>
    <row r="204" spans="3:3">
      <c r="C204" s="555"/>
    </row>
    <row r="205" spans="3:3">
      <c r="C205" s="555"/>
    </row>
    <row r="206" spans="3:3">
      <c r="C206" s="555"/>
    </row>
    <row r="207" spans="3:3">
      <c r="C207" s="555"/>
    </row>
    <row r="208" spans="3:3">
      <c r="C208" s="555"/>
    </row>
    <row r="209" spans="3:3">
      <c r="C209" s="555"/>
    </row>
    <row r="210" spans="3:3">
      <c r="C210" s="555"/>
    </row>
    <row r="211" spans="3:3">
      <c r="C211" s="555"/>
    </row>
    <row r="212" spans="3:3">
      <c r="C212" s="555"/>
    </row>
    <row r="213" spans="3:3">
      <c r="C213" s="555"/>
    </row>
    <row r="214" spans="3:3">
      <c r="C214" s="555"/>
    </row>
    <row r="215" spans="3:3">
      <c r="C215" s="555"/>
    </row>
    <row r="216" spans="3:3">
      <c r="C216" s="555"/>
    </row>
    <row r="217" spans="3:3">
      <c r="C217" s="555"/>
    </row>
    <row r="218" spans="3:3">
      <c r="C218" s="555"/>
    </row>
    <row r="219" spans="3:3">
      <c r="C219" s="555"/>
    </row>
    <row r="220" spans="3:3">
      <c r="C220" s="555"/>
    </row>
    <row r="221" spans="3:3">
      <c r="C221" s="555"/>
    </row>
    <row r="222" spans="3:3">
      <c r="C222" s="555"/>
    </row>
    <row r="223" spans="3:3">
      <c r="C223" s="555"/>
    </row>
    <row r="224" spans="3:3">
      <c r="C224" s="555"/>
    </row>
    <row r="225" spans="3:3">
      <c r="C225" s="555"/>
    </row>
    <row r="226" spans="3:3">
      <c r="C226" s="555"/>
    </row>
    <row r="227" spans="3:3">
      <c r="C227" s="555"/>
    </row>
    <row r="228" spans="3:3">
      <c r="C228" s="555"/>
    </row>
    <row r="229" spans="3:3">
      <c r="C229" s="555"/>
    </row>
    <row r="230" spans="3:3">
      <c r="C230" s="555"/>
    </row>
    <row r="231" spans="3:3">
      <c r="C231" s="555"/>
    </row>
    <row r="232" spans="3:3">
      <c r="C232" s="555"/>
    </row>
    <row r="233" spans="3:3">
      <c r="C233" s="555"/>
    </row>
    <row r="234" spans="3:3">
      <c r="C234" s="555"/>
    </row>
    <row r="235" spans="3:3">
      <c r="C235" s="555"/>
    </row>
    <row r="236" spans="3:3">
      <c r="C236" s="555"/>
    </row>
    <row r="237" spans="3:3">
      <c r="C237" s="555"/>
    </row>
    <row r="238" spans="3:3">
      <c r="C238" s="555"/>
    </row>
    <row r="239" spans="3:3">
      <c r="C239" s="555"/>
    </row>
    <row r="240" spans="3:3">
      <c r="C240" s="555"/>
    </row>
    <row r="241" spans="3:3">
      <c r="C241" s="555"/>
    </row>
    <row r="242" spans="3:3">
      <c r="C242" s="555"/>
    </row>
    <row r="243" spans="3:3">
      <c r="C243" s="555"/>
    </row>
    <row r="244" spans="3:3">
      <c r="C244" s="555"/>
    </row>
    <row r="245" spans="3:3">
      <c r="C245" s="555"/>
    </row>
    <row r="246" spans="3:3">
      <c r="C246" s="555"/>
    </row>
    <row r="247" spans="3:3">
      <c r="C247" s="555"/>
    </row>
    <row r="248" spans="3:3">
      <c r="C248" s="555"/>
    </row>
    <row r="249" spans="3:3">
      <c r="C249" s="555"/>
    </row>
    <row r="250" spans="3:3">
      <c r="C250" s="555"/>
    </row>
    <row r="251" spans="3:3">
      <c r="C251" s="555"/>
    </row>
    <row r="252" spans="3:3">
      <c r="C252" s="555"/>
    </row>
    <row r="253" spans="3:3">
      <c r="C253" s="555"/>
    </row>
    <row r="254" spans="3:3">
      <c r="C254" s="555"/>
    </row>
    <row r="255" spans="3:3">
      <c r="C255" s="555"/>
    </row>
    <row r="256" spans="3:3">
      <c r="C256" s="555"/>
    </row>
    <row r="257" spans="3:3">
      <c r="C257" s="555"/>
    </row>
    <row r="258" spans="3:3">
      <c r="C258" s="555"/>
    </row>
    <row r="259" spans="3:3">
      <c r="C259" s="555"/>
    </row>
    <row r="260" spans="3:3">
      <c r="C260" s="555"/>
    </row>
    <row r="261" spans="3:3">
      <c r="C261" s="555"/>
    </row>
    <row r="262" spans="3:3">
      <c r="C262" s="555"/>
    </row>
    <row r="263" spans="3:3">
      <c r="C263" s="555"/>
    </row>
    <row r="264" spans="3:3">
      <c r="C264" s="555"/>
    </row>
    <row r="265" spans="3:3">
      <c r="C265" s="555"/>
    </row>
    <row r="266" spans="3:3">
      <c r="C266" s="555"/>
    </row>
    <row r="267" spans="3:3">
      <c r="C267" s="555"/>
    </row>
    <row r="268" spans="3:3">
      <c r="C268" s="555"/>
    </row>
    <row r="269" spans="3:3">
      <c r="C269" s="555"/>
    </row>
    <row r="270" spans="3:3">
      <c r="C270" s="555"/>
    </row>
    <row r="271" spans="3:3">
      <c r="C271" s="555"/>
    </row>
    <row r="272" spans="3:3">
      <c r="C272" s="555"/>
    </row>
    <row r="273" spans="3:3">
      <c r="C273" s="555"/>
    </row>
    <row r="274" spans="3:3">
      <c r="C274" s="555"/>
    </row>
    <row r="275" spans="3:3">
      <c r="C275" s="555"/>
    </row>
    <row r="276" spans="3:3">
      <c r="C276" s="555"/>
    </row>
    <row r="277" spans="3:3">
      <c r="C277" s="555"/>
    </row>
    <row r="278" spans="3:3">
      <c r="C278" s="555"/>
    </row>
    <row r="279" spans="3:3">
      <c r="C279" s="555"/>
    </row>
    <row r="280" spans="3:3">
      <c r="C280" s="555"/>
    </row>
    <row r="281" spans="3:3">
      <c r="C281" s="555"/>
    </row>
    <row r="282" spans="3:3">
      <c r="C282" s="555"/>
    </row>
    <row r="283" spans="3:3">
      <c r="C283" s="555"/>
    </row>
    <row r="284" spans="3:3">
      <c r="C284" s="555"/>
    </row>
    <row r="285" spans="3:3">
      <c r="C285" s="555"/>
    </row>
    <row r="286" spans="3:3">
      <c r="C286" s="555"/>
    </row>
    <row r="287" spans="3:3">
      <c r="C287" s="555"/>
    </row>
    <row r="288" spans="3:3">
      <c r="C288" s="555"/>
    </row>
    <row r="289" spans="3:3">
      <c r="C289" s="555"/>
    </row>
    <row r="290" spans="3:3">
      <c r="C290" s="555"/>
    </row>
    <row r="291" spans="3:3">
      <c r="C291" s="555"/>
    </row>
    <row r="292" spans="3:3">
      <c r="C292" s="555"/>
    </row>
    <row r="293" spans="3:3">
      <c r="C293" s="555"/>
    </row>
    <row r="294" spans="3:3">
      <c r="C294" s="555"/>
    </row>
    <row r="295" spans="3:3">
      <c r="C295" s="555"/>
    </row>
    <row r="296" spans="3:3">
      <c r="C296" s="555"/>
    </row>
    <row r="297" spans="3:3">
      <c r="C297" s="555"/>
    </row>
    <row r="298" spans="3:3">
      <c r="C298" s="555"/>
    </row>
    <row r="299" spans="3:3">
      <c r="C299" s="555"/>
    </row>
    <row r="300" spans="3:3">
      <c r="C300" s="555"/>
    </row>
    <row r="301" spans="3:3">
      <c r="C301" s="555"/>
    </row>
    <row r="302" spans="3:3">
      <c r="C302" s="555"/>
    </row>
    <row r="303" spans="3:3">
      <c r="C303" s="555"/>
    </row>
    <row r="304" spans="3:3">
      <c r="C304" s="555"/>
    </row>
    <row r="305" spans="3:3">
      <c r="C305" s="555"/>
    </row>
    <row r="306" spans="3:3">
      <c r="C306" s="555"/>
    </row>
    <row r="307" spans="3:3">
      <c r="C307" s="555"/>
    </row>
    <row r="308" spans="3:3">
      <c r="C308" s="555"/>
    </row>
    <row r="309" spans="3:3">
      <c r="C309" s="555"/>
    </row>
    <row r="310" spans="3:3">
      <c r="C310" s="555"/>
    </row>
    <row r="311" spans="3:3">
      <c r="C311" s="555"/>
    </row>
    <row r="312" spans="3:3">
      <c r="C312" s="555"/>
    </row>
    <row r="313" spans="3:3">
      <c r="C313" s="555"/>
    </row>
    <row r="314" spans="3:3">
      <c r="C314" s="555"/>
    </row>
    <row r="315" spans="3:3">
      <c r="C315" s="555"/>
    </row>
    <row r="316" spans="3:3">
      <c r="C316" s="555"/>
    </row>
    <row r="317" spans="3:3">
      <c r="C317" s="555"/>
    </row>
    <row r="318" spans="3:3">
      <c r="C318" s="555"/>
    </row>
    <row r="319" spans="3:3">
      <c r="C319" s="555"/>
    </row>
    <row r="320" spans="3:3">
      <c r="C320" s="555"/>
    </row>
    <row r="321" spans="3:3">
      <c r="C321" s="555"/>
    </row>
    <row r="322" spans="3:3">
      <c r="C322" s="555"/>
    </row>
    <row r="323" spans="3:3">
      <c r="C323" s="555"/>
    </row>
    <row r="324" spans="3:3">
      <c r="C324" s="555"/>
    </row>
    <row r="325" spans="3:3">
      <c r="C325" s="555"/>
    </row>
    <row r="326" spans="3:3">
      <c r="C326" s="555"/>
    </row>
    <row r="327" spans="3:3">
      <c r="C327" s="555"/>
    </row>
    <row r="328" spans="3:3">
      <c r="C328" s="555"/>
    </row>
    <row r="329" spans="3:3">
      <c r="C329" s="555"/>
    </row>
    <row r="330" spans="3:3">
      <c r="C330" s="555"/>
    </row>
    <row r="331" spans="3:3">
      <c r="C331" s="555"/>
    </row>
    <row r="332" spans="3:3">
      <c r="C332" s="555"/>
    </row>
    <row r="333" spans="3:3">
      <c r="C333" s="555"/>
    </row>
    <row r="334" spans="3:3">
      <c r="C334" s="555"/>
    </row>
    <row r="335" spans="3:3">
      <c r="C335" s="555"/>
    </row>
    <row r="336" spans="3:3">
      <c r="C336" s="555"/>
    </row>
    <row r="337" spans="3:3">
      <c r="C337" s="555"/>
    </row>
    <row r="338" spans="3:3">
      <c r="C338" s="555"/>
    </row>
    <row r="339" spans="3:3">
      <c r="C339" s="555"/>
    </row>
    <row r="340" spans="3:3">
      <c r="C340" s="555"/>
    </row>
    <row r="341" spans="3:3">
      <c r="C341" s="555"/>
    </row>
    <row r="342" spans="3:3">
      <c r="C342" s="555"/>
    </row>
    <row r="343" spans="3:3">
      <c r="C343" s="555"/>
    </row>
    <row r="344" spans="3:3">
      <c r="C344" s="555"/>
    </row>
    <row r="345" spans="3:3">
      <c r="C345" s="555"/>
    </row>
    <row r="346" spans="3:3">
      <c r="C346" s="555"/>
    </row>
    <row r="347" spans="3:3">
      <c r="C347" s="555"/>
    </row>
    <row r="348" spans="3:3">
      <c r="C348" s="555"/>
    </row>
    <row r="349" spans="3:3">
      <c r="C349" s="555"/>
    </row>
    <row r="350" spans="3:3">
      <c r="C350" s="555"/>
    </row>
    <row r="351" spans="3:3">
      <c r="C351" s="555"/>
    </row>
    <row r="352" spans="3:3">
      <c r="C352" s="555"/>
    </row>
    <row r="353" spans="3:3">
      <c r="C353" s="555"/>
    </row>
    <row r="354" spans="3:3">
      <c r="C354" s="555"/>
    </row>
    <row r="355" spans="3:3">
      <c r="C355" s="555"/>
    </row>
    <row r="356" spans="3:3">
      <c r="C356" s="555"/>
    </row>
    <row r="357" spans="3:3">
      <c r="C357" s="555"/>
    </row>
    <row r="358" spans="3:3">
      <c r="C358" s="555"/>
    </row>
    <row r="359" spans="3:3">
      <c r="C359" s="555"/>
    </row>
    <row r="360" spans="3:3">
      <c r="C360" s="555"/>
    </row>
    <row r="361" spans="3:3">
      <c r="C361" s="555"/>
    </row>
    <row r="362" spans="3:3">
      <c r="C362" s="555"/>
    </row>
    <row r="363" spans="3:3">
      <c r="C363" s="555"/>
    </row>
    <row r="364" spans="3:3">
      <c r="C364" s="555"/>
    </row>
    <row r="365" spans="3:3">
      <c r="C365" s="555"/>
    </row>
    <row r="366" spans="3:3">
      <c r="C366" s="555"/>
    </row>
    <row r="367" spans="3:3">
      <c r="C367" s="555"/>
    </row>
    <row r="368" spans="3:3">
      <c r="C368" s="555"/>
    </row>
    <row r="369" spans="3:3">
      <c r="C369" s="555"/>
    </row>
    <row r="370" spans="3:3">
      <c r="C370" s="555"/>
    </row>
    <row r="371" spans="3:3">
      <c r="C371" s="555"/>
    </row>
    <row r="372" spans="3:3">
      <c r="C372" s="555"/>
    </row>
    <row r="373" spans="3:3">
      <c r="C373" s="555"/>
    </row>
    <row r="374" spans="3:3">
      <c r="C374" s="555"/>
    </row>
    <row r="375" spans="3:3">
      <c r="C375" s="555"/>
    </row>
    <row r="376" spans="3:3">
      <c r="C376" s="555"/>
    </row>
    <row r="377" spans="3:3">
      <c r="C377" s="555"/>
    </row>
    <row r="378" spans="3:3">
      <c r="C378" s="555"/>
    </row>
    <row r="379" spans="3:3">
      <c r="C379" s="555"/>
    </row>
    <row r="380" spans="3:3">
      <c r="C380" s="555"/>
    </row>
    <row r="381" spans="3:3">
      <c r="C381" s="555"/>
    </row>
    <row r="382" spans="3:3">
      <c r="C382" s="555"/>
    </row>
    <row r="383" spans="3:3">
      <c r="C383" s="555"/>
    </row>
    <row r="384" spans="3:3">
      <c r="C384" s="555"/>
    </row>
    <row r="385" spans="3:3">
      <c r="C385" s="555"/>
    </row>
    <row r="386" spans="3:3">
      <c r="C386" s="555"/>
    </row>
    <row r="387" spans="3:3">
      <c r="C387" s="555"/>
    </row>
    <row r="388" spans="3:3">
      <c r="C388" s="555"/>
    </row>
    <row r="389" spans="3:3">
      <c r="C389" s="555"/>
    </row>
    <row r="390" spans="3:3">
      <c r="C390" s="555"/>
    </row>
    <row r="391" spans="3:3">
      <c r="C391" s="555"/>
    </row>
    <row r="392" spans="3:3">
      <c r="C392" s="555"/>
    </row>
    <row r="393" spans="3:3">
      <c r="C393" s="555"/>
    </row>
    <row r="394" spans="3:3">
      <c r="C394" s="555"/>
    </row>
  </sheetData>
  <pageMargins left="0.7" right="0.7" top="0.75" bottom="0.75" header="0.3" footer="0.3"/>
  <pageSetup paperSize="9" orientation="portrait" r:id="rId1"/>
  <legacyDrawing r:id="rId2"/>
  <extLst>
    <ext xmlns:x14="http://schemas.microsoft.com/office/spreadsheetml/2009/9/main" uri="{05C60535-1F16-4fd2-B633-F4F36F0B64E0}">
      <x14:sparklineGroups xmlns:xm="http://schemas.microsoft.com/office/excel/2006/main">
        <x14:sparklineGroup displayEmptyCellsAs="gap" xr2:uid="{00000000-0003-0000-0800-000003000000}">
          <x14:colorSeries rgb="FF7B1314"/>
          <x14:colorNegative rgb="FFD00000"/>
          <x14:colorAxis rgb="FF000000"/>
          <x14:colorMarkers rgb="FFD00000"/>
          <x14:colorFirst rgb="FFD00000"/>
          <x14:colorLast rgb="FFD00000"/>
          <x14:colorHigh rgb="FFD00000"/>
          <x14:colorLow rgb="FFD00000"/>
          <x14:sparklines>
            <x14:sparkline>
              <xm:f>Inputs!G114:P114</xm:f>
              <xm:sqref>F114</xm:sqref>
            </x14:sparkline>
          </x14:sparklines>
        </x14:sparklineGroup>
        <x14:sparklineGroup displayEmptyCellsAs="gap" xr2:uid="{00000000-0003-0000-0800-000004000000}">
          <x14:colorSeries rgb="FF7B1314"/>
          <x14:colorNegative rgb="FFD00000"/>
          <x14:colorAxis rgb="FF000000"/>
          <x14:colorMarkers rgb="FFD00000"/>
          <x14:colorFirst rgb="FFD00000"/>
          <x14:colorLast rgb="FFD00000"/>
          <x14:colorHigh rgb="FFD00000"/>
          <x14:colorLow rgb="FFD00000"/>
          <x14:sparklines>
            <x14:sparkline>
              <xm:f>Inputs!G112:P112</xm:f>
              <xm:sqref>F112</xm:sqref>
            </x14:sparkline>
          </x14:sparklines>
        </x14:sparklineGroup>
        <x14:sparklineGroup displayEmptyCellsAs="gap" xr2:uid="{00000000-0003-0000-0800-00000F000000}">
          <x14:colorSeries rgb="FF7B1314"/>
          <x14:colorNegative rgb="FFD00000"/>
          <x14:colorAxis rgb="FF000000"/>
          <x14:colorMarkers rgb="FFD00000"/>
          <x14:colorFirst rgb="FFD00000"/>
          <x14:colorLast rgb="FFD00000"/>
          <x14:colorHigh rgb="FFD00000"/>
          <x14:colorLow rgb="FFD00000"/>
          <x14:sparklines>
            <x14:sparkline>
              <xm:f>Inputs!G14:Q14</xm:f>
              <xm:sqref>F14</xm:sqref>
            </x14:sparkline>
          </x14:sparklines>
        </x14:sparklineGroup>
        <x14:sparklineGroup displayEmptyCellsAs="gap" xr2:uid="{00000000-0003-0000-0800-000009000000}">
          <x14:colorSeries rgb="FF7B1314"/>
          <x14:colorNegative rgb="FFD00000"/>
          <x14:colorAxis rgb="FF000000"/>
          <x14:colorMarkers rgb="FFD00000"/>
          <x14:colorFirst rgb="FFD00000"/>
          <x14:colorLast rgb="FFD00000"/>
          <x14:colorHigh rgb="FFD00000"/>
          <x14:colorLow rgb="FFD00000"/>
          <x14:sparklines>
            <x14:sparkline>
              <xm:f>Inputs!G33:Q33</xm:f>
              <xm:sqref>F33</xm:sqref>
            </x14:sparkline>
          </x14:sparklines>
        </x14:sparklineGroup>
        <x14:sparklineGroup displayEmptyCellsAs="gap" xr2:uid="{00000000-0003-0000-0800-00000A000000}">
          <x14:colorSeries rgb="FF7B1314"/>
          <x14:colorNegative rgb="FFD00000"/>
          <x14:colorAxis rgb="FF000000"/>
          <x14:colorMarkers rgb="FFD00000"/>
          <x14:colorFirst rgb="FFD00000"/>
          <x14:colorLast rgb="FFD00000"/>
          <x14:colorHigh rgb="FFD00000"/>
          <x14:colorLow rgb="FFD00000"/>
          <x14:sparklines>
            <x14:sparkline>
              <xm:f>Inputs!G44:Q44</xm:f>
              <xm:sqref>F44</xm:sqref>
            </x14:sparkline>
          </x14:sparklines>
        </x14:sparklineGroup>
        <x14:sparklineGroup displayEmptyCellsAs="gap" xr2:uid="{00000000-0003-0000-0800-00000B000000}">
          <x14:colorSeries rgb="FF7B1314"/>
          <x14:colorNegative rgb="FFD00000"/>
          <x14:colorAxis rgb="FF000000"/>
          <x14:colorMarkers rgb="FFD00000"/>
          <x14:colorFirst rgb="FFD00000"/>
          <x14:colorLast rgb="FFD00000"/>
          <x14:colorHigh rgb="FFD00000"/>
          <x14:colorLow rgb="FFD00000"/>
          <x14:sparklines>
            <x14:sparkline>
              <xm:f>Inputs!G45:Q45</xm:f>
              <xm:sqref>F45</xm:sqref>
            </x14:sparkline>
          </x14:sparklines>
        </x14:sparklineGroup>
        <x14:sparklineGroup displayEmptyCellsAs="gap" xr2:uid="{00000000-0003-0000-0800-00000C000000}">
          <x14:colorSeries rgb="FF7B1314"/>
          <x14:colorNegative rgb="FFD00000"/>
          <x14:colorAxis rgb="FF000000"/>
          <x14:colorMarkers rgb="FFD00000"/>
          <x14:colorFirst rgb="FFD00000"/>
          <x14:colorLast rgb="FFD00000"/>
          <x14:colorHigh rgb="FFD00000"/>
          <x14:colorLow rgb="FFD00000"/>
          <x14:sparklines>
            <x14:sparkline>
              <xm:f>Inputs!G43:Q43</xm:f>
              <xm:sqref>F43</xm:sqref>
            </x14:sparkline>
          </x14:sparklines>
        </x14:sparklineGroup>
        <x14:sparklineGroup displayEmptyCellsAs="gap" xr2:uid="{00000000-0003-0000-0800-00000D000000}">
          <x14:colorSeries rgb="FF7B1314"/>
          <x14:colorNegative rgb="FFD00000"/>
          <x14:colorAxis rgb="FF000000"/>
          <x14:colorMarkers rgb="FFD00000"/>
          <x14:colorFirst rgb="FFD00000"/>
          <x14:colorLast rgb="FFD00000"/>
          <x14:colorHigh rgb="FFD00000"/>
          <x14:colorLow rgb="FFD00000"/>
          <x14:sparklines>
            <x14:sparkline>
              <xm:f>Inputs!G62:Q62</xm:f>
              <xm:sqref>F62</xm:sqref>
            </x14:sparkline>
          </x14:sparklines>
        </x14:sparklineGroup>
        <x14:sparklineGroup displayEmptyCellsAs="gap" xr2:uid="{00000000-0003-0000-0800-00000E000000}">
          <x14:colorSeries rgb="FF7B1314"/>
          <x14:colorNegative rgb="FFD00000"/>
          <x14:colorAxis rgb="FF000000"/>
          <x14:colorMarkers rgb="FFD00000"/>
          <x14:colorFirst rgb="FFD00000"/>
          <x14:colorLast rgb="FFD00000"/>
          <x14:colorHigh rgb="FFD00000"/>
          <x14:colorLow rgb="FFD00000"/>
          <x14:sparklines>
            <x14:sparkline>
              <xm:f>Inputs!G61:Q61</xm:f>
              <xm:sqref>F61</xm:sqref>
            </x14:sparkline>
          </x14:sparklines>
        </x14:sparklineGroup>
        <x14:sparklineGroup displayEmptyCellsAs="span" xr2:uid="{00000000-0003-0000-0800-00001A000000}">
          <x14:colorSeries rgb="FF7B1314"/>
          <x14:colorNegative rgb="FFD00000"/>
          <x14:colorAxis rgb="FF000000"/>
          <x14:colorMarkers rgb="FFD00000"/>
          <x14:colorFirst rgb="FFD00000"/>
          <x14:colorLast rgb="FFD00000"/>
          <x14:colorHigh rgb="FFD00000"/>
          <x14:colorLow rgb="FFD00000"/>
          <x14:sparklines>
            <x14:sparkline>
              <xm:f>Inputs!I6:Q6</xm:f>
              <xm:sqref>F6</xm:sqref>
            </x14:sparkline>
          </x14:sparklines>
        </x14:sparklineGroup>
        <x14:sparklineGroup displayEmptyCellsAs="gap" xr2:uid="{00000000-0003-0000-0800-000011000000}">
          <x14:colorSeries rgb="FF7B1314"/>
          <x14:colorNegative rgb="FFD00000"/>
          <x14:colorAxis rgb="FF000000"/>
          <x14:colorMarkers rgb="FFD00000"/>
          <x14:colorFirst rgb="FFD00000"/>
          <x14:colorLast rgb="FFD00000"/>
          <x14:colorHigh rgb="FFD00000"/>
          <x14:colorLow rgb="FFD00000"/>
          <x14:sparklines>
            <x14:sparkline>
              <xm:f>Inputs!G34:Q34</xm:f>
              <xm:sqref>F34</xm:sqref>
            </x14:sparkline>
          </x14:sparklines>
        </x14:sparklineGroup>
        <x14:sparklineGroup displayEmptyCellsAs="gap" xr2:uid="{00000000-0003-0000-0800-000013000000}">
          <x14:colorSeries rgb="FF7B1314"/>
          <x14:colorNegative rgb="FFD00000"/>
          <x14:colorAxis rgb="FF000000"/>
          <x14:colorMarkers rgb="FFD00000"/>
          <x14:colorFirst rgb="FFD00000"/>
          <x14:colorLast rgb="FFD00000"/>
          <x14:colorHigh rgb="FFD00000"/>
          <x14:colorLow rgb="FFD00000"/>
          <x14:sparklines>
            <x14:sparkline>
              <xm:f>Inputs!G113:P113</xm:f>
              <xm:sqref>F113</xm:sqref>
            </x14:sparkline>
          </x14:sparklines>
        </x14:sparklineGroup>
        <x14:sparklineGroup displayEmptyCellsAs="gap" xr2:uid="{00000000-0003-0000-0800-000014000000}">
          <x14:colorSeries rgb="FF7B1314"/>
          <x14:colorNegative rgb="FFD00000"/>
          <x14:colorAxis rgb="FF000000"/>
          <x14:colorMarkers rgb="FFD00000"/>
          <x14:colorFirst rgb="FFD00000"/>
          <x14:colorLast rgb="FFD00000"/>
          <x14:colorHigh rgb="FFD00000"/>
          <x14:colorLow rgb="FFD00000"/>
          <x14:sparklines>
            <x14:sparkline>
              <xm:f>Inputs!G115:P115</xm:f>
              <xm:sqref>F115</xm:sqref>
            </x14:sparkline>
          </x14:sparklines>
        </x14:sparklineGroup>
        <x14:sparklineGroup displayEmptyCellsAs="gap" xr2:uid="{00000000-0003-0000-0800-000015000000}">
          <x14:colorSeries rgb="FF7B1314"/>
          <x14:colorNegative rgb="FFD00000"/>
          <x14:colorAxis rgb="FF000000"/>
          <x14:colorMarkers rgb="FFD00000"/>
          <x14:colorFirst rgb="FFD00000"/>
          <x14:colorLast rgb="FFD00000"/>
          <x14:colorHigh rgb="FFD00000"/>
          <x14:colorLow rgb="FFD00000"/>
          <x14:sparklines>
            <x14:sparkline>
              <xm:f>Inputs!G116:P116</xm:f>
              <xm:sqref>F116</xm:sqref>
            </x14:sparkline>
          </x14:sparklines>
        </x14:sparklineGroup>
        <x14:sparklineGroup displayEmptyCellsAs="gap" xr2:uid="{00000000-0003-0000-0800-000016000000}">
          <x14:colorSeries rgb="FF7B1314"/>
          <x14:colorNegative rgb="FFD00000"/>
          <x14:colorAxis rgb="FF000000"/>
          <x14:colorMarkers rgb="FFD00000"/>
          <x14:colorFirst rgb="FFD00000"/>
          <x14:colorLast rgb="FFD00000"/>
          <x14:colorHigh rgb="FFD00000"/>
          <x14:colorLow rgb="FFD00000"/>
          <x14:sparklines>
            <x14:sparkline>
              <xm:f>Inputs!G117:P117</xm:f>
              <xm:sqref>F117</xm:sqref>
            </x14:sparkline>
          </x14:sparklines>
        </x14:sparklineGroup>
        <x14:sparklineGroup displayEmptyCellsAs="gap" xr2:uid="{00000000-0003-0000-0800-000017000000}">
          <x14:colorSeries rgb="FF7B1314"/>
          <x14:colorNegative rgb="FFD00000"/>
          <x14:colorAxis rgb="FF000000"/>
          <x14:colorMarkers rgb="FFD00000"/>
          <x14:colorFirst rgb="FFD00000"/>
          <x14:colorLast rgb="FFD00000"/>
          <x14:colorHigh rgb="FFD00000"/>
          <x14:colorLow rgb="FFD00000"/>
          <x14:sparklines>
            <x14:sparkline>
              <xm:f>Inputs!G118:P118</xm:f>
              <xm:sqref>F118</xm:sqref>
            </x14:sparkline>
          </x14:sparklines>
        </x14:sparklineGroup>
        <x14:sparklineGroup displayEmptyCellsAs="gap" xr2:uid="{00000000-0003-0000-0800-000018000000}">
          <x14:colorSeries rgb="FF7B1314"/>
          <x14:colorNegative rgb="FFD00000"/>
          <x14:colorAxis rgb="FF000000"/>
          <x14:colorMarkers rgb="FFD00000"/>
          <x14:colorFirst rgb="FFD00000"/>
          <x14:colorLast rgb="FFD00000"/>
          <x14:colorHigh rgb="FFD00000"/>
          <x14:colorLow rgb="FFD00000"/>
          <x14:sparklines>
            <x14:sparkline>
              <xm:f>Inputs!G119:P119</xm:f>
              <xm:sqref>F119</xm:sqref>
            </x14:sparkline>
          </x14:sparklines>
        </x14:sparklineGroup>
        <x14:sparklineGroup displayEmptyCellsAs="gap" xr2:uid="{00000000-0003-0000-0800-000019000000}">
          <x14:colorSeries rgb="FF7B1314"/>
          <x14:colorNegative rgb="FFD00000"/>
          <x14:colorAxis rgb="FF000000"/>
          <x14:colorMarkers rgb="FFD00000"/>
          <x14:colorFirst rgb="FFD00000"/>
          <x14:colorLast rgb="FFD00000"/>
          <x14:colorHigh rgb="FFD00000"/>
          <x14:colorLow rgb="FFD00000"/>
          <x14:sparklines>
            <x14:sparkline>
              <xm:f>Inputs!G120:P120</xm:f>
              <xm:sqref>F120</xm:sqref>
            </x14:sparkline>
          </x14:sparklines>
        </x14:sparklineGroup>
        <x14:sparklineGroup displayEmptyCellsAs="span" xr2:uid="{00000000-0003-0000-0800-00001B000000}">
          <x14:colorSeries rgb="FF7B1314"/>
          <x14:colorNegative rgb="FFD00000"/>
          <x14:colorAxis rgb="FF000000"/>
          <x14:colorMarkers rgb="FFD00000"/>
          <x14:colorFirst rgb="FFD00000"/>
          <x14:colorLast rgb="FFD00000"/>
          <x14:colorHigh rgb="FFD00000"/>
          <x14:colorLow rgb="FFD00000"/>
          <x14:sparklines>
            <x14:sparkline>
              <xm:f>Inputs!G7:Q7</xm:f>
              <xm:sqref>F7</xm:sqref>
            </x14:sparkline>
            <x14:sparkline>
              <xm:f>Inputs!G8:Q8</xm:f>
              <xm:sqref>F8</xm:sqref>
            </x14:sparkline>
            <x14:sparkline>
              <xm:f>Inputs!G9:Q9</xm:f>
              <xm:sqref>F9</xm:sqref>
            </x14:sparkline>
            <x14:sparkline>
              <xm:f>Inputs!G10:Q10</xm:f>
              <xm:sqref>F10</xm:sqref>
            </x14:sparkline>
            <x14:sparkline>
              <xm:f>Inputs!G11:Q11</xm:f>
              <xm:sqref>F11</xm:sqref>
            </x14:sparkline>
            <x14:sparkline>
              <xm:f>Inputs!G12:Q12</xm:f>
              <xm:sqref>F12</xm:sqref>
            </x14:sparkline>
            <x14:sparkline>
              <xm:f>Inputs!G13:Q13</xm:f>
              <xm:sqref>F13</xm:sqref>
            </x14:sparkline>
          </x14:sparklines>
        </x14:sparklineGroup>
        <x14:sparklineGroup displayEmptyCellsAs="gap" xr2:uid="{00000000-0003-0000-0800-000022000000}">
          <x14:colorSeries rgb="FF7B1314"/>
          <x14:colorNegative rgb="FFD00000"/>
          <x14:colorAxis rgb="FF000000"/>
          <x14:colorMarkers rgb="FFD00000"/>
          <x14:colorFirst rgb="FFD00000"/>
          <x14:colorLast rgb="FFD00000"/>
          <x14:colorHigh rgb="FFD00000"/>
          <x14:colorLow rgb="FFD00000"/>
          <x14:sparklines>
            <x14:sparkline>
              <xm:f>Inputs!G15:Q15</xm:f>
              <xm:sqref>F15</xm:sqref>
            </x14:sparkline>
          </x14:sparklines>
        </x14:sparklineGroup>
        <x14:sparklineGroup displayEmptyCellsAs="span" xr2:uid="{00000000-0003-0000-0800-000023000000}">
          <x14:colorSeries rgb="FF7B1314"/>
          <x14:colorNegative rgb="FFD00000"/>
          <x14:colorAxis rgb="FF000000"/>
          <x14:colorMarkers rgb="FFD00000"/>
          <x14:colorFirst rgb="FFD00000"/>
          <x14:colorLast rgb="FFD00000"/>
          <x14:colorHigh rgb="FFD00000"/>
          <x14:colorLow rgb="FFD00000"/>
          <x14:sparklines>
            <x14:sparkline>
              <xm:f>Inputs!G16:Q16</xm:f>
              <xm:sqref>F16</xm:sqref>
            </x14:sparkline>
            <x14:sparkline>
              <xm:f>Inputs!G17:Q17</xm:f>
              <xm:sqref>F17</xm:sqref>
            </x14:sparkline>
            <x14:sparkline>
              <xm:f>Inputs!G18:Q18</xm:f>
              <xm:sqref>F18</xm:sqref>
            </x14:sparkline>
            <x14:sparkline>
              <xm:f>Inputs!G19:Q19</xm:f>
              <xm:sqref>F19</xm:sqref>
            </x14:sparkline>
            <x14:sparkline>
              <xm:f>Inputs!G20:Q20</xm:f>
              <xm:sqref>F20</xm:sqref>
            </x14:sparkline>
            <x14:sparkline>
              <xm:f>Inputs!G21:Q21</xm:f>
              <xm:sqref>F21</xm:sqref>
            </x14:sparkline>
            <x14:sparkline>
              <xm:f>Inputs!G22:Q22</xm:f>
              <xm:sqref>F22</xm:sqref>
            </x14:sparkline>
            <x14:sparkline>
              <xm:f>Inputs!G23:Q23</xm:f>
              <xm:sqref>F23</xm:sqref>
            </x14:sparkline>
            <x14:sparkline>
              <xm:f>Inputs!G24:Q24</xm:f>
              <xm:sqref>F24</xm:sqref>
            </x14:sparkline>
            <x14:sparkline>
              <xm:f>Inputs!G25:Q25</xm:f>
              <xm:sqref>F25</xm:sqref>
            </x14:sparkline>
            <x14:sparkline>
              <xm:f>Inputs!G26:Q26</xm:f>
              <xm:sqref>F26</xm:sqref>
            </x14:sparkline>
            <x14:sparkline>
              <xm:f>Inputs!G27:Q27</xm:f>
              <xm:sqref>F27</xm:sqref>
            </x14:sparkline>
            <x14:sparkline>
              <xm:f>Inputs!G28:Q28</xm:f>
              <xm:sqref>F28</xm:sqref>
            </x14:sparkline>
          </x14:sparklines>
        </x14:sparklineGroup>
        <x14:sparklineGroup displayEmptyCellsAs="gap" xr2:uid="{00000000-0003-0000-0800-00002B000000}">
          <x14:colorSeries rgb="FF7B1314"/>
          <x14:colorNegative rgb="FFD00000"/>
          <x14:colorAxis rgb="FF000000"/>
          <x14:colorMarkers rgb="FFD00000"/>
          <x14:colorFirst rgb="FFD00000"/>
          <x14:colorLast rgb="FFD00000"/>
          <x14:colorHigh rgb="FFD00000"/>
          <x14:colorLow rgb="FFD00000"/>
          <x14:sparklines>
            <x14:sparkline>
              <xm:f>Inputs!G29:Q29</xm:f>
              <xm:sqref>F29</xm:sqref>
            </x14:sparkline>
          </x14:sparklines>
        </x14:sparklineGroup>
        <x14:sparklineGroup displayEmptyCellsAs="gap" xr2:uid="{00000000-0003-0000-0800-00002C000000}">
          <x14:colorSeries rgb="FF7B1314"/>
          <x14:colorNegative rgb="FFD00000"/>
          <x14:colorAxis rgb="FF000000"/>
          <x14:colorMarkers rgb="FFD00000"/>
          <x14:colorFirst rgb="FFD00000"/>
          <x14:colorLast rgb="FFD00000"/>
          <x14:colorHigh rgb="FFD00000"/>
          <x14:colorLow rgb="FFD00000"/>
          <x14:sparklines>
            <x14:sparkline>
              <xm:f>Inputs!G32:Q32</xm:f>
              <xm:sqref>F32</xm:sqref>
            </x14:sparkline>
          </x14:sparklines>
        </x14:sparklineGroup>
        <x14:sparklineGroup displayEmptyCellsAs="gap" xr2:uid="{00000000-0003-0000-0800-00002D000000}">
          <x14:colorSeries rgb="FF7B1314"/>
          <x14:colorNegative rgb="FFD00000"/>
          <x14:colorAxis rgb="FF000000"/>
          <x14:colorMarkers rgb="FFD00000"/>
          <x14:colorFirst rgb="FFD00000"/>
          <x14:colorLast rgb="FFD00000"/>
          <x14:colorHigh rgb="FFD00000"/>
          <x14:colorLow rgb="FFD00000"/>
          <x14:sparklines>
            <x14:sparkline>
              <xm:f>Inputs!G35:Q35</xm:f>
              <xm:sqref>F35</xm:sqref>
            </x14:sparkline>
          </x14:sparklines>
        </x14:sparklineGroup>
        <x14:sparklineGroup displayEmptyCellsAs="gap" xr2:uid="{00000000-0003-0000-0800-00002E000000}">
          <x14:colorSeries rgb="FF7B1314"/>
          <x14:colorNegative rgb="FFD00000"/>
          <x14:colorAxis rgb="FF000000"/>
          <x14:colorMarkers rgb="FFD00000"/>
          <x14:colorFirst rgb="FFD00000"/>
          <x14:colorLast rgb="FFD00000"/>
          <x14:colorHigh rgb="FFD00000"/>
          <x14:colorLow rgb="FFD00000"/>
          <x14:sparklines>
            <x14:sparkline>
              <xm:f>Inputs!G36:Q36</xm:f>
              <xm:sqref>F36</xm:sqref>
            </x14:sparkline>
          </x14:sparklines>
        </x14:sparklineGroup>
        <x14:sparklineGroup displayEmptyCellsAs="gap" xr2:uid="{00000000-0003-0000-0800-00002F000000}">
          <x14:colorSeries rgb="FF7B1314"/>
          <x14:colorNegative rgb="FFD00000"/>
          <x14:colorAxis rgb="FF000000"/>
          <x14:colorMarkers rgb="FFD00000"/>
          <x14:colorFirst rgb="FFD00000"/>
          <x14:colorLast rgb="FFD00000"/>
          <x14:colorHigh rgb="FFD00000"/>
          <x14:colorLow rgb="FFD00000"/>
          <x14:sparklines>
            <x14:sparkline>
              <xm:f>Inputs!G37:Q37</xm:f>
              <xm:sqref>F37</xm:sqref>
            </x14:sparkline>
          </x14:sparklines>
        </x14:sparklineGroup>
        <x14:sparklineGroup displayEmptyCellsAs="gap" xr2:uid="{00000000-0003-0000-0800-000030000000}">
          <x14:colorSeries rgb="FF7B1314"/>
          <x14:colorNegative rgb="FFD00000"/>
          <x14:colorAxis rgb="FF000000"/>
          <x14:colorMarkers rgb="FFD00000"/>
          <x14:colorFirst rgb="FFD00000"/>
          <x14:colorLast rgb="FFD00000"/>
          <x14:colorHigh rgb="FFD00000"/>
          <x14:colorLow rgb="FFD00000"/>
          <x14:sparklines>
            <x14:sparkline>
              <xm:f>Inputs!G38:Q38</xm:f>
              <xm:sqref>F38</xm:sqref>
            </x14:sparkline>
          </x14:sparklines>
        </x14:sparklineGroup>
        <x14:sparklineGroup displayEmptyCellsAs="span" xr2:uid="{00000000-0003-0000-0800-000031000000}">
          <x14:colorSeries rgb="FF7B1314"/>
          <x14:colorNegative rgb="FFD00000"/>
          <x14:colorAxis rgb="FF000000"/>
          <x14:colorMarkers rgb="FFD00000"/>
          <x14:colorFirst rgb="FFD00000"/>
          <x14:colorLast rgb="FFD00000"/>
          <x14:colorHigh rgb="FFD00000"/>
          <x14:colorLow rgb="FFD00000"/>
          <x14:sparklines>
            <x14:sparkline>
              <xm:f>Inputs!G39:Q39</xm:f>
              <xm:sqref>F39</xm:sqref>
            </x14:sparkline>
            <x14:sparkline>
              <xm:f>Inputs!G40:Q40</xm:f>
              <xm:sqref>F40</xm:sqref>
            </x14:sparkline>
            <x14:sparkline>
              <xm:f>Inputs!G41:Q41</xm:f>
              <xm:sqref>F41</xm:sqref>
            </x14:sparkline>
          </x14:sparklines>
        </x14:sparklineGroup>
        <x14:sparklineGroup displayEmptyCellsAs="gap" xr2:uid="{00000000-0003-0000-0800-000034000000}">
          <x14:colorSeries rgb="FF7B1314"/>
          <x14:colorNegative rgb="FFD00000"/>
          <x14:colorAxis rgb="FF000000"/>
          <x14:colorMarkers rgb="FFD00000"/>
          <x14:colorFirst rgb="FFD00000"/>
          <x14:colorLast rgb="FFD00000"/>
          <x14:colorHigh rgb="FFD00000"/>
          <x14:colorLow rgb="FFD00000"/>
          <x14:sparklines>
            <x14:sparkline>
              <xm:f>Inputs!G42:Q42</xm:f>
              <xm:sqref>F42</xm:sqref>
            </x14:sparkline>
          </x14:sparklines>
        </x14:sparklineGroup>
        <x14:sparklineGroup displayEmptyCellsAs="gap" xr2:uid="{00000000-0003-0000-0800-000035000000}">
          <x14:colorSeries rgb="FF7B1314"/>
          <x14:colorNegative rgb="FFD00000"/>
          <x14:colorAxis rgb="FF000000"/>
          <x14:colorMarkers rgb="FFD00000"/>
          <x14:colorFirst rgb="FFD00000"/>
          <x14:colorLast rgb="FFD00000"/>
          <x14:colorHigh rgb="FFD00000"/>
          <x14:colorLow rgb="FFD00000"/>
          <x14:sparklines>
            <x14:sparkline>
              <xm:f>Inputs!G46:Q46</xm:f>
              <xm:sqref>F46</xm:sqref>
            </x14:sparkline>
          </x14:sparklines>
        </x14:sparklineGroup>
        <x14:sparklineGroup displayEmptyCellsAs="gap" xr2:uid="{00000000-0003-0000-0800-000036000000}">
          <x14:colorSeries rgb="FF7B1314"/>
          <x14:colorNegative rgb="FFD00000"/>
          <x14:colorAxis rgb="FF000000"/>
          <x14:colorMarkers rgb="FFD00000"/>
          <x14:colorFirst rgb="FFD00000"/>
          <x14:colorLast rgb="FFD00000"/>
          <x14:colorHigh rgb="FFD00000"/>
          <x14:colorLow rgb="FFD00000"/>
          <x14:sparklines>
            <x14:sparkline>
              <xm:f>Inputs!G47:Q47</xm:f>
              <xm:sqref>F47</xm:sqref>
            </x14:sparkline>
          </x14:sparklines>
        </x14:sparklineGroup>
        <x14:sparklineGroup displayEmptyCellsAs="gap" xr2:uid="{00000000-0003-0000-0800-000037000000}">
          <x14:colorSeries rgb="FF7B1314"/>
          <x14:colorNegative rgb="FFD00000"/>
          <x14:colorAxis rgb="FF000000"/>
          <x14:colorMarkers rgb="FFD00000"/>
          <x14:colorFirst rgb="FFD00000"/>
          <x14:colorLast rgb="FFD00000"/>
          <x14:colorHigh rgb="FFD00000"/>
          <x14:colorLow rgb="FFD00000"/>
          <x14:sparklines>
            <x14:sparkline>
              <xm:f>Inputs!G48:Q48</xm:f>
              <xm:sqref>F48</xm:sqref>
            </x14:sparkline>
          </x14:sparklines>
        </x14:sparklineGroup>
        <x14:sparklineGroup displayEmptyCellsAs="gap" xr2:uid="{00000000-0003-0000-0800-000038000000}">
          <x14:colorSeries rgb="FF7B1314"/>
          <x14:colorNegative rgb="FFD00000"/>
          <x14:colorAxis rgb="FF000000"/>
          <x14:colorMarkers rgb="FFD00000"/>
          <x14:colorFirst rgb="FFD00000"/>
          <x14:colorLast rgb="FFD00000"/>
          <x14:colorHigh rgb="FFD00000"/>
          <x14:colorLow rgb="FFD00000"/>
          <x14:sparklines>
            <x14:sparkline>
              <xm:f>Inputs!G49:Q49</xm:f>
              <xm:sqref>F49</xm:sqref>
            </x14:sparkline>
          </x14:sparklines>
        </x14:sparklineGroup>
        <x14:sparklineGroup displayEmptyCellsAs="gap" xr2:uid="{00000000-0003-0000-0800-000039000000}">
          <x14:colorSeries rgb="FF7B1314"/>
          <x14:colorNegative rgb="FFD00000"/>
          <x14:colorAxis rgb="FF000000"/>
          <x14:colorMarkers rgb="FFD00000"/>
          <x14:colorFirst rgb="FFD00000"/>
          <x14:colorLast rgb="FFD00000"/>
          <x14:colorHigh rgb="FFD00000"/>
          <x14:colorLow rgb="FFD00000"/>
          <x14:sparklines>
            <x14:sparkline>
              <xm:f>Inputs!G50:Q50</xm:f>
              <xm:sqref>F50</xm:sqref>
            </x14:sparkline>
          </x14:sparklines>
        </x14:sparklineGroup>
        <x14:sparklineGroup displayEmptyCellsAs="gap" xr2:uid="{00000000-0003-0000-0800-00003A000000}">
          <x14:colorSeries rgb="FF7B1314"/>
          <x14:colorNegative rgb="FFD00000"/>
          <x14:colorAxis rgb="FF000000"/>
          <x14:colorMarkers rgb="FFD00000"/>
          <x14:colorFirst rgb="FFD00000"/>
          <x14:colorLast rgb="FFD00000"/>
          <x14:colorHigh rgb="FFD00000"/>
          <x14:colorLow rgb="FFD00000"/>
          <x14:sparklines>
            <x14:sparkline>
              <xm:f>Inputs!G51:Q51</xm:f>
              <xm:sqref>F51</xm:sqref>
            </x14:sparkline>
          </x14:sparklines>
        </x14:sparklineGroup>
        <x14:sparklineGroup displayEmptyCellsAs="gap" xr2:uid="{00000000-0003-0000-0800-00003B000000}">
          <x14:colorSeries rgb="FF7B1314"/>
          <x14:colorNegative rgb="FFD00000"/>
          <x14:colorAxis rgb="FF000000"/>
          <x14:colorMarkers rgb="FFD00000"/>
          <x14:colorFirst rgb="FFD00000"/>
          <x14:colorLast rgb="FFD00000"/>
          <x14:colorHigh rgb="FFD00000"/>
          <x14:colorLow rgb="FFD00000"/>
          <x14:sparklines>
            <x14:sparkline>
              <xm:f>Inputs!G52:Q52</xm:f>
              <xm:sqref>F52</xm:sqref>
            </x14:sparkline>
          </x14:sparklines>
        </x14:sparklineGroup>
        <x14:sparklineGroup displayEmptyCellsAs="gap" xr2:uid="{00000000-0003-0000-0800-00003C000000}">
          <x14:colorSeries rgb="FF7B1314"/>
          <x14:colorNegative rgb="FFD00000"/>
          <x14:colorAxis rgb="FF000000"/>
          <x14:colorMarkers rgb="FFD00000"/>
          <x14:colorFirst rgb="FFD00000"/>
          <x14:colorLast rgb="FFD00000"/>
          <x14:colorHigh rgb="FFD00000"/>
          <x14:colorLow rgb="FFD00000"/>
          <x14:sparklines>
            <x14:sparkline>
              <xm:f>Inputs!G53:Q53</xm:f>
              <xm:sqref>F53</xm:sqref>
            </x14:sparkline>
          </x14:sparklines>
        </x14:sparklineGroup>
        <x14:sparklineGroup displayEmptyCellsAs="gap" xr2:uid="{00000000-0003-0000-0800-00003D000000}">
          <x14:colorSeries rgb="FF7B1314"/>
          <x14:colorNegative rgb="FFD00000"/>
          <x14:colorAxis rgb="FF000000"/>
          <x14:colorMarkers rgb="FFD00000"/>
          <x14:colorFirst rgb="FFD00000"/>
          <x14:colorLast rgb="FFD00000"/>
          <x14:colorHigh rgb="FFD00000"/>
          <x14:colorLow rgb="FFD00000"/>
          <x14:sparklines>
            <x14:sparkline>
              <xm:f>Inputs!G54:Q54</xm:f>
              <xm:sqref>F54</xm:sqref>
            </x14:sparkline>
          </x14:sparklines>
        </x14:sparklineGroup>
        <x14:sparklineGroup displayEmptyCellsAs="gap" xr2:uid="{00000000-0003-0000-0800-00003E000000}">
          <x14:colorSeries rgb="FF7B1314"/>
          <x14:colorNegative rgb="FFD00000"/>
          <x14:colorAxis rgb="FF000000"/>
          <x14:colorMarkers rgb="FFD00000"/>
          <x14:colorFirst rgb="FFD00000"/>
          <x14:colorLast rgb="FFD00000"/>
          <x14:colorHigh rgb="FFD00000"/>
          <x14:colorLow rgb="FFD00000"/>
          <x14:sparklines>
            <x14:sparkline>
              <xm:f>Inputs!G55:Q55</xm:f>
              <xm:sqref>F55</xm:sqref>
            </x14:sparkline>
          </x14:sparklines>
        </x14:sparklineGroup>
        <x14:sparklineGroup displayEmptyCellsAs="gap" xr2:uid="{00000000-0003-0000-0800-00003F000000}">
          <x14:colorSeries rgb="FF7B1314"/>
          <x14:colorNegative rgb="FFD00000"/>
          <x14:colorAxis rgb="FF000000"/>
          <x14:colorMarkers rgb="FFD00000"/>
          <x14:colorFirst rgb="FFD00000"/>
          <x14:colorLast rgb="FFD00000"/>
          <x14:colorHigh rgb="FFD00000"/>
          <x14:colorLow rgb="FFD00000"/>
          <x14:sparklines>
            <x14:sparkline>
              <xm:f>Inputs!G56:Q56</xm:f>
              <xm:sqref>F56</xm:sqref>
            </x14:sparkline>
          </x14:sparklines>
        </x14:sparklineGroup>
        <x14:sparklineGroup displayEmptyCellsAs="gap" xr2:uid="{00000000-0003-0000-0800-000040000000}">
          <x14:colorSeries rgb="FF7B1314"/>
          <x14:colorNegative rgb="FFD00000"/>
          <x14:colorAxis rgb="FF000000"/>
          <x14:colorMarkers rgb="FFD00000"/>
          <x14:colorFirst rgb="FFD00000"/>
          <x14:colorLast rgb="FFD00000"/>
          <x14:colorHigh rgb="FFD00000"/>
          <x14:colorLow rgb="FFD00000"/>
          <x14:sparklines>
            <x14:sparkline>
              <xm:f>Inputs!G57:Q57</xm:f>
              <xm:sqref>F57</xm:sqref>
            </x14:sparkline>
          </x14:sparklines>
        </x14:sparklineGroup>
        <x14:sparklineGroup displayEmptyCellsAs="gap" xr2:uid="{00000000-0003-0000-0800-000041000000}">
          <x14:colorSeries rgb="FF7B1314"/>
          <x14:colorNegative rgb="FFD00000"/>
          <x14:colorAxis rgb="FF000000"/>
          <x14:colorMarkers rgb="FFD00000"/>
          <x14:colorFirst rgb="FFD00000"/>
          <x14:colorLast rgb="FFD00000"/>
          <x14:colorHigh rgb="FFD00000"/>
          <x14:colorLow rgb="FFD00000"/>
          <x14:sparklines>
            <x14:sparkline>
              <xm:f>Inputs!G58:Q58</xm:f>
              <xm:sqref>F58</xm:sqref>
            </x14:sparkline>
          </x14:sparklines>
        </x14:sparklineGroup>
        <x14:sparklineGroup displayEmptyCellsAs="gap" xr2:uid="{00000000-0003-0000-0800-000042000000}">
          <x14:colorSeries rgb="FF7B1314"/>
          <x14:colorNegative rgb="FFD00000"/>
          <x14:colorAxis rgb="FF000000"/>
          <x14:colorMarkers rgb="FFD00000"/>
          <x14:colorFirst rgb="FFD00000"/>
          <x14:colorLast rgb="FFD00000"/>
          <x14:colorHigh rgb="FFD00000"/>
          <x14:colorLow rgb="FFD00000"/>
          <x14:sparklines>
            <x14:sparkline>
              <xm:f>Inputs!G59:Q59</xm:f>
              <xm:sqref>F59</xm:sqref>
            </x14:sparkline>
          </x14:sparklines>
        </x14:sparklineGroup>
        <x14:sparklineGroup displayEmptyCellsAs="gap" xr2:uid="{00000000-0003-0000-0800-000043000000}">
          <x14:colorSeries rgb="FF7B1314"/>
          <x14:colorNegative rgb="FFD00000"/>
          <x14:colorAxis rgb="FF000000"/>
          <x14:colorMarkers rgb="FFD00000"/>
          <x14:colorFirst rgb="FFD00000"/>
          <x14:colorLast rgb="FFD00000"/>
          <x14:colorHigh rgb="FFD00000"/>
          <x14:colorLow rgb="FFD00000"/>
          <x14:sparklines>
            <x14:sparkline>
              <xm:f>Inputs!G60:Q60</xm:f>
              <xm:sqref>F60</xm:sqref>
            </x14:sparkline>
          </x14:sparklines>
        </x14:sparklineGroup>
        <x14:sparklineGroup displayEmptyCellsAs="span" xr2:uid="{00000000-0003-0000-0800-000046000000}">
          <x14:colorSeries rgb="FF7B1314"/>
          <x14:colorNegative rgb="FFD00000"/>
          <x14:colorAxis rgb="FF000000"/>
          <x14:colorMarkers rgb="FFD00000"/>
          <x14:colorFirst rgb="FFD00000"/>
          <x14:colorLast rgb="FFD00000"/>
          <x14:colorHigh rgb="FFD00000"/>
          <x14:colorLow rgb="FFD00000"/>
          <x14:sparklines>
            <x14:sparkline>
              <xm:f>Inputs!G75:Q75</xm:f>
              <xm:sqref>F75</xm:sqref>
            </x14:sparkline>
            <x14:sparkline>
              <xm:f>Inputs!G76:Q76</xm:f>
              <xm:sqref>F76</xm:sqref>
            </x14:sparkline>
            <x14:sparkline>
              <xm:f>Inputs!G77:Q77</xm:f>
              <xm:sqref>F77</xm:sqref>
            </x14:sparkline>
            <x14:sparkline>
              <xm:f>Inputs!G78:Q78</xm:f>
              <xm:sqref>F78</xm:sqref>
            </x14:sparkline>
            <x14:sparkline>
              <xm:f>Inputs!G79:Q79</xm:f>
              <xm:sqref>F79</xm:sqref>
            </x14:sparkline>
            <x14:sparkline>
              <xm:f>Inputs!G80:Q80</xm:f>
              <xm:sqref>F80</xm:sqref>
            </x14:sparkline>
            <x14:sparkline>
              <xm:f>Inputs!G81:Q81</xm:f>
              <xm:sqref>F81</xm:sqref>
            </x14:sparkline>
            <x14:sparkline>
              <xm:f>Inputs!G82:Q82</xm:f>
              <xm:sqref>F82</xm:sqref>
            </x14:sparkline>
            <x14:sparkline>
              <xm:f>Inputs!G83:Q83</xm:f>
              <xm:sqref>F83</xm:sqref>
            </x14:sparkline>
          </x14:sparklines>
        </x14:sparklineGroup>
        <x14:sparklineGroup displayEmptyCellsAs="span" xr2:uid="{00000000-0003-0000-0800-000047000000}">
          <x14:colorSeries rgb="FF7B1314"/>
          <x14:colorNegative rgb="FFD00000"/>
          <x14:colorAxis rgb="FF000000"/>
          <x14:colorMarkers rgb="FFD00000"/>
          <x14:colorFirst rgb="FFD00000"/>
          <x14:colorLast rgb="FFD00000"/>
          <x14:colorHigh rgb="FFD00000"/>
          <x14:colorLow rgb="FFD00000"/>
          <x14:sparklines>
            <x14:sparkline>
              <xm:f>Inputs!G74:Q74</xm:f>
              <xm:sqref>F74</xm:sqref>
            </x14:sparkline>
          </x14:sparklines>
        </x14:sparklineGroup>
        <x14:sparklineGroup displayEmptyCellsAs="span" xr2:uid="{00000000-0003-0000-0800-00004E000000}">
          <x14:colorSeries rgb="FF7B1314"/>
          <x14:colorNegative rgb="FFD00000"/>
          <x14:colorAxis rgb="FF000000"/>
          <x14:colorMarkers rgb="FFD00000"/>
          <x14:colorFirst rgb="FFD00000"/>
          <x14:colorLast rgb="FFD00000"/>
          <x14:colorHigh rgb="FFD00000"/>
          <x14:colorLow rgb="FFD00000"/>
          <x14:sparklines>
            <x14:sparkline>
              <xm:f>Inputs!G68:Q68</xm:f>
              <xm:sqref>F68</xm:sqref>
            </x14:sparkline>
            <x14:sparkline>
              <xm:f>Inputs!G69:Q69</xm:f>
              <xm:sqref>F69</xm:sqref>
            </x14:sparkline>
            <x14:sparkline>
              <xm:f>Inputs!G70:Q70</xm:f>
              <xm:sqref>F70</xm:sqref>
            </x14:sparkline>
            <x14:sparkline>
              <xm:f>Inputs!G71:Q71</xm:f>
              <xm:sqref>F71</xm:sqref>
            </x14:sparkline>
            <x14:sparkline>
              <xm:f>Inputs!G72:Q72</xm:f>
              <xm:sqref>F72</xm:sqref>
            </x14:sparkline>
            <x14:sparkline>
              <xm:f>Inputs!G73:Q73</xm:f>
              <xm:sqref>F73</xm:sqref>
            </x14:sparkline>
          </x14:sparklines>
        </x14:sparklineGroup>
        <x14:sparklineGroup displayEmptyCellsAs="span" xr2:uid="{00000000-0003-0000-0800-000012000000}">
          <x14:colorSeries rgb="FF7B1314"/>
          <x14:colorNegative rgb="FFD00000"/>
          <x14:colorAxis rgb="FF000000"/>
          <x14:colorMarkers rgb="FFD00000"/>
          <x14:colorFirst rgb="FFD00000"/>
          <x14:colorLast rgb="FFD00000"/>
          <x14:colorHigh rgb="FFD00000"/>
          <x14:colorLow rgb="FFD00000"/>
          <x14:sparklines>
            <x14:sparkline>
              <xm:f>Inputs!G93:Q93</xm:f>
              <xm:sqref>F93</xm:sqref>
            </x14:sparkline>
          </x14:sparklines>
        </x14:sparklineGroup>
        <x14:sparklineGroup displayEmptyCellsAs="gap" xr2:uid="{00000000-0003-0000-0800-00004F000000}">
          <x14:colorSeries rgb="FF7B1314"/>
          <x14:colorNegative rgb="FFD00000"/>
          <x14:colorAxis rgb="FF000000"/>
          <x14:colorMarkers rgb="FFD00000"/>
          <x14:colorFirst rgb="FFD00000"/>
          <x14:colorLast rgb="FFD00000"/>
          <x14:colorHigh rgb="FFD00000"/>
          <x14:colorLow rgb="FFD00000"/>
          <x14:sparklines>
            <x14:sparkline>
              <xm:f>Inputs!G67:Q67</xm:f>
              <xm:sqref>F67</xm:sqref>
            </x14:sparkline>
          </x14:sparklines>
        </x14:sparklineGroup>
        <x14:sparklineGroup displayEmptyCellsAs="gap" xr2:uid="{00000000-0003-0000-0800-000050000000}">
          <x14:colorSeries rgb="FF7B1314"/>
          <x14:colorNegative rgb="FFD00000"/>
          <x14:colorAxis rgb="FF000000"/>
          <x14:colorMarkers rgb="FFD00000"/>
          <x14:colorFirst rgb="FFD00000"/>
          <x14:colorLast rgb="FFD00000"/>
          <x14:colorHigh rgb="FFD00000"/>
          <x14:colorLow rgb="FFD00000"/>
          <x14:sparklines>
            <x14:sparkline>
              <xm:f>Inputs!G66:Q66</xm:f>
              <xm:sqref>F66</xm:sqref>
            </x14:sparkline>
          </x14:sparklines>
        </x14:sparklineGroup>
        <x14:sparklineGroup displayEmptyCellsAs="span" xr2:uid="{00000000-0003-0000-0800-000057000000}">
          <x14:colorSeries rgb="FF7B1314"/>
          <x14:colorNegative rgb="FFD00000"/>
          <x14:colorAxis rgb="FF000000"/>
          <x14:colorMarkers rgb="FFD00000"/>
          <x14:colorFirst rgb="FFD00000"/>
          <x14:colorLast rgb="FFD00000"/>
          <x14:colorHigh rgb="FFD00000"/>
          <x14:colorLow rgb="FFD00000"/>
          <x14:sparklines>
            <x14:sparkline>
              <xm:f>Inputs!G84:Q84</xm:f>
              <xm:sqref>F84</xm:sqref>
            </x14:sparkline>
          </x14:sparklines>
        </x14:sparklineGroup>
        <x14:sparklineGroup displayEmptyCellsAs="span" xr2:uid="{00000000-0003-0000-0800-000058000000}">
          <x14:colorSeries rgb="FF7B1314"/>
          <x14:colorNegative rgb="FFD00000"/>
          <x14:colorAxis rgb="FF000000"/>
          <x14:colorMarkers rgb="FFD00000"/>
          <x14:colorFirst rgb="FFD00000"/>
          <x14:colorLast rgb="FFD00000"/>
          <x14:colorHigh rgb="FFD00000"/>
          <x14:colorLow rgb="FFD00000"/>
          <x14:sparklines>
            <x14:sparkline>
              <xm:f>Inputs!G85:Q85</xm:f>
              <xm:sqref>F85</xm:sqref>
            </x14:sparkline>
            <x14:sparkline>
              <xm:f>Inputs!G86:Q86</xm:f>
              <xm:sqref>F86</xm:sqref>
            </x14:sparkline>
            <x14:sparkline>
              <xm:f>Inputs!G87:Q87</xm:f>
              <xm:sqref>F87</xm:sqref>
            </x14:sparkline>
            <x14:sparkline>
              <xm:f>Inputs!G88:Q88</xm:f>
              <xm:sqref>F88</xm:sqref>
            </x14:sparkline>
            <x14:sparkline>
              <xm:f>Inputs!G89:Q89</xm:f>
              <xm:sqref>F89</xm:sqref>
            </x14:sparkline>
            <x14:sparkline>
              <xm:f>Inputs!G90:Q90</xm:f>
              <xm:sqref>F90</xm:sqref>
            </x14:sparkline>
          </x14:sparklines>
        </x14:sparklineGroup>
        <x14:sparklineGroup displayEmptyCellsAs="span" xr2:uid="{00000000-0003-0000-0800-00005E000000}">
          <x14:colorSeries rgb="FF7B1314"/>
          <x14:colorNegative rgb="FFD00000"/>
          <x14:colorAxis rgb="FF000000"/>
          <x14:colorMarkers rgb="FFD00000"/>
          <x14:colorFirst rgb="FFD00000"/>
          <x14:colorLast rgb="FFD00000"/>
          <x14:colorHigh rgb="FFD00000"/>
          <x14:colorLow rgb="FFD00000"/>
          <x14:sparklines>
            <x14:sparkline>
              <xm:f>Inputs!G91:Q91</xm:f>
              <xm:sqref>F91</xm:sqref>
            </x14:sparkline>
          </x14:sparklines>
        </x14:sparklineGroup>
        <x14:sparklineGroup displayEmptyCellsAs="gap" xr2:uid="{00000000-0003-0000-0800-00005F000000}">
          <x14:colorSeries rgb="FF7B1314"/>
          <x14:colorNegative rgb="FFD00000"/>
          <x14:colorAxis rgb="FF000000"/>
          <x14:colorMarkers rgb="FFD00000"/>
          <x14:colorFirst rgb="FFD00000"/>
          <x14:colorLast rgb="FFD00000"/>
          <x14:colorHigh rgb="FFD00000"/>
          <x14:colorLow rgb="FFD00000"/>
          <x14:sparklines>
            <x14:sparkline>
              <xm:f>Inputs!G92:Q92</xm:f>
              <xm:sqref>F92</xm:sqref>
            </x14:sparkline>
          </x14:sparklines>
        </x14:sparklineGroup>
        <x14:sparklineGroup displayEmptyCellsAs="gap" xr2:uid="{00000000-0003-0000-0800-000060000000}">
          <x14:colorSeries rgb="FF7B1314"/>
          <x14:colorNegative rgb="FFD00000"/>
          <x14:colorAxis rgb="FF000000"/>
          <x14:colorMarkers rgb="FFD00000"/>
          <x14:colorFirst rgb="FFD00000"/>
          <x14:colorLast rgb="FFD00000"/>
          <x14:colorHigh rgb="FFD00000"/>
          <x14:colorLow rgb="FFD00000"/>
          <x14:sparklines>
            <x14:sparkline>
              <xm:f>Inputs!G94:Q94</xm:f>
              <xm:sqref>F94</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084E-6E1A-4101-B7D4-E1BA013B5585}">
  <dimension ref="A1:L66"/>
  <sheetViews>
    <sheetView topLeftCell="A36" workbookViewId="0">
      <selection activeCell="N5" sqref="N5:O11"/>
    </sheetView>
  </sheetViews>
  <sheetFormatPr defaultColWidth="8.875" defaultRowHeight="14.1"/>
  <cols>
    <col min="1" max="1" width="29.375" customWidth="1"/>
  </cols>
  <sheetData>
    <row r="1" spans="1:12" ht="14.45">
      <c r="A1" s="709" t="s">
        <v>364</v>
      </c>
      <c r="B1" s="709" t="s">
        <v>364</v>
      </c>
      <c r="C1" s="709" t="s">
        <v>364</v>
      </c>
      <c r="D1" s="709" t="s">
        <v>364</v>
      </c>
      <c r="E1" s="709" t="s">
        <v>364</v>
      </c>
      <c r="F1" s="709" t="s">
        <v>364</v>
      </c>
      <c r="G1" s="709" t="s">
        <v>364</v>
      </c>
      <c r="H1" s="709" t="s">
        <v>364</v>
      </c>
      <c r="I1" s="709" t="s">
        <v>364</v>
      </c>
      <c r="J1" s="709" t="s">
        <v>364</v>
      </c>
      <c r="K1" s="709" t="s">
        <v>364</v>
      </c>
    </row>
    <row r="2" spans="1:12" ht="20.100000000000001">
      <c r="A2" s="710" t="s">
        <v>734</v>
      </c>
      <c r="B2" s="711"/>
      <c r="C2" s="711"/>
      <c r="D2" s="710" t="s">
        <v>364</v>
      </c>
      <c r="E2" s="710" t="s">
        <v>364</v>
      </c>
      <c r="F2" s="710" t="s">
        <v>364</v>
      </c>
      <c r="G2" s="710" t="s">
        <v>364</v>
      </c>
      <c r="H2" s="710" t="s">
        <v>364</v>
      </c>
      <c r="I2" s="710" t="s">
        <v>364</v>
      </c>
      <c r="J2" s="710" t="s">
        <v>364</v>
      </c>
      <c r="K2" s="710" t="s">
        <v>364</v>
      </c>
      <c r="L2" s="710" t="s">
        <v>364</v>
      </c>
    </row>
    <row r="3" spans="1:12">
      <c r="A3" s="712" t="s">
        <v>364</v>
      </c>
      <c r="B3" s="712" t="s">
        <v>364</v>
      </c>
      <c r="C3" s="712" t="s">
        <v>364</v>
      </c>
      <c r="D3" s="712" t="s">
        <v>364</v>
      </c>
      <c r="E3" s="712" t="s">
        <v>364</v>
      </c>
      <c r="F3" s="712" t="s">
        <v>364</v>
      </c>
      <c r="G3" s="712" t="s">
        <v>364</v>
      </c>
      <c r="H3" s="712" t="s">
        <v>364</v>
      </c>
      <c r="I3" s="712" t="s">
        <v>364</v>
      </c>
      <c r="J3" s="712" t="s">
        <v>364</v>
      </c>
      <c r="K3" s="712" t="s">
        <v>364</v>
      </c>
    </row>
    <row r="4" spans="1:12">
      <c r="A4" s="713" t="s">
        <v>735</v>
      </c>
      <c r="B4" s="714" t="s">
        <v>484</v>
      </c>
      <c r="C4" s="714" t="s">
        <v>485</v>
      </c>
      <c r="D4" s="714" t="s">
        <v>486</v>
      </c>
      <c r="E4" s="714" t="s">
        <v>487</v>
      </c>
      <c r="F4" s="714" t="s">
        <v>489</v>
      </c>
      <c r="G4" s="714" t="s">
        <v>490</v>
      </c>
      <c r="H4" s="714" t="s">
        <v>491</v>
      </c>
      <c r="I4" s="714" t="s">
        <v>492</v>
      </c>
      <c r="J4" s="714" t="s">
        <v>493</v>
      </c>
      <c r="K4" s="714" t="s">
        <v>736</v>
      </c>
    </row>
    <row r="5" spans="1:12">
      <c r="A5" s="715" t="s">
        <v>737</v>
      </c>
      <c r="B5" s="717">
        <v>42369</v>
      </c>
      <c r="C5" s="717">
        <v>42735</v>
      </c>
      <c r="D5" s="717">
        <v>43100</v>
      </c>
      <c r="E5" s="717">
        <v>43465</v>
      </c>
      <c r="F5" s="717">
        <v>43921</v>
      </c>
      <c r="G5" s="717">
        <v>44286</v>
      </c>
      <c r="H5" s="717">
        <v>44651</v>
      </c>
      <c r="I5" s="717">
        <v>45016</v>
      </c>
      <c r="J5" s="717">
        <v>45382</v>
      </c>
      <c r="K5" s="717">
        <v>45657</v>
      </c>
    </row>
    <row r="6" spans="1:12">
      <c r="A6" s="718" t="s">
        <v>244</v>
      </c>
      <c r="B6" s="719">
        <v>191.4</v>
      </c>
      <c r="C6" s="720">
        <v>229.6</v>
      </c>
      <c r="D6" s="720">
        <v>269.89999999999998</v>
      </c>
      <c r="E6" s="720">
        <v>267.39999999999998</v>
      </c>
      <c r="F6" s="720">
        <v>282.89999999999998</v>
      </c>
      <c r="G6" s="720">
        <v>318.10000000000002</v>
      </c>
      <c r="H6" s="720">
        <v>392.2</v>
      </c>
      <c r="I6" s="720">
        <v>578.79999999999995</v>
      </c>
      <c r="J6" s="721">
        <v>1023.9</v>
      </c>
      <c r="K6" s="723">
        <v>1302</v>
      </c>
    </row>
    <row r="7" spans="1:12">
      <c r="A7" s="724" t="s">
        <v>738</v>
      </c>
      <c r="B7" s="725" t="s">
        <v>476</v>
      </c>
      <c r="C7" s="726">
        <v>229.6</v>
      </c>
      <c r="D7" s="726">
        <v>269.89999999999998</v>
      </c>
      <c r="E7" s="726">
        <v>267.39999999999998</v>
      </c>
      <c r="F7" s="726">
        <v>282.89999999999998</v>
      </c>
      <c r="G7" s="726">
        <v>318.10000000000002</v>
      </c>
      <c r="H7" s="726">
        <v>392.2</v>
      </c>
      <c r="I7" s="726">
        <v>578.79999999999995</v>
      </c>
      <c r="J7" s="727">
        <v>1023.9</v>
      </c>
      <c r="K7" s="729">
        <v>1302</v>
      </c>
    </row>
    <row r="8" spans="1:12">
      <c r="A8" s="724" t="s">
        <v>739</v>
      </c>
      <c r="B8" s="725">
        <v>91.1</v>
      </c>
      <c r="C8" s="726">
        <v>97.3</v>
      </c>
      <c r="D8" s="726">
        <v>105.2</v>
      </c>
      <c r="E8" s="726">
        <v>104.7</v>
      </c>
      <c r="F8" s="726">
        <v>101.7</v>
      </c>
      <c r="G8" s="726">
        <v>111.9</v>
      </c>
      <c r="H8" s="726">
        <v>140.4</v>
      </c>
      <c r="I8" s="726">
        <v>188.4</v>
      </c>
      <c r="J8" s="726">
        <v>299.8</v>
      </c>
      <c r="K8" s="728">
        <v>376.2</v>
      </c>
    </row>
    <row r="9" spans="1:12">
      <c r="A9" s="724" t="s">
        <v>740</v>
      </c>
      <c r="B9" s="725" t="s">
        <v>476</v>
      </c>
      <c r="C9" s="726">
        <v>97.3</v>
      </c>
      <c r="D9" s="726">
        <v>105.2</v>
      </c>
      <c r="E9" s="726">
        <v>104.7</v>
      </c>
      <c r="F9" s="726">
        <v>101.7</v>
      </c>
      <c r="G9" s="726">
        <v>111.9</v>
      </c>
      <c r="H9" s="726">
        <v>140.4</v>
      </c>
      <c r="I9" s="726">
        <v>188.4</v>
      </c>
      <c r="J9" s="726">
        <v>299.8</v>
      </c>
      <c r="K9" s="728">
        <v>376.2</v>
      </c>
    </row>
    <row r="10" spans="1:12">
      <c r="A10" s="718" t="s">
        <v>301</v>
      </c>
      <c r="B10" s="719">
        <v>100.3</v>
      </c>
      <c r="C10" s="720">
        <v>132.19999999999999</v>
      </c>
      <c r="D10" s="720">
        <v>164.7</v>
      </c>
      <c r="E10" s="720">
        <v>162.69999999999999</v>
      </c>
      <c r="F10" s="720">
        <v>181.1</v>
      </c>
      <c r="G10" s="720">
        <v>206.2</v>
      </c>
      <c r="H10" s="720">
        <v>251.7</v>
      </c>
      <c r="I10" s="720">
        <v>390.4</v>
      </c>
      <c r="J10" s="720">
        <v>724.1</v>
      </c>
      <c r="K10" s="722">
        <v>925.8</v>
      </c>
    </row>
    <row r="11" spans="1:12">
      <c r="A11" s="724" t="s">
        <v>741</v>
      </c>
      <c r="B11" s="725">
        <v>0</v>
      </c>
      <c r="C11" s="726">
        <v>0</v>
      </c>
      <c r="D11" s="726">
        <v>0</v>
      </c>
      <c r="E11" s="726">
        <v>0</v>
      </c>
      <c r="F11" s="726">
        <v>0</v>
      </c>
      <c r="G11" s="726">
        <v>0</v>
      </c>
      <c r="H11" s="726">
        <v>0</v>
      </c>
      <c r="I11" s="726">
        <v>0</v>
      </c>
      <c r="J11" s="726">
        <v>0</v>
      </c>
      <c r="K11" s="728">
        <v>0</v>
      </c>
    </row>
    <row r="12" spans="1:12">
      <c r="A12" s="724" t="s">
        <v>742</v>
      </c>
      <c r="B12" s="725">
        <v>74.8</v>
      </c>
      <c r="C12" s="726">
        <v>109.2</v>
      </c>
      <c r="D12" s="726">
        <v>131.4</v>
      </c>
      <c r="E12" s="726">
        <v>136.6</v>
      </c>
      <c r="F12" s="726">
        <v>151.19999999999999</v>
      </c>
      <c r="G12" s="726">
        <v>196.8</v>
      </c>
      <c r="H12" s="726">
        <v>222.4</v>
      </c>
      <c r="I12" s="726">
        <v>322.3</v>
      </c>
      <c r="J12" s="726">
        <v>574.4</v>
      </c>
      <c r="K12" s="728">
        <v>795.1</v>
      </c>
    </row>
    <row r="13" spans="1:12">
      <c r="A13" s="724" t="s">
        <v>743</v>
      </c>
      <c r="B13" s="725" t="s">
        <v>476</v>
      </c>
      <c r="C13" s="726">
        <v>109.2</v>
      </c>
      <c r="D13" s="726">
        <v>131.4</v>
      </c>
      <c r="E13" s="726">
        <v>136.6</v>
      </c>
      <c r="F13" s="726">
        <v>157.19999999999999</v>
      </c>
      <c r="G13" s="726">
        <v>194.2</v>
      </c>
      <c r="H13" s="726">
        <v>221.9</v>
      </c>
      <c r="I13" s="726">
        <v>322.3</v>
      </c>
      <c r="J13" s="726">
        <v>574.4</v>
      </c>
      <c r="K13" s="728">
        <v>795.1</v>
      </c>
    </row>
    <row r="14" spans="1:12">
      <c r="A14" s="724" t="s">
        <v>744</v>
      </c>
      <c r="B14" s="725" t="s">
        <v>476</v>
      </c>
      <c r="C14" s="726">
        <v>0</v>
      </c>
      <c r="D14" s="726">
        <v>0</v>
      </c>
      <c r="E14" s="726">
        <v>0</v>
      </c>
      <c r="F14" s="726" t="s">
        <v>476</v>
      </c>
      <c r="G14" s="726">
        <v>0</v>
      </c>
      <c r="H14" s="726">
        <v>0</v>
      </c>
      <c r="I14" s="726">
        <v>0</v>
      </c>
      <c r="J14" s="726">
        <v>0</v>
      </c>
      <c r="K14" s="728" t="s">
        <v>364</v>
      </c>
    </row>
    <row r="15" spans="1:12">
      <c r="A15" s="724" t="s">
        <v>745</v>
      </c>
      <c r="B15" s="725" t="s">
        <v>476</v>
      </c>
      <c r="C15" s="726">
        <v>0</v>
      </c>
      <c r="D15" s="726">
        <v>0</v>
      </c>
      <c r="E15" s="726">
        <v>0</v>
      </c>
      <c r="F15" s="726">
        <v>-6</v>
      </c>
      <c r="G15" s="726">
        <v>2.6</v>
      </c>
      <c r="H15" s="726">
        <v>0.5</v>
      </c>
      <c r="I15" s="726">
        <v>0</v>
      </c>
      <c r="J15" s="726">
        <v>0</v>
      </c>
      <c r="K15" s="728">
        <v>0</v>
      </c>
    </row>
    <row r="16" spans="1:12">
      <c r="A16" s="718" t="s">
        <v>746</v>
      </c>
      <c r="B16" s="719">
        <v>25.6</v>
      </c>
      <c r="C16" s="720">
        <v>23.1</v>
      </c>
      <c r="D16" s="720">
        <v>33.299999999999997</v>
      </c>
      <c r="E16" s="720">
        <v>26.2</v>
      </c>
      <c r="F16" s="720">
        <v>30</v>
      </c>
      <c r="G16" s="720">
        <v>9.4</v>
      </c>
      <c r="H16" s="720">
        <v>29.3</v>
      </c>
      <c r="I16" s="720">
        <v>68.099999999999994</v>
      </c>
      <c r="J16" s="720">
        <v>149.69999999999999</v>
      </c>
      <c r="K16" s="722">
        <v>130.69999999999999</v>
      </c>
    </row>
    <row r="17" spans="1:11">
      <c r="A17" s="724" t="s">
        <v>747</v>
      </c>
      <c r="B17" s="725">
        <v>0</v>
      </c>
      <c r="C17" s="726">
        <v>13.3</v>
      </c>
      <c r="D17" s="726">
        <v>10.8</v>
      </c>
      <c r="E17" s="726">
        <v>8.1999999999999993</v>
      </c>
      <c r="F17" s="726">
        <v>5.9</v>
      </c>
      <c r="G17" s="726">
        <v>5.7</v>
      </c>
      <c r="H17" s="726">
        <v>3.9</v>
      </c>
      <c r="I17" s="726">
        <v>4.0999999999999996</v>
      </c>
      <c r="J17" s="726">
        <v>8.6999999999999993</v>
      </c>
      <c r="K17" s="728">
        <v>18.100000000000001</v>
      </c>
    </row>
    <row r="18" spans="1:11">
      <c r="A18" s="724" t="s">
        <v>748</v>
      </c>
      <c r="B18" s="725" t="s">
        <v>476</v>
      </c>
      <c r="C18" s="726">
        <v>16.3</v>
      </c>
      <c r="D18" s="726">
        <v>8.8000000000000007</v>
      </c>
      <c r="E18" s="726">
        <v>7.8</v>
      </c>
      <c r="F18" s="726">
        <v>6.3</v>
      </c>
      <c r="G18" s="726">
        <v>4.0999999999999996</v>
      </c>
      <c r="H18" s="726">
        <v>2.4</v>
      </c>
      <c r="I18" s="726">
        <v>2</v>
      </c>
      <c r="J18" s="726">
        <v>7</v>
      </c>
      <c r="K18" s="728">
        <v>15</v>
      </c>
    </row>
    <row r="19" spans="1:11">
      <c r="A19" s="730" t="s">
        <v>749</v>
      </c>
      <c r="B19" s="731" t="s">
        <v>476</v>
      </c>
      <c r="C19" s="732">
        <v>16.3</v>
      </c>
      <c r="D19" s="732">
        <v>8.8000000000000007</v>
      </c>
      <c r="E19" s="732">
        <v>7.8</v>
      </c>
      <c r="F19" s="732">
        <v>6.3</v>
      </c>
      <c r="G19" s="732">
        <v>4.0999999999999996</v>
      </c>
      <c r="H19" s="732">
        <v>2.4</v>
      </c>
      <c r="I19" s="732">
        <v>2</v>
      </c>
      <c r="J19" s="732">
        <v>7</v>
      </c>
      <c r="K19" s="733">
        <v>15</v>
      </c>
    </row>
    <row r="20" spans="1:11">
      <c r="A20" s="730" t="s">
        <v>750</v>
      </c>
      <c r="B20" s="731" t="s">
        <v>476</v>
      </c>
      <c r="C20" s="732">
        <v>0</v>
      </c>
      <c r="D20" s="732">
        <v>0</v>
      </c>
      <c r="E20" s="732">
        <v>0</v>
      </c>
      <c r="F20" s="732">
        <v>0</v>
      </c>
      <c r="G20" s="732">
        <v>0</v>
      </c>
      <c r="H20" s="732">
        <v>0</v>
      </c>
      <c r="I20" s="732">
        <v>0</v>
      </c>
      <c r="J20" s="732">
        <v>0</v>
      </c>
      <c r="K20" s="733">
        <v>0</v>
      </c>
    </row>
    <row r="21" spans="1:11">
      <c r="A21" s="724" t="s">
        <v>751</v>
      </c>
      <c r="B21" s="725">
        <v>0</v>
      </c>
      <c r="C21" s="726">
        <v>0</v>
      </c>
      <c r="D21" s="726">
        <v>0</v>
      </c>
      <c r="E21" s="726">
        <v>0</v>
      </c>
      <c r="F21" s="726">
        <v>0</v>
      </c>
      <c r="G21" s="726">
        <v>0</v>
      </c>
      <c r="H21" s="726">
        <v>0</v>
      </c>
      <c r="I21" s="726">
        <v>0</v>
      </c>
      <c r="J21" s="726">
        <v>0</v>
      </c>
      <c r="K21" s="728" t="s">
        <v>364</v>
      </c>
    </row>
    <row r="22" spans="1:11">
      <c r="A22" s="724" t="s">
        <v>752</v>
      </c>
      <c r="B22" s="725" t="s">
        <v>476</v>
      </c>
      <c r="C22" s="726">
        <v>-3</v>
      </c>
      <c r="D22" s="726">
        <v>2</v>
      </c>
      <c r="E22" s="726">
        <v>0.4</v>
      </c>
      <c r="F22" s="726">
        <v>-0.4</v>
      </c>
      <c r="G22" s="726">
        <v>1.6</v>
      </c>
      <c r="H22" s="726">
        <v>1.4</v>
      </c>
      <c r="I22" s="726">
        <v>2.1</v>
      </c>
      <c r="J22" s="726">
        <v>1.7</v>
      </c>
      <c r="K22" s="728">
        <v>3.1</v>
      </c>
    </row>
    <row r="23" spans="1:11">
      <c r="A23" s="718" t="s">
        <v>753</v>
      </c>
      <c r="B23" s="719">
        <v>25.6</v>
      </c>
      <c r="C23" s="720">
        <v>9.8000000000000007</v>
      </c>
      <c r="D23" s="720">
        <v>22.5</v>
      </c>
      <c r="E23" s="720">
        <v>18</v>
      </c>
      <c r="F23" s="720">
        <v>24.1</v>
      </c>
      <c r="G23" s="720">
        <v>3.7</v>
      </c>
      <c r="H23" s="720">
        <v>25.4</v>
      </c>
      <c r="I23" s="720">
        <v>64.099999999999994</v>
      </c>
      <c r="J23" s="720">
        <v>141</v>
      </c>
      <c r="K23" s="722">
        <v>112.6</v>
      </c>
    </row>
    <row r="24" spans="1:11">
      <c r="A24" s="724" t="s">
        <v>754</v>
      </c>
      <c r="B24" s="725" t="s">
        <v>476</v>
      </c>
      <c r="C24" s="726">
        <v>4.5</v>
      </c>
      <c r="D24" s="726">
        <v>-11</v>
      </c>
      <c r="E24" s="726">
        <v>2.4</v>
      </c>
      <c r="F24" s="726">
        <v>6.2</v>
      </c>
      <c r="G24" s="726">
        <v>-2.5</v>
      </c>
      <c r="H24" s="726">
        <v>3.7</v>
      </c>
      <c r="I24" s="726">
        <v>2.5</v>
      </c>
      <c r="J24" s="726">
        <v>13.3</v>
      </c>
      <c r="K24" s="728">
        <v>14.3</v>
      </c>
    </row>
    <row r="25" spans="1:11">
      <c r="A25" s="724" t="s">
        <v>755</v>
      </c>
      <c r="B25" s="725" t="s">
        <v>476</v>
      </c>
      <c r="C25" s="726">
        <v>12.1</v>
      </c>
      <c r="D25" s="726">
        <v>2.4</v>
      </c>
      <c r="E25" s="726">
        <v>3.4</v>
      </c>
      <c r="F25" s="726">
        <v>3.7</v>
      </c>
      <c r="G25" s="726" t="s">
        <v>476</v>
      </c>
      <c r="H25" s="726">
        <v>7.4</v>
      </c>
      <c r="I25" s="726">
        <v>8.9</v>
      </c>
      <c r="J25" s="726">
        <v>16.600000000000001</v>
      </c>
      <c r="K25" s="728" t="s">
        <v>364</v>
      </c>
    </row>
    <row r="26" spans="1:11">
      <c r="A26" s="724" t="s">
        <v>756</v>
      </c>
      <c r="B26" s="725" t="s">
        <v>476</v>
      </c>
      <c r="C26" s="726">
        <v>-7.6</v>
      </c>
      <c r="D26" s="726">
        <v>-13.4</v>
      </c>
      <c r="E26" s="726">
        <v>-0.9</v>
      </c>
      <c r="F26" s="726">
        <v>2.4</v>
      </c>
      <c r="G26" s="726" t="s">
        <v>476</v>
      </c>
      <c r="H26" s="726">
        <v>-3.7</v>
      </c>
      <c r="I26" s="726">
        <v>-6.4</v>
      </c>
      <c r="J26" s="726">
        <v>-3.3</v>
      </c>
      <c r="K26" s="728" t="s">
        <v>364</v>
      </c>
    </row>
    <row r="27" spans="1:11">
      <c r="A27" s="718" t="s">
        <v>757</v>
      </c>
      <c r="B27" s="719">
        <v>25.6</v>
      </c>
      <c r="C27" s="720">
        <v>5.3</v>
      </c>
      <c r="D27" s="720">
        <v>33.5</v>
      </c>
      <c r="E27" s="720">
        <v>15.5</v>
      </c>
      <c r="F27" s="720">
        <v>17.899999999999999</v>
      </c>
      <c r="G27" s="720">
        <v>6.2</v>
      </c>
      <c r="H27" s="720">
        <v>21.8</v>
      </c>
      <c r="I27" s="720">
        <v>61.5</v>
      </c>
      <c r="J27" s="720">
        <v>127.7</v>
      </c>
      <c r="K27" s="722">
        <v>98.4</v>
      </c>
    </row>
    <row r="28" spans="1:11">
      <c r="A28" s="724" t="s">
        <v>758</v>
      </c>
      <c r="B28" s="725" t="s">
        <v>476</v>
      </c>
      <c r="C28" s="726">
        <v>0</v>
      </c>
      <c r="D28" s="726">
        <v>0</v>
      </c>
      <c r="E28" s="726">
        <v>0</v>
      </c>
      <c r="F28" s="726">
        <v>0</v>
      </c>
      <c r="G28" s="726">
        <v>0</v>
      </c>
      <c r="H28" s="726">
        <v>0</v>
      </c>
      <c r="I28" s="726">
        <v>0</v>
      </c>
      <c r="J28" s="726">
        <v>0</v>
      </c>
      <c r="K28" s="728">
        <v>0</v>
      </c>
    </row>
    <row r="29" spans="1:11">
      <c r="A29" s="724" t="s">
        <v>759</v>
      </c>
      <c r="B29" s="725" t="s">
        <v>476</v>
      </c>
      <c r="C29" s="726">
        <v>0</v>
      </c>
      <c r="D29" s="726">
        <v>0</v>
      </c>
      <c r="E29" s="726">
        <v>0</v>
      </c>
      <c r="F29" s="726">
        <v>0</v>
      </c>
      <c r="G29" s="726">
        <v>0</v>
      </c>
      <c r="H29" s="726">
        <v>0</v>
      </c>
      <c r="I29" s="726">
        <v>0</v>
      </c>
      <c r="J29" s="726">
        <v>0</v>
      </c>
      <c r="K29" s="728">
        <v>0</v>
      </c>
    </row>
    <row r="30" spans="1:11">
      <c r="A30" s="724" t="s">
        <v>760</v>
      </c>
      <c r="B30" s="725" t="s">
        <v>476</v>
      </c>
      <c r="C30" s="726">
        <v>0</v>
      </c>
      <c r="D30" s="726">
        <v>0</v>
      </c>
      <c r="E30" s="726">
        <v>0</v>
      </c>
      <c r="F30" s="726">
        <v>0</v>
      </c>
      <c r="G30" s="726">
        <v>0</v>
      </c>
      <c r="H30" s="726">
        <v>0</v>
      </c>
      <c r="I30" s="726">
        <v>0</v>
      </c>
      <c r="J30" s="726">
        <v>0</v>
      </c>
      <c r="K30" s="728">
        <v>0</v>
      </c>
    </row>
    <row r="31" spans="1:11">
      <c r="A31" s="718" t="s">
        <v>761</v>
      </c>
      <c r="B31" s="719" t="s">
        <v>476</v>
      </c>
      <c r="C31" s="720">
        <v>5.3</v>
      </c>
      <c r="D31" s="720">
        <v>33.5</v>
      </c>
      <c r="E31" s="720">
        <v>15.5</v>
      </c>
      <c r="F31" s="720">
        <v>17.899999999999999</v>
      </c>
      <c r="G31" s="720">
        <v>6.2</v>
      </c>
      <c r="H31" s="720">
        <v>21.8</v>
      </c>
      <c r="I31" s="720">
        <v>61.5</v>
      </c>
      <c r="J31" s="720">
        <v>127.7</v>
      </c>
      <c r="K31" s="722">
        <v>98.4</v>
      </c>
    </row>
    <row r="32" spans="1:11">
      <c r="A32" s="724" t="s">
        <v>762</v>
      </c>
      <c r="B32" s="725" t="s">
        <v>476</v>
      </c>
      <c r="C32" s="726">
        <v>0</v>
      </c>
      <c r="D32" s="726">
        <v>0</v>
      </c>
      <c r="E32" s="726">
        <v>0</v>
      </c>
      <c r="F32" s="726" t="s">
        <v>476</v>
      </c>
      <c r="G32" s="726">
        <v>0</v>
      </c>
      <c r="H32" s="726">
        <v>0</v>
      </c>
      <c r="I32" s="726">
        <v>0</v>
      </c>
      <c r="J32" s="726">
        <v>0</v>
      </c>
      <c r="K32" s="728">
        <v>0</v>
      </c>
    </row>
    <row r="33" spans="1:11">
      <c r="A33" s="718" t="s">
        <v>763</v>
      </c>
      <c r="B33" s="719">
        <v>4.4000000000000004</v>
      </c>
      <c r="C33" s="720">
        <v>5.3</v>
      </c>
      <c r="D33" s="720">
        <v>33.5</v>
      </c>
      <c r="E33" s="720">
        <v>15.5</v>
      </c>
      <c r="F33" s="720">
        <v>17.899999999999999</v>
      </c>
      <c r="G33" s="720">
        <v>6.2</v>
      </c>
      <c r="H33" s="720">
        <v>21.8</v>
      </c>
      <c r="I33" s="720">
        <v>61.5</v>
      </c>
      <c r="J33" s="720">
        <v>127.7</v>
      </c>
      <c r="K33" s="722">
        <v>98.4</v>
      </c>
    </row>
    <row r="34" spans="1:11">
      <c r="A34" s="724" t="s">
        <v>764</v>
      </c>
      <c r="B34" s="725" t="s">
        <v>476</v>
      </c>
      <c r="C34" s="726">
        <v>0</v>
      </c>
      <c r="D34" s="726">
        <v>0</v>
      </c>
      <c r="E34" s="726">
        <v>0</v>
      </c>
      <c r="F34" s="726">
        <v>0</v>
      </c>
      <c r="G34" s="726">
        <v>0</v>
      </c>
      <c r="H34" s="726">
        <v>0</v>
      </c>
      <c r="I34" s="726">
        <v>0</v>
      </c>
      <c r="J34" s="726">
        <v>0</v>
      </c>
      <c r="K34" s="728">
        <v>0</v>
      </c>
    </row>
    <row r="35" spans="1:11">
      <c r="A35" s="724" t="s">
        <v>765</v>
      </c>
      <c r="B35" s="725" t="s">
        <v>476</v>
      </c>
      <c r="C35" s="726">
        <v>502.8</v>
      </c>
      <c r="D35" s="726">
        <v>0</v>
      </c>
      <c r="E35" s="726">
        <v>0</v>
      </c>
      <c r="F35" s="726">
        <v>0</v>
      </c>
      <c r="G35" s="726">
        <v>0</v>
      </c>
      <c r="H35" s="726">
        <v>0</v>
      </c>
      <c r="I35" s="726">
        <v>0</v>
      </c>
      <c r="J35" s="726">
        <v>0</v>
      </c>
      <c r="K35" s="728">
        <v>0</v>
      </c>
    </row>
    <row r="36" spans="1:11">
      <c r="A36" s="718" t="s">
        <v>766</v>
      </c>
      <c r="B36" s="719">
        <v>4.4000000000000004</v>
      </c>
      <c r="C36" s="720">
        <v>-497.5</v>
      </c>
      <c r="D36" s="720">
        <v>33.5</v>
      </c>
      <c r="E36" s="720">
        <v>15.5</v>
      </c>
      <c r="F36" s="720">
        <v>17.899999999999999</v>
      </c>
      <c r="G36" s="720">
        <v>6.2</v>
      </c>
      <c r="H36" s="720">
        <v>21.8</v>
      </c>
      <c r="I36" s="720">
        <v>61.5</v>
      </c>
      <c r="J36" s="720">
        <v>127.7</v>
      </c>
      <c r="K36" s="722">
        <v>98.4</v>
      </c>
    </row>
    <row r="37" spans="1:11">
      <c r="A37" s="718" t="s">
        <v>364</v>
      </c>
      <c r="B37" s="720" t="s">
        <v>364</v>
      </c>
      <c r="C37" s="720" t="s">
        <v>364</v>
      </c>
      <c r="D37" s="720" t="s">
        <v>364</v>
      </c>
      <c r="E37" s="720" t="s">
        <v>364</v>
      </c>
      <c r="F37" s="720" t="s">
        <v>364</v>
      </c>
      <c r="G37" s="720" t="s">
        <v>364</v>
      </c>
      <c r="H37" s="720" t="s">
        <v>364</v>
      </c>
      <c r="I37" s="720" t="s">
        <v>364</v>
      </c>
      <c r="J37" s="720" t="s">
        <v>364</v>
      </c>
      <c r="K37" s="722" t="s">
        <v>364</v>
      </c>
    </row>
    <row r="38" spans="1:11">
      <c r="A38" s="718" t="s">
        <v>767</v>
      </c>
      <c r="B38" s="719">
        <v>4.4000000000000004</v>
      </c>
      <c r="C38" s="720">
        <v>-491.4</v>
      </c>
      <c r="D38" s="720">
        <v>23.7</v>
      </c>
      <c r="E38" s="720">
        <v>17</v>
      </c>
      <c r="F38" s="720">
        <v>9.1999999999999993</v>
      </c>
      <c r="G38" s="720">
        <v>15.5</v>
      </c>
      <c r="H38" s="720">
        <v>24.2</v>
      </c>
      <c r="I38" s="720">
        <v>61.7</v>
      </c>
      <c r="J38" s="720">
        <v>136.9</v>
      </c>
      <c r="K38" s="722">
        <v>110.2</v>
      </c>
    </row>
    <row r="39" spans="1:11">
      <c r="A39" s="724" t="s">
        <v>768</v>
      </c>
      <c r="B39" s="725" t="s">
        <v>476</v>
      </c>
      <c r="C39" s="726">
        <v>6.2</v>
      </c>
      <c r="D39" s="726">
        <v>-9.8000000000000007</v>
      </c>
      <c r="E39" s="726">
        <v>1.4</v>
      </c>
      <c r="F39" s="726">
        <v>-8.6999999999999993</v>
      </c>
      <c r="G39" s="726">
        <v>9.3000000000000007</v>
      </c>
      <c r="H39" s="726">
        <v>2.5</v>
      </c>
      <c r="I39" s="726">
        <v>0.1</v>
      </c>
      <c r="J39" s="726">
        <v>9.1999999999999993</v>
      </c>
      <c r="K39" s="728">
        <v>11.9</v>
      </c>
    </row>
    <row r="40" spans="1:11">
      <c r="A40" s="724" t="s">
        <v>769</v>
      </c>
      <c r="B40" s="725" t="s">
        <v>476</v>
      </c>
      <c r="C40" s="726">
        <v>0</v>
      </c>
      <c r="D40" s="726">
        <v>0</v>
      </c>
      <c r="E40" s="726">
        <v>0</v>
      </c>
      <c r="F40" s="726">
        <v>0</v>
      </c>
      <c r="G40" s="726">
        <v>0</v>
      </c>
      <c r="H40" s="726">
        <v>0</v>
      </c>
      <c r="I40" s="726">
        <v>0</v>
      </c>
      <c r="J40" s="726">
        <v>0</v>
      </c>
      <c r="K40" s="728">
        <v>0</v>
      </c>
    </row>
    <row r="41" spans="1:11">
      <c r="A41" s="718" t="s">
        <v>364</v>
      </c>
      <c r="B41" s="720" t="s">
        <v>364</v>
      </c>
      <c r="C41" s="720" t="s">
        <v>364</v>
      </c>
      <c r="D41" s="720" t="s">
        <v>364</v>
      </c>
      <c r="E41" s="720" t="s">
        <v>364</v>
      </c>
      <c r="F41" s="720" t="s">
        <v>364</v>
      </c>
      <c r="G41" s="720" t="s">
        <v>364</v>
      </c>
      <c r="H41" s="720" t="s">
        <v>364</v>
      </c>
      <c r="I41" s="720" t="s">
        <v>364</v>
      </c>
      <c r="J41" s="720" t="s">
        <v>364</v>
      </c>
      <c r="K41" s="722" t="s">
        <v>364</v>
      </c>
    </row>
    <row r="42" spans="1:11">
      <c r="A42" s="724" t="s">
        <v>770</v>
      </c>
      <c r="B42" s="725" t="s">
        <v>476</v>
      </c>
      <c r="C42" s="726">
        <v>12.6</v>
      </c>
      <c r="D42" s="726">
        <v>45.4</v>
      </c>
      <c r="E42" s="726">
        <v>46.8</v>
      </c>
      <c r="F42" s="726">
        <v>48.5</v>
      </c>
      <c r="G42" s="726">
        <v>49.4</v>
      </c>
      <c r="H42" s="726">
        <v>50.9</v>
      </c>
      <c r="I42" s="726">
        <v>52.5</v>
      </c>
      <c r="J42" s="726">
        <v>54.7</v>
      </c>
      <c r="K42" s="728">
        <v>56.4</v>
      </c>
    </row>
    <row r="43" spans="1:11">
      <c r="A43" s="718" t="s">
        <v>771</v>
      </c>
      <c r="B43" s="719" t="s">
        <v>476</v>
      </c>
      <c r="C43" s="720">
        <v>-39.47</v>
      </c>
      <c r="D43" s="720">
        <v>0.74</v>
      </c>
      <c r="E43" s="720">
        <v>0.33</v>
      </c>
      <c r="F43" s="720">
        <v>0.37</v>
      </c>
      <c r="G43" s="720">
        <v>0.13</v>
      </c>
      <c r="H43" s="720">
        <v>0.43</v>
      </c>
      <c r="I43" s="720">
        <v>1.17</v>
      </c>
      <c r="J43" s="720">
        <v>2.33</v>
      </c>
      <c r="K43" s="722">
        <v>1.76</v>
      </c>
    </row>
    <row r="44" spans="1:11">
      <c r="A44" s="718" t="s">
        <v>772</v>
      </c>
      <c r="B44" s="719" t="s">
        <v>476</v>
      </c>
      <c r="C44" s="720">
        <v>-39.47</v>
      </c>
      <c r="D44" s="720">
        <v>0.74</v>
      </c>
      <c r="E44" s="720">
        <v>0.33</v>
      </c>
      <c r="F44" s="720">
        <v>0.37</v>
      </c>
      <c r="G44" s="720">
        <v>0.13</v>
      </c>
      <c r="H44" s="720">
        <v>0.43</v>
      </c>
      <c r="I44" s="720">
        <v>1.17</v>
      </c>
      <c r="J44" s="720">
        <v>2.33</v>
      </c>
      <c r="K44" s="722">
        <v>1.76</v>
      </c>
    </row>
    <row r="45" spans="1:11">
      <c r="A45" s="718" t="s">
        <v>773</v>
      </c>
      <c r="B45" s="719" t="s">
        <v>476</v>
      </c>
      <c r="C45" s="720">
        <v>-38.979999999999997</v>
      </c>
      <c r="D45" s="720">
        <v>0.52</v>
      </c>
      <c r="E45" s="720">
        <v>0.36</v>
      </c>
      <c r="F45" s="720">
        <v>0.19</v>
      </c>
      <c r="G45" s="720">
        <v>0.31</v>
      </c>
      <c r="H45" s="720">
        <v>0.48</v>
      </c>
      <c r="I45" s="720">
        <v>1.18</v>
      </c>
      <c r="J45" s="720">
        <v>2.5</v>
      </c>
      <c r="K45" s="722">
        <v>1.97</v>
      </c>
    </row>
    <row r="46" spans="1:11">
      <c r="A46" s="718" t="s">
        <v>364</v>
      </c>
      <c r="B46" s="720" t="s">
        <v>364</v>
      </c>
      <c r="C46" s="720" t="s">
        <v>364</v>
      </c>
      <c r="D46" s="720" t="s">
        <v>364</v>
      </c>
      <c r="E46" s="720" t="s">
        <v>364</v>
      </c>
      <c r="F46" s="720" t="s">
        <v>364</v>
      </c>
      <c r="G46" s="720" t="s">
        <v>364</v>
      </c>
      <c r="H46" s="720" t="s">
        <v>364</v>
      </c>
      <c r="I46" s="720" t="s">
        <v>364</v>
      </c>
      <c r="J46" s="720" t="s">
        <v>364</v>
      </c>
      <c r="K46" s="722" t="s">
        <v>364</v>
      </c>
    </row>
    <row r="47" spans="1:11">
      <c r="A47" s="724" t="s">
        <v>774</v>
      </c>
      <c r="B47" s="725" t="s">
        <v>476</v>
      </c>
      <c r="C47" s="726">
        <v>12.6</v>
      </c>
      <c r="D47" s="726">
        <v>49.4</v>
      </c>
      <c r="E47" s="726">
        <v>49.3</v>
      </c>
      <c r="F47" s="726">
        <v>50.8</v>
      </c>
      <c r="G47" s="726">
        <v>52</v>
      </c>
      <c r="H47" s="726">
        <v>53.7</v>
      </c>
      <c r="I47" s="726">
        <v>55.3</v>
      </c>
      <c r="J47" s="726">
        <v>57.8</v>
      </c>
      <c r="K47" s="728">
        <v>58.4</v>
      </c>
    </row>
    <row r="48" spans="1:11">
      <c r="A48" s="718" t="s">
        <v>775</v>
      </c>
      <c r="B48" s="719" t="s">
        <v>476</v>
      </c>
      <c r="C48" s="720">
        <v>-39.47</v>
      </c>
      <c r="D48" s="720">
        <v>0.68</v>
      </c>
      <c r="E48" s="720">
        <v>0.32</v>
      </c>
      <c r="F48" s="720">
        <v>0.35</v>
      </c>
      <c r="G48" s="720">
        <v>0.12</v>
      </c>
      <c r="H48" s="720">
        <v>0.41</v>
      </c>
      <c r="I48" s="720">
        <v>1.1100000000000001</v>
      </c>
      <c r="J48" s="720">
        <v>2.21</v>
      </c>
      <c r="K48" s="722">
        <v>1.69</v>
      </c>
    </row>
    <row r="49" spans="1:11">
      <c r="A49" s="718" t="s">
        <v>776</v>
      </c>
      <c r="B49" s="719" t="s">
        <v>476</v>
      </c>
      <c r="C49" s="720">
        <v>-39.47</v>
      </c>
      <c r="D49" s="720">
        <v>0.68</v>
      </c>
      <c r="E49" s="720">
        <v>0.32</v>
      </c>
      <c r="F49" s="720">
        <v>0.35</v>
      </c>
      <c r="G49" s="720">
        <v>0.12</v>
      </c>
      <c r="H49" s="720">
        <v>0.41</v>
      </c>
      <c r="I49" s="720">
        <v>1.1100000000000001</v>
      </c>
      <c r="J49" s="720">
        <v>2.21</v>
      </c>
      <c r="K49" s="722">
        <v>1.69</v>
      </c>
    </row>
    <row r="50" spans="1:11">
      <c r="A50" s="718" t="s">
        <v>777</v>
      </c>
      <c r="B50" s="719" t="s">
        <v>476</v>
      </c>
      <c r="C50" s="720">
        <v>-38.979999999999997</v>
      </c>
      <c r="D50" s="720">
        <v>0.48</v>
      </c>
      <c r="E50" s="720">
        <v>0.35</v>
      </c>
      <c r="F50" s="720">
        <v>0.18</v>
      </c>
      <c r="G50" s="720">
        <v>0.3</v>
      </c>
      <c r="H50" s="720">
        <v>0.46</v>
      </c>
      <c r="I50" s="720">
        <v>1.1100000000000001</v>
      </c>
      <c r="J50" s="720">
        <v>2.37</v>
      </c>
      <c r="K50" s="722">
        <v>1.89</v>
      </c>
    </row>
    <row r="51" spans="1:11">
      <c r="A51" s="718" t="s">
        <v>364</v>
      </c>
      <c r="B51" s="720" t="s">
        <v>364</v>
      </c>
      <c r="C51" s="720" t="s">
        <v>364</v>
      </c>
      <c r="D51" s="720" t="s">
        <v>364</v>
      </c>
      <c r="E51" s="720" t="s">
        <v>364</v>
      </c>
      <c r="F51" s="720" t="s">
        <v>364</v>
      </c>
      <c r="G51" s="720" t="s">
        <v>364</v>
      </c>
      <c r="H51" s="720" t="s">
        <v>364</v>
      </c>
      <c r="I51" s="720" t="s">
        <v>364</v>
      </c>
      <c r="J51" s="720" t="s">
        <v>364</v>
      </c>
      <c r="K51" s="722" t="s">
        <v>364</v>
      </c>
    </row>
    <row r="52" spans="1:11">
      <c r="A52" s="718" t="s">
        <v>778</v>
      </c>
      <c r="B52" s="720" t="s">
        <v>364</v>
      </c>
      <c r="C52" s="720" t="s">
        <v>364</v>
      </c>
      <c r="D52" s="720" t="s">
        <v>364</v>
      </c>
      <c r="E52" s="720" t="s">
        <v>364</v>
      </c>
      <c r="F52" s="720" t="s">
        <v>364</v>
      </c>
      <c r="G52" s="720" t="s">
        <v>364</v>
      </c>
      <c r="H52" s="720" t="s">
        <v>364</v>
      </c>
      <c r="I52" s="720" t="s">
        <v>364</v>
      </c>
      <c r="J52" s="720" t="s">
        <v>364</v>
      </c>
      <c r="K52" s="722" t="s">
        <v>364</v>
      </c>
    </row>
    <row r="53" spans="1:11">
      <c r="A53" s="724" t="s">
        <v>779</v>
      </c>
      <c r="B53" s="725" t="s">
        <v>780</v>
      </c>
      <c r="C53" s="726" t="s">
        <v>780</v>
      </c>
      <c r="D53" s="726" t="s">
        <v>780</v>
      </c>
      <c r="E53" s="726" t="s">
        <v>780</v>
      </c>
      <c r="F53" s="726" t="s">
        <v>780</v>
      </c>
      <c r="G53" s="726" t="s">
        <v>780</v>
      </c>
      <c r="H53" s="726" t="s">
        <v>780</v>
      </c>
      <c r="I53" s="726" t="s">
        <v>780</v>
      </c>
      <c r="J53" s="726" t="s">
        <v>780</v>
      </c>
      <c r="K53" s="728" t="s">
        <v>364</v>
      </c>
    </row>
    <row r="54" spans="1:11">
      <c r="A54" s="724" t="s">
        <v>245</v>
      </c>
      <c r="B54" s="725" t="s">
        <v>476</v>
      </c>
      <c r="C54" s="726">
        <v>36.200000000000003</v>
      </c>
      <c r="D54" s="726">
        <v>47.8</v>
      </c>
      <c r="E54" s="726">
        <v>44</v>
      </c>
      <c r="F54" s="726">
        <v>55.7</v>
      </c>
      <c r="G54" s="726">
        <v>39.299999999999997</v>
      </c>
      <c r="H54" s="726">
        <v>61.1</v>
      </c>
      <c r="I54" s="726">
        <v>94.9</v>
      </c>
      <c r="J54" s="726">
        <v>192.9</v>
      </c>
      <c r="K54" s="728">
        <v>184.8</v>
      </c>
    </row>
    <row r="55" spans="1:11">
      <c r="A55" s="724" t="s">
        <v>781</v>
      </c>
      <c r="B55" s="725" t="s">
        <v>476</v>
      </c>
      <c r="C55" s="726">
        <v>15.78</v>
      </c>
      <c r="D55" s="726">
        <v>17.71</v>
      </c>
      <c r="E55" s="726">
        <v>16.46</v>
      </c>
      <c r="F55" s="726">
        <v>19.71</v>
      </c>
      <c r="G55" s="726">
        <v>12.37</v>
      </c>
      <c r="H55" s="726">
        <v>15.58</v>
      </c>
      <c r="I55" s="726">
        <v>16.399999999999999</v>
      </c>
      <c r="J55" s="726">
        <v>18.84</v>
      </c>
      <c r="K55" s="728">
        <v>14.19</v>
      </c>
    </row>
    <row r="56" spans="1:11">
      <c r="A56" s="724" t="s">
        <v>782</v>
      </c>
      <c r="B56" s="725" t="s">
        <v>476</v>
      </c>
      <c r="C56" s="726">
        <v>31.3</v>
      </c>
      <c r="D56" s="726">
        <v>41</v>
      </c>
      <c r="E56" s="726">
        <v>36.4</v>
      </c>
      <c r="F56" s="726">
        <v>36.9</v>
      </c>
      <c r="G56" s="726">
        <v>14.2</v>
      </c>
      <c r="H56" s="726">
        <v>53.2</v>
      </c>
      <c r="I56" s="726">
        <v>90.6</v>
      </c>
      <c r="J56" s="726">
        <v>172.1</v>
      </c>
      <c r="K56" s="728">
        <v>164.4</v>
      </c>
    </row>
    <row r="57" spans="1:11">
      <c r="A57" s="724" t="s">
        <v>525</v>
      </c>
      <c r="B57" s="725">
        <v>25.6</v>
      </c>
      <c r="C57" s="726">
        <v>23.1</v>
      </c>
      <c r="D57" s="726">
        <v>33.299999999999997</v>
      </c>
      <c r="E57" s="726">
        <v>26.2</v>
      </c>
      <c r="F57" s="726">
        <v>30</v>
      </c>
      <c r="G57" s="726">
        <v>9.4</v>
      </c>
      <c r="H57" s="726">
        <v>29.3</v>
      </c>
      <c r="I57" s="726">
        <v>68.099999999999994</v>
      </c>
      <c r="J57" s="726">
        <v>149.69999999999999</v>
      </c>
      <c r="K57" s="728">
        <v>130.69999999999999</v>
      </c>
    </row>
    <row r="58" spans="1:11">
      <c r="A58" s="724" t="s">
        <v>783</v>
      </c>
      <c r="B58" s="725">
        <v>52.41</v>
      </c>
      <c r="C58" s="726">
        <v>57.6</v>
      </c>
      <c r="D58" s="726">
        <v>61.03</v>
      </c>
      <c r="E58" s="726">
        <v>60.85</v>
      </c>
      <c r="F58" s="726">
        <v>64.03</v>
      </c>
      <c r="G58" s="726">
        <v>64.819999999999993</v>
      </c>
      <c r="H58" s="726">
        <v>64.19</v>
      </c>
      <c r="I58" s="726">
        <v>67.44</v>
      </c>
      <c r="J58" s="726">
        <v>70.72</v>
      </c>
      <c r="K58" s="728">
        <v>71.11</v>
      </c>
    </row>
    <row r="59" spans="1:11">
      <c r="A59" s="724" t="s">
        <v>256</v>
      </c>
      <c r="B59" s="725">
        <v>13.36</v>
      </c>
      <c r="C59" s="726">
        <v>10.050000000000001</v>
      </c>
      <c r="D59" s="726">
        <v>12.33</v>
      </c>
      <c r="E59" s="726">
        <v>9.7799999999999994</v>
      </c>
      <c r="F59" s="726">
        <v>10.59</v>
      </c>
      <c r="G59" s="726">
        <v>2.96</v>
      </c>
      <c r="H59" s="726">
        <v>7.47</v>
      </c>
      <c r="I59" s="726">
        <v>11.77</v>
      </c>
      <c r="J59" s="726">
        <v>14.62</v>
      </c>
      <c r="K59" s="728">
        <v>10.039999999999999</v>
      </c>
    </row>
    <row r="60" spans="1:11">
      <c r="A60" s="724" t="s">
        <v>228</v>
      </c>
      <c r="B60" s="725">
        <v>2.2799999999999998</v>
      </c>
      <c r="C60" s="726">
        <v>2.31</v>
      </c>
      <c r="D60" s="726">
        <v>12.4</v>
      </c>
      <c r="E60" s="726">
        <v>5.81</v>
      </c>
      <c r="F60" s="726">
        <v>6.32</v>
      </c>
      <c r="G60" s="726">
        <v>1.96</v>
      </c>
      <c r="H60" s="726">
        <v>5.55</v>
      </c>
      <c r="I60" s="726">
        <v>10.63</v>
      </c>
      <c r="J60" s="726">
        <v>12.47</v>
      </c>
      <c r="K60" s="728">
        <v>7.55</v>
      </c>
    </row>
    <row r="61" spans="1:11">
      <c r="A61" s="724" t="s">
        <v>784</v>
      </c>
      <c r="B61" s="725" t="s">
        <v>476</v>
      </c>
      <c r="C61" s="727">
        <v>921955.82</v>
      </c>
      <c r="D61" s="727">
        <v>1030106.87</v>
      </c>
      <c r="E61" s="727">
        <v>965469.31</v>
      </c>
      <c r="F61" s="727">
        <v>1353354.07</v>
      </c>
      <c r="G61" s="727">
        <v>1191423.22</v>
      </c>
      <c r="H61" s="727">
        <v>1294240.92</v>
      </c>
      <c r="I61" s="727">
        <v>1707504.42</v>
      </c>
      <c r="J61" s="727">
        <v>2155646.3199999998</v>
      </c>
      <c r="K61" s="728" t="s">
        <v>364</v>
      </c>
    </row>
    <row r="62" spans="1:11">
      <c r="A62" s="724" t="s">
        <v>785</v>
      </c>
      <c r="B62" s="725" t="s">
        <v>476</v>
      </c>
      <c r="C62" s="726">
        <v>0</v>
      </c>
      <c r="D62" s="726">
        <v>0</v>
      </c>
      <c r="E62" s="726">
        <v>0</v>
      </c>
      <c r="F62" s="726">
        <v>0</v>
      </c>
      <c r="G62" s="726">
        <v>0</v>
      </c>
      <c r="H62" s="726">
        <v>0</v>
      </c>
      <c r="I62" s="726">
        <v>0</v>
      </c>
      <c r="J62" s="726">
        <v>0</v>
      </c>
      <c r="K62" s="728">
        <v>0</v>
      </c>
    </row>
    <row r="63" spans="1:11">
      <c r="A63" s="724" t="s">
        <v>786</v>
      </c>
      <c r="B63" s="725" t="s">
        <v>476</v>
      </c>
      <c r="C63" s="726" t="s">
        <v>476</v>
      </c>
      <c r="D63" s="726" t="s">
        <v>476</v>
      </c>
      <c r="E63" s="726" t="s">
        <v>476</v>
      </c>
      <c r="F63" s="726">
        <v>0</v>
      </c>
      <c r="G63" s="726">
        <v>0</v>
      </c>
      <c r="H63" s="726">
        <v>0</v>
      </c>
      <c r="I63" s="726">
        <v>0</v>
      </c>
      <c r="J63" s="726">
        <v>0</v>
      </c>
      <c r="K63" s="728">
        <v>0</v>
      </c>
    </row>
    <row r="64" spans="1:11">
      <c r="A64" s="724" t="s">
        <v>560</v>
      </c>
      <c r="B64" s="725" t="s">
        <v>476</v>
      </c>
      <c r="C64" s="726">
        <v>4.9000000000000004</v>
      </c>
      <c r="D64" s="726">
        <v>6.8</v>
      </c>
      <c r="E64" s="726">
        <v>7.6</v>
      </c>
      <c r="F64" s="726" t="s">
        <v>476</v>
      </c>
      <c r="G64" s="726">
        <v>25.2</v>
      </c>
      <c r="H64" s="726">
        <v>7.9</v>
      </c>
      <c r="I64" s="726">
        <v>4.3</v>
      </c>
      <c r="J64" s="726">
        <v>20.9</v>
      </c>
      <c r="K64" s="728">
        <v>20.3</v>
      </c>
    </row>
    <row r="65" spans="1:11">
      <c r="A65" s="724" t="s">
        <v>787</v>
      </c>
      <c r="B65" s="725" t="s">
        <v>476</v>
      </c>
      <c r="C65" s="726">
        <v>4.0999999999999996</v>
      </c>
      <c r="D65" s="726">
        <v>5.0999999999999996</v>
      </c>
      <c r="E65" s="726">
        <v>5.4</v>
      </c>
      <c r="F65" s="726">
        <v>3</v>
      </c>
      <c r="G65" s="726">
        <v>4.8</v>
      </c>
      <c r="H65" s="726">
        <v>4.7</v>
      </c>
      <c r="I65" s="726">
        <v>4.5999999999999996</v>
      </c>
      <c r="J65" s="726">
        <v>7.3</v>
      </c>
      <c r="K65" s="728">
        <v>11.5</v>
      </c>
    </row>
    <row r="66" spans="1:11">
      <c r="A66" s="734" t="s">
        <v>788</v>
      </c>
      <c r="B66" s="734" t="s">
        <v>789</v>
      </c>
      <c r="C66" s="735"/>
      <c r="D66" s="735"/>
      <c r="E66" s="735"/>
      <c r="F66" s="735"/>
      <c r="G66" s="734" t="s">
        <v>364</v>
      </c>
      <c r="H66" s="734" t="s">
        <v>364</v>
      </c>
      <c r="I66" s="734" t="s">
        <v>364</v>
      </c>
      <c r="J66" s="734" t="s">
        <v>364</v>
      </c>
      <c r="K66" s="734" t="s">
        <v>364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66EA-0106-4D44-82C0-90351908ECDF}">
  <dimension ref="B2:I45"/>
  <sheetViews>
    <sheetView showGridLines="0" workbookViewId="0">
      <selection activeCell="N5" sqref="N5:O11"/>
    </sheetView>
  </sheetViews>
  <sheetFormatPr defaultColWidth="20.625" defaultRowHeight="14.1"/>
  <cols>
    <col min="1" max="1" width="2.625" customWidth="1"/>
    <col min="2" max="2" width="30.375" bestFit="1" customWidth="1"/>
    <col min="3" max="3" width="20.625" hidden="1" customWidth="1"/>
    <col min="4" max="4" width="0" hidden="1" customWidth="1"/>
  </cols>
  <sheetData>
    <row r="2" spans="2:9" s="38" customFormat="1" ht="20.25" customHeight="1">
      <c r="B2" s="611" t="s">
        <v>790</v>
      </c>
    </row>
    <row r="4" spans="2:9" ht="14.45">
      <c r="B4" s="835" t="s">
        <v>791</v>
      </c>
      <c r="C4" s="836" t="s">
        <v>792</v>
      </c>
      <c r="D4" s="836" t="s">
        <v>793</v>
      </c>
      <c r="E4" s="836" t="s">
        <v>794</v>
      </c>
      <c r="F4" s="836" t="s">
        <v>795</v>
      </c>
      <c r="G4" s="836" t="s">
        <v>509</v>
      </c>
      <c r="H4" s="836" t="s">
        <v>796</v>
      </c>
      <c r="I4" s="836" t="s">
        <v>797</v>
      </c>
    </row>
    <row r="5" spans="2:9" ht="14.45">
      <c r="B5" s="837" t="s">
        <v>798</v>
      </c>
      <c r="C5" s="1007">
        <v>392</v>
      </c>
      <c r="D5" s="1008">
        <v>40299</v>
      </c>
      <c r="E5" s="1008">
        <v>17737</v>
      </c>
      <c r="F5" s="1008">
        <v>5304</v>
      </c>
      <c r="G5" s="1008">
        <v>8631</v>
      </c>
      <c r="H5" s="1008">
        <v>8169</v>
      </c>
      <c r="I5" s="1008">
        <v>5671</v>
      </c>
    </row>
    <row r="6" spans="2:9" ht="14.45">
      <c r="B6" s="838" t="s">
        <v>798</v>
      </c>
      <c r="C6" s="748">
        <v>579</v>
      </c>
      <c r="D6" s="1009">
        <v>44540</v>
      </c>
      <c r="E6" s="1009">
        <v>15910</v>
      </c>
      <c r="F6" s="1009">
        <v>5554</v>
      </c>
      <c r="G6" s="1009">
        <v>10209</v>
      </c>
      <c r="H6" s="1009">
        <v>6939</v>
      </c>
      <c r="I6" s="1009">
        <v>3974</v>
      </c>
    </row>
    <row r="7" spans="2:9" ht="14.45">
      <c r="B7" s="838" t="s">
        <v>245</v>
      </c>
      <c r="C7" s="748">
        <v>95</v>
      </c>
      <c r="D7" s="1009">
        <v>10718</v>
      </c>
      <c r="E7" s="1009">
        <v>3011</v>
      </c>
      <c r="F7" s="748">
        <v>898</v>
      </c>
      <c r="G7" s="1009">
        <v>2207</v>
      </c>
      <c r="H7" s="748">
        <v>805</v>
      </c>
      <c r="I7" s="748">
        <v>791</v>
      </c>
    </row>
    <row r="8" spans="2:9" ht="14.45">
      <c r="B8" s="839" t="s">
        <v>799</v>
      </c>
      <c r="C8" s="1007">
        <v>62</v>
      </c>
      <c r="D8" s="1008">
        <v>7034</v>
      </c>
      <c r="E8" s="1008">
        <v>1248</v>
      </c>
      <c r="F8" s="1007">
        <v>193</v>
      </c>
      <c r="G8" s="1008">
        <v>1248</v>
      </c>
      <c r="H8" s="1007">
        <v>201</v>
      </c>
      <c r="I8" s="1007">
        <v>225</v>
      </c>
    </row>
    <row r="9" spans="2:9" ht="14.45">
      <c r="B9" s="840" t="s">
        <v>798</v>
      </c>
      <c r="C9" s="1009">
        <v>1024</v>
      </c>
      <c r="D9" s="1009">
        <v>47043</v>
      </c>
      <c r="E9" s="1009">
        <v>15608</v>
      </c>
      <c r="F9" s="1009">
        <v>6118</v>
      </c>
      <c r="G9" s="1009">
        <v>11207</v>
      </c>
      <c r="H9" s="1009">
        <v>6545</v>
      </c>
      <c r="I9" s="1009">
        <v>4487</v>
      </c>
    </row>
    <row r="10" spans="2:9" ht="14.45">
      <c r="B10" s="841" t="s">
        <v>800</v>
      </c>
      <c r="C10" s="748">
        <v>300</v>
      </c>
      <c r="D10" s="1009">
        <v>12145</v>
      </c>
      <c r="E10" s="1009">
        <v>4423</v>
      </c>
      <c r="F10" s="1009">
        <v>2142</v>
      </c>
      <c r="G10" s="1009">
        <v>6826</v>
      </c>
      <c r="H10" s="1009">
        <v>1568</v>
      </c>
      <c r="I10" s="1009">
        <v>1560</v>
      </c>
    </row>
    <row r="11" spans="2:9" ht="14.45">
      <c r="B11" s="840" t="s">
        <v>801</v>
      </c>
      <c r="C11" s="748">
        <v>724</v>
      </c>
      <c r="D11" s="1009">
        <v>34898</v>
      </c>
      <c r="E11" s="1009">
        <v>11185</v>
      </c>
      <c r="F11" s="1009">
        <v>3976</v>
      </c>
      <c r="G11" s="1009">
        <v>4381</v>
      </c>
      <c r="H11" s="1009">
        <v>4976</v>
      </c>
      <c r="I11" s="1009">
        <v>2928</v>
      </c>
    </row>
    <row r="12" spans="2:9" ht="14.45">
      <c r="B12" s="841" t="s">
        <v>245</v>
      </c>
      <c r="C12" s="748">
        <v>201</v>
      </c>
      <c r="D12" s="1009">
        <v>11405</v>
      </c>
      <c r="E12" s="1009">
        <v>2871</v>
      </c>
      <c r="F12" s="1009">
        <v>1060</v>
      </c>
      <c r="G12" s="1009">
        <v>2276</v>
      </c>
      <c r="H12" s="748">
        <v>729</v>
      </c>
      <c r="I12" s="748">
        <v>715</v>
      </c>
    </row>
    <row r="13" spans="2:9" ht="14.45">
      <c r="B13" s="840" t="s">
        <v>802</v>
      </c>
      <c r="C13" s="748">
        <v>158</v>
      </c>
      <c r="D13" s="1009">
        <v>9398</v>
      </c>
      <c r="E13" s="1009">
        <v>1588</v>
      </c>
      <c r="F13" s="748">
        <v>581</v>
      </c>
      <c r="G13" s="1009">
        <v>1689</v>
      </c>
      <c r="H13" s="748">
        <v>229</v>
      </c>
      <c r="I13" s="748">
        <v>534</v>
      </c>
    </row>
    <row r="14" spans="2:9" ht="14.45">
      <c r="B14" s="841" t="s">
        <v>803</v>
      </c>
      <c r="C14" s="748">
        <v>7</v>
      </c>
      <c r="D14" s="748">
        <v>243</v>
      </c>
      <c r="E14" s="748">
        <v>211</v>
      </c>
      <c r="F14" s="748">
        <v>252</v>
      </c>
      <c r="G14" s="748">
        <v>-18</v>
      </c>
      <c r="H14" s="748">
        <v>-21</v>
      </c>
      <c r="I14" s="748">
        <v>46</v>
      </c>
    </row>
    <row r="15" spans="2:9" ht="14.45">
      <c r="B15" s="840" t="s">
        <v>804</v>
      </c>
      <c r="C15" s="748">
        <v>152</v>
      </c>
      <c r="D15" s="1009">
        <v>9596</v>
      </c>
      <c r="E15" s="1009">
        <v>1390</v>
      </c>
      <c r="F15" s="748">
        <v>214</v>
      </c>
      <c r="G15" s="1009">
        <v>1707</v>
      </c>
      <c r="H15" s="748">
        <v>171</v>
      </c>
      <c r="I15" s="748">
        <v>405</v>
      </c>
    </row>
    <row r="16" spans="2:9" ht="14.45">
      <c r="B16" s="841" t="s">
        <v>805</v>
      </c>
      <c r="C16" s="748">
        <v>15</v>
      </c>
      <c r="D16" s="1009">
        <v>2279</v>
      </c>
      <c r="E16" s="748">
        <v>436</v>
      </c>
      <c r="F16" s="748">
        <v>96</v>
      </c>
      <c r="G16" s="748">
        <v>407</v>
      </c>
      <c r="H16" s="748">
        <v>109</v>
      </c>
      <c r="I16" s="748">
        <v>302</v>
      </c>
    </row>
    <row r="17" spans="2:9" ht="14.45">
      <c r="B17" s="840" t="s">
        <v>799</v>
      </c>
      <c r="C17" s="748">
        <v>137</v>
      </c>
      <c r="D17" s="1009">
        <v>7307</v>
      </c>
      <c r="E17" s="748">
        <v>935</v>
      </c>
      <c r="F17" s="748">
        <v>98</v>
      </c>
      <c r="G17" s="1009">
        <v>1300</v>
      </c>
      <c r="H17" s="748">
        <v>52</v>
      </c>
      <c r="I17" s="748">
        <v>103</v>
      </c>
    </row>
    <row r="18" spans="2:9" ht="14.45">
      <c r="B18" s="840" t="s">
        <v>806</v>
      </c>
      <c r="C18" s="748">
        <v>2</v>
      </c>
      <c r="D18" s="748">
        <v>14</v>
      </c>
      <c r="E18" s="748">
        <v>3</v>
      </c>
      <c r="F18" s="748">
        <v>0</v>
      </c>
      <c r="G18" s="748">
        <v>26</v>
      </c>
      <c r="H18" s="748">
        <v>0</v>
      </c>
      <c r="I18" s="748">
        <v>0</v>
      </c>
    </row>
    <row r="19" spans="2:9" ht="14.45">
      <c r="B19" s="842" t="s">
        <v>807</v>
      </c>
      <c r="C19" s="748" t="s">
        <v>808</v>
      </c>
      <c r="D19" s="1009">
        <v>1465</v>
      </c>
      <c r="E19" s="748">
        <v>792</v>
      </c>
      <c r="F19" s="748">
        <v>127</v>
      </c>
      <c r="G19" s="748" t="s">
        <v>808</v>
      </c>
      <c r="H19" s="748">
        <v>180</v>
      </c>
      <c r="I19" s="748" t="s">
        <v>808</v>
      </c>
    </row>
    <row r="20" spans="2:9" ht="14.45">
      <c r="B20" s="842"/>
      <c r="C20" s="748"/>
      <c r="D20" s="748"/>
      <c r="E20" s="748"/>
      <c r="F20" s="748"/>
      <c r="G20" s="748"/>
      <c r="H20" s="748"/>
      <c r="I20" s="748"/>
    </row>
    <row r="21" spans="2:9" ht="14.45">
      <c r="B21" s="842" t="s">
        <v>809</v>
      </c>
      <c r="C21" s="748">
        <v>108</v>
      </c>
      <c r="D21" s="1009">
        <v>4224</v>
      </c>
      <c r="E21" s="1009">
        <v>3395</v>
      </c>
      <c r="F21" s="748">
        <v>301</v>
      </c>
      <c r="G21" s="748">
        <v>767</v>
      </c>
      <c r="H21" s="748">
        <v>781</v>
      </c>
      <c r="I21" s="748">
        <v>722</v>
      </c>
    </row>
    <row r="22" spans="2:9" ht="14.45">
      <c r="B22" s="842" t="s">
        <v>810</v>
      </c>
      <c r="C22" s="748">
        <v>124</v>
      </c>
      <c r="D22" s="1009">
        <v>5797</v>
      </c>
      <c r="E22" s="1009">
        <v>1727</v>
      </c>
      <c r="F22" s="748">
        <v>442</v>
      </c>
      <c r="G22" s="748">
        <v>208</v>
      </c>
      <c r="H22" s="748">
        <v>933</v>
      </c>
      <c r="I22" s="748">
        <v>856</v>
      </c>
    </row>
    <row r="23" spans="2:9" ht="14.45">
      <c r="B23" s="842" t="s">
        <v>811</v>
      </c>
      <c r="C23" s="748">
        <v>81</v>
      </c>
      <c r="D23" s="1009">
        <v>4959</v>
      </c>
      <c r="E23" s="1009">
        <v>2979</v>
      </c>
      <c r="F23" s="748">
        <v>853</v>
      </c>
      <c r="G23" s="1009">
        <v>1603</v>
      </c>
      <c r="H23" s="1009">
        <v>1063</v>
      </c>
      <c r="I23" s="748">
        <v>636</v>
      </c>
    </row>
    <row r="24" spans="2:9" ht="14.45">
      <c r="B24" s="842" t="s">
        <v>811</v>
      </c>
      <c r="C24" s="748">
        <v>191</v>
      </c>
      <c r="D24" s="1009">
        <v>4792</v>
      </c>
      <c r="E24" s="1009">
        <v>2175</v>
      </c>
      <c r="F24" s="748">
        <v>764</v>
      </c>
      <c r="G24" s="1009">
        <v>1742</v>
      </c>
      <c r="H24" s="1009">
        <v>1020</v>
      </c>
      <c r="I24" s="748">
        <v>547</v>
      </c>
    </row>
    <row r="25" spans="2:9" ht="14.45">
      <c r="B25" s="842" t="s">
        <v>812</v>
      </c>
      <c r="C25" s="748">
        <v>477</v>
      </c>
      <c r="D25" s="1009">
        <v>17048</v>
      </c>
      <c r="E25" s="1009">
        <v>7922</v>
      </c>
      <c r="F25" s="1009">
        <v>1964</v>
      </c>
      <c r="G25" s="1009">
        <v>2837</v>
      </c>
      <c r="H25" s="1009">
        <v>3036</v>
      </c>
      <c r="I25" s="1009">
        <v>2453</v>
      </c>
    </row>
    <row r="26" spans="2:9" ht="14.45">
      <c r="B26" s="842" t="s">
        <v>813</v>
      </c>
      <c r="C26" s="748">
        <v>41</v>
      </c>
      <c r="D26" s="1009">
        <v>6173</v>
      </c>
      <c r="E26" s="1009">
        <v>4969</v>
      </c>
      <c r="F26" s="748">
        <v>974</v>
      </c>
      <c r="G26" s="1009">
        <v>2757</v>
      </c>
      <c r="H26" s="1009">
        <v>2537</v>
      </c>
      <c r="I26" s="748">
        <v>735</v>
      </c>
    </row>
    <row r="27" spans="2:9" ht="14.45">
      <c r="B27" s="842" t="s">
        <v>814</v>
      </c>
      <c r="C27" s="1009">
        <v>1129</v>
      </c>
      <c r="D27" s="1009">
        <v>58320</v>
      </c>
      <c r="E27" s="1009">
        <v>21677</v>
      </c>
      <c r="F27" s="1009">
        <v>12083</v>
      </c>
      <c r="G27" s="1009">
        <v>5707</v>
      </c>
      <c r="H27" s="1009">
        <v>8463</v>
      </c>
      <c r="I27" s="1009">
        <v>6018</v>
      </c>
    </row>
    <row r="28" spans="2:9" ht="14.45">
      <c r="B28" s="842" t="s">
        <v>815</v>
      </c>
      <c r="C28" s="748">
        <v>192</v>
      </c>
      <c r="D28" s="1009">
        <v>6979</v>
      </c>
      <c r="E28" s="1009">
        <v>4674</v>
      </c>
      <c r="F28" s="1009">
        <v>2358</v>
      </c>
      <c r="G28" s="748">
        <v>938</v>
      </c>
      <c r="H28" s="1009">
        <v>1387</v>
      </c>
      <c r="I28" s="1009">
        <v>1341</v>
      </c>
    </row>
    <row r="29" spans="2:9" ht="14.45">
      <c r="B29" s="842" t="s">
        <v>816</v>
      </c>
      <c r="C29" s="748">
        <v>299</v>
      </c>
      <c r="D29" s="1009">
        <v>15147</v>
      </c>
      <c r="E29" s="1009">
        <v>5702</v>
      </c>
      <c r="F29" s="1009">
        <v>2602</v>
      </c>
      <c r="G29" s="1009">
        <v>1658</v>
      </c>
      <c r="H29" s="1009">
        <v>2533</v>
      </c>
      <c r="I29" s="1009">
        <v>1557</v>
      </c>
    </row>
    <row r="30" spans="2:9" ht="14.45">
      <c r="B30" s="842" t="s">
        <v>817</v>
      </c>
      <c r="C30" s="748">
        <v>183</v>
      </c>
      <c r="D30" s="1009">
        <v>6877</v>
      </c>
      <c r="E30" s="1009">
        <v>8968</v>
      </c>
      <c r="F30" s="1009">
        <v>4061</v>
      </c>
      <c r="G30" s="1009">
        <v>1627</v>
      </c>
      <c r="H30" s="1009">
        <v>1493</v>
      </c>
      <c r="I30" s="1009">
        <v>1225</v>
      </c>
    </row>
    <row r="31" spans="2:9" ht="14.45">
      <c r="B31" s="842" t="s">
        <v>818</v>
      </c>
      <c r="C31" s="748">
        <v>291</v>
      </c>
      <c r="D31" s="1009">
        <v>8791</v>
      </c>
      <c r="E31" s="1009">
        <v>9830</v>
      </c>
      <c r="F31" s="1009">
        <v>4121</v>
      </c>
      <c r="G31" s="1009">
        <v>1911</v>
      </c>
      <c r="H31" s="1009">
        <v>2308</v>
      </c>
      <c r="I31" s="1009">
        <v>1267</v>
      </c>
    </row>
    <row r="32" spans="2:9" ht="14.45">
      <c r="B32" s="842" t="s">
        <v>819</v>
      </c>
      <c r="C32" s="748">
        <v>643</v>
      </c>
      <c r="D32" s="1009">
        <v>34294</v>
      </c>
      <c r="E32" s="1009">
        <v>5314</v>
      </c>
      <c r="F32" s="1009">
        <v>4248</v>
      </c>
      <c r="G32" s="1009">
        <v>2279</v>
      </c>
      <c r="H32" s="1009">
        <v>4160</v>
      </c>
      <c r="I32" s="1009">
        <v>2540</v>
      </c>
    </row>
    <row r="33" spans="2:9" ht="14.45">
      <c r="B33" s="842"/>
      <c r="C33" s="748"/>
      <c r="D33" s="748"/>
      <c r="E33" s="748"/>
      <c r="F33" s="748"/>
      <c r="G33" s="748"/>
      <c r="H33" s="748"/>
      <c r="I33" s="748"/>
    </row>
    <row r="34" spans="2:9" ht="14.45">
      <c r="B34" s="842" t="s">
        <v>820</v>
      </c>
      <c r="C34" s="748">
        <v>71</v>
      </c>
      <c r="D34" s="1009">
        <v>8964</v>
      </c>
      <c r="E34" s="1009">
        <v>2360</v>
      </c>
      <c r="F34" s="748">
        <v>615</v>
      </c>
      <c r="G34" s="1009">
        <v>1476</v>
      </c>
      <c r="H34" s="748">
        <v>320</v>
      </c>
      <c r="I34" s="748">
        <v>-476</v>
      </c>
    </row>
    <row r="35" spans="2:9" ht="14.45">
      <c r="B35" s="842" t="s">
        <v>821</v>
      </c>
      <c r="C35" s="748">
        <v>-9</v>
      </c>
      <c r="D35" s="1009">
        <v>-1761</v>
      </c>
      <c r="E35" s="748">
        <v>-919</v>
      </c>
      <c r="F35" s="748">
        <v>-226</v>
      </c>
      <c r="G35" s="748">
        <v>-435</v>
      </c>
      <c r="H35" s="748">
        <v>-325</v>
      </c>
      <c r="I35" s="748">
        <v>-97</v>
      </c>
    </row>
    <row r="36" spans="2:9" ht="14.45">
      <c r="B36" s="842" t="s">
        <v>822</v>
      </c>
      <c r="C36" s="748">
        <v>-285</v>
      </c>
      <c r="D36" s="1009">
        <v>-4007</v>
      </c>
      <c r="E36" s="748">
        <v>-960</v>
      </c>
      <c r="F36" s="748">
        <v>-226</v>
      </c>
      <c r="G36" s="748">
        <v>-441</v>
      </c>
      <c r="H36" s="748">
        <v>-553</v>
      </c>
      <c r="I36" s="748">
        <v>424</v>
      </c>
    </row>
    <row r="37" spans="2:9" ht="14.45">
      <c r="B37" s="842" t="s">
        <v>823</v>
      </c>
      <c r="C37" s="748">
        <v>205</v>
      </c>
      <c r="D37" s="748">
        <v>-267</v>
      </c>
      <c r="E37" s="748">
        <v>-352</v>
      </c>
      <c r="F37" s="1009">
        <v>4283</v>
      </c>
      <c r="G37" s="748">
        <v>195</v>
      </c>
      <c r="H37" s="748">
        <v>714</v>
      </c>
      <c r="I37" s="748" t="e">
        <v>#VALUE!</v>
      </c>
    </row>
    <row r="38" spans="2:9" ht="14.45">
      <c r="B38" s="842" t="s">
        <v>824</v>
      </c>
      <c r="C38" s="748">
        <v>197</v>
      </c>
      <c r="D38" s="1009">
        <v>1133</v>
      </c>
      <c r="E38" s="748">
        <v>638</v>
      </c>
      <c r="F38" s="748">
        <v>-328</v>
      </c>
      <c r="G38" s="748" t="s">
        <v>808</v>
      </c>
      <c r="H38" s="748">
        <v>64</v>
      </c>
      <c r="I38" s="748" t="e">
        <v>#VALUE!</v>
      </c>
    </row>
    <row r="39" spans="2:9" ht="14.45">
      <c r="B39" s="842" t="s">
        <v>825</v>
      </c>
      <c r="C39" s="748">
        <v>201</v>
      </c>
      <c r="D39" s="1009">
        <v>-5176</v>
      </c>
      <c r="E39" s="1009">
        <v>-2035</v>
      </c>
      <c r="F39" s="748">
        <v>-337</v>
      </c>
      <c r="G39" s="1009">
        <v>-1006</v>
      </c>
      <c r="H39" s="748">
        <v>154</v>
      </c>
      <c r="I39" s="748">
        <v>-181</v>
      </c>
    </row>
    <row r="40" spans="2:9" ht="14.45">
      <c r="B40" s="842" t="s">
        <v>826</v>
      </c>
      <c r="C40" s="748">
        <v>-13</v>
      </c>
      <c r="D40" s="748">
        <v>-255</v>
      </c>
      <c r="E40" s="748">
        <v>-634</v>
      </c>
      <c r="F40" s="748">
        <v>37</v>
      </c>
      <c r="G40" s="748">
        <v>29</v>
      </c>
      <c r="H40" s="748">
        <v>-41</v>
      </c>
      <c r="I40" s="748">
        <v>-207</v>
      </c>
    </row>
    <row r="41" spans="2:9" ht="14.45">
      <c r="B41" s="842"/>
      <c r="C41" s="748"/>
      <c r="D41" s="748"/>
      <c r="E41" s="748"/>
      <c r="F41" s="748"/>
      <c r="G41" s="748"/>
      <c r="H41" s="748"/>
      <c r="I41" s="748"/>
    </row>
    <row r="42" spans="2:9" ht="14.45">
      <c r="B42" s="842"/>
      <c r="C42" s="748"/>
      <c r="D42" s="748"/>
      <c r="E42" s="748"/>
      <c r="F42" s="748"/>
      <c r="G42" s="748"/>
      <c r="H42" s="748"/>
      <c r="I42" s="748"/>
    </row>
    <row r="43" spans="2:9" ht="14.45">
      <c r="B43" s="842" t="s">
        <v>827</v>
      </c>
      <c r="C43" s="748" t="s">
        <v>808</v>
      </c>
      <c r="D43" s="1009">
        <v>-1921</v>
      </c>
      <c r="E43" s="1009">
        <v>-1000</v>
      </c>
      <c r="F43" s="748" t="s">
        <v>808</v>
      </c>
      <c r="G43" s="748" t="s">
        <v>808</v>
      </c>
      <c r="H43" s="748">
        <v>277</v>
      </c>
      <c r="I43" s="748" t="s">
        <v>828</v>
      </c>
    </row>
    <row r="44" spans="2:9" ht="14.45">
      <c r="B44" s="842" t="s">
        <v>829</v>
      </c>
      <c r="C44" s="748">
        <v>205</v>
      </c>
      <c r="D44" s="1009">
        <v>1654</v>
      </c>
      <c r="E44" s="748">
        <v>648</v>
      </c>
      <c r="F44" s="1009">
        <v>4283</v>
      </c>
      <c r="G44" s="748">
        <v>195</v>
      </c>
      <c r="H44" s="748">
        <v>436</v>
      </c>
      <c r="I44" s="748" t="s">
        <v>828</v>
      </c>
    </row>
    <row r="45" spans="2:9" ht="14.45">
      <c r="B45" s="842" t="s">
        <v>830</v>
      </c>
      <c r="C45" s="748">
        <v>-8</v>
      </c>
      <c r="D45" s="748">
        <v>-522</v>
      </c>
      <c r="E45" s="748">
        <v>-10</v>
      </c>
      <c r="F45" s="1009">
        <v>-4610</v>
      </c>
      <c r="G45" s="748">
        <v>-195</v>
      </c>
      <c r="H45" s="748">
        <v>-372</v>
      </c>
      <c r="I45" s="748" t="s">
        <v>828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7B5A-8C47-4413-8A79-CF6BAB85D51B}">
  <dimension ref="A1:L73"/>
  <sheetViews>
    <sheetView topLeftCell="A11" workbookViewId="0">
      <selection activeCell="N5" sqref="N5:O11"/>
    </sheetView>
  </sheetViews>
  <sheetFormatPr defaultColWidth="8.875" defaultRowHeight="14.1"/>
  <cols>
    <col min="1" max="1" width="28.625" customWidth="1"/>
    <col min="2" max="11" width="12.625" customWidth="1"/>
  </cols>
  <sheetData>
    <row r="1" spans="1:12" ht="14.45">
      <c r="A1" s="709" t="s">
        <v>364</v>
      </c>
      <c r="B1" s="709" t="s">
        <v>364</v>
      </c>
      <c r="C1" s="709" t="s">
        <v>364</v>
      </c>
      <c r="D1" s="709" t="s">
        <v>364</v>
      </c>
      <c r="E1" s="709" t="s">
        <v>364</v>
      </c>
      <c r="F1" s="709" t="s">
        <v>364</v>
      </c>
      <c r="G1" s="709" t="s">
        <v>364</v>
      </c>
      <c r="H1" s="709" t="s">
        <v>364</v>
      </c>
      <c r="I1" s="709" t="s">
        <v>364</v>
      </c>
      <c r="J1" s="709" t="s">
        <v>364</v>
      </c>
      <c r="K1" s="709" t="s">
        <v>364</v>
      </c>
    </row>
    <row r="2" spans="1:12" ht="20.100000000000001">
      <c r="A2" s="710" t="s">
        <v>831</v>
      </c>
      <c r="B2" s="711"/>
      <c r="C2" s="711"/>
      <c r="D2" s="711"/>
      <c r="E2" s="710" t="s">
        <v>364</v>
      </c>
      <c r="F2" s="710" t="s">
        <v>364</v>
      </c>
      <c r="G2" s="710" t="s">
        <v>364</v>
      </c>
      <c r="H2" s="710" t="s">
        <v>364</v>
      </c>
      <c r="I2" s="710" t="s">
        <v>364</v>
      </c>
      <c r="J2" s="710" t="s">
        <v>364</v>
      </c>
      <c r="K2" s="710" t="s">
        <v>364</v>
      </c>
      <c r="L2" s="710" t="s">
        <v>364</v>
      </c>
    </row>
    <row r="3" spans="1:12">
      <c r="A3" s="712" t="s">
        <v>364</v>
      </c>
      <c r="B3" s="712" t="s">
        <v>364</v>
      </c>
      <c r="C3" s="712" t="s">
        <v>364</v>
      </c>
      <c r="D3" s="712" t="s">
        <v>364</v>
      </c>
      <c r="E3" s="712" t="s">
        <v>364</v>
      </c>
      <c r="F3" s="712" t="s">
        <v>364</v>
      </c>
      <c r="G3" s="712" t="s">
        <v>364</v>
      </c>
      <c r="H3" s="712" t="s">
        <v>364</v>
      </c>
      <c r="I3" s="712" t="s">
        <v>364</v>
      </c>
      <c r="J3" s="712" t="s">
        <v>364</v>
      </c>
      <c r="K3" s="712" t="s">
        <v>364</v>
      </c>
    </row>
    <row r="4" spans="1:12">
      <c r="A4" s="713" t="s">
        <v>735</v>
      </c>
      <c r="B4" s="714" t="s">
        <v>484</v>
      </c>
      <c r="C4" s="714" t="s">
        <v>485</v>
      </c>
      <c r="D4" s="714" t="s">
        <v>486</v>
      </c>
      <c r="E4" s="714" t="s">
        <v>487</v>
      </c>
      <c r="F4" s="714" t="s">
        <v>489</v>
      </c>
      <c r="G4" s="714" t="s">
        <v>490</v>
      </c>
      <c r="H4" s="714" t="s">
        <v>491</v>
      </c>
      <c r="I4" s="714" t="s">
        <v>492</v>
      </c>
      <c r="J4" s="714" t="s">
        <v>493</v>
      </c>
      <c r="K4" s="714" t="s">
        <v>736</v>
      </c>
    </row>
    <row r="5" spans="1:12">
      <c r="A5" s="715" t="s">
        <v>737</v>
      </c>
      <c r="B5" s="717">
        <v>42369</v>
      </c>
      <c r="C5" s="717">
        <v>42735</v>
      </c>
      <c r="D5" s="717">
        <v>43100</v>
      </c>
      <c r="E5" s="717">
        <v>43465</v>
      </c>
      <c r="F5" s="717">
        <v>43921</v>
      </c>
      <c r="G5" s="717">
        <v>44286</v>
      </c>
      <c r="H5" s="717">
        <v>44651</v>
      </c>
      <c r="I5" s="717">
        <v>45016</v>
      </c>
      <c r="J5" s="717">
        <v>45382</v>
      </c>
      <c r="K5" s="717">
        <v>45657</v>
      </c>
    </row>
    <row r="6" spans="1:12">
      <c r="A6" s="718" t="s">
        <v>244</v>
      </c>
      <c r="B6" s="719">
        <v>191.4</v>
      </c>
      <c r="C6" s="720">
        <v>229.6</v>
      </c>
      <c r="D6" s="720">
        <v>269.89999999999998</v>
      </c>
      <c r="E6" s="720">
        <v>267.39999999999998</v>
      </c>
      <c r="F6" s="720">
        <v>282.89999999999998</v>
      </c>
      <c r="G6" s="720">
        <v>318.10000000000002</v>
      </c>
      <c r="H6" s="720">
        <v>392.2</v>
      </c>
      <c r="I6" s="720">
        <v>578.79999999999995</v>
      </c>
      <c r="J6" s="721">
        <v>1023.9</v>
      </c>
      <c r="K6" s="723">
        <v>1302</v>
      </c>
    </row>
    <row r="7" spans="1:12">
      <c r="A7" s="724" t="s">
        <v>738</v>
      </c>
      <c r="B7" s="725" t="s">
        <v>476</v>
      </c>
      <c r="C7" s="726">
        <v>229.6</v>
      </c>
      <c r="D7" s="726">
        <v>269.89999999999998</v>
      </c>
      <c r="E7" s="726">
        <v>267.39999999999998</v>
      </c>
      <c r="F7" s="726">
        <v>282.89999999999998</v>
      </c>
      <c r="G7" s="726">
        <v>318.10000000000002</v>
      </c>
      <c r="H7" s="726">
        <v>392.2</v>
      </c>
      <c r="I7" s="726">
        <v>578.79999999999995</v>
      </c>
      <c r="J7" s="727">
        <v>1023.9</v>
      </c>
      <c r="K7" s="729">
        <v>1302</v>
      </c>
    </row>
    <row r="8" spans="1:12">
      <c r="A8" s="724" t="s">
        <v>739</v>
      </c>
      <c r="B8" s="725">
        <v>91.1</v>
      </c>
      <c r="C8" s="726">
        <v>97.3</v>
      </c>
      <c r="D8" s="726">
        <v>105.2</v>
      </c>
      <c r="E8" s="726">
        <v>104.7</v>
      </c>
      <c r="F8" s="726">
        <v>101.7</v>
      </c>
      <c r="G8" s="726">
        <v>111.9</v>
      </c>
      <c r="H8" s="726">
        <v>140.4</v>
      </c>
      <c r="I8" s="726">
        <v>188.4</v>
      </c>
      <c r="J8" s="726">
        <v>299.8</v>
      </c>
      <c r="K8" s="728">
        <v>376.2</v>
      </c>
    </row>
    <row r="9" spans="1:12">
      <c r="A9" s="724" t="s">
        <v>740</v>
      </c>
      <c r="B9" s="725" t="s">
        <v>476</v>
      </c>
      <c r="C9" s="726">
        <v>97.3</v>
      </c>
      <c r="D9" s="726">
        <v>105.2</v>
      </c>
      <c r="E9" s="726">
        <v>104.7</v>
      </c>
      <c r="F9" s="726">
        <v>101.7</v>
      </c>
      <c r="G9" s="726">
        <v>111.9</v>
      </c>
      <c r="H9" s="726">
        <v>140.4</v>
      </c>
      <c r="I9" s="726">
        <v>188.4</v>
      </c>
      <c r="J9" s="726">
        <v>299.8</v>
      </c>
      <c r="K9" s="728">
        <v>376.2</v>
      </c>
    </row>
    <row r="10" spans="1:12">
      <c r="A10" s="718" t="s">
        <v>301</v>
      </c>
      <c r="B10" s="719">
        <v>100.3</v>
      </c>
      <c r="C10" s="720">
        <v>132.19999999999999</v>
      </c>
      <c r="D10" s="720">
        <v>164.7</v>
      </c>
      <c r="E10" s="720">
        <v>162.69999999999999</v>
      </c>
      <c r="F10" s="720">
        <v>181.1</v>
      </c>
      <c r="G10" s="720">
        <v>206.2</v>
      </c>
      <c r="H10" s="720">
        <v>251.7</v>
      </c>
      <c r="I10" s="720">
        <v>390.4</v>
      </c>
      <c r="J10" s="720">
        <v>724.1</v>
      </c>
      <c r="K10" s="722">
        <v>925.8</v>
      </c>
    </row>
    <row r="11" spans="1:12">
      <c r="A11" s="724" t="s">
        <v>741</v>
      </c>
      <c r="B11" s="725">
        <v>0</v>
      </c>
      <c r="C11" s="726">
        <v>0</v>
      </c>
      <c r="D11" s="726">
        <v>0</v>
      </c>
      <c r="E11" s="726">
        <v>0</v>
      </c>
      <c r="F11" s="726">
        <v>0</v>
      </c>
      <c r="G11" s="726">
        <v>0</v>
      </c>
      <c r="H11" s="726">
        <v>0</v>
      </c>
      <c r="I11" s="726">
        <v>0</v>
      </c>
      <c r="J11" s="726">
        <v>0</v>
      </c>
      <c r="K11" s="728">
        <v>0</v>
      </c>
    </row>
    <row r="12" spans="1:12">
      <c r="A12" s="724" t="s">
        <v>742</v>
      </c>
      <c r="B12" s="725">
        <v>74.8</v>
      </c>
      <c r="C12" s="726">
        <v>103.3</v>
      </c>
      <c r="D12" s="726">
        <v>128.6</v>
      </c>
      <c r="E12" s="726">
        <v>134.69999999999999</v>
      </c>
      <c r="F12" s="726">
        <v>154.69999999999999</v>
      </c>
      <c r="G12" s="726">
        <v>184.6</v>
      </c>
      <c r="H12" s="726">
        <v>219.6</v>
      </c>
      <c r="I12" s="726">
        <v>322.3</v>
      </c>
      <c r="J12" s="726">
        <v>566.4</v>
      </c>
      <c r="K12" s="728">
        <v>782.2</v>
      </c>
    </row>
    <row r="13" spans="1:12">
      <c r="A13" s="724" t="s">
        <v>743</v>
      </c>
      <c r="B13" s="725" t="s">
        <v>476</v>
      </c>
      <c r="C13" s="726">
        <v>104.5</v>
      </c>
      <c r="D13" s="726">
        <v>129.1</v>
      </c>
      <c r="E13" s="726">
        <v>134.69999999999999</v>
      </c>
      <c r="F13" s="726">
        <v>154.80000000000001</v>
      </c>
      <c r="G13" s="726">
        <v>184.6</v>
      </c>
      <c r="H13" s="726">
        <v>219.1</v>
      </c>
      <c r="I13" s="726">
        <v>322.3</v>
      </c>
      <c r="J13" s="726">
        <v>567</v>
      </c>
      <c r="K13" s="728">
        <v>782.5</v>
      </c>
    </row>
    <row r="14" spans="1:12">
      <c r="A14" s="724" t="s">
        <v>744</v>
      </c>
      <c r="B14" s="725" t="s">
        <v>476</v>
      </c>
      <c r="C14" s="726">
        <v>0</v>
      </c>
      <c r="D14" s="726">
        <v>0</v>
      </c>
      <c r="E14" s="726">
        <v>0</v>
      </c>
      <c r="F14" s="726" t="s">
        <v>476</v>
      </c>
      <c r="G14" s="726">
        <v>0</v>
      </c>
      <c r="H14" s="726">
        <v>0</v>
      </c>
      <c r="I14" s="726">
        <v>0</v>
      </c>
      <c r="J14" s="726">
        <v>0</v>
      </c>
      <c r="K14" s="728" t="s">
        <v>364</v>
      </c>
    </row>
    <row r="15" spans="1:12">
      <c r="A15" s="724" t="s">
        <v>745</v>
      </c>
      <c r="B15" s="725" t="s">
        <v>476</v>
      </c>
      <c r="C15" s="726">
        <v>-1.2</v>
      </c>
      <c r="D15" s="726">
        <v>-0.5</v>
      </c>
      <c r="E15" s="726">
        <v>0</v>
      </c>
      <c r="F15" s="726">
        <v>-0.1</v>
      </c>
      <c r="G15" s="726">
        <v>0</v>
      </c>
      <c r="H15" s="726">
        <v>0.5</v>
      </c>
      <c r="I15" s="726">
        <v>0</v>
      </c>
      <c r="J15" s="726">
        <v>-0.6</v>
      </c>
      <c r="K15" s="728">
        <v>-0.3</v>
      </c>
    </row>
    <row r="16" spans="1:12">
      <c r="A16" s="718" t="s">
        <v>746</v>
      </c>
      <c r="B16" s="719">
        <v>25.6</v>
      </c>
      <c r="C16" s="720">
        <v>29</v>
      </c>
      <c r="D16" s="720">
        <v>36.200000000000003</v>
      </c>
      <c r="E16" s="720">
        <v>28.1</v>
      </c>
      <c r="F16" s="720">
        <v>26.5</v>
      </c>
      <c r="G16" s="720">
        <v>21.6</v>
      </c>
      <c r="H16" s="720">
        <v>32.1</v>
      </c>
      <c r="I16" s="720">
        <v>68.099999999999994</v>
      </c>
      <c r="J16" s="720">
        <v>157.69999999999999</v>
      </c>
      <c r="K16" s="722">
        <v>143.69999999999999</v>
      </c>
    </row>
    <row r="17" spans="1:11">
      <c r="A17" s="724" t="s">
        <v>747</v>
      </c>
      <c r="B17" s="725" t="s">
        <v>476</v>
      </c>
      <c r="C17" s="726">
        <v>10.5</v>
      </c>
      <c r="D17" s="726">
        <v>10.8</v>
      </c>
      <c r="E17" s="726">
        <v>8.1999999999999993</v>
      </c>
      <c r="F17" s="726">
        <v>13.6</v>
      </c>
      <c r="G17" s="726">
        <v>5.7</v>
      </c>
      <c r="H17" s="726">
        <v>3.4</v>
      </c>
      <c r="I17" s="726">
        <v>3.9</v>
      </c>
      <c r="J17" s="726">
        <v>5.8</v>
      </c>
      <c r="K17" s="728">
        <v>16.899999999999999</v>
      </c>
    </row>
    <row r="18" spans="1:11">
      <c r="A18" s="724" t="s">
        <v>748</v>
      </c>
      <c r="B18" s="725" t="s">
        <v>476</v>
      </c>
      <c r="C18" s="726">
        <v>16.3</v>
      </c>
      <c r="D18" s="726">
        <v>8.8000000000000007</v>
      </c>
      <c r="E18" s="726">
        <v>7.8</v>
      </c>
      <c r="F18" s="726">
        <v>6.3</v>
      </c>
      <c r="G18" s="726">
        <v>4.0999999999999996</v>
      </c>
      <c r="H18" s="726">
        <v>2.4</v>
      </c>
      <c r="I18" s="726">
        <v>2</v>
      </c>
      <c r="J18" s="726">
        <v>7</v>
      </c>
      <c r="K18" s="728">
        <v>15</v>
      </c>
    </row>
    <row r="19" spans="1:11">
      <c r="A19" s="730" t="s">
        <v>749</v>
      </c>
      <c r="B19" s="731" t="s">
        <v>476</v>
      </c>
      <c r="C19" s="732">
        <v>16.3</v>
      </c>
      <c r="D19" s="732">
        <v>8.8000000000000007</v>
      </c>
      <c r="E19" s="732">
        <v>7.8</v>
      </c>
      <c r="F19" s="732">
        <v>6.3</v>
      </c>
      <c r="G19" s="732">
        <v>4.0999999999999996</v>
      </c>
      <c r="H19" s="732">
        <v>2.4</v>
      </c>
      <c r="I19" s="732">
        <v>2</v>
      </c>
      <c r="J19" s="732">
        <v>7</v>
      </c>
      <c r="K19" s="733">
        <v>15</v>
      </c>
    </row>
    <row r="20" spans="1:11">
      <c r="A20" s="730" t="s">
        <v>750</v>
      </c>
      <c r="B20" s="731" t="s">
        <v>476</v>
      </c>
      <c r="C20" s="732">
        <v>0</v>
      </c>
      <c r="D20" s="732">
        <v>0</v>
      </c>
      <c r="E20" s="732">
        <v>0</v>
      </c>
      <c r="F20" s="732">
        <v>0</v>
      </c>
      <c r="G20" s="732">
        <v>0</v>
      </c>
      <c r="H20" s="732">
        <v>0</v>
      </c>
      <c r="I20" s="732">
        <v>0</v>
      </c>
      <c r="J20" s="732">
        <v>0</v>
      </c>
      <c r="K20" s="733">
        <v>0</v>
      </c>
    </row>
    <row r="21" spans="1:11">
      <c r="A21" s="724" t="s">
        <v>751</v>
      </c>
      <c r="B21" s="725">
        <v>0</v>
      </c>
      <c r="C21" s="726">
        <v>0</v>
      </c>
      <c r="D21" s="726">
        <v>0</v>
      </c>
      <c r="E21" s="726">
        <v>0</v>
      </c>
      <c r="F21" s="726">
        <v>0</v>
      </c>
      <c r="G21" s="726">
        <v>0</v>
      </c>
      <c r="H21" s="726">
        <v>0</v>
      </c>
      <c r="I21" s="726">
        <v>0</v>
      </c>
      <c r="J21" s="726">
        <v>0</v>
      </c>
      <c r="K21" s="728" t="s">
        <v>364</v>
      </c>
    </row>
    <row r="22" spans="1:11">
      <c r="A22" s="724" t="s">
        <v>752</v>
      </c>
      <c r="B22" s="725" t="s">
        <v>476</v>
      </c>
      <c r="C22" s="726">
        <v>-5.8</v>
      </c>
      <c r="D22" s="726">
        <v>2</v>
      </c>
      <c r="E22" s="726">
        <v>0.4</v>
      </c>
      <c r="F22" s="726">
        <v>7.3</v>
      </c>
      <c r="G22" s="726">
        <v>1.6</v>
      </c>
      <c r="H22" s="726">
        <v>1</v>
      </c>
      <c r="I22" s="726">
        <v>1.9</v>
      </c>
      <c r="J22" s="726">
        <v>-1.2</v>
      </c>
      <c r="K22" s="728">
        <v>2</v>
      </c>
    </row>
    <row r="23" spans="1:11">
      <c r="A23" s="718" t="s">
        <v>832</v>
      </c>
      <c r="B23" s="719">
        <v>25.6</v>
      </c>
      <c r="C23" s="720">
        <v>18.5</v>
      </c>
      <c r="D23" s="720">
        <v>25.4</v>
      </c>
      <c r="E23" s="720">
        <v>19.899999999999999</v>
      </c>
      <c r="F23" s="720">
        <v>12.9</v>
      </c>
      <c r="G23" s="720">
        <v>15.9</v>
      </c>
      <c r="H23" s="720">
        <v>28.7</v>
      </c>
      <c r="I23" s="720">
        <v>64.3</v>
      </c>
      <c r="J23" s="720">
        <v>151.9</v>
      </c>
      <c r="K23" s="722">
        <v>126.7</v>
      </c>
    </row>
    <row r="24" spans="1:11">
      <c r="A24" s="724" t="s">
        <v>833</v>
      </c>
      <c r="B24" s="725" t="s">
        <v>476</v>
      </c>
      <c r="C24" s="726">
        <v>8.6</v>
      </c>
      <c r="D24" s="726">
        <v>2.9</v>
      </c>
      <c r="E24" s="726">
        <v>1.9</v>
      </c>
      <c r="F24" s="726">
        <v>-11.2</v>
      </c>
      <c r="G24" s="726">
        <v>12.2</v>
      </c>
      <c r="H24" s="726">
        <v>3.3</v>
      </c>
      <c r="I24" s="726">
        <v>0.2</v>
      </c>
      <c r="J24" s="726">
        <v>10.9</v>
      </c>
      <c r="K24" s="728">
        <v>14.1</v>
      </c>
    </row>
    <row r="25" spans="1:11">
      <c r="A25" s="724" t="s">
        <v>834</v>
      </c>
      <c r="B25" s="725" t="s">
        <v>476</v>
      </c>
      <c r="C25" s="726">
        <v>0.3</v>
      </c>
      <c r="D25" s="726">
        <v>0.5</v>
      </c>
      <c r="E25" s="726" t="s">
        <v>476</v>
      </c>
      <c r="F25" s="726" t="s">
        <v>476</v>
      </c>
      <c r="G25" s="726" t="s">
        <v>476</v>
      </c>
      <c r="H25" s="726" t="s">
        <v>476</v>
      </c>
      <c r="I25" s="726" t="s">
        <v>476</v>
      </c>
      <c r="J25" s="726" t="s">
        <v>476</v>
      </c>
      <c r="K25" s="728" t="s">
        <v>364</v>
      </c>
    </row>
    <row r="26" spans="1:11">
      <c r="A26" s="724" t="s">
        <v>835</v>
      </c>
      <c r="B26" s="725" t="s">
        <v>476</v>
      </c>
      <c r="C26" s="726">
        <v>2.7</v>
      </c>
      <c r="D26" s="726" t="s">
        <v>476</v>
      </c>
      <c r="E26" s="726" t="s">
        <v>476</v>
      </c>
      <c r="F26" s="726">
        <v>-7.7</v>
      </c>
      <c r="G26" s="726" t="s">
        <v>476</v>
      </c>
      <c r="H26" s="726">
        <v>0.5</v>
      </c>
      <c r="I26" s="726">
        <v>0.2</v>
      </c>
      <c r="J26" s="726" t="s">
        <v>476</v>
      </c>
      <c r="K26" s="728" t="s">
        <v>364</v>
      </c>
    </row>
    <row r="27" spans="1:11">
      <c r="A27" s="724" t="s">
        <v>836</v>
      </c>
      <c r="B27" s="725" t="s">
        <v>476</v>
      </c>
      <c r="C27" s="726">
        <v>4.7</v>
      </c>
      <c r="D27" s="726">
        <v>0.1</v>
      </c>
      <c r="E27" s="726" t="s">
        <v>476</v>
      </c>
      <c r="F27" s="726">
        <v>-6</v>
      </c>
      <c r="G27" s="726">
        <v>2.6</v>
      </c>
      <c r="H27" s="726">
        <v>0.1</v>
      </c>
      <c r="I27" s="726" t="s">
        <v>476</v>
      </c>
      <c r="J27" s="726" t="s">
        <v>476</v>
      </c>
      <c r="K27" s="728" t="s">
        <v>364</v>
      </c>
    </row>
    <row r="28" spans="1:11">
      <c r="A28" s="724" t="s">
        <v>837</v>
      </c>
      <c r="B28" s="725" t="s">
        <v>476</v>
      </c>
      <c r="C28" s="726" t="s">
        <v>476</v>
      </c>
      <c r="D28" s="726" t="s">
        <v>476</v>
      </c>
      <c r="E28" s="726" t="s">
        <v>476</v>
      </c>
      <c r="F28" s="726" t="s">
        <v>476</v>
      </c>
      <c r="G28" s="726" t="s">
        <v>476</v>
      </c>
      <c r="H28" s="726" t="s">
        <v>476</v>
      </c>
      <c r="I28" s="726" t="s">
        <v>476</v>
      </c>
      <c r="J28" s="726">
        <v>2.9</v>
      </c>
      <c r="K28" s="728" t="s">
        <v>364</v>
      </c>
    </row>
    <row r="29" spans="1:11">
      <c r="A29" s="724" t="s">
        <v>838</v>
      </c>
      <c r="B29" s="725" t="s">
        <v>476</v>
      </c>
      <c r="C29" s="726">
        <v>0.9</v>
      </c>
      <c r="D29" s="726">
        <v>2.2000000000000002</v>
      </c>
      <c r="E29" s="726">
        <v>1.9</v>
      </c>
      <c r="F29" s="726">
        <v>2.5</v>
      </c>
      <c r="G29" s="726">
        <v>9.5</v>
      </c>
      <c r="H29" s="726">
        <v>2.8</v>
      </c>
      <c r="I29" s="726" t="s">
        <v>476</v>
      </c>
      <c r="J29" s="726">
        <v>8</v>
      </c>
      <c r="K29" s="728">
        <v>12.9</v>
      </c>
    </row>
    <row r="30" spans="1:11">
      <c r="A30" s="718" t="s">
        <v>839</v>
      </c>
      <c r="B30" s="719">
        <v>25.6</v>
      </c>
      <c r="C30" s="720">
        <v>9.8000000000000007</v>
      </c>
      <c r="D30" s="720">
        <v>22.5</v>
      </c>
      <c r="E30" s="720">
        <v>18</v>
      </c>
      <c r="F30" s="720">
        <v>24.1</v>
      </c>
      <c r="G30" s="720">
        <v>3.7</v>
      </c>
      <c r="H30" s="720">
        <v>25.4</v>
      </c>
      <c r="I30" s="720">
        <v>64.099999999999994</v>
      </c>
      <c r="J30" s="720">
        <v>141</v>
      </c>
      <c r="K30" s="722">
        <v>112.6</v>
      </c>
    </row>
    <row r="31" spans="1:11">
      <c r="A31" s="724" t="s">
        <v>754</v>
      </c>
      <c r="B31" s="725" t="s">
        <v>476</v>
      </c>
      <c r="C31" s="726">
        <v>4.5</v>
      </c>
      <c r="D31" s="726">
        <v>-11</v>
      </c>
      <c r="E31" s="726">
        <v>2.4</v>
      </c>
      <c r="F31" s="726">
        <v>6.2</v>
      </c>
      <c r="G31" s="726">
        <v>-2.5</v>
      </c>
      <c r="H31" s="726">
        <v>3.7</v>
      </c>
      <c r="I31" s="726">
        <v>2.5</v>
      </c>
      <c r="J31" s="726">
        <v>13.3</v>
      </c>
      <c r="K31" s="728">
        <v>14.3</v>
      </c>
    </row>
    <row r="32" spans="1:11">
      <c r="A32" s="724" t="s">
        <v>755</v>
      </c>
      <c r="B32" s="725" t="s">
        <v>476</v>
      </c>
      <c r="C32" s="726">
        <v>12.1</v>
      </c>
      <c r="D32" s="726">
        <v>2.4</v>
      </c>
      <c r="E32" s="726">
        <v>3.4</v>
      </c>
      <c r="F32" s="726">
        <v>3.7</v>
      </c>
      <c r="G32" s="726" t="s">
        <v>476</v>
      </c>
      <c r="H32" s="726">
        <v>7.4</v>
      </c>
      <c r="I32" s="726">
        <v>8.9</v>
      </c>
      <c r="J32" s="726">
        <v>16.600000000000001</v>
      </c>
      <c r="K32" s="728" t="s">
        <v>364</v>
      </c>
    </row>
    <row r="33" spans="1:11">
      <c r="A33" s="724" t="s">
        <v>756</v>
      </c>
      <c r="B33" s="725" t="s">
        <v>476</v>
      </c>
      <c r="C33" s="726">
        <v>-7.6</v>
      </c>
      <c r="D33" s="726">
        <v>-13.4</v>
      </c>
      <c r="E33" s="726">
        <v>-0.9</v>
      </c>
      <c r="F33" s="726">
        <v>2.4</v>
      </c>
      <c r="G33" s="726" t="s">
        <v>476</v>
      </c>
      <c r="H33" s="726">
        <v>-3.7</v>
      </c>
      <c r="I33" s="726">
        <v>-6.4</v>
      </c>
      <c r="J33" s="726">
        <v>-3.3</v>
      </c>
      <c r="K33" s="728" t="s">
        <v>364</v>
      </c>
    </row>
    <row r="34" spans="1:11">
      <c r="A34" s="718" t="s">
        <v>757</v>
      </c>
      <c r="B34" s="719">
        <v>25.6</v>
      </c>
      <c r="C34" s="720">
        <v>5.3</v>
      </c>
      <c r="D34" s="720">
        <v>33.5</v>
      </c>
      <c r="E34" s="720">
        <v>15.5</v>
      </c>
      <c r="F34" s="720">
        <v>17.899999999999999</v>
      </c>
      <c r="G34" s="720">
        <v>6.2</v>
      </c>
      <c r="H34" s="720">
        <v>21.8</v>
      </c>
      <c r="I34" s="720">
        <v>61.5</v>
      </c>
      <c r="J34" s="720">
        <v>127.7</v>
      </c>
      <c r="K34" s="722">
        <v>98.4</v>
      </c>
    </row>
    <row r="35" spans="1:11">
      <c r="A35" s="724" t="s">
        <v>758</v>
      </c>
      <c r="B35" s="725" t="s">
        <v>476</v>
      </c>
      <c r="C35" s="726">
        <v>0</v>
      </c>
      <c r="D35" s="726">
        <v>0</v>
      </c>
      <c r="E35" s="726">
        <v>0</v>
      </c>
      <c r="F35" s="726">
        <v>0</v>
      </c>
      <c r="G35" s="726">
        <v>0</v>
      </c>
      <c r="H35" s="726">
        <v>0</v>
      </c>
      <c r="I35" s="726">
        <v>0</v>
      </c>
      <c r="J35" s="726">
        <v>0</v>
      </c>
      <c r="K35" s="728">
        <v>0</v>
      </c>
    </row>
    <row r="36" spans="1:11">
      <c r="A36" s="724" t="s">
        <v>759</v>
      </c>
      <c r="B36" s="725" t="s">
        <v>476</v>
      </c>
      <c r="C36" s="726">
        <v>0</v>
      </c>
      <c r="D36" s="726">
        <v>0</v>
      </c>
      <c r="E36" s="726">
        <v>0</v>
      </c>
      <c r="F36" s="726">
        <v>0</v>
      </c>
      <c r="G36" s="726">
        <v>0</v>
      </c>
      <c r="H36" s="726">
        <v>0</v>
      </c>
      <c r="I36" s="726">
        <v>0</v>
      </c>
      <c r="J36" s="726">
        <v>0</v>
      </c>
      <c r="K36" s="728">
        <v>0</v>
      </c>
    </row>
    <row r="37" spans="1:11">
      <c r="A37" s="724" t="s">
        <v>760</v>
      </c>
      <c r="B37" s="725" t="s">
        <v>476</v>
      </c>
      <c r="C37" s="726">
        <v>0</v>
      </c>
      <c r="D37" s="726">
        <v>0</v>
      </c>
      <c r="E37" s="726">
        <v>0</v>
      </c>
      <c r="F37" s="726">
        <v>0</v>
      </c>
      <c r="G37" s="726">
        <v>0</v>
      </c>
      <c r="H37" s="726">
        <v>0</v>
      </c>
      <c r="I37" s="726">
        <v>0</v>
      </c>
      <c r="J37" s="726">
        <v>0</v>
      </c>
      <c r="K37" s="728">
        <v>0</v>
      </c>
    </row>
    <row r="38" spans="1:11">
      <c r="A38" s="718" t="s">
        <v>761</v>
      </c>
      <c r="B38" s="719" t="s">
        <v>476</v>
      </c>
      <c r="C38" s="720">
        <v>5.3</v>
      </c>
      <c r="D38" s="720">
        <v>33.5</v>
      </c>
      <c r="E38" s="720">
        <v>15.5</v>
      </c>
      <c r="F38" s="720">
        <v>17.899999999999999</v>
      </c>
      <c r="G38" s="720">
        <v>6.2</v>
      </c>
      <c r="H38" s="720">
        <v>21.8</v>
      </c>
      <c r="I38" s="720">
        <v>61.5</v>
      </c>
      <c r="J38" s="720">
        <v>127.7</v>
      </c>
      <c r="K38" s="722">
        <v>98.4</v>
      </c>
    </row>
    <row r="39" spans="1:11">
      <c r="A39" s="724" t="s">
        <v>762</v>
      </c>
      <c r="B39" s="725" t="s">
        <v>476</v>
      </c>
      <c r="C39" s="726">
        <v>0</v>
      </c>
      <c r="D39" s="726">
        <v>0</v>
      </c>
      <c r="E39" s="726">
        <v>0</v>
      </c>
      <c r="F39" s="726" t="s">
        <v>476</v>
      </c>
      <c r="G39" s="726">
        <v>0</v>
      </c>
      <c r="H39" s="726">
        <v>0</v>
      </c>
      <c r="I39" s="726">
        <v>0</v>
      </c>
      <c r="J39" s="726">
        <v>0</v>
      </c>
      <c r="K39" s="728">
        <v>0</v>
      </c>
    </row>
    <row r="40" spans="1:11">
      <c r="A40" s="718" t="s">
        <v>763</v>
      </c>
      <c r="B40" s="719">
        <v>4.4000000000000004</v>
      </c>
      <c r="C40" s="720">
        <v>5.3</v>
      </c>
      <c r="D40" s="720">
        <v>33.5</v>
      </c>
      <c r="E40" s="720">
        <v>15.5</v>
      </c>
      <c r="F40" s="720">
        <v>17.899999999999999</v>
      </c>
      <c r="G40" s="720">
        <v>6.2</v>
      </c>
      <c r="H40" s="720">
        <v>21.8</v>
      </c>
      <c r="I40" s="720">
        <v>61.5</v>
      </c>
      <c r="J40" s="720">
        <v>127.7</v>
      </c>
      <c r="K40" s="722">
        <v>98.4</v>
      </c>
    </row>
    <row r="41" spans="1:11">
      <c r="A41" s="724" t="s">
        <v>764</v>
      </c>
      <c r="B41" s="725" t="s">
        <v>476</v>
      </c>
      <c r="C41" s="726">
        <v>0</v>
      </c>
      <c r="D41" s="726">
        <v>0</v>
      </c>
      <c r="E41" s="726">
        <v>0</v>
      </c>
      <c r="F41" s="726">
        <v>0</v>
      </c>
      <c r="G41" s="726">
        <v>0</v>
      </c>
      <c r="H41" s="726">
        <v>0</v>
      </c>
      <c r="I41" s="726">
        <v>0</v>
      </c>
      <c r="J41" s="726">
        <v>0</v>
      </c>
      <c r="K41" s="728">
        <v>0</v>
      </c>
    </row>
    <row r="42" spans="1:11">
      <c r="A42" s="724" t="s">
        <v>765</v>
      </c>
      <c r="B42" s="725" t="s">
        <v>476</v>
      </c>
      <c r="C42" s="726">
        <v>502.8</v>
      </c>
      <c r="D42" s="726">
        <v>0</v>
      </c>
      <c r="E42" s="726">
        <v>0</v>
      </c>
      <c r="F42" s="726">
        <v>0</v>
      </c>
      <c r="G42" s="726">
        <v>0</v>
      </c>
      <c r="H42" s="726">
        <v>0</v>
      </c>
      <c r="I42" s="726">
        <v>0</v>
      </c>
      <c r="J42" s="726">
        <v>0</v>
      </c>
      <c r="K42" s="728">
        <v>0</v>
      </c>
    </row>
    <row r="43" spans="1:11">
      <c r="A43" s="718" t="s">
        <v>766</v>
      </c>
      <c r="B43" s="719">
        <v>4.4000000000000004</v>
      </c>
      <c r="C43" s="720">
        <v>-497.5</v>
      </c>
      <c r="D43" s="720">
        <v>33.5</v>
      </c>
      <c r="E43" s="720">
        <v>15.5</v>
      </c>
      <c r="F43" s="720">
        <v>17.899999999999999</v>
      </c>
      <c r="G43" s="720">
        <v>6.2</v>
      </c>
      <c r="H43" s="720">
        <v>21.8</v>
      </c>
      <c r="I43" s="720">
        <v>61.5</v>
      </c>
      <c r="J43" s="720">
        <v>127.7</v>
      </c>
      <c r="K43" s="722">
        <v>98.4</v>
      </c>
    </row>
    <row r="44" spans="1:11">
      <c r="A44" s="718" t="s">
        <v>364</v>
      </c>
      <c r="B44" s="720" t="s">
        <v>364</v>
      </c>
      <c r="C44" s="720" t="s">
        <v>364</v>
      </c>
      <c r="D44" s="720" t="s">
        <v>364</v>
      </c>
      <c r="E44" s="720" t="s">
        <v>364</v>
      </c>
      <c r="F44" s="720" t="s">
        <v>364</v>
      </c>
      <c r="G44" s="720" t="s">
        <v>364</v>
      </c>
      <c r="H44" s="720" t="s">
        <v>364</v>
      </c>
      <c r="I44" s="720" t="s">
        <v>364</v>
      </c>
      <c r="J44" s="720" t="s">
        <v>364</v>
      </c>
      <c r="K44" s="722" t="s">
        <v>364</v>
      </c>
    </row>
    <row r="45" spans="1:11">
      <c r="A45" s="718" t="s">
        <v>767</v>
      </c>
      <c r="B45" s="719">
        <v>4.4000000000000004</v>
      </c>
      <c r="C45" s="720">
        <v>-491.4</v>
      </c>
      <c r="D45" s="720">
        <v>23.7</v>
      </c>
      <c r="E45" s="720">
        <v>17</v>
      </c>
      <c r="F45" s="720">
        <v>9.1999999999999993</v>
      </c>
      <c r="G45" s="720">
        <v>15.5</v>
      </c>
      <c r="H45" s="720">
        <v>24.2</v>
      </c>
      <c r="I45" s="720">
        <v>61.7</v>
      </c>
      <c r="J45" s="720">
        <v>136.9</v>
      </c>
      <c r="K45" s="722">
        <v>110.2</v>
      </c>
    </row>
    <row r="46" spans="1:11">
      <c r="A46" s="724" t="s">
        <v>768</v>
      </c>
      <c r="B46" s="725" t="s">
        <v>476</v>
      </c>
      <c r="C46" s="726">
        <v>6.2</v>
      </c>
      <c r="D46" s="726">
        <v>-9.8000000000000007</v>
      </c>
      <c r="E46" s="726">
        <v>1.4</v>
      </c>
      <c r="F46" s="726">
        <v>-8.6999999999999993</v>
      </c>
      <c r="G46" s="726">
        <v>9.3000000000000007</v>
      </c>
      <c r="H46" s="726">
        <v>2.5</v>
      </c>
      <c r="I46" s="726">
        <v>0.1</v>
      </c>
      <c r="J46" s="726">
        <v>9.1999999999999993</v>
      </c>
      <c r="K46" s="728">
        <v>11.9</v>
      </c>
    </row>
    <row r="47" spans="1:11">
      <c r="A47" s="724" t="s">
        <v>769</v>
      </c>
      <c r="B47" s="725" t="s">
        <v>476</v>
      </c>
      <c r="C47" s="726">
        <v>0</v>
      </c>
      <c r="D47" s="726">
        <v>0</v>
      </c>
      <c r="E47" s="726">
        <v>0</v>
      </c>
      <c r="F47" s="726">
        <v>0</v>
      </c>
      <c r="G47" s="726">
        <v>0</v>
      </c>
      <c r="H47" s="726">
        <v>0</v>
      </c>
      <c r="I47" s="726">
        <v>0</v>
      </c>
      <c r="J47" s="726">
        <v>0</v>
      </c>
      <c r="K47" s="728">
        <v>0</v>
      </c>
    </row>
    <row r="48" spans="1:11">
      <c r="A48" s="718" t="s">
        <v>364</v>
      </c>
      <c r="B48" s="720" t="s">
        <v>364</v>
      </c>
      <c r="C48" s="720" t="s">
        <v>364</v>
      </c>
      <c r="D48" s="720" t="s">
        <v>364</v>
      </c>
      <c r="E48" s="720" t="s">
        <v>364</v>
      </c>
      <c r="F48" s="720" t="s">
        <v>364</v>
      </c>
      <c r="G48" s="720" t="s">
        <v>364</v>
      </c>
      <c r="H48" s="720" t="s">
        <v>364</v>
      </c>
      <c r="I48" s="720" t="s">
        <v>364</v>
      </c>
      <c r="J48" s="720" t="s">
        <v>364</v>
      </c>
      <c r="K48" s="722" t="s">
        <v>364</v>
      </c>
    </row>
    <row r="49" spans="1:11">
      <c r="A49" s="724" t="s">
        <v>770</v>
      </c>
      <c r="B49" s="725" t="s">
        <v>476</v>
      </c>
      <c r="C49" s="726">
        <v>12.6</v>
      </c>
      <c r="D49" s="726">
        <v>45.4</v>
      </c>
      <c r="E49" s="726">
        <v>46.8</v>
      </c>
      <c r="F49" s="726">
        <v>48.5</v>
      </c>
      <c r="G49" s="726">
        <v>49.4</v>
      </c>
      <c r="H49" s="726">
        <v>50.9</v>
      </c>
      <c r="I49" s="726">
        <v>52.5</v>
      </c>
      <c r="J49" s="726">
        <v>54.7</v>
      </c>
      <c r="K49" s="728">
        <v>56.4</v>
      </c>
    </row>
    <row r="50" spans="1:11">
      <c r="A50" s="718" t="s">
        <v>771</v>
      </c>
      <c r="B50" s="719" t="s">
        <v>476</v>
      </c>
      <c r="C50" s="720">
        <v>-39.47</v>
      </c>
      <c r="D50" s="720">
        <v>0.74</v>
      </c>
      <c r="E50" s="720">
        <v>0.33</v>
      </c>
      <c r="F50" s="720">
        <v>0.37</v>
      </c>
      <c r="G50" s="720">
        <v>0.13</v>
      </c>
      <c r="H50" s="720">
        <v>0.43</v>
      </c>
      <c r="I50" s="720">
        <v>1.17</v>
      </c>
      <c r="J50" s="720">
        <v>2.33</v>
      </c>
      <c r="K50" s="722">
        <v>1.76</v>
      </c>
    </row>
    <row r="51" spans="1:11">
      <c r="A51" s="718" t="s">
        <v>772</v>
      </c>
      <c r="B51" s="719" t="s">
        <v>476</v>
      </c>
      <c r="C51" s="720">
        <v>-39.47</v>
      </c>
      <c r="D51" s="720">
        <v>0.74</v>
      </c>
      <c r="E51" s="720">
        <v>0.33</v>
      </c>
      <c r="F51" s="720">
        <v>0.37</v>
      </c>
      <c r="G51" s="720">
        <v>0.13</v>
      </c>
      <c r="H51" s="720">
        <v>0.43</v>
      </c>
      <c r="I51" s="720">
        <v>1.17</v>
      </c>
      <c r="J51" s="720">
        <v>2.33</v>
      </c>
      <c r="K51" s="722">
        <v>1.76</v>
      </c>
    </row>
    <row r="52" spans="1:11">
      <c r="A52" s="718" t="s">
        <v>773</v>
      </c>
      <c r="B52" s="719" t="s">
        <v>476</v>
      </c>
      <c r="C52" s="720">
        <v>-38.979999999999997</v>
      </c>
      <c r="D52" s="720">
        <v>0.52</v>
      </c>
      <c r="E52" s="720">
        <v>0.36</v>
      </c>
      <c r="F52" s="720">
        <v>0.19</v>
      </c>
      <c r="G52" s="720">
        <v>0.31</v>
      </c>
      <c r="H52" s="720">
        <v>0.48</v>
      </c>
      <c r="I52" s="720">
        <v>1.18</v>
      </c>
      <c r="J52" s="720">
        <v>2.5</v>
      </c>
      <c r="K52" s="722">
        <v>1.97</v>
      </c>
    </row>
    <row r="53" spans="1:11">
      <c r="A53" s="718" t="s">
        <v>364</v>
      </c>
      <c r="B53" s="720" t="s">
        <v>364</v>
      </c>
      <c r="C53" s="720" t="s">
        <v>364</v>
      </c>
      <c r="D53" s="720" t="s">
        <v>364</v>
      </c>
      <c r="E53" s="720" t="s">
        <v>364</v>
      </c>
      <c r="F53" s="720" t="s">
        <v>364</v>
      </c>
      <c r="G53" s="720" t="s">
        <v>364</v>
      </c>
      <c r="H53" s="720" t="s">
        <v>364</v>
      </c>
      <c r="I53" s="720" t="s">
        <v>364</v>
      </c>
      <c r="J53" s="720" t="s">
        <v>364</v>
      </c>
      <c r="K53" s="722" t="s">
        <v>364</v>
      </c>
    </row>
    <row r="54" spans="1:11">
      <c r="A54" s="724" t="s">
        <v>774</v>
      </c>
      <c r="B54" s="725" t="s">
        <v>476</v>
      </c>
      <c r="C54" s="726">
        <v>12.6</v>
      </c>
      <c r="D54" s="726">
        <v>49.4</v>
      </c>
      <c r="E54" s="726">
        <v>49.3</v>
      </c>
      <c r="F54" s="726">
        <v>50.8</v>
      </c>
      <c r="G54" s="726">
        <v>52</v>
      </c>
      <c r="H54" s="726">
        <v>53.7</v>
      </c>
      <c r="I54" s="726">
        <v>55.3</v>
      </c>
      <c r="J54" s="726">
        <v>57.8</v>
      </c>
      <c r="K54" s="728">
        <v>58.4</v>
      </c>
    </row>
    <row r="55" spans="1:11">
      <c r="A55" s="718" t="s">
        <v>775</v>
      </c>
      <c r="B55" s="719" t="s">
        <v>476</v>
      </c>
      <c r="C55" s="720">
        <v>-39.47</v>
      </c>
      <c r="D55" s="720">
        <v>0.68</v>
      </c>
      <c r="E55" s="720">
        <v>0.32</v>
      </c>
      <c r="F55" s="720">
        <v>0.35</v>
      </c>
      <c r="G55" s="720">
        <v>0.12</v>
      </c>
      <c r="H55" s="720">
        <v>0.41</v>
      </c>
      <c r="I55" s="720">
        <v>1.1100000000000001</v>
      </c>
      <c r="J55" s="720">
        <v>2.21</v>
      </c>
      <c r="K55" s="722">
        <v>1.69</v>
      </c>
    </row>
    <row r="56" spans="1:11">
      <c r="A56" s="718" t="s">
        <v>776</v>
      </c>
      <c r="B56" s="719" t="s">
        <v>476</v>
      </c>
      <c r="C56" s="720">
        <v>-39.47</v>
      </c>
      <c r="D56" s="720">
        <v>0.68</v>
      </c>
      <c r="E56" s="720">
        <v>0.32</v>
      </c>
      <c r="F56" s="720">
        <v>0.35</v>
      </c>
      <c r="G56" s="720">
        <v>0.12</v>
      </c>
      <c r="H56" s="720">
        <v>0.41</v>
      </c>
      <c r="I56" s="720">
        <v>1.1100000000000001</v>
      </c>
      <c r="J56" s="720">
        <v>2.21</v>
      </c>
      <c r="K56" s="722">
        <v>1.69</v>
      </c>
    </row>
    <row r="57" spans="1:11">
      <c r="A57" s="718" t="s">
        <v>777</v>
      </c>
      <c r="B57" s="719" t="s">
        <v>476</v>
      </c>
      <c r="C57" s="720">
        <v>-38.979999999999997</v>
      </c>
      <c r="D57" s="720">
        <v>0.48</v>
      </c>
      <c r="E57" s="720">
        <v>0.35</v>
      </c>
      <c r="F57" s="720">
        <v>0.18</v>
      </c>
      <c r="G57" s="720">
        <v>0.3</v>
      </c>
      <c r="H57" s="720">
        <v>0.46</v>
      </c>
      <c r="I57" s="720">
        <v>1.1100000000000001</v>
      </c>
      <c r="J57" s="720">
        <v>2.37</v>
      </c>
      <c r="K57" s="722">
        <v>1.89</v>
      </c>
    </row>
    <row r="58" spans="1:11">
      <c r="A58" s="718" t="s">
        <v>364</v>
      </c>
      <c r="B58" s="720" t="s">
        <v>364</v>
      </c>
      <c r="C58" s="720" t="s">
        <v>364</v>
      </c>
      <c r="D58" s="720" t="s">
        <v>364</v>
      </c>
      <c r="E58" s="720" t="s">
        <v>364</v>
      </c>
      <c r="F58" s="720" t="s">
        <v>364</v>
      </c>
      <c r="G58" s="720" t="s">
        <v>364</v>
      </c>
      <c r="H58" s="720" t="s">
        <v>364</v>
      </c>
      <c r="I58" s="720" t="s">
        <v>364</v>
      </c>
      <c r="J58" s="720" t="s">
        <v>364</v>
      </c>
      <c r="K58" s="722" t="s">
        <v>364</v>
      </c>
    </row>
    <row r="59" spans="1:11">
      <c r="A59" s="718" t="s">
        <v>778</v>
      </c>
      <c r="B59" s="720" t="s">
        <v>364</v>
      </c>
      <c r="C59" s="720" t="s">
        <v>364</v>
      </c>
      <c r="D59" s="720" t="s">
        <v>364</v>
      </c>
      <c r="E59" s="720" t="s">
        <v>364</v>
      </c>
      <c r="F59" s="720" t="s">
        <v>364</v>
      </c>
      <c r="G59" s="720" t="s">
        <v>364</v>
      </c>
      <c r="H59" s="720" t="s">
        <v>364</v>
      </c>
      <c r="I59" s="720" t="s">
        <v>364</v>
      </c>
      <c r="J59" s="720" t="s">
        <v>364</v>
      </c>
      <c r="K59" s="722" t="s">
        <v>364</v>
      </c>
    </row>
    <row r="60" spans="1:11">
      <c r="A60" s="724" t="s">
        <v>779</v>
      </c>
      <c r="B60" s="725" t="s">
        <v>780</v>
      </c>
      <c r="C60" s="726" t="s">
        <v>780</v>
      </c>
      <c r="D60" s="726" t="s">
        <v>780</v>
      </c>
      <c r="E60" s="726" t="s">
        <v>780</v>
      </c>
      <c r="F60" s="726" t="s">
        <v>780</v>
      </c>
      <c r="G60" s="726" t="s">
        <v>780</v>
      </c>
      <c r="H60" s="726" t="s">
        <v>780</v>
      </c>
      <c r="I60" s="726" t="s">
        <v>780</v>
      </c>
      <c r="J60" s="726" t="s">
        <v>780</v>
      </c>
      <c r="K60" s="728" t="s">
        <v>364</v>
      </c>
    </row>
    <row r="61" spans="1:11">
      <c r="A61" s="724" t="s">
        <v>245</v>
      </c>
      <c r="B61" s="725" t="s">
        <v>476</v>
      </c>
      <c r="C61" s="726">
        <v>42.1</v>
      </c>
      <c r="D61" s="726">
        <v>50.7</v>
      </c>
      <c r="E61" s="726">
        <v>45.9</v>
      </c>
      <c r="F61" s="726">
        <v>52.3</v>
      </c>
      <c r="G61" s="726">
        <v>51.5</v>
      </c>
      <c r="H61" s="726">
        <v>63.9</v>
      </c>
      <c r="I61" s="726">
        <v>94.9</v>
      </c>
      <c r="J61" s="726">
        <v>201</v>
      </c>
      <c r="K61" s="728">
        <v>197.7</v>
      </c>
    </row>
    <row r="62" spans="1:11">
      <c r="A62" s="724" t="s">
        <v>781</v>
      </c>
      <c r="B62" s="725" t="s">
        <v>476</v>
      </c>
      <c r="C62" s="726">
        <v>18.36</v>
      </c>
      <c r="D62" s="726">
        <v>18.78</v>
      </c>
      <c r="E62" s="726">
        <v>17.170000000000002</v>
      </c>
      <c r="F62" s="726">
        <v>18.48</v>
      </c>
      <c r="G62" s="726">
        <v>16.2</v>
      </c>
      <c r="H62" s="726">
        <v>16.29</v>
      </c>
      <c r="I62" s="726">
        <v>16.399999999999999</v>
      </c>
      <c r="J62" s="726">
        <v>19.63</v>
      </c>
      <c r="K62" s="728">
        <v>15.18</v>
      </c>
    </row>
    <row r="63" spans="1:11">
      <c r="A63" s="724" t="s">
        <v>782</v>
      </c>
      <c r="B63" s="725" t="s">
        <v>476</v>
      </c>
      <c r="C63" s="726">
        <v>37.200000000000003</v>
      </c>
      <c r="D63" s="726">
        <v>43.9</v>
      </c>
      <c r="E63" s="726">
        <v>38.299999999999997</v>
      </c>
      <c r="F63" s="726">
        <v>33.5</v>
      </c>
      <c r="G63" s="726">
        <v>26.3</v>
      </c>
      <c r="H63" s="726">
        <v>56</v>
      </c>
      <c r="I63" s="726">
        <v>90.6</v>
      </c>
      <c r="J63" s="726">
        <v>180.1</v>
      </c>
      <c r="K63" s="728">
        <v>177.4</v>
      </c>
    </row>
    <row r="64" spans="1:11">
      <c r="A64" s="724" t="s">
        <v>525</v>
      </c>
      <c r="B64" s="725">
        <v>25.6</v>
      </c>
      <c r="C64" s="726">
        <v>29</v>
      </c>
      <c r="D64" s="726">
        <v>36.200000000000003</v>
      </c>
      <c r="E64" s="726">
        <v>28.1</v>
      </c>
      <c r="F64" s="726">
        <v>26.5</v>
      </c>
      <c r="G64" s="726">
        <v>21.6</v>
      </c>
      <c r="H64" s="726">
        <v>32.1</v>
      </c>
      <c r="I64" s="726">
        <v>68.099999999999994</v>
      </c>
      <c r="J64" s="726">
        <v>157.69999999999999</v>
      </c>
      <c r="K64" s="728">
        <v>143.69999999999999</v>
      </c>
    </row>
    <row r="65" spans="1:11">
      <c r="A65" s="724" t="s">
        <v>783</v>
      </c>
      <c r="B65" s="725">
        <v>52.41</v>
      </c>
      <c r="C65" s="726">
        <v>57.6</v>
      </c>
      <c r="D65" s="726">
        <v>61.03</v>
      </c>
      <c r="E65" s="726">
        <v>60.85</v>
      </c>
      <c r="F65" s="726">
        <v>64.03</v>
      </c>
      <c r="G65" s="726">
        <v>64.819999999999993</v>
      </c>
      <c r="H65" s="726">
        <v>64.19</v>
      </c>
      <c r="I65" s="726">
        <v>67.44</v>
      </c>
      <c r="J65" s="726">
        <v>70.72</v>
      </c>
      <c r="K65" s="728">
        <v>71.11</v>
      </c>
    </row>
    <row r="66" spans="1:11">
      <c r="A66" s="724" t="s">
        <v>256</v>
      </c>
      <c r="B66" s="725">
        <v>13.36</v>
      </c>
      <c r="C66" s="726">
        <v>12.63</v>
      </c>
      <c r="D66" s="726">
        <v>13.4</v>
      </c>
      <c r="E66" s="726">
        <v>10.49</v>
      </c>
      <c r="F66" s="726">
        <v>9.36</v>
      </c>
      <c r="G66" s="726">
        <v>6.79</v>
      </c>
      <c r="H66" s="726">
        <v>8.19</v>
      </c>
      <c r="I66" s="726">
        <v>11.77</v>
      </c>
      <c r="J66" s="726">
        <v>15.4</v>
      </c>
      <c r="K66" s="728">
        <v>11.03</v>
      </c>
    </row>
    <row r="67" spans="1:11">
      <c r="A67" s="724" t="s">
        <v>228</v>
      </c>
      <c r="B67" s="725">
        <v>2.2799999999999998</v>
      </c>
      <c r="C67" s="726">
        <v>5</v>
      </c>
      <c r="D67" s="726">
        <v>8.7899999999999991</v>
      </c>
      <c r="E67" s="726">
        <v>6.34</v>
      </c>
      <c r="F67" s="726">
        <v>3.24</v>
      </c>
      <c r="G67" s="726">
        <v>4.8899999999999997</v>
      </c>
      <c r="H67" s="726">
        <v>6.18</v>
      </c>
      <c r="I67" s="726">
        <v>10.65</v>
      </c>
      <c r="J67" s="726">
        <v>13.37</v>
      </c>
      <c r="K67" s="728">
        <v>8.4700000000000006</v>
      </c>
    </row>
    <row r="68" spans="1:11">
      <c r="A68" s="724" t="s">
        <v>784</v>
      </c>
      <c r="B68" s="725" t="s">
        <v>476</v>
      </c>
      <c r="C68" s="727">
        <v>921955.82</v>
      </c>
      <c r="D68" s="727">
        <v>1030106.87</v>
      </c>
      <c r="E68" s="727">
        <v>965469.31</v>
      </c>
      <c r="F68" s="727">
        <v>1353354.07</v>
      </c>
      <c r="G68" s="727">
        <v>1191423.22</v>
      </c>
      <c r="H68" s="727">
        <v>1294240.92</v>
      </c>
      <c r="I68" s="727">
        <v>1707504.42</v>
      </c>
      <c r="J68" s="727">
        <v>2155646.3199999998</v>
      </c>
      <c r="K68" s="728" t="s">
        <v>364</v>
      </c>
    </row>
    <row r="69" spans="1:11">
      <c r="A69" s="724" t="s">
        <v>785</v>
      </c>
      <c r="B69" s="725" t="s">
        <v>476</v>
      </c>
      <c r="C69" s="726">
        <v>0</v>
      </c>
      <c r="D69" s="726">
        <v>0</v>
      </c>
      <c r="E69" s="726">
        <v>0</v>
      </c>
      <c r="F69" s="726">
        <v>0</v>
      </c>
      <c r="G69" s="726">
        <v>0</v>
      </c>
      <c r="H69" s="726">
        <v>0</v>
      </c>
      <c r="I69" s="726">
        <v>0</v>
      </c>
      <c r="J69" s="726">
        <v>0</v>
      </c>
      <c r="K69" s="728">
        <v>0</v>
      </c>
    </row>
    <row r="70" spans="1:11">
      <c r="A70" s="724" t="s">
        <v>786</v>
      </c>
      <c r="B70" s="725" t="s">
        <v>476</v>
      </c>
      <c r="C70" s="726" t="s">
        <v>476</v>
      </c>
      <c r="D70" s="726" t="s">
        <v>476</v>
      </c>
      <c r="E70" s="726" t="s">
        <v>476</v>
      </c>
      <c r="F70" s="726">
        <v>0</v>
      </c>
      <c r="G70" s="726">
        <v>0</v>
      </c>
      <c r="H70" s="726">
        <v>0</v>
      </c>
      <c r="I70" s="726">
        <v>0</v>
      </c>
      <c r="J70" s="726">
        <v>0</v>
      </c>
      <c r="K70" s="728">
        <v>0</v>
      </c>
    </row>
    <row r="71" spans="1:11">
      <c r="A71" s="724" t="s">
        <v>560</v>
      </c>
      <c r="B71" s="725" t="s">
        <v>476</v>
      </c>
      <c r="C71" s="726">
        <v>4.9000000000000004</v>
      </c>
      <c r="D71" s="726">
        <v>6.8</v>
      </c>
      <c r="E71" s="726">
        <v>7.6</v>
      </c>
      <c r="F71" s="726" t="s">
        <v>476</v>
      </c>
      <c r="G71" s="726">
        <v>25.2</v>
      </c>
      <c r="H71" s="726">
        <v>7.9</v>
      </c>
      <c r="I71" s="726">
        <v>4.3</v>
      </c>
      <c r="J71" s="726">
        <v>20.9</v>
      </c>
      <c r="K71" s="728">
        <v>20.3</v>
      </c>
    </row>
    <row r="72" spans="1:11">
      <c r="A72" s="724" t="s">
        <v>787</v>
      </c>
      <c r="B72" s="725" t="s">
        <v>476</v>
      </c>
      <c r="C72" s="726">
        <v>4.0999999999999996</v>
      </c>
      <c r="D72" s="726">
        <v>5.0999999999999996</v>
      </c>
      <c r="E72" s="726">
        <v>5.4</v>
      </c>
      <c r="F72" s="726">
        <v>3</v>
      </c>
      <c r="G72" s="726">
        <v>4.8</v>
      </c>
      <c r="H72" s="726">
        <v>4.7</v>
      </c>
      <c r="I72" s="726">
        <v>4.5999999999999996</v>
      </c>
      <c r="J72" s="726">
        <v>7.3</v>
      </c>
      <c r="K72" s="728">
        <v>11.5</v>
      </c>
    </row>
    <row r="73" spans="1:11">
      <c r="A73" s="734" t="s">
        <v>788</v>
      </c>
      <c r="B73" s="734" t="s">
        <v>789</v>
      </c>
      <c r="C73" s="735"/>
      <c r="D73" s="735"/>
      <c r="E73" s="735"/>
      <c r="F73" s="735"/>
      <c r="G73" s="734" t="s">
        <v>364</v>
      </c>
      <c r="H73" s="734" t="s">
        <v>364</v>
      </c>
      <c r="I73" s="734" t="s">
        <v>364</v>
      </c>
      <c r="J73" s="734" t="s">
        <v>364</v>
      </c>
      <c r="K73" s="734" t="s">
        <v>364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E9A98-C546-47FB-8904-71A66AB81088}">
  <dimension ref="A1:N89"/>
  <sheetViews>
    <sheetView workbookViewId="0">
      <selection activeCell="N5" sqref="N5:O11"/>
    </sheetView>
  </sheetViews>
  <sheetFormatPr defaultColWidth="8.875" defaultRowHeight="14.1"/>
  <cols>
    <col min="1" max="1" width="30.625" customWidth="1"/>
  </cols>
  <sheetData>
    <row r="1" spans="1:14" ht="14.45">
      <c r="A1" s="709" t="s">
        <v>364</v>
      </c>
      <c r="B1" s="709" t="s">
        <v>364</v>
      </c>
      <c r="C1" s="709" t="s">
        <v>364</v>
      </c>
      <c r="D1" s="709" t="s">
        <v>364</v>
      </c>
      <c r="E1" s="709" t="s">
        <v>364</v>
      </c>
      <c r="F1" s="709" t="s">
        <v>364</v>
      </c>
      <c r="G1" s="709" t="s">
        <v>364</v>
      </c>
      <c r="H1" s="709" t="s">
        <v>364</v>
      </c>
      <c r="I1" s="709" t="s">
        <v>364</v>
      </c>
      <c r="J1" s="709" t="s">
        <v>364</v>
      </c>
      <c r="K1" s="709" t="s">
        <v>364</v>
      </c>
    </row>
    <row r="2" spans="1:14" ht="20.100000000000001">
      <c r="A2" s="710" t="s">
        <v>840</v>
      </c>
      <c r="B2" s="711"/>
      <c r="C2" s="711"/>
      <c r="D2" s="711"/>
      <c r="E2" s="710" t="s">
        <v>364</v>
      </c>
      <c r="F2" s="710" t="s">
        <v>364</v>
      </c>
      <c r="G2" s="710" t="s">
        <v>364</v>
      </c>
      <c r="H2" s="710" t="s">
        <v>364</v>
      </c>
      <c r="I2" s="710" t="s">
        <v>364</v>
      </c>
      <c r="J2" s="710" t="s">
        <v>364</v>
      </c>
      <c r="K2" s="710" t="s">
        <v>364</v>
      </c>
      <c r="L2" s="710" t="s">
        <v>364</v>
      </c>
    </row>
    <row r="3" spans="1:14">
      <c r="A3" s="712" t="s">
        <v>364</v>
      </c>
      <c r="B3" s="712" t="s">
        <v>364</v>
      </c>
      <c r="C3" s="712" t="s">
        <v>364</v>
      </c>
      <c r="D3" s="712" t="s">
        <v>364</v>
      </c>
      <c r="E3" s="712" t="s">
        <v>364</v>
      </c>
      <c r="F3" s="712" t="s">
        <v>364</v>
      </c>
      <c r="G3" s="712" t="s">
        <v>364</v>
      </c>
      <c r="H3" s="712" t="s">
        <v>364</v>
      </c>
      <c r="I3" s="712" t="s">
        <v>364</v>
      </c>
      <c r="J3" s="712" t="s">
        <v>364</v>
      </c>
      <c r="K3" s="712" t="s">
        <v>364</v>
      </c>
    </row>
    <row r="4" spans="1:14">
      <c r="A4" s="713" t="s">
        <v>735</v>
      </c>
      <c r="B4" s="714" t="s">
        <v>484</v>
      </c>
      <c r="C4" s="714" t="s">
        <v>485</v>
      </c>
      <c r="D4" s="714" t="s">
        <v>486</v>
      </c>
      <c r="E4" s="714" t="s">
        <v>487</v>
      </c>
      <c r="F4" s="714" t="s">
        <v>488</v>
      </c>
      <c r="G4" s="714" t="s">
        <v>489</v>
      </c>
      <c r="H4" s="714" t="s">
        <v>490</v>
      </c>
      <c r="I4" s="714" t="s">
        <v>491</v>
      </c>
      <c r="J4" s="714" t="s">
        <v>492</v>
      </c>
      <c r="K4" s="714" t="s">
        <v>493</v>
      </c>
    </row>
    <row r="5" spans="1:14">
      <c r="A5" s="715" t="s">
        <v>737</v>
      </c>
      <c r="B5" s="717">
        <v>42369</v>
      </c>
      <c r="C5" s="717">
        <v>42735</v>
      </c>
      <c r="D5" s="717">
        <v>43100</v>
      </c>
      <c r="E5" s="717">
        <v>43465</v>
      </c>
      <c r="F5" s="717">
        <v>43555</v>
      </c>
      <c r="G5" s="717">
        <v>43921</v>
      </c>
      <c r="H5" s="717">
        <v>44286</v>
      </c>
      <c r="I5" s="717">
        <v>44651</v>
      </c>
      <c r="J5" s="717">
        <v>45016</v>
      </c>
      <c r="K5" s="717">
        <v>45382</v>
      </c>
      <c r="N5" t="s">
        <v>841</v>
      </c>
    </row>
    <row r="6" spans="1:14">
      <c r="A6" s="718" t="s">
        <v>317</v>
      </c>
      <c r="B6" s="720" t="s">
        <v>364</v>
      </c>
      <c r="C6" s="720" t="s">
        <v>364</v>
      </c>
      <c r="D6" s="720" t="s">
        <v>364</v>
      </c>
      <c r="E6" s="720" t="s">
        <v>364</v>
      </c>
      <c r="F6" s="720" t="s">
        <v>364</v>
      </c>
      <c r="G6" s="720" t="s">
        <v>364</v>
      </c>
      <c r="H6" s="720" t="s">
        <v>364</v>
      </c>
      <c r="I6" s="720" t="s">
        <v>364</v>
      </c>
      <c r="J6" s="720" t="s">
        <v>364</v>
      </c>
      <c r="K6" s="720" t="s">
        <v>364</v>
      </c>
      <c r="N6">
        <f>K37+K48</f>
        <v>290.60000000000002</v>
      </c>
    </row>
    <row r="7" spans="1:14">
      <c r="A7" s="724" t="s">
        <v>842</v>
      </c>
      <c r="B7" s="725">
        <v>14</v>
      </c>
      <c r="C7" s="726">
        <v>15.3</v>
      </c>
      <c r="D7" s="726">
        <v>10.1</v>
      </c>
      <c r="E7" s="726">
        <v>51.2</v>
      </c>
      <c r="F7" s="726">
        <v>53.9</v>
      </c>
      <c r="G7" s="726">
        <v>46.2</v>
      </c>
      <c r="H7" s="726">
        <v>57.8</v>
      </c>
      <c r="I7" s="726">
        <v>43.4</v>
      </c>
      <c r="J7" s="726">
        <v>120.8</v>
      </c>
      <c r="K7" s="726">
        <v>108.2</v>
      </c>
    </row>
    <row r="8" spans="1:14">
      <c r="A8" s="724" t="s">
        <v>843</v>
      </c>
      <c r="B8" s="725">
        <v>14</v>
      </c>
      <c r="C8" s="726">
        <v>15.3</v>
      </c>
      <c r="D8" s="726">
        <v>10.1</v>
      </c>
      <c r="E8" s="726">
        <v>51.2</v>
      </c>
      <c r="F8" s="726">
        <v>53.9</v>
      </c>
      <c r="G8" s="726">
        <v>46.2</v>
      </c>
      <c r="H8" s="726">
        <v>57.8</v>
      </c>
      <c r="I8" s="726">
        <v>43.4</v>
      </c>
      <c r="J8" s="726">
        <v>120.8</v>
      </c>
      <c r="K8" s="726">
        <v>108.2</v>
      </c>
    </row>
    <row r="9" spans="1:14">
      <c r="A9" s="724" t="s">
        <v>844</v>
      </c>
      <c r="B9" s="725">
        <v>0</v>
      </c>
      <c r="C9" s="726">
        <v>0</v>
      </c>
      <c r="D9" s="726">
        <v>0</v>
      </c>
      <c r="E9" s="726">
        <v>0</v>
      </c>
      <c r="F9" s="726">
        <v>0</v>
      </c>
      <c r="G9" s="726">
        <v>0</v>
      </c>
      <c r="H9" s="726">
        <v>0</v>
      </c>
      <c r="I9" s="726">
        <v>0</v>
      </c>
      <c r="J9" s="726">
        <v>0</v>
      </c>
      <c r="K9" s="726">
        <v>0</v>
      </c>
    </row>
    <row r="10" spans="1:14">
      <c r="A10" s="724" t="s">
        <v>845</v>
      </c>
      <c r="B10" s="725">
        <v>22.5</v>
      </c>
      <c r="C10" s="726">
        <v>37.799999999999997</v>
      </c>
      <c r="D10" s="726">
        <v>44.6</v>
      </c>
      <c r="E10" s="726">
        <v>36.700000000000003</v>
      </c>
      <c r="F10" s="726">
        <v>32.299999999999997</v>
      </c>
      <c r="G10" s="726">
        <v>29.7</v>
      </c>
      <c r="H10" s="726">
        <v>40.200000000000003</v>
      </c>
      <c r="I10" s="726">
        <v>45.6</v>
      </c>
      <c r="J10" s="726">
        <v>67.900000000000006</v>
      </c>
      <c r="K10" s="726">
        <v>123.8</v>
      </c>
    </row>
    <row r="11" spans="1:14">
      <c r="A11" s="724" t="s">
        <v>846</v>
      </c>
      <c r="B11" s="725">
        <v>22.5</v>
      </c>
      <c r="C11" s="726">
        <v>37.799999999999997</v>
      </c>
      <c r="D11" s="726">
        <v>44.6</v>
      </c>
      <c r="E11" s="726">
        <v>36.700000000000003</v>
      </c>
      <c r="F11" s="726">
        <v>32.299999999999997</v>
      </c>
      <c r="G11" s="726">
        <v>29.7</v>
      </c>
      <c r="H11" s="726">
        <v>40.200000000000003</v>
      </c>
      <c r="I11" s="726">
        <v>45.6</v>
      </c>
      <c r="J11" s="726">
        <v>67.900000000000006</v>
      </c>
      <c r="K11" s="726">
        <v>123.8</v>
      </c>
    </row>
    <row r="12" spans="1:14">
      <c r="A12" s="724" t="s">
        <v>847</v>
      </c>
      <c r="B12" s="725" t="s">
        <v>476</v>
      </c>
      <c r="C12" s="726">
        <v>0</v>
      </c>
      <c r="D12" s="726">
        <v>0</v>
      </c>
      <c r="E12" s="726">
        <v>0</v>
      </c>
      <c r="F12" s="726">
        <v>0</v>
      </c>
      <c r="G12" s="726">
        <v>0</v>
      </c>
      <c r="H12" s="726">
        <v>0</v>
      </c>
      <c r="I12" s="726">
        <v>0</v>
      </c>
      <c r="J12" s="726">
        <v>0</v>
      </c>
      <c r="K12" s="726">
        <v>0</v>
      </c>
    </row>
    <row r="13" spans="1:14">
      <c r="A13" s="724" t="s">
        <v>848</v>
      </c>
      <c r="B13" s="725">
        <v>31.3</v>
      </c>
      <c r="C13" s="726">
        <v>69.400000000000006</v>
      </c>
      <c r="D13" s="726">
        <v>62.7</v>
      </c>
      <c r="E13" s="726">
        <v>46.3</v>
      </c>
      <c r="F13" s="726">
        <v>43.8</v>
      </c>
      <c r="G13" s="726">
        <v>46.2</v>
      </c>
      <c r="H13" s="726">
        <v>56.8</v>
      </c>
      <c r="I13" s="726">
        <v>84.5</v>
      </c>
      <c r="J13" s="726">
        <v>81.3</v>
      </c>
      <c r="K13" s="726">
        <v>191.5</v>
      </c>
    </row>
    <row r="14" spans="1:14">
      <c r="A14" s="724" t="s">
        <v>849</v>
      </c>
      <c r="B14" s="725">
        <v>3</v>
      </c>
      <c r="C14" s="726">
        <v>2.4</v>
      </c>
      <c r="D14" s="726">
        <v>6.3</v>
      </c>
      <c r="E14" s="726">
        <v>7.5</v>
      </c>
      <c r="F14" s="726">
        <v>7.3</v>
      </c>
      <c r="G14" s="726">
        <v>10.3</v>
      </c>
      <c r="H14" s="726">
        <v>15.4</v>
      </c>
      <c r="I14" s="726">
        <v>19.600000000000001</v>
      </c>
      <c r="J14" s="726">
        <v>33.299999999999997</v>
      </c>
      <c r="K14" s="726">
        <v>53.6</v>
      </c>
    </row>
    <row r="15" spans="1:14">
      <c r="A15" s="724" t="s">
        <v>850</v>
      </c>
      <c r="B15" s="725" t="s">
        <v>476</v>
      </c>
      <c r="C15" s="726">
        <v>0</v>
      </c>
      <c r="D15" s="726">
        <v>0</v>
      </c>
      <c r="E15" s="726">
        <v>0</v>
      </c>
      <c r="F15" s="726">
        <v>0</v>
      </c>
      <c r="G15" s="726">
        <v>0</v>
      </c>
      <c r="H15" s="726">
        <v>0</v>
      </c>
      <c r="I15" s="726">
        <v>0</v>
      </c>
      <c r="J15" s="726">
        <v>0</v>
      </c>
      <c r="K15" s="726">
        <v>0</v>
      </c>
    </row>
    <row r="16" spans="1:14">
      <c r="A16" s="724" t="s">
        <v>851</v>
      </c>
      <c r="B16" s="725" t="s">
        <v>476</v>
      </c>
      <c r="C16" s="726">
        <v>2.4</v>
      </c>
      <c r="D16" s="726">
        <v>6.3</v>
      </c>
      <c r="E16" s="726">
        <v>7.5</v>
      </c>
      <c r="F16" s="726">
        <v>7.3</v>
      </c>
      <c r="G16" s="726">
        <v>10.3</v>
      </c>
      <c r="H16" s="726">
        <v>15.4</v>
      </c>
      <c r="I16" s="726">
        <v>19.600000000000001</v>
      </c>
      <c r="J16" s="726">
        <v>33.299999999999997</v>
      </c>
      <c r="K16" s="726">
        <v>53.6</v>
      </c>
    </row>
    <row r="17" spans="1:11">
      <c r="A17" s="718" t="s">
        <v>852</v>
      </c>
      <c r="B17" s="719">
        <v>70.7</v>
      </c>
      <c r="C17" s="720">
        <v>124.9</v>
      </c>
      <c r="D17" s="720">
        <v>123.6</v>
      </c>
      <c r="E17" s="720">
        <v>141.69999999999999</v>
      </c>
      <c r="F17" s="720">
        <v>137.30000000000001</v>
      </c>
      <c r="G17" s="720">
        <v>132.4</v>
      </c>
      <c r="H17" s="720">
        <v>170.1</v>
      </c>
      <c r="I17" s="720">
        <v>193</v>
      </c>
      <c r="J17" s="720">
        <v>303.3</v>
      </c>
      <c r="K17" s="720">
        <v>477.1</v>
      </c>
    </row>
    <row r="18" spans="1:11">
      <c r="A18" s="724" t="s">
        <v>853</v>
      </c>
      <c r="B18" s="725">
        <v>9.9</v>
      </c>
      <c r="C18" s="726">
        <v>17.2</v>
      </c>
      <c r="D18" s="726">
        <v>18</v>
      </c>
      <c r="E18" s="726">
        <v>21.8</v>
      </c>
      <c r="F18" s="726">
        <v>16</v>
      </c>
      <c r="G18" s="726">
        <v>17.2</v>
      </c>
      <c r="H18" s="726">
        <v>36.5</v>
      </c>
      <c r="I18" s="726">
        <v>28.8</v>
      </c>
      <c r="J18" s="726">
        <v>21.9</v>
      </c>
      <c r="K18" s="726">
        <v>41.4</v>
      </c>
    </row>
    <row r="19" spans="1:11">
      <c r="A19" s="724" t="s">
        <v>854</v>
      </c>
      <c r="B19" s="725" t="s">
        <v>476</v>
      </c>
      <c r="C19" s="726">
        <v>23.3</v>
      </c>
      <c r="D19" s="726">
        <v>29.1</v>
      </c>
      <c r="E19" s="726">
        <v>39.1</v>
      </c>
      <c r="F19" s="726" t="s">
        <v>476</v>
      </c>
      <c r="G19" s="726">
        <v>29.8</v>
      </c>
      <c r="H19" s="726">
        <v>53.9</v>
      </c>
      <c r="I19" s="726">
        <v>53.3</v>
      </c>
      <c r="J19" s="726">
        <v>45.9</v>
      </c>
      <c r="K19" s="726">
        <v>66.3</v>
      </c>
    </row>
    <row r="20" spans="1:11">
      <c r="A20" s="724" t="s">
        <v>855</v>
      </c>
      <c r="B20" s="725" t="s">
        <v>476</v>
      </c>
      <c r="C20" s="726">
        <v>6.1</v>
      </c>
      <c r="D20" s="726">
        <v>11.1</v>
      </c>
      <c r="E20" s="726">
        <v>17.3</v>
      </c>
      <c r="F20" s="726" t="s">
        <v>476</v>
      </c>
      <c r="G20" s="726">
        <v>12.6</v>
      </c>
      <c r="H20" s="726">
        <v>17.5</v>
      </c>
      <c r="I20" s="726">
        <v>24.5</v>
      </c>
      <c r="J20" s="726">
        <v>24</v>
      </c>
      <c r="K20" s="726">
        <v>24.9</v>
      </c>
    </row>
    <row r="21" spans="1:11">
      <c r="A21" s="724" t="s">
        <v>856</v>
      </c>
      <c r="B21" s="725">
        <v>0</v>
      </c>
      <c r="C21" s="726">
        <v>0</v>
      </c>
      <c r="D21" s="726">
        <v>2.9</v>
      </c>
      <c r="E21" s="726">
        <v>2.9</v>
      </c>
      <c r="F21" s="726">
        <v>2.9</v>
      </c>
      <c r="G21" s="726">
        <v>2.9</v>
      </c>
      <c r="H21" s="726">
        <v>2.9</v>
      </c>
      <c r="I21" s="726">
        <v>2.9</v>
      </c>
      <c r="J21" s="726">
        <v>2.9</v>
      </c>
      <c r="K21" s="726">
        <v>0</v>
      </c>
    </row>
    <row r="22" spans="1:11">
      <c r="A22" s="724" t="s">
        <v>857</v>
      </c>
      <c r="B22" s="725" t="s">
        <v>476</v>
      </c>
      <c r="C22" s="726" t="s">
        <v>476</v>
      </c>
      <c r="D22" s="726">
        <v>2.9</v>
      </c>
      <c r="E22" s="726">
        <v>2.9</v>
      </c>
      <c r="F22" s="726">
        <v>2.9</v>
      </c>
      <c r="G22" s="726">
        <v>2.9</v>
      </c>
      <c r="H22" s="726">
        <v>2.9</v>
      </c>
      <c r="I22" s="726">
        <v>2.9</v>
      </c>
      <c r="J22" s="726">
        <v>2.9</v>
      </c>
      <c r="K22" s="726">
        <v>0</v>
      </c>
    </row>
    <row r="23" spans="1:11">
      <c r="A23" s="724" t="s">
        <v>858</v>
      </c>
      <c r="B23" s="725">
        <v>280.5</v>
      </c>
      <c r="C23" s="726">
        <v>272.7</v>
      </c>
      <c r="D23" s="726">
        <v>272.7</v>
      </c>
      <c r="E23" s="726">
        <v>269.39999999999998</v>
      </c>
      <c r="F23" s="726">
        <v>275.5</v>
      </c>
      <c r="G23" s="726">
        <v>300.7</v>
      </c>
      <c r="H23" s="726">
        <v>277.89999999999998</v>
      </c>
      <c r="I23" s="726">
        <v>269.89999999999998</v>
      </c>
      <c r="J23" s="726">
        <v>267.5</v>
      </c>
      <c r="K23" s="726">
        <v>610.79999999999995</v>
      </c>
    </row>
    <row r="24" spans="1:11">
      <c r="A24" s="724" t="s">
        <v>859</v>
      </c>
      <c r="B24" s="725">
        <v>278.5</v>
      </c>
      <c r="C24" s="726">
        <v>270.3</v>
      </c>
      <c r="D24" s="726">
        <v>263.10000000000002</v>
      </c>
      <c r="E24" s="726">
        <v>256</v>
      </c>
      <c r="F24" s="726">
        <v>254.3</v>
      </c>
      <c r="G24" s="726">
        <v>273.7</v>
      </c>
      <c r="H24" s="726">
        <v>265.89999999999998</v>
      </c>
      <c r="I24" s="726">
        <v>257.8</v>
      </c>
      <c r="J24" s="726">
        <v>249.7</v>
      </c>
      <c r="K24" s="726">
        <v>565.70000000000005</v>
      </c>
    </row>
    <row r="25" spans="1:11">
      <c r="A25" s="730" t="s">
        <v>860</v>
      </c>
      <c r="B25" s="731">
        <v>157.30000000000001</v>
      </c>
      <c r="C25" s="732">
        <v>157.30000000000001</v>
      </c>
      <c r="D25" s="732">
        <v>157.30000000000001</v>
      </c>
      <c r="E25" s="732">
        <v>157.30000000000001</v>
      </c>
      <c r="F25" s="732">
        <v>157.30000000000001</v>
      </c>
      <c r="G25" s="732">
        <v>171.3</v>
      </c>
      <c r="H25" s="732">
        <v>171.6</v>
      </c>
      <c r="I25" s="732">
        <v>171.6</v>
      </c>
      <c r="J25" s="732">
        <v>171.6</v>
      </c>
      <c r="K25" s="732">
        <v>340.6</v>
      </c>
    </row>
    <row r="26" spans="1:11">
      <c r="A26" s="730" t="s">
        <v>861</v>
      </c>
      <c r="B26" s="731">
        <v>121.3</v>
      </c>
      <c r="C26" s="732">
        <v>113</v>
      </c>
      <c r="D26" s="732">
        <v>105.9</v>
      </c>
      <c r="E26" s="732">
        <v>98.8</v>
      </c>
      <c r="F26" s="732">
        <v>97.1</v>
      </c>
      <c r="G26" s="732">
        <v>102.4</v>
      </c>
      <c r="H26" s="732">
        <v>94.3</v>
      </c>
      <c r="I26" s="732">
        <v>86.2</v>
      </c>
      <c r="J26" s="732">
        <v>78</v>
      </c>
      <c r="K26" s="732">
        <v>225.1</v>
      </c>
    </row>
    <row r="27" spans="1:11">
      <c r="A27" s="724" t="s">
        <v>862</v>
      </c>
      <c r="B27" s="725" t="s">
        <v>476</v>
      </c>
      <c r="C27" s="726">
        <v>0</v>
      </c>
      <c r="D27" s="726">
        <v>0.2</v>
      </c>
      <c r="E27" s="726">
        <v>0.1</v>
      </c>
      <c r="F27" s="726">
        <v>0</v>
      </c>
      <c r="G27" s="726">
        <v>0</v>
      </c>
      <c r="H27" s="726">
        <v>0</v>
      </c>
      <c r="I27" s="726">
        <v>0</v>
      </c>
      <c r="J27" s="726">
        <v>0</v>
      </c>
      <c r="K27" s="726" t="s">
        <v>476</v>
      </c>
    </row>
    <row r="28" spans="1:11">
      <c r="A28" s="724" t="s">
        <v>850</v>
      </c>
      <c r="B28" s="725" t="s">
        <v>476</v>
      </c>
      <c r="C28" s="726">
        <v>0</v>
      </c>
      <c r="D28" s="726">
        <v>0</v>
      </c>
      <c r="E28" s="726">
        <v>0</v>
      </c>
      <c r="F28" s="726">
        <v>0</v>
      </c>
      <c r="G28" s="726">
        <v>0</v>
      </c>
      <c r="H28" s="726">
        <v>0</v>
      </c>
      <c r="I28" s="726">
        <v>0</v>
      </c>
      <c r="J28" s="726">
        <v>0</v>
      </c>
      <c r="K28" s="726">
        <v>0</v>
      </c>
    </row>
    <row r="29" spans="1:11">
      <c r="A29" s="724" t="s">
        <v>863</v>
      </c>
      <c r="B29" s="725">
        <v>2</v>
      </c>
      <c r="C29" s="726">
        <v>2.4</v>
      </c>
      <c r="D29" s="726">
        <v>9.3000000000000007</v>
      </c>
      <c r="E29" s="726">
        <v>13.3</v>
      </c>
      <c r="F29" s="726">
        <v>21.2</v>
      </c>
      <c r="G29" s="726">
        <v>27</v>
      </c>
      <c r="H29" s="726">
        <v>12</v>
      </c>
      <c r="I29" s="726">
        <v>12.2</v>
      </c>
      <c r="J29" s="726">
        <v>17.8</v>
      </c>
      <c r="K29" s="726">
        <v>45.1</v>
      </c>
    </row>
    <row r="30" spans="1:11">
      <c r="A30" s="718" t="s">
        <v>864</v>
      </c>
      <c r="B30" s="719">
        <v>290.39999999999998</v>
      </c>
      <c r="C30" s="720">
        <v>289.8</v>
      </c>
      <c r="D30" s="720">
        <v>293.60000000000002</v>
      </c>
      <c r="E30" s="720">
        <v>294.10000000000002</v>
      </c>
      <c r="F30" s="720">
        <v>294.39999999999998</v>
      </c>
      <c r="G30" s="720">
        <v>320.7</v>
      </c>
      <c r="H30" s="720">
        <v>317.2</v>
      </c>
      <c r="I30" s="720">
        <v>301.60000000000002</v>
      </c>
      <c r="J30" s="720">
        <v>292.3</v>
      </c>
      <c r="K30" s="720">
        <v>652.20000000000005</v>
      </c>
    </row>
    <row r="31" spans="1:11">
      <c r="A31" s="718" t="s">
        <v>317</v>
      </c>
      <c r="B31" s="719">
        <v>361.1</v>
      </c>
      <c r="C31" s="720">
        <v>414.7</v>
      </c>
      <c r="D31" s="720">
        <v>417.2</v>
      </c>
      <c r="E31" s="720">
        <v>435.9</v>
      </c>
      <c r="F31" s="720">
        <v>431.7</v>
      </c>
      <c r="G31" s="720">
        <v>453.1</v>
      </c>
      <c r="H31" s="720">
        <v>487.4</v>
      </c>
      <c r="I31" s="720">
        <v>494.6</v>
      </c>
      <c r="J31" s="720">
        <v>595.6</v>
      </c>
      <c r="K31" s="721">
        <v>1129.2</v>
      </c>
    </row>
    <row r="32" spans="1:11">
      <c r="A32" s="718" t="s">
        <v>364</v>
      </c>
      <c r="B32" s="720" t="s">
        <v>364</v>
      </c>
      <c r="C32" s="720" t="s">
        <v>364</v>
      </c>
      <c r="D32" s="720" t="s">
        <v>364</v>
      </c>
      <c r="E32" s="720" t="s">
        <v>364</v>
      </c>
      <c r="F32" s="720" t="s">
        <v>364</v>
      </c>
      <c r="G32" s="720" t="s">
        <v>364</v>
      </c>
      <c r="H32" s="720" t="s">
        <v>364</v>
      </c>
      <c r="I32" s="720" t="s">
        <v>364</v>
      </c>
      <c r="J32" s="720" t="s">
        <v>364</v>
      </c>
      <c r="K32" s="720" t="s">
        <v>364</v>
      </c>
    </row>
    <row r="33" spans="1:11">
      <c r="A33" s="718" t="s">
        <v>865</v>
      </c>
      <c r="B33" s="720" t="s">
        <v>364</v>
      </c>
      <c r="C33" s="720" t="s">
        <v>364</v>
      </c>
      <c r="D33" s="720" t="s">
        <v>364</v>
      </c>
      <c r="E33" s="720" t="s">
        <v>364</v>
      </c>
      <c r="F33" s="720" t="s">
        <v>364</v>
      </c>
      <c r="G33" s="720" t="s">
        <v>364</v>
      </c>
      <c r="H33" s="720" t="s">
        <v>364</v>
      </c>
      <c r="I33" s="720" t="s">
        <v>364</v>
      </c>
      <c r="J33" s="720" t="s">
        <v>364</v>
      </c>
      <c r="K33" s="720" t="s">
        <v>364</v>
      </c>
    </row>
    <row r="34" spans="1:11">
      <c r="A34" s="724" t="s">
        <v>866</v>
      </c>
      <c r="B34" s="725">
        <v>11.1</v>
      </c>
      <c r="C34" s="726">
        <v>71.599999999999994</v>
      </c>
      <c r="D34" s="726">
        <v>42.7</v>
      </c>
      <c r="E34" s="726">
        <v>33.200000000000003</v>
      </c>
      <c r="F34" s="726">
        <v>30.7</v>
      </c>
      <c r="G34" s="726">
        <v>35.5</v>
      </c>
      <c r="H34" s="726">
        <v>52.8</v>
      </c>
      <c r="I34" s="726">
        <v>54.8</v>
      </c>
      <c r="J34" s="726">
        <v>97.9</v>
      </c>
      <c r="K34" s="726">
        <v>191.8</v>
      </c>
    </row>
    <row r="35" spans="1:11">
      <c r="A35" s="724" t="s">
        <v>867</v>
      </c>
      <c r="B35" s="725">
        <v>11.1</v>
      </c>
      <c r="C35" s="726">
        <v>37.9</v>
      </c>
      <c r="D35" s="726">
        <v>26.8</v>
      </c>
      <c r="E35" s="726">
        <v>20.5</v>
      </c>
      <c r="F35" s="726">
        <v>16.3</v>
      </c>
      <c r="G35" s="726">
        <v>12.4</v>
      </c>
      <c r="H35" s="726">
        <v>15.7</v>
      </c>
      <c r="I35" s="726">
        <v>19.2</v>
      </c>
      <c r="J35" s="726">
        <v>31.4</v>
      </c>
      <c r="K35" s="726">
        <v>81.099999999999994</v>
      </c>
    </row>
    <row r="36" spans="1:11">
      <c r="A36" s="724" t="s">
        <v>868</v>
      </c>
      <c r="B36" s="725" t="s">
        <v>476</v>
      </c>
      <c r="C36" s="726">
        <v>33.700000000000003</v>
      </c>
      <c r="D36" s="726">
        <v>15.9</v>
      </c>
      <c r="E36" s="726">
        <v>12.7</v>
      </c>
      <c r="F36" s="726">
        <v>14.4</v>
      </c>
      <c r="G36" s="726">
        <v>23.1</v>
      </c>
      <c r="H36" s="726">
        <v>37.1</v>
      </c>
      <c r="I36" s="726">
        <v>35.6</v>
      </c>
      <c r="J36" s="726">
        <v>66.5</v>
      </c>
      <c r="K36" s="726">
        <v>110.7</v>
      </c>
    </row>
    <row r="37" spans="1:11">
      <c r="A37" s="724" t="s">
        <v>869</v>
      </c>
      <c r="B37" s="725">
        <v>10.3</v>
      </c>
      <c r="C37" s="726">
        <v>8.6999999999999993</v>
      </c>
      <c r="D37" s="726">
        <v>8.6</v>
      </c>
      <c r="E37" s="726">
        <v>9.9</v>
      </c>
      <c r="F37" s="726">
        <v>14.4</v>
      </c>
      <c r="G37" s="726">
        <v>15.7</v>
      </c>
      <c r="H37" s="726">
        <v>20.6</v>
      </c>
      <c r="I37" s="726">
        <v>10.199999999999999</v>
      </c>
      <c r="J37" s="726">
        <v>10.1</v>
      </c>
      <c r="K37" s="726">
        <v>107.3</v>
      </c>
    </row>
    <row r="38" spans="1:11">
      <c r="A38" s="724" t="s">
        <v>870</v>
      </c>
      <c r="B38" s="725" t="s">
        <v>476</v>
      </c>
      <c r="C38" s="726">
        <v>0</v>
      </c>
      <c r="D38" s="726">
        <v>0</v>
      </c>
      <c r="E38" s="726">
        <v>0</v>
      </c>
      <c r="F38" s="726">
        <v>0</v>
      </c>
      <c r="G38" s="726">
        <v>0</v>
      </c>
      <c r="H38" s="726">
        <v>0</v>
      </c>
      <c r="I38" s="726">
        <v>0</v>
      </c>
      <c r="J38" s="726">
        <v>0</v>
      </c>
      <c r="K38" s="726">
        <v>0</v>
      </c>
    </row>
    <row r="39" spans="1:11">
      <c r="A39" s="724" t="s">
        <v>871</v>
      </c>
      <c r="B39" s="725" t="s">
        <v>476</v>
      </c>
      <c r="C39" s="726" t="s">
        <v>476</v>
      </c>
      <c r="D39" s="726" t="s">
        <v>476</v>
      </c>
      <c r="E39" s="726" t="s">
        <v>476</v>
      </c>
      <c r="F39" s="726">
        <v>4.9000000000000004</v>
      </c>
      <c r="G39" s="726">
        <v>3.9</v>
      </c>
      <c r="H39" s="726">
        <v>5.0999999999999996</v>
      </c>
      <c r="I39" s="726">
        <v>4.4000000000000004</v>
      </c>
      <c r="J39" s="726">
        <v>4.5</v>
      </c>
      <c r="K39" s="726">
        <v>7</v>
      </c>
    </row>
    <row r="40" spans="1:11">
      <c r="A40" s="730" t="s">
        <v>872</v>
      </c>
      <c r="B40" s="731" t="s">
        <v>476</v>
      </c>
      <c r="C40" s="732" t="s">
        <v>476</v>
      </c>
      <c r="D40" s="732" t="s">
        <v>476</v>
      </c>
      <c r="E40" s="732" t="s">
        <v>476</v>
      </c>
      <c r="F40" s="732">
        <v>0.8</v>
      </c>
      <c r="G40" s="732">
        <v>0.8</v>
      </c>
      <c r="H40" s="732">
        <v>0.8</v>
      </c>
      <c r="I40" s="732" t="s">
        <v>476</v>
      </c>
      <c r="J40" s="732" t="s">
        <v>476</v>
      </c>
      <c r="K40" s="732" t="s">
        <v>476</v>
      </c>
    </row>
    <row r="41" spans="1:11">
      <c r="A41" s="730" t="s">
        <v>873</v>
      </c>
      <c r="B41" s="731" t="s">
        <v>476</v>
      </c>
      <c r="C41" s="732" t="s">
        <v>476</v>
      </c>
      <c r="D41" s="732" t="s">
        <v>476</v>
      </c>
      <c r="E41" s="732" t="s">
        <v>476</v>
      </c>
      <c r="F41" s="732">
        <v>4.2</v>
      </c>
      <c r="G41" s="732">
        <v>3.1</v>
      </c>
      <c r="H41" s="732">
        <v>4.3</v>
      </c>
      <c r="I41" s="732">
        <v>4.4000000000000004</v>
      </c>
      <c r="J41" s="732">
        <v>4.5</v>
      </c>
      <c r="K41" s="732">
        <v>7</v>
      </c>
    </row>
    <row r="42" spans="1:11">
      <c r="A42" s="724" t="s">
        <v>874</v>
      </c>
      <c r="B42" s="725" t="s">
        <v>476</v>
      </c>
      <c r="C42" s="726">
        <v>8.6999999999999993</v>
      </c>
      <c r="D42" s="726">
        <v>8.6</v>
      </c>
      <c r="E42" s="726">
        <v>9.9</v>
      </c>
      <c r="F42" s="726">
        <v>9.5</v>
      </c>
      <c r="G42" s="726">
        <v>11.8</v>
      </c>
      <c r="H42" s="726">
        <v>15.5</v>
      </c>
      <c r="I42" s="726">
        <v>5.8</v>
      </c>
      <c r="J42" s="726">
        <v>5.6</v>
      </c>
      <c r="K42" s="726">
        <v>100.3</v>
      </c>
    </row>
    <row r="43" spans="1:11">
      <c r="A43" s="724" t="s">
        <v>875</v>
      </c>
      <c r="B43" s="725">
        <v>24.4</v>
      </c>
      <c r="C43" s="726">
        <v>0</v>
      </c>
      <c r="D43" s="726">
        <v>0</v>
      </c>
      <c r="E43" s="726">
        <v>0</v>
      </c>
      <c r="F43" s="726">
        <v>0</v>
      </c>
      <c r="G43" s="726">
        <v>0</v>
      </c>
      <c r="H43" s="726">
        <v>0</v>
      </c>
      <c r="I43" s="726">
        <v>0</v>
      </c>
      <c r="J43" s="726">
        <v>0</v>
      </c>
      <c r="K43" s="726">
        <v>0</v>
      </c>
    </row>
    <row r="44" spans="1:11">
      <c r="A44" s="724" t="s">
        <v>876</v>
      </c>
      <c r="B44" s="725" t="s">
        <v>476</v>
      </c>
      <c r="C44" s="726">
        <v>0</v>
      </c>
      <c r="D44" s="726">
        <v>0</v>
      </c>
      <c r="E44" s="726">
        <v>0</v>
      </c>
      <c r="F44" s="726">
        <v>0</v>
      </c>
      <c r="G44" s="726">
        <v>0</v>
      </c>
      <c r="H44" s="726">
        <v>0</v>
      </c>
      <c r="I44" s="726">
        <v>0</v>
      </c>
      <c r="J44" s="726">
        <v>0</v>
      </c>
      <c r="K44" s="726">
        <v>0</v>
      </c>
    </row>
    <row r="45" spans="1:11">
      <c r="A45" s="724" t="s">
        <v>877</v>
      </c>
      <c r="B45" s="725" t="s">
        <v>476</v>
      </c>
      <c r="C45" s="726">
        <v>0</v>
      </c>
      <c r="D45" s="726">
        <v>0</v>
      </c>
      <c r="E45" s="726">
        <v>0</v>
      </c>
      <c r="F45" s="726">
        <v>0</v>
      </c>
      <c r="G45" s="726">
        <v>0</v>
      </c>
      <c r="H45" s="726">
        <v>0</v>
      </c>
      <c r="I45" s="726">
        <v>0</v>
      </c>
      <c r="J45" s="726">
        <v>0</v>
      </c>
      <c r="K45" s="726">
        <v>0</v>
      </c>
    </row>
    <row r="46" spans="1:11">
      <c r="A46" s="724" t="s">
        <v>878</v>
      </c>
      <c r="B46" s="725">
        <v>24.4</v>
      </c>
      <c r="C46" s="726">
        <v>0</v>
      </c>
      <c r="D46" s="726">
        <v>0</v>
      </c>
      <c r="E46" s="726">
        <v>0</v>
      </c>
      <c r="F46" s="726">
        <v>0</v>
      </c>
      <c r="G46" s="726">
        <v>0</v>
      </c>
      <c r="H46" s="726">
        <v>0</v>
      </c>
      <c r="I46" s="726">
        <v>0</v>
      </c>
      <c r="J46" s="726">
        <v>0</v>
      </c>
      <c r="K46" s="726">
        <v>0</v>
      </c>
    </row>
    <row r="47" spans="1:11">
      <c r="A47" s="718" t="s">
        <v>879</v>
      </c>
      <c r="B47" s="719">
        <v>45.9</v>
      </c>
      <c r="C47" s="720">
        <v>80.3</v>
      </c>
      <c r="D47" s="720">
        <v>51.4</v>
      </c>
      <c r="E47" s="720">
        <v>43</v>
      </c>
      <c r="F47" s="720">
        <v>45.1</v>
      </c>
      <c r="G47" s="720">
        <v>51.1</v>
      </c>
      <c r="H47" s="720">
        <v>73.3</v>
      </c>
      <c r="I47" s="720">
        <v>65</v>
      </c>
      <c r="J47" s="720">
        <v>108</v>
      </c>
      <c r="K47" s="720">
        <v>299.10000000000002</v>
      </c>
    </row>
    <row r="48" spans="1:11">
      <c r="A48" s="724" t="s">
        <v>880</v>
      </c>
      <c r="B48" s="725">
        <v>134.6</v>
      </c>
      <c r="C48" s="726">
        <v>156.19999999999999</v>
      </c>
      <c r="D48" s="726">
        <v>147.69999999999999</v>
      </c>
      <c r="E48" s="726">
        <v>140.5</v>
      </c>
      <c r="F48" s="726">
        <v>153.9</v>
      </c>
      <c r="G48" s="726">
        <v>137.30000000000001</v>
      </c>
      <c r="H48" s="726">
        <v>130.30000000000001</v>
      </c>
      <c r="I48" s="726">
        <v>106.8</v>
      </c>
      <c r="J48" s="726">
        <v>72.099999999999994</v>
      </c>
      <c r="K48" s="726">
        <v>183.3</v>
      </c>
    </row>
    <row r="49" spans="1:11">
      <c r="A49" s="724" t="s">
        <v>881</v>
      </c>
      <c r="B49" s="725">
        <v>0</v>
      </c>
      <c r="C49" s="726">
        <v>0</v>
      </c>
      <c r="D49" s="726">
        <v>0</v>
      </c>
      <c r="E49" s="726">
        <v>0</v>
      </c>
      <c r="F49" s="726">
        <v>135</v>
      </c>
      <c r="G49" s="726">
        <v>123.9</v>
      </c>
      <c r="H49" s="726">
        <v>108.9</v>
      </c>
      <c r="I49" s="726">
        <v>89.7</v>
      </c>
      <c r="J49" s="726">
        <v>60.2</v>
      </c>
      <c r="K49" s="726">
        <v>161.80000000000001</v>
      </c>
    </row>
    <row r="50" spans="1:11">
      <c r="A50" s="724" t="s">
        <v>882</v>
      </c>
      <c r="B50" s="725">
        <v>134.6</v>
      </c>
      <c r="C50" s="726">
        <v>156.19999999999999</v>
      </c>
      <c r="D50" s="726">
        <v>147.69999999999999</v>
      </c>
      <c r="E50" s="726">
        <v>140.5</v>
      </c>
      <c r="F50" s="726">
        <v>18.899999999999999</v>
      </c>
      <c r="G50" s="726">
        <v>13.4</v>
      </c>
      <c r="H50" s="726">
        <v>21.5</v>
      </c>
      <c r="I50" s="726">
        <v>17.2</v>
      </c>
      <c r="J50" s="726">
        <v>11.8</v>
      </c>
      <c r="K50" s="726">
        <v>21.5</v>
      </c>
    </row>
    <row r="51" spans="1:11">
      <c r="A51" s="730" t="s">
        <v>883</v>
      </c>
      <c r="B51" s="731">
        <v>134.6</v>
      </c>
      <c r="C51" s="732">
        <v>156.19999999999999</v>
      </c>
      <c r="D51" s="732">
        <v>147.69999999999999</v>
      </c>
      <c r="E51" s="732">
        <v>140.5</v>
      </c>
      <c r="F51" s="732">
        <v>3</v>
      </c>
      <c r="G51" s="732">
        <v>2.2000000000000002</v>
      </c>
      <c r="H51" s="732">
        <v>1.4</v>
      </c>
      <c r="I51" s="732">
        <v>1.4</v>
      </c>
      <c r="J51" s="732">
        <v>0.6</v>
      </c>
      <c r="K51" s="732">
        <v>0.1</v>
      </c>
    </row>
    <row r="52" spans="1:11">
      <c r="A52" s="730" t="s">
        <v>884</v>
      </c>
      <c r="B52" s="731" t="s">
        <v>476</v>
      </c>
      <c r="C52" s="732" t="s">
        <v>476</v>
      </c>
      <c r="D52" s="732" t="s">
        <v>476</v>
      </c>
      <c r="E52" s="732" t="s">
        <v>476</v>
      </c>
      <c r="F52" s="732">
        <v>15.9</v>
      </c>
      <c r="G52" s="732">
        <v>11.2</v>
      </c>
      <c r="H52" s="732">
        <v>20.100000000000001</v>
      </c>
      <c r="I52" s="732">
        <v>15.7</v>
      </c>
      <c r="J52" s="732">
        <v>11.2</v>
      </c>
      <c r="K52" s="732">
        <v>21.5</v>
      </c>
    </row>
    <row r="53" spans="1:11">
      <c r="A53" s="724" t="s">
        <v>885</v>
      </c>
      <c r="B53" s="725">
        <v>43.7</v>
      </c>
      <c r="C53" s="726">
        <v>37.4</v>
      </c>
      <c r="D53" s="726">
        <v>24.3</v>
      </c>
      <c r="E53" s="726">
        <v>23</v>
      </c>
      <c r="F53" s="726">
        <v>17.399999999999999</v>
      </c>
      <c r="G53" s="726">
        <v>22.5</v>
      </c>
      <c r="H53" s="726">
        <v>14.1</v>
      </c>
      <c r="I53" s="726">
        <v>10.4</v>
      </c>
      <c r="J53" s="726">
        <v>4.5</v>
      </c>
      <c r="K53" s="726">
        <v>4.3</v>
      </c>
    </row>
    <row r="54" spans="1:11">
      <c r="A54" s="724" t="s">
        <v>886</v>
      </c>
      <c r="B54" s="725" t="s">
        <v>476</v>
      </c>
      <c r="C54" s="726">
        <v>0</v>
      </c>
      <c r="D54" s="726">
        <v>0</v>
      </c>
      <c r="E54" s="726">
        <v>0</v>
      </c>
      <c r="F54" s="726">
        <v>0</v>
      </c>
      <c r="G54" s="726">
        <v>0</v>
      </c>
      <c r="H54" s="726">
        <v>0</v>
      </c>
      <c r="I54" s="726">
        <v>0</v>
      </c>
      <c r="J54" s="726">
        <v>0</v>
      </c>
      <c r="K54" s="726">
        <v>0</v>
      </c>
    </row>
    <row r="55" spans="1:11">
      <c r="A55" s="724" t="s">
        <v>887</v>
      </c>
      <c r="B55" s="725" t="s">
        <v>476</v>
      </c>
      <c r="C55" s="726">
        <v>0</v>
      </c>
      <c r="D55" s="726">
        <v>0</v>
      </c>
      <c r="E55" s="726">
        <v>0</v>
      </c>
      <c r="F55" s="726" t="s">
        <v>476</v>
      </c>
      <c r="G55" s="726" t="s">
        <v>476</v>
      </c>
      <c r="H55" s="726" t="s">
        <v>476</v>
      </c>
      <c r="I55" s="726" t="s">
        <v>476</v>
      </c>
      <c r="J55" s="726" t="s">
        <v>476</v>
      </c>
      <c r="K55" s="726" t="s">
        <v>476</v>
      </c>
    </row>
    <row r="56" spans="1:11">
      <c r="A56" s="724" t="s">
        <v>876</v>
      </c>
      <c r="B56" s="725" t="s">
        <v>476</v>
      </c>
      <c r="C56" s="726">
        <v>0</v>
      </c>
      <c r="D56" s="726">
        <v>0</v>
      </c>
      <c r="E56" s="726">
        <v>0</v>
      </c>
      <c r="F56" s="726">
        <v>0</v>
      </c>
      <c r="G56" s="726">
        <v>0</v>
      </c>
      <c r="H56" s="726">
        <v>0</v>
      </c>
      <c r="I56" s="726">
        <v>0</v>
      </c>
      <c r="J56" s="726">
        <v>0</v>
      </c>
      <c r="K56" s="726">
        <v>0</v>
      </c>
    </row>
    <row r="57" spans="1:11">
      <c r="A57" s="724" t="s">
        <v>888</v>
      </c>
      <c r="B57" s="725" t="s">
        <v>476</v>
      </c>
      <c r="C57" s="726">
        <v>34.200000000000003</v>
      </c>
      <c r="D57" s="726">
        <v>21.3</v>
      </c>
      <c r="E57" s="726">
        <v>20.2</v>
      </c>
      <c r="F57" s="726">
        <v>16.8</v>
      </c>
      <c r="G57" s="726">
        <v>21.9</v>
      </c>
      <c r="H57" s="726">
        <v>13.5</v>
      </c>
      <c r="I57" s="726">
        <v>9.6</v>
      </c>
      <c r="J57" s="726">
        <v>3.7</v>
      </c>
      <c r="K57" s="726">
        <v>3.7</v>
      </c>
    </row>
    <row r="58" spans="1:11">
      <c r="A58" s="724" t="s">
        <v>877</v>
      </c>
      <c r="B58" s="725" t="s">
        <v>476</v>
      </c>
      <c r="C58" s="726">
        <v>0</v>
      </c>
      <c r="D58" s="726">
        <v>0</v>
      </c>
      <c r="E58" s="726">
        <v>0</v>
      </c>
      <c r="F58" s="726">
        <v>0</v>
      </c>
      <c r="G58" s="726">
        <v>0</v>
      </c>
      <c r="H58" s="726">
        <v>0</v>
      </c>
      <c r="I58" s="726">
        <v>0</v>
      </c>
      <c r="J58" s="726">
        <v>0</v>
      </c>
      <c r="K58" s="726">
        <v>0</v>
      </c>
    </row>
    <row r="59" spans="1:11">
      <c r="A59" s="724" t="s">
        <v>889</v>
      </c>
      <c r="B59" s="725">
        <v>43.7</v>
      </c>
      <c r="C59" s="726">
        <v>3.2</v>
      </c>
      <c r="D59" s="726">
        <v>3</v>
      </c>
      <c r="E59" s="726">
        <v>2.8</v>
      </c>
      <c r="F59" s="726">
        <v>0.7</v>
      </c>
      <c r="G59" s="726">
        <v>0.6</v>
      </c>
      <c r="H59" s="726">
        <v>0.6</v>
      </c>
      <c r="I59" s="726">
        <v>0.8</v>
      </c>
      <c r="J59" s="726">
        <v>0.8</v>
      </c>
      <c r="K59" s="726">
        <v>0.6</v>
      </c>
    </row>
    <row r="60" spans="1:11">
      <c r="A60" s="718" t="s">
        <v>890</v>
      </c>
      <c r="B60" s="719">
        <v>178.3</v>
      </c>
      <c r="C60" s="720">
        <v>193.6</v>
      </c>
      <c r="D60" s="720">
        <v>172</v>
      </c>
      <c r="E60" s="720">
        <v>163.5</v>
      </c>
      <c r="F60" s="720">
        <v>171.3</v>
      </c>
      <c r="G60" s="720">
        <v>159.80000000000001</v>
      </c>
      <c r="H60" s="720">
        <v>144.4</v>
      </c>
      <c r="I60" s="720">
        <v>117.2</v>
      </c>
      <c r="J60" s="720">
        <v>76.599999999999994</v>
      </c>
      <c r="K60" s="720">
        <v>187.6</v>
      </c>
    </row>
    <row r="61" spans="1:11">
      <c r="A61" s="718" t="s">
        <v>523</v>
      </c>
      <c r="B61" s="719">
        <v>224.2</v>
      </c>
      <c r="C61" s="720">
        <v>273.89999999999998</v>
      </c>
      <c r="D61" s="720">
        <v>223.4</v>
      </c>
      <c r="E61" s="720">
        <v>206.5</v>
      </c>
      <c r="F61" s="720">
        <v>216.5</v>
      </c>
      <c r="G61" s="720">
        <v>210.9</v>
      </c>
      <c r="H61" s="720">
        <v>217.7</v>
      </c>
      <c r="I61" s="720">
        <v>182.2</v>
      </c>
      <c r="J61" s="720">
        <v>184.6</v>
      </c>
      <c r="K61" s="720">
        <v>486.7</v>
      </c>
    </row>
    <row r="62" spans="1:11">
      <c r="A62" s="724" t="s">
        <v>891</v>
      </c>
      <c r="B62" s="725">
        <v>197.3</v>
      </c>
      <c r="C62" s="726">
        <v>0</v>
      </c>
      <c r="D62" s="726">
        <v>0</v>
      </c>
      <c r="E62" s="726">
        <v>0</v>
      </c>
      <c r="F62" s="726">
        <v>0</v>
      </c>
      <c r="G62" s="726">
        <v>0</v>
      </c>
      <c r="H62" s="726">
        <v>0</v>
      </c>
      <c r="I62" s="726">
        <v>0</v>
      </c>
      <c r="J62" s="726">
        <v>0</v>
      </c>
      <c r="K62" s="726">
        <v>0</v>
      </c>
    </row>
    <row r="63" spans="1:11">
      <c r="A63" s="724" t="s">
        <v>892</v>
      </c>
      <c r="B63" s="725">
        <v>6.8</v>
      </c>
      <c r="C63" s="726">
        <v>701.3</v>
      </c>
      <c r="D63" s="726">
        <v>720.8</v>
      </c>
      <c r="E63" s="726">
        <v>740.8</v>
      </c>
      <c r="F63" s="726">
        <v>744.6</v>
      </c>
      <c r="G63" s="726">
        <v>753.7</v>
      </c>
      <c r="H63" s="726">
        <v>774.9</v>
      </c>
      <c r="I63" s="726">
        <v>796</v>
      </c>
      <c r="J63" s="726">
        <v>833</v>
      </c>
      <c r="K63" s="726">
        <v>937</v>
      </c>
    </row>
    <row r="64" spans="1:11">
      <c r="A64" s="724" t="s">
        <v>893</v>
      </c>
      <c r="B64" s="725" t="s">
        <v>476</v>
      </c>
      <c r="C64" s="726">
        <v>0.4</v>
      </c>
      <c r="D64" s="726">
        <v>0.5</v>
      </c>
      <c r="E64" s="726">
        <v>0.5</v>
      </c>
      <c r="F64" s="726">
        <v>0.5</v>
      </c>
      <c r="G64" s="726">
        <v>0.5</v>
      </c>
      <c r="H64" s="726">
        <v>0.5</v>
      </c>
      <c r="I64" s="726">
        <v>0.5</v>
      </c>
      <c r="J64" s="726">
        <v>0.5</v>
      </c>
      <c r="K64" s="726">
        <v>0.6</v>
      </c>
    </row>
    <row r="65" spans="1:11">
      <c r="A65" s="724" t="s">
        <v>894</v>
      </c>
      <c r="B65" s="725" t="s">
        <v>476</v>
      </c>
      <c r="C65" s="726">
        <v>700.9</v>
      </c>
      <c r="D65" s="726">
        <v>720.4</v>
      </c>
      <c r="E65" s="726">
        <v>740.4</v>
      </c>
      <c r="F65" s="726">
        <v>744.1</v>
      </c>
      <c r="G65" s="726">
        <v>753.2</v>
      </c>
      <c r="H65" s="726">
        <v>774.4</v>
      </c>
      <c r="I65" s="726">
        <v>795.4</v>
      </c>
      <c r="J65" s="726">
        <v>832.5</v>
      </c>
      <c r="K65" s="726">
        <v>936.4</v>
      </c>
    </row>
    <row r="66" spans="1:11">
      <c r="A66" s="724" t="s">
        <v>895</v>
      </c>
      <c r="B66" s="725">
        <v>0</v>
      </c>
      <c r="C66" s="726">
        <v>0</v>
      </c>
      <c r="D66" s="726">
        <v>0</v>
      </c>
      <c r="E66" s="726">
        <v>0</v>
      </c>
      <c r="F66" s="726">
        <v>0</v>
      </c>
      <c r="G66" s="726">
        <v>0</v>
      </c>
      <c r="H66" s="726">
        <v>0</v>
      </c>
      <c r="I66" s="726" t="s">
        <v>476</v>
      </c>
      <c r="J66" s="726" t="s">
        <v>476</v>
      </c>
      <c r="K66" s="726">
        <v>0</v>
      </c>
    </row>
    <row r="67" spans="1:11">
      <c r="A67" s="724" t="s">
        <v>896</v>
      </c>
      <c r="B67" s="725">
        <v>-67.2</v>
      </c>
      <c r="C67" s="726">
        <v>-560.4</v>
      </c>
      <c r="D67" s="726">
        <v>-527</v>
      </c>
      <c r="E67" s="726">
        <v>-511.5</v>
      </c>
      <c r="F67" s="726">
        <v>-529.4</v>
      </c>
      <c r="G67" s="726">
        <v>-511.5</v>
      </c>
      <c r="H67" s="726">
        <v>-505.3</v>
      </c>
      <c r="I67" s="726">
        <v>-483.5</v>
      </c>
      <c r="J67" s="726">
        <v>-422</v>
      </c>
      <c r="K67" s="726">
        <v>-294.3</v>
      </c>
    </row>
    <row r="68" spans="1:11">
      <c r="A68" s="724" t="s">
        <v>897</v>
      </c>
      <c r="B68" s="725">
        <v>0</v>
      </c>
      <c r="C68" s="726">
        <v>0</v>
      </c>
      <c r="D68" s="726">
        <v>0</v>
      </c>
      <c r="E68" s="726">
        <v>0</v>
      </c>
      <c r="F68" s="726">
        <v>0</v>
      </c>
      <c r="G68" s="726">
        <v>0</v>
      </c>
      <c r="H68" s="726">
        <v>0</v>
      </c>
      <c r="I68" s="726">
        <v>0</v>
      </c>
      <c r="J68" s="726">
        <v>0</v>
      </c>
      <c r="K68" s="726">
        <v>-0.1</v>
      </c>
    </row>
    <row r="69" spans="1:11">
      <c r="A69" s="718" t="s">
        <v>898</v>
      </c>
      <c r="B69" s="719">
        <v>136.9</v>
      </c>
      <c r="C69" s="720">
        <v>140.9</v>
      </c>
      <c r="D69" s="720">
        <v>193.9</v>
      </c>
      <c r="E69" s="720">
        <v>229.3</v>
      </c>
      <c r="F69" s="720">
        <v>215.2</v>
      </c>
      <c r="G69" s="720">
        <v>242.2</v>
      </c>
      <c r="H69" s="720">
        <v>269.60000000000002</v>
      </c>
      <c r="I69" s="720">
        <v>312.39999999999998</v>
      </c>
      <c r="J69" s="720">
        <v>411</v>
      </c>
      <c r="K69" s="720">
        <v>642.6</v>
      </c>
    </row>
    <row r="70" spans="1:11">
      <c r="A70" s="724" t="s">
        <v>899</v>
      </c>
      <c r="B70" s="725">
        <v>0</v>
      </c>
      <c r="C70" s="726">
        <v>0</v>
      </c>
      <c r="D70" s="726">
        <v>0</v>
      </c>
      <c r="E70" s="726">
        <v>0</v>
      </c>
      <c r="F70" s="726">
        <v>0</v>
      </c>
      <c r="G70" s="726">
        <v>0</v>
      </c>
      <c r="H70" s="726">
        <v>0</v>
      </c>
      <c r="I70" s="726">
        <v>0</v>
      </c>
      <c r="J70" s="726">
        <v>0</v>
      </c>
      <c r="K70" s="726">
        <v>0</v>
      </c>
    </row>
    <row r="71" spans="1:11">
      <c r="A71" s="718" t="s">
        <v>900</v>
      </c>
      <c r="B71" s="719">
        <v>136.9</v>
      </c>
      <c r="C71" s="720">
        <v>140.9</v>
      </c>
      <c r="D71" s="720">
        <v>193.9</v>
      </c>
      <c r="E71" s="720">
        <v>229.3</v>
      </c>
      <c r="F71" s="720">
        <v>215.2</v>
      </c>
      <c r="G71" s="720">
        <v>242.2</v>
      </c>
      <c r="H71" s="720">
        <v>269.60000000000002</v>
      </c>
      <c r="I71" s="720">
        <v>312.39999999999998</v>
      </c>
      <c r="J71" s="720">
        <v>411</v>
      </c>
      <c r="K71" s="720">
        <v>642.6</v>
      </c>
    </row>
    <row r="72" spans="1:11">
      <c r="A72" s="718" t="s">
        <v>901</v>
      </c>
      <c r="B72" s="719">
        <v>361.1</v>
      </c>
      <c r="C72" s="720">
        <v>414.7</v>
      </c>
      <c r="D72" s="720">
        <v>417.2</v>
      </c>
      <c r="E72" s="720">
        <v>435.9</v>
      </c>
      <c r="F72" s="720">
        <v>431.7</v>
      </c>
      <c r="G72" s="720">
        <v>453.1</v>
      </c>
      <c r="H72" s="720">
        <v>487.4</v>
      </c>
      <c r="I72" s="720">
        <v>494.6</v>
      </c>
      <c r="J72" s="720">
        <v>595.6</v>
      </c>
      <c r="K72" s="721">
        <v>1129.2</v>
      </c>
    </row>
    <row r="73" spans="1:11">
      <c r="A73" s="718" t="s">
        <v>364</v>
      </c>
      <c r="B73" s="720" t="s">
        <v>364</v>
      </c>
      <c r="C73" s="720" t="s">
        <v>364</v>
      </c>
      <c r="D73" s="720" t="s">
        <v>364</v>
      </c>
      <c r="E73" s="720" t="s">
        <v>364</v>
      </c>
      <c r="F73" s="720" t="s">
        <v>364</v>
      </c>
      <c r="G73" s="720" t="s">
        <v>364</v>
      </c>
      <c r="H73" s="720" t="s">
        <v>364</v>
      </c>
      <c r="I73" s="720" t="s">
        <v>364</v>
      </c>
      <c r="J73" s="720" t="s">
        <v>364</v>
      </c>
      <c r="K73" s="720" t="s">
        <v>364</v>
      </c>
    </row>
    <row r="74" spans="1:11">
      <c r="A74" s="718" t="s">
        <v>778</v>
      </c>
      <c r="B74" s="720" t="s">
        <v>364</v>
      </c>
      <c r="C74" s="720" t="s">
        <v>364</v>
      </c>
      <c r="D74" s="720" t="s">
        <v>364</v>
      </c>
      <c r="E74" s="720" t="s">
        <v>364</v>
      </c>
      <c r="F74" s="720" t="s">
        <v>364</v>
      </c>
      <c r="G74" s="720" t="s">
        <v>364</v>
      </c>
      <c r="H74" s="720" t="s">
        <v>364</v>
      </c>
      <c r="I74" s="720" t="s">
        <v>364</v>
      </c>
      <c r="J74" s="720" t="s">
        <v>364</v>
      </c>
      <c r="K74" s="720" t="s">
        <v>364</v>
      </c>
    </row>
    <row r="75" spans="1:11">
      <c r="A75" s="724" t="s">
        <v>779</v>
      </c>
      <c r="B75" s="725" t="s">
        <v>780</v>
      </c>
      <c r="C75" s="726" t="s">
        <v>780</v>
      </c>
      <c r="D75" s="726" t="s">
        <v>780</v>
      </c>
      <c r="E75" s="726" t="s">
        <v>780</v>
      </c>
      <c r="F75" s="726" t="s">
        <v>780</v>
      </c>
      <c r="G75" s="726" t="s">
        <v>780</v>
      </c>
      <c r="H75" s="726" t="s">
        <v>780</v>
      </c>
      <c r="I75" s="726" t="s">
        <v>780</v>
      </c>
      <c r="J75" s="726" t="s">
        <v>780</v>
      </c>
      <c r="K75" s="726" t="s">
        <v>780</v>
      </c>
    </row>
    <row r="76" spans="1:11">
      <c r="A76" s="724" t="s">
        <v>902</v>
      </c>
      <c r="B76" s="725" t="s">
        <v>476</v>
      </c>
      <c r="C76" s="726">
        <v>45.3</v>
      </c>
      <c r="D76" s="726">
        <v>46.6</v>
      </c>
      <c r="E76" s="726">
        <v>46.6</v>
      </c>
      <c r="F76" s="726">
        <v>49.6</v>
      </c>
      <c r="G76" s="726">
        <v>50</v>
      </c>
      <c r="H76" s="726">
        <v>51.6</v>
      </c>
      <c r="I76" s="726">
        <v>51.6</v>
      </c>
      <c r="J76" s="726">
        <v>52.2</v>
      </c>
      <c r="K76" s="726">
        <v>55.6</v>
      </c>
    </row>
    <row r="77" spans="1:11">
      <c r="A77" s="724" t="s">
        <v>903</v>
      </c>
      <c r="B77" s="725">
        <v>0</v>
      </c>
      <c r="C77" s="726">
        <v>0</v>
      </c>
      <c r="D77" s="726">
        <v>0</v>
      </c>
      <c r="E77" s="726">
        <v>0</v>
      </c>
      <c r="F77" s="726">
        <v>0</v>
      </c>
      <c r="G77" s="726">
        <v>0</v>
      </c>
      <c r="H77" s="726">
        <v>0</v>
      </c>
      <c r="I77" s="726">
        <v>0.7</v>
      </c>
      <c r="J77" s="726">
        <v>1.5</v>
      </c>
      <c r="K77" s="726">
        <v>0</v>
      </c>
    </row>
    <row r="78" spans="1:11">
      <c r="A78" s="724" t="s">
        <v>904</v>
      </c>
      <c r="B78" s="725">
        <v>0</v>
      </c>
      <c r="C78" s="726">
        <v>0</v>
      </c>
      <c r="D78" s="726">
        <v>0</v>
      </c>
      <c r="E78" s="726">
        <v>0</v>
      </c>
      <c r="F78" s="726">
        <v>0</v>
      </c>
      <c r="G78" s="726">
        <v>0</v>
      </c>
      <c r="H78" s="726">
        <v>0</v>
      </c>
      <c r="I78" s="726">
        <v>0</v>
      </c>
      <c r="J78" s="726">
        <v>0</v>
      </c>
      <c r="K78" s="726">
        <v>0</v>
      </c>
    </row>
    <row r="79" spans="1:11">
      <c r="A79" s="724" t="s">
        <v>905</v>
      </c>
      <c r="B79" s="725">
        <v>0</v>
      </c>
      <c r="C79" s="726">
        <v>31.7</v>
      </c>
      <c r="D79" s="726">
        <v>31.8</v>
      </c>
      <c r="E79" s="726">
        <v>27.3</v>
      </c>
      <c r="F79" s="726">
        <v>22.9</v>
      </c>
      <c r="G79" s="726">
        <v>16.100000000000001</v>
      </c>
      <c r="H79" s="726">
        <v>26.3</v>
      </c>
      <c r="I79" s="726">
        <v>21.6</v>
      </c>
      <c r="J79" s="726">
        <v>16.7</v>
      </c>
      <c r="K79" s="726">
        <v>32.6</v>
      </c>
    </row>
    <row r="80" spans="1:11">
      <c r="A80" s="724" t="s">
        <v>906</v>
      </c>
      <c r="B80" s="725" t="s">
        <v>476</v>
      </c>
      <c r="C80" s="726" t="s">
        <v>476</v>
      </c>
      <c r="D80" s="726" t="s">
        <v>476</v>
      </c>
      <c r="E80" s="726" t="s">
        <v>476</v>
      </c>
      <c r="F80" s="726">
        <v>3.8</v>
      </c>
      <c r="G80" s="726">
        <v>3</v>
      </c>
      <c r="H80" s="726">
        <v>2.2000000000000002</v>
      </c>
      <c r="I80" s="726">
        <v>1.4</v>
      </c>
      <c r="J80" s="726">
        <v>0.6</v>
      </c>
      <c r="K80" s="726">
        <v>0.1</v>
      </c>
    </row>
    <row r="81" spans="1:11">
      <c r="A81" s="724" t="s">
        <v>907</v>
      </c>
      <c r="B81" s="725" t="s">
        <v>476</v>
      </c>
      <c r="C81" s="726" t="s">
        <v>476</v>
      </c>
      <c r="D81" s="726">
        <v>0.2</v>
      </c>
      <c r="E81" s="726">
        <v>0.6</v>
      </c>
      <c r="F81" s="726">
        <v>0.1</v>
      </c>
      <c r="G81" s="726">
        <v>0.2</v>
      </c>
      <c r="H81" s="726">
        <v>0</v>
      </c>
      <c r="I81" s="726">
        <v>0</v>
      </c>
      <c r="J81" s="726">
        <v>0</v>
      </c>
      <c r="K81" s="726">
        <v>0</v>
      </c>
    </row>
    <row r="82" spans="1:11">
      <c r="A82" s="724" t="s">
        <v>908</v>
      </c>
      <c r="B82" s="725" t="s">
        <v>476</v>
      </c>
      <c r="C82" s="726" t="s">
        <v>476</v>
      </c>
      <c r="D82" s="726">
        <v>2.6</v>
      </c>
      <c r="E82" s="726">
        <v>2.7</v>
      </c>
      <c r="F82" s="726">
        <v>2.6</v>
      </c>
      <c r="G82" s="726">
        <v>2</v>
      </c>
      <c r="H82" s="726">
        <v>1.6</v>
      </c>
      <c r="I82" s="726">
        <v>1.5</v>
      </c>
      <c r="J82" s="726">
        <v>1</v>
      </c>
      <c r="K82" s="726">
        <v>0.7</v>
      </c>
    </row>
    <row r="83" spans="1:11">
      <c r="A83" s="724" t="s">
        <v>732</v>
      </c>
      <c r="B83" s="725">
        <v>130.9</v>
      </c>
      <c r="C83" s="726">
        <v>149.5</v>
      </c>
      <c r="D83" s="726">
        <v>146.30000000000001</v>
      </c>
      <c r="E83" s="726">
        <v>99.2</v>
      </c>
      <c r="F83" s="726">
        <v>114.5</v>
      </c>
      <c r="G83" s="726">
        <v>106.8</v>
      </c>
      <c r="H83" s="726">
        <v>93.1</v>
      </c>
      <c r="I83" s="726">
        <v>73.599999999999994</v>
      </c>
      <c r="J83" s="726">
        <v>-38.6</v>
      </c>
      <c r="K83" s="726">
        <v>182.4</v>
      </c>
    </row>
    <row r="84" spans="1:11">
      <c r="A84" s="724" t="s">
        <v>909</v>
      </c>
      <c r="B84" s="725">
        <v>95.63</v>
      </c>
      <c r="C84" s="726">
        <v>106.16</v>
      </c>
      <c r="D84" s="726">
        <v>75.459999999999994</v>
      </c>
      <c r="E84" s="726">
        <v>43.25</v>
      </c>
      <c r="F84" s="726">
        <v>53.19</v>
      </c>
      <c r="G84" s="726">
        <v>44.11</v>
      </c>
      <c r="H84" s="726">
        <v>34.54</v>
      </c>
      <c r="I84" s="726">
        <v>23.57</v>
      </c>
      <c r="J84" s="726">
        <v>-9.39</v>
      </c>
      <c r="K84" s="726">
        <v>28.39</v>
      </c>
    </row>
    <row r="85" spans="1:11">
      <c r="A85" s="724" t="s">
        <v>910</v>
      </c>
      <c r="B85" s="725">
        <v>-410.71</v>
      </c>
      <c r="C85" s="726">
        <v>-89.58</v>
      </c>
      <c r="D85" s="726">
        <v>-44.96</v>
      </c>
      <c r="E85" s="726">
        <v>-14.85</v>
      </c>
      <c r="F85" s="726">
        <v>-22.05</v>
      </c>
      <c r="G85" s="726">
        <v>-17.59</v>
      </c>
      <c r="H85" s="726">
        <v>1.69</v>
      </c>
      <c r="I85" s="726">
        <v>23.07</v>
      </c>
      <c r="J85" s="726">
        <v>46.64</v>
      </c>
      <c r="K85" s="726">
        <v>13.64</v>
      </c>
    </row>
    <row r="86" spans="1:11">
      <c r="A86" s="724" t="s">
        <v>58</v>
      </c>
      <c r="B86" s="725">
        <v>1.54</v>
      </c>
      <c r="C86" s="726">
        <v>1.56</v>
      </c>
      <c r="D86" s="726">
        <v>2.41</v>
      </c>
      <c r="E86" s="726">
        <v>3.3</v>
      </c>
      <c r="F86" s="726">
        <v>3.04</v>
      </c>
      <c r="G86" s="726">
        <v>2.59</v>
      </c>
      <c r="H86" s="726">
        <v>2.3199999999999998</v>
      </c>
      <c r="I86" s="726">
        <v>2.97</v>
      </c>
      <c r="J86" s="726">
        <v>2.81</v>
      </c>
      <c r="K86" s="726">
        <v>1.6</v>
      </c>
    </row>
    <row r="87" spans="1:11">
      <c r="A87" s="724" t="s">
        <v>67</v>
      </c>
      <c r="B87" s="725" t="s">
        <v>476</v>
      </c>
      <c r="C87" s="726">
        <v>171.05</v>
      </c>
      <c r="D87" s="726">
        <v>164.98</v>
      </c>
      <c r="E87" s="726">
        <v>147.94999999999999</v>
      </c>
      <c r="F87" s="726" t="s">
        <v>476</v>
      </c>
      <c r="G87" s="726">
        <v>151.62</v>
      </c>
      <c r="H87" s="726">
        <v>166.26</v>
      </c>
      <c r="I87" s="726">
        <v>185.64</v>
      </c>
      <c r="J87" s="726">
        <v>146.47</v>
      </c>
      <c r="K87" s="726">
        <v>150.56</v>
      </c>
    </row>
    <row r="88" spans="1:11">
      <c r="A88" s="724" t="s">
        <v>911</v>
      </c>
      <c r="B88" s="725" t="s">
        <v>476</v>
      </c>
      <c r="C88" s="726">
        <v>249</v>
      </c>
      <c r="D88" s="726">
        <v>262</v>
      </c>
      <c r="E88" s="726">
        <v>277</v>
      </c>
      <c r="F88" s="726" t="s">
        <v>476</v>
      </c>
      <c r="G88" s="726">
        <v>209</v>
      </c>
      <c r="H88" s="726">
        <v>267</v>
      </c>
      <c r="I88" s="726">
        <v>303</v>
      </c>
      <c r="J88" s="726">
        <v>339</v>
      </c>
      <c r="K88" s="726">
        <v>475</v>
      </c>
    </row>
    <row r="89" spans="1:11">
      <c r="A89" s="734" t="s">
        <v>788</v>
      </c>
      <c r="B89" s="734" t="s">
        <v>789</v>
      </c>
      <c r="C89" s="735"/>
      <c r="D89" s="735"/>
      <c r="E89" s="735"/>
      <c r="F89" s="735"/>
      <c r="G89" s="734" t="s">
        <v>364</v>
      </c>
      <c r="H89" s="734" t="s">
        <v>364</v>
      </c>
      <c r="I89" s="734" t="s">
        <v>364</v>
      </c>
      <c r="J89" s="734" t="s">
        <v>364</v>
      </c>
      <c r="K89" s="734" t="s">
        <v>364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963F-660C-46CA-AE62-8E1D03A193F2}">
  <dimension ref="A1:K69"/>
  <sheetViews>
    <sheetView workbookViewId="0">
      <selection activeCell="N5" sqref="N5:O11"/>
    </sheetView>
  </sheetViews>
  <sheetFormatPr defaultColWidth="8.875" defaultRowHeight="14.1"/>
  <cols>
    <col min="1" max="1" width="29.125" customWidth="1"/>
  </cols>
  <sheetData>
    <row r="1" spans="1:11" ht="14.45">
      <c r="A1" s="709" t="s">
        <v>364</v>
      </c>
      <c r="B1" s="709" t="s">
        <v>364</v>
      </c>
      <c r="C1" s="709" t="s">
        <v>364</v>
      </c>
      <c r="D1" s="709" t="s">
        <v>364</v>
      </c>
      <c r="E1" s="709" t="s">
        <v>364</v>
      </c>
      <c r="F1" s="709" t="s">
        <v>364</v>
      </c>
      <c r="G1" s="709" t="s">
        <v>364</v>
      </c>
      <c r="H1" s="709" t="s">
        <v>364</v>
      </c>
      <c r="I1" s="709" t="s">
        <v>364</v>
      </c>
      <c r="J1" s="709" t="s">
        <v>364</v>
      </c>
    </row>
    <row r="2" spans="1:11" ht="20.100000000000001">
      <c r="A2" s="710" t="s">
        <v>840</v>
      </c>
      <c r="B2" s="711"/>
      <c r="C2" s="711"/>
      <c r="D2" s="711"/>
      <c r="E2" s="710" t="s">
        <v>364</v>
      </c>
      <c r="F2" s="710" t="s">
        <v>364</v>
      </c>
      <c r="G2" s="710" t="s">
        <v>364</v>
      </c>
      <c r="H2" s="710" t="s">
        <v>364</v>
      </c>
      <c r="I2" s="710" t="s">
        <v>364</v>
      </c>
      <c r="J2" s="710" t="s">
        <v>364</v>
      </c>
      <c r="K2" s="710" t="s">
        <v>364</v>
      </c>
    </row>
    <row r="3" spans="1:11">
      <c r="A3" s="712" t="s">
        <v>364</v>
      </c>
      <c r="B3" s="712" t="s">
        <v>364</v>
      </c>
      <c r="C3" s="712" t="s">
        <v>364</v>
      </c>
      <c r="D3" s="712" t="s">
        <v>364</v>
      </c>
      <c r="E3" s="712" t="s">
        <v>364</v>
      </c>
      <c r="F3" s="712" t="s">
        <v>364</v>
      </c>
      <c r="G3" s="712" t="s">
        <v>364</v>
      </c>
      <c r="H3" s="712" t="s">
        <v>364</v>
      </c>
      <c r="I3" s="712" t="s">
        <v>364</v>
      </c>
      <c r="J3" s="712" t="s">
        <v>364</v>
      </c>
    </row>
    <row r="4" spans="1:11">
      <c r="A4" s="713" t="s">
        <v>735</v>
      </c>
      <c r="B4" s="714" t="s">
        <v>485</v>
      </c>
      <c r="C4" s="714" t="s">
        <v>486</v>
      </c>
      <c r="D4" s="714" t="s">
        <v>487</v>
      </c>
      <c r="E4" s="714" t="s">
        <v>489</v>
      </c>
      <c r="F4" s="714" t="s">
        <v>490</v>
      </c>
      <c r="G4" s="714" t="s">
        <v>491</v>
      </c>
      <c r="H4" s="714" t="s">
        <v>492</v>
      </c>
      <c r="I4" s="714" t="s">
        <v>493</v>
      </c>
      <c r="J4" s="714" t="s">
        <v>736</v>
      </c>
    </row>
    <row r="5" spans="1:11">
      <c r="A5" s="715" t="s">
        <v>737</v>
      </c>
      <c r="B5" s="717">
        <v>42735</v>
      </c>
      <c r="C5" s="717">
        <v>43100</v>
      </c>
      <c r="D5" s="717">
        <v>43465</v>
      </c>
      <c r="E5" s="717">
        <v>43921</v>
      </c>
      <c r="F5" s="717">
        <v>44286</v>
      </c>
      <c r="G5" s="717">
        <v>44651</v>
      </c>
      <c r="H5" s="717">
        <v>45016</v>
      </c>
      <c r="I5" s="717">
        <v>45382</v>
      </c>
      <c r="J5" s="717">
        <v>45657</v>
      </c>
    </row>
    <row r="6" spans="1:11">
      <c r="A6" s="718" t="s">
        <v>912</v>
      </c>
      <c r="B6" s="720" t="s">
        <v>364</v>
      </c>
      <c r="C6" s="720" t="s">
        <v>364</v>
      </c>
      <c r="D6" s="720" t="s">
        <v>364</v>
      </c>
      <c r="E6" s="720" t="s">
        <v>364</v>
      </c>
      <c r="F6" s="720" t="s">
        <v>364</v>
      </c>
      <c r="G6" s="720" t="s">
        <v>364</v>
      </c>
      <c r="H6" s="720" t="s">
        <v>364</v>
      </c>
      <c r="I6" s="720" t="s">
        <v>364</v>
      </c>
      <c r="J6" s="722" t="s">
        <v>364</v>
      </c>
    </row>
    <row r="7" spans="1:11">
      <c r="A7" s="724" t="s">
        <v>913</v>
      </c>
      <c r="B7" s="725">
        <v>5.3</v>
      </c>
      <c r="C7" s="726">
        <v>33.5</v>
      </c>
      <c r="D7" s="726">
        <v>15.5</v>
      </c>
      <c r="E7" s="726">
        <v>17.899999999999999</v>
      </c>
      <c r="F7" s="726">
        <v>6.2</v>
      </c>
      <c r="G7" s="726">
        <v>21.8</v>
      </c>
      <c r="H7" s="726">
        <v>61.5</v>
      </c>
      <c r="I7" s="726">
        <v>127.7</v>
      </c>
      <c r="J7" s="728">
        <v>98.4</v>
      </c>
    </row>
    <row r="8" spans="1:11">
      <c r="A8" s="724" t="s">
        <v>914</v>
      </c>
      <c r="B8" s="725">
        <v>13.2</v>
      </c>
      <c r="C8" s="726">
        <v>14.5</v>
      </c>
      <c r="D8" s="726">
        <v>17.899999999999999</v>
      </c>
      <c r="E8" s="726">
        <v>22.8</v>
      </c>
      <c r="F8" s="726">
        <v>25.2</v>
      </c>
      <c r="G8" s="726">
        <v>27.1</v>
      </c>
      <c r="H8" s="726">
        <v>22.2</v>
      </c>
      <c r="I8" s="726">
        <v>35.9</v>
      </c>
      <c r="J8" s="728">
        <v>42.6</v>
      </c>
    </row>
    <row r="9" spans="1:11">
      <c r="A9" s="724" t="s">
        <v>915</v>
      </c>
      <c r="B9" s="725">
        <v>-5.5</v>
      </c>
      <c r="C9" s="726">
        <v>2.2999999999999998</v>
      </c>
      <c r="D9" s="726">
        <v>16.899999999999999</v>
      </c>
      <c r="E9" s="726">
        <v>2.1</v>
      </c>
      <c r="F9" s="726">
        <v>11.7</v>
      </c>
      <c r="G9" s="726">
        <v>13</v>
      </c>
      <c r="H9" s="726">
        <v>19</v>
      </c>
      <c r="I9" s="726">
        <v>25.1</v>
      </c>
      <c r="J9" s="728">
        <v>64.5</v>
      </c>
    </row>
    <row r="10" spans="1:11">
      <c r="A10" s="724" t="s">
        <v>916</v>
      </c>
      <c r="B10" s="725">
        <v>7.1</v>
      </c>
      <c r="C10" s="726">
        <v>13.5</v>
      </c>
      <c r="D10" s="726">
        <v>16.8</v>
      </c>
      <c r="E10" s="726">
        <v>15.5</v>
      </c>
      <c r="F10" s="726">
        <v>19.7</v>
      </c>
      <c r="G10" s="726">
        <v>19.600000000000001</v>
      </c>
      <c r="H10" s="726">
        <v>29.1</v>
      </c>
      <c r="I10" s="726">
        <v>40.6</v>
      </c>
      <c r="J10" s="728">
        <v>68.099999999999994</v>
      </c>
    </row>
    <row r="11" spans="1:11">
      <c r="A11" s="724" t="s">
        <v>917</v>
      </c>
      <c r="B11" s="725">
        <v>-7.6</v>
      </c>
      <c r="C11" s="726">
        <v>-13.4</v>
      </c>
      <c r="D11" s="726">
        <v>-0.9</v>
      </c>
      <c r="E11" s="726">
        <v>2.4</v>
      </c>
      <c r="F11" s="726">
        <v>-8.6</v>
      </c>
      <c r="G11" s="726">
        <v>-3.7</v>
      </c>
      <c r="H11" s="726">
        <v>-6.4</v>
      </c>
      <c r="I11" s="726">
        <v>-3.3</v>
      </c>
      <c r="J11" s="728">
        <v>-5.7</v>
      </c>
    </row>
    <row r="12" spans="1:11">
      <c r="A12" s="724" t="s">
        <v>918</v>
      </c>
      <c r="B12" s="725">
        <v>-5</v>
      </c>
      <c r="C12" s="726">
        <v>2.2999999999999998</v>
      </c>
      <c r="D12" s="726">
        <v>1.1000000000000001</v>
      </c>
      <c r="E12" s="726">
        <v>-15.9</v>
      </c>
      <c r="F12" s="726">
        <v>0.6</v>
      </c>
      <c r="G12" s="726">
        <v>-3</v>
      </c>
      <c r="H12" s="726">
        <v>-3.7</v>
      </c>
      <c r="I12" s="726">
        <v>-12.3</v>
      </c>
      <c r="J12" s="728">
        <v>2.2000000000000002</v>
      </c>
    </row>
    <row r="13" spans="1:11">
      <c r="A13" s="724" t="s">
        <v>919</v>
      </c>
      <c r="B13" s="725">
        <v>-10.9</v>
      </c>
      <c r="C13" s="726">
        <v>-38</v>
      </c>
      <c r="D13" s="726">
        <v>5.3</v>
      </c>
      <c r="E13" s="726">
        <v>1.5</v>
      </c>
      <c r="F13" s="726">
        <v>-13.7</v>
      </c>
      <c r="G13" s="726">
        <v>-42.3</v>
      </c>
      <c r="H13" s="726">
        <v>-0.8</v>
      </c>
      <c r="I13" s="726">
        <v>-117.5</v>
      </c>
      <c r="J13" s="728">
        <v>-170.7</v>
      </c>
    </row>
    <row r="14" spans="1:11">
      <c r="A14" s="724" t="s">
        <v>920</v>
      </c>
      <c r="B14" s="725">
        <v>-15.4</v>
      </c>
      <c r="C14" s="726">
        <v>-8</v>
      </c>
      <c r="D14" s="726">
        <v>7.6</v>
      </c>
      <c r="E14" s="726">
        <v>2.5</v>
      </c>
      <c r="F14" s="726">
        <v>-10.5</v>
      </c>
      <c r="G14" s="726">
        <v>-5.6</v>
      </c>
      <c r="H14" s="726">
        <v>-22.4</v>
      </c>
      <c r="I14" s="726">
        <v>-49.6</v>
      </c>
      <c r="J14" s="728">
        <v>-68.8</v>
      </c>
    </row>
    <row r="15" spans="1:11">
      <c r="A15" s="724" t="s">
        <v>921</v>
      </c>
      <c r="B15" s="725">
        <v>-38</v>
      </c>
      <c r="C15" s="726">
        <v>6.7</v>
      </c>
      <c r="D15" s="726">
        <v>16.3</v>
      </c>
      <c r="E15" s="726">
        <v>-0.4</v>
      </c>
      <c r="F15" s="726">
        <v>-10.9</v>
      </c>
      <c r="G15" s="726">
        <v>-27.7</v>
      </c>
      <c r="H15" s="726">
        <v>3.2</v>
      </c>
      <c r="I15" s="726">
        <v>-93.9</v>
      </c>
      <c r="J15" s="728">
        <v>-10.7</v>
      </c>
    </row>
    <row r="16" spans="1:11">
      <c r="A16" s="724" t="s">
        <v>922</v>
      </c>
      <c r="B16" s="725">
        <v>42.5</v>
      </c>
      <c r="C16" s="726">
        <v>-36.700000000000003</v>
      </c>
      <c r="D16" s="726">
        <v>-18.7</v>
      </c>
      <c r="E16" s="726">
        <v>-0.5</v>
      </c>
      <c r="F16" s="726">
        <v>7.8</v>
      </c>
      <c r="G16" s="726">
        <v>-9.1</v>
      </c>
      <c r="H16" s="726">
        <v>18.399999999999999</v>
      </c>
      <c r="I16" s="726">
        <v>26</v>
      </c>
      <c r="J16" s="728">
        <v>-91.2</v>
      </c>
    </row>
    <row r="17" spans="1:10">
      <c r="A17" s="724" t="s">
        <v>923</v>
      </c>
      <c r="B17" s="725">
        <v>0</v>
      </c>
      <c r="C17" s="726">
        <v>0</v>
      </c>
      <c r="D17" s="726">
        <v>0</v>
      </c>
      <c r="E17" s="726" t="s">
        <v>476</v>
      </c>
      <c r="F17" s="726">
        <v>0</v>
      </c>
      <c r="G17" s="726">
        <v>0</v>
      </c>
      <c r="H17" s="726">
        <v>0</v>
      </c>
      <c r="I17" s="726">
        <v>0</v>
      </c>
      <c r="J17" s="728">
        <v>0</v>
      </c>
    </row>
    <row r="18" spans="1:10">
      <c r="A18" s="718" t="s">
        <v>912</v>
      </c>
      <c r="B18" s="719">
        <v>2.1</v>
      </c>
      <c r="C18" s="720">
        <v>12.4</v>
      </c>
      <c r="D18" s="720">
        <v>55.6</v>
      </c>
      <c r="E18" s="720">
        <v>44.3</v>
      </c>
      <c r="F18" s="720">
        <v>29.5</v>
      </c>
      <c r="G18" s="720">
        <v>19.5</v>
      </c>
      <c r="H18" s="720">
        <v>101.9</v>
      </c>
      <c r="I18" s="720">
        <v>71.2</v>
      </c>
      <c r="J18" s="722">
        <v>34.799999999999997</v>
      </c>
    </row>
    <row r="19" spans="1:10">
      <c r="A19" s="718" t="s">
        <v>364</v>
      </c>
      <c r="B19" s="720" t="s">
        <v>364</v>
      </c>
      <c r="C19" s="720" t="s">
        <v>364</v>
      </c>
      <c r="D19" s="720" t="s">
        <v>364</v>
      </c>
      <c r="E19" s="720" t="s">
        <v>364</v>
      </c>
      <c r="F19" s="720" t="s">
        <v>364</v>
      </c>
      <c r="G19" s="720" t="s">
        <v>364</v>
      </c>
      <c r="H19" s="720" t="s">
        <v>364</v>
      </c>
      <c r="I19" s="720" t="s">
        <v>364</v>
      </c>
      <c r="J19" s="722" t="s">
        <v>364</v>
      </c>
    </row>
    <row r="20" spans="1:10">
      <c r="A20" s="718" t="s">
        <v>924</v>
      </c>
      <c r="B20" s="720" t="s">
        <v>364</v>
      </c>
      <c r="C20" s="720" t="s">
        <v>364</v>
      </c>
      <c r="D20" s="720" t="s">
        <v>364</v>
      </c>
      <c r="E20" s="720" t="s">
        <v>364</v>
      </c>
      <c r="F20" s="720" t="s">
        <v>364</v>
      </c>
      <c r="G20" s="720" t="s">
        <v>364</v>
      </c>
      <c r="H20" s="720" t="s">
        <v>364</v>
      </c>
      <c r="I20" s="720" t="s">
        <v>364</v>
      </c>
      <c r="J20" s="722" t="s">
        <v>364</v>
      </c>
    </row>
    <row r="21" spans="1:10">
      <c r="A21" s="724" t="s">
        <v>925</v>
      </c>
      <c r="B21" s="725">
        <v>-9.1</v>
      </c>
      <c r="C21" s="726">
        <v>-7.5</v>
      </c>
      <c r="D21" s="726">
        <v>-8.9</v>
      </c>
      <c r="E21" s="726">
        <v>-9.4</v>
      </c>
      <c r="F21" s="726">
        <v>-6.5</v>
      </c>
      <c r="G21" s="726">
        <v>-4.8</v>
      </c>
      <c r="H21" s="726">
        <v>-1.7</v>
      </c>
      <c r="I21" s="726">
        <v>-8.6999999999999993</v>
      </c>
      <c r="J21" s="728">
        <v>-10.1</v>
      </c>
    </row>
    <row r="22" spans="1:10">
      <c r="A22" s="724" t="s">
        <v>926</v>
      </c>
      <c r="B22" s="725">
        <v>0.1</v>
      </c>
      <c r="C22" s="726">
        <v>0</v>
      </c>
      <c r="D22" s="726">
        <v>0</v>
      </c>
      <c r="E22" s="726">
        <v>0</v>
      </c>
      <c r="F22" s="726">
        <v>0</v>
      </c>
      <c r="G22" s="726">
        <v>0</v>
      </c>
      <c r="H22" s="726">
        <v>0</v>
      </c>
      <c r="I22" s="726">
        <v>0</v>
      </c>
      <c r="J22" s="728">
        <v>0</v>
      </c>
    </row>
    <row r="23" spans="1:10">
      <c r="A23" s="730" t="s">
        <v>927</v>
      </c>
      <c r="B23" s="731">
        <v>0.1</v>
      </c>
      <c r="C23" s="732" t="s">
        <v>476</v>
      </c>
      <c r="D23" s="732" t="s">
        <v>476</v>
      </c>
      <c r="E23" s="732">
        <v>0</v>
      </c>
      <c r="F23" s="732">
        <v>0</v>
      </c>
      <c r="G23" s="732">
        <v>0</v>
      </c>
      <c r="H23" s="732">
        <v>0</v>
      </c>
      <c r="I23" s="732">
        <v>0</v>
      </c>
      <c r="J23" s="733">
        <v>0</v>
      </c>
    </row>
    <row r="24" spans="1:10">
      <c r="A24" s="730" t="s">
        <v>928</v>
      </c>
      <c r="B24" s="731">
        <v>0</v>
      </c>
      <c r="C24" s="732">
        <v>0</v>
      </c>
      <c r="D24" s="732">
        <v>0</v>
      </c>
      <c r="E24" s="732">
        <v>0</v>
      </c>
      <c r="F24" s="732">
        <v>0</v>
      </c>
      <c r="G24" s="732">
        <v>0</v>
      </c>
      <c r="H24" s="732">
        <v>0</v>
      </c>
      <c r="I24" s="732">
        <v>0</v>
      </c>
      <c r="J24" s="733">
        <v>0</v>
      </c>
    </row>
    <row r="25" spans="1:10">
      <c r="A25" s="724" t="s">
        <v>929</v>
      </c>
      <c r="B25" s="725">
        <v>-9.1999999999999993</v>
      </c>
      <c r="C25" s="726">
        <v>-7.5</v>
      </c>
      <c r="D25" s="726">
        <v>-8.9</v>
      </c>
      <c r="E25" s="726">
        <v>-9.4</v>
      </c>
      <c r="F25" s="726">
        <v>-6.5</v>
      </c>
      <c r="G25" s="726">
        <v>-4.8</v>
      </c>
      <c r="H25" s="726">
        <v>-1.7</v>
      </c>
      <c r="I25" s="726">
        <v>-8.6999999999999993</v>
      </c>
      <c r="J25" s="728">
        <v>-10.1</v>
      </c>
    </row>
    <row r="26" spans="1:10">
      <c r="A26" s="730" t="s">
        <v>930</v>
      </c>
      <c r="B26" s="731">
        <v>-9.1999999999999993</v>
      </c>
      <c r="C26" s="732">
        <v>-7.5</v>
      </c>
      <c r="D26" s="732">
        <v>-8.9</v>
      </c>
      <c r="E26" s="732">
        <v>-9.4</v>
      </c>
      <c r="F26" s="732">
        <v>-6.5</v>
      </c>
      <c r="G26" s="732">
        <v>-4.8</v>
      </c>
      <c r="H26" s="732">
        <v>-1.7</v>
      </c>
      <c r="I26" s="732">
        <v>-8.6999999999999993</v>
      </c>
      <c r="J26" s="733">
        <v>-10.1</v>
      </c>
    </row>
    <row r="27" spans="1:10">
      <c r="A27" s="730" t="s">
        <v>931</v>
      </c>
      <c r="B27" s="731">
        <v>0</v>
      </c>
      <c r="C27" s="732">
        <v>0</v>
      </c>
      <c r="D27" s="732">
        <v>0</v>
      </c>
      <c r="E27" s="732">
        <v>0</v>
      </c>
      <c r="F27" s="732">
        <v>0</v>
      </c>
      <c r="G27" s="732">
        <v>0</v>
      </c>
      <c r="H27" s="732">
        <v>0</v>
      </c>
      <c r="I27" s="732">
        <v>0</v>
      </c>
      <c r="J27" s="733">
        <v>0</v>
      </c>
    </row>
    <row r="28" spans="1:10">
      <c r="A28" s="724" t="s">
        <v>932</v>
      </c>
      <c r="B28" s="725">
        <v>0</v>
      </c>
      <c r="C28" s="726">
        <v>-2.9</v>
      </c>
      <c r="D28" s="726">
        <v>0</v>
      </c>
      <c r="E28" s="726">
        <v>0</v>
      </c>
      <c r="F28" s="726">
        <v>0</v>
      </c>
      <c r="G28" s="726">
        <v>0</v>
      </c>
      <c r="H28" s="726">
        <v>0</v>
      </c>
      <c r="I28" s="726">
        <v>0</v>
      </c>
      <c r="J28" s="728">
        <v>0</v>
      </c>
    </row>
    <row r="29" spans="1:10">
      <c r="A29" s="724" t="s">
        <v>933</v>
      </c>
      <c r="B29" s="725">
        <v>0</v>
      </c>
      <c r="C29" s="726">
        <v>0</v>
      </c>
      <c r="D29" s="726">
        <v>0</v>
      </c>
      <c r="E29" s="726">
        <v>0</v>
      </c>
      <c r="F29" s="726">
        <v>0</v>
      </c>
      <c r="G29" s="726">
        <v>0</v>
      </c>
      <c r="H29" s="726">
        <v>0</v>
      </c>
      <c r="I29" s="726">
        <v>0</v>
      </c>
      <c r="J29" s="728">
        <v>0</v>
      </c>
    </row>
    <row r="30" spans="1:10">
      <c r="A30" s="724" t="s">
        <v>934</v>
      </c>
      <c r="B30" s="725">
        <v>0</v>
      </c>
      <c r="C30" s="726">
        <v>-2.9</v>
      </c>
      <c r="D30" s="726">
        <v>0</v>
      </c>
      <c r="E30" s="726">
        <v>0</v>
      </c>
      <c r="F30" s="726">
        <v>0</v>
      </c>
      <c r="G30" s="726">
        <v>0</v>
      </c>
      <c r="H30" s="726">
        <v>0</v>
      </c>
      <c r="I30" s="726">
        <v>0</v>
      </c>
      <c r="J30" s="728">
        <v>0</v>
      </c>
    </row>
    <row r="31" spans="1:10">
      <c r="A31" s="724" t="s">
        <v>935</v>
      </c>
      <c r="B31" s="725">
        <v>0</v>
      </c>
      <c r="C31" s="726">
        <v>0</v>
      </c>
      <c r="D31" s="726">
        <v>0</v>
      </c>
      <c r="E31" s="726">
        <v>-25.9</v>
      </c>
      <c r="F31" s="726">
        <v>0</v>
      </c>
      <c r="G31" s="726">
        <v>0</v>
      </c>
      <c r="H31" s="726">
        <v>0</v>
      </c>
      <c r="I31" s="726">
        <v>-275</v>
      </c>
      <c r="J31" s="728">
        <v>0</v>
      </c>
    </row>
    <row r="32" spans="1:10">
      <c r="A32" s="724" t="s">
        <v>936</v>
      </c>
      <c r="B32" s="725">
        <v>0</v>
      </c>
      <c r="C32" s="726">
        <v>0</v>
      </c>
      <c r="D32" s="726">
        <v>0</v>
      </c>
      <c r="E32" s="726">
        <v>0</v>
      </c>
      <c r="F32" s="726">
        <v>0</v>
      </c>
      <c r="G32" s="726">
        <v>0</v>
      </c>
      <c r="H32" s="726">
        <v>0</v>
      </c>
      <c r="I32" s="726">
        <v>0</v>
      </c>
      <c r="J32" s="728">
        <v>0</v>
      </c>
    </row>
    <row r="33" spans="1:10">
      <c r="A33" s="724" t="s">
        <v>937</v>
      </c>
      <c r="B33" s="725">
        <v>0</v>
      </c>
      <c r="C33" s="726">
        <v>0</v>
      </c>
      <c r="D33" s="726">
        <v>0</v>
      </c>
      <c r="E33" s="726">
        <v>-25.9</v>
      </c>
      <c r="F33" s="726">
        <v>0</v>
      </c>
      <c r="G33" s="726">
        <v>0</v>
      </c>
      <c r="H33" s="726">
        <v>0</v>
      </c>
      <c r="I33" s="726">
        <v>-275</v>
      </c>
      <c r="J33" s="728">
        <v>0</v>
      </c>
    </row>
    <row r="34" spans="1:10">
      <c r="A34" s="724" t="s">
        <v>938</v>
      </c>
      <c r="B34" s="725">
        <v>0</v>
      </c>
      <c r="C34" s="726">
        <v>0</v>
      </c>
      <c r="D34" s="726">
        <v>0</v>
      </c>
      <c r="E34" s="726">
        <v>0</v>
      </c>
      <c r="F34" s="726">
        <v>0</v>
      </c>
      <c r="G34" s="726">
        <v>0</v>
      </c>
      <c r="H34" s="726">
        <v>0</v>
      </c>
      <c r="I34" s="726">
        <v>0</v>
      </c>
      <c r="J34" s="728">
        <v>0</v>
      </c>
    </row>
    <row r="35" spans="1:10">
      <c r="A35" s="724" t="s">
        <v>939</v>
      </c>
      <c r="B35" s="725">
        <v>0</v>
      </c>
      <c r="C35" s="726">
        <v>0</v>
      </c>
      <c r="D35" s="726">
        <v>0</v>
      </c>
      <c r="E35" s="726">
        <v>0</v>
      </c>
      <c r="F35" s="726">
        <v>0</v>
      </c>
      <c r="G35" s="726">
        <v>0</v>
      </c>
      <c r="H35" s="726">
        <v>0</v>
      </c>
      <c r="I35" s="726">
        <v>-1</v>
      </c>
      <c r="J35" s="728">
        <v>-1.3</v>
      </c>
    </row>
    <row r="36" spans="1:10">
      <c r="A36" s="724" t="s">
        <v>923</v>
      </c>
      <c r="B36" s="725">
        <v>0</v>
      </c>
      <c r="C36" s="726">
        <v>0</v>
      </c>
      <c r="D36" s="726">
        <v>0</v>
      </c>
      <c r="E36" s="726" t="s">
        <v>476</v>
      </c>
      <c r="F36" s="726">
        <v>0</v>
      </c>
      <c r="G36" s="726">
        <v>0</v>
      </c>
      <c r="H36" s="726">
        <v>0</v>
      </c>
      <c r="I36" s="726">
        <v>0</v>
      </c>
      <c r="J36" s="728">
        <v>0</v>
      </c>
    </row>
    <row r="37" spans="1:10">
      <c r="A37" s="718" t="s">
        <v>924</v>
      </c>
      <c r="B37" s="719">
        <v>-9.1</v>
      </c>
      <c r="C37" s="720">
        <v>-10.4</v>
      </c>
      <c r="D37" s="720">
        <v>-8.9</v>
      </c>
      <c r="E37" s="720">
        <v>-35.299999999999997</v>
      </c>
      <c r="F37" s="720">
        <v>-6.5</v>
      </c>
      <c r="G37" s="720">
        <v>-4.8</v>
      </c>
      <c r="H37" s="720">
        <v>-1.7</v>
      </c>
      <c r="I37" s="720">
        <v>-284.7</v>
      </c>
      <c r="J37" s="722">
        <v>-11.4</v>
      </c>
    </row>
    <row r="38" spans="1:10">
      <c r="A38" s="718" t="s">
        <v>364</v>
      </c>
      <c r="B38" s="720" t="s">
        <v>364</v>
      </c>
      <c r="C38" s="720" t="s">
        <v>364</v>
      </c>
      <c r="D38" s="720" t="s">
        <v>364</v>
      </c>
      <c r="E38" s="720" t="s">
        <v>364</v>
      </c>
      <c r="F38" s="720" t="s">
        <v>364</v>
      </c>
      <c r="G38" s="720" t="s">
        <v>364</v>
      </c>
      <c r="H38" s="720" t="s">
        <v>364</v>
      </c>
      <c r="I38" s="720" t="s">
        <v>364</v>
      </c>
      <c r="J38" s="722" t="s">
        <v>364</v>
      </c>
    </row>
    <row r="39" spans="1:10">
      <c r="A39" s="718" t="s">
        <v>940</v>
      </c>
      <c r="B39" s="720" t="s">
        <v>364</v>
      </c>
      <c r="C39" s="720" t="s">
        <v>364</v>
      </c>
      <c r="D39" s="720" t="s">
        <v>364</v>
      </c>
      <c r="E39" s="720" t="s">
        <v>364</v>
      </c>
      <c r="F39" s="720" t="s">
        <v>364</v>
      </c>
      <c r="G39" s="720" t="s">
        <v>364</v>
      </c>
      <c r="H39" s="720" t="s">
        <v>364</v>
      </c>
      <c r="I39" s="720" t="s">
        <v>364</v>
      </c>
      <c r="J39" s="722" t="s">
        <v>364</v>
      </c>
    </row>
    <row r="40" spans="1:10">
      <c r="A40" s="724" t="s">
        <v>941</v>
      </c>
      <c r="B40" s="725">
        <v>-68</v>
      </c>
      <c r="C40" s="726">
        <v>0</v>
      </c>
      <c r="D40" s="726">
        <v>0</v>
      </c>
      <c r="E40" s="726">
        <v>0</v>
      </c>
      <c r="F40" s="726">
        <v>0</v>
      </c>
      <c r="G40" s="726">
        <v>0</v>
      </c>
      <c r="H40" s="726">
        <v>0</v>
      </c>
      <c r="I40" s="726">
        <v>0</v>
      </c>
      <c r="J40" s="728">
        <v>0</v>
      </c>
    </row>
    <row r="41" spans="1:10">
      <c r="A41" s="724" t="s">
        <v>942</v>
      </c>
      <c r="B41" s="725">
        <v>13.5</v>
      </c>
      <c r="C41" s="726">
        <v>-8.3000000000000007</v>
      </c>
      <c r="D41" s="726">
        <v>-8.3000000000000007</v>
      </c>
      <c r="E41" s="726">
        <v>-9.5</v>
      </c>
      <c r="F41" s="726">
        <v>-11.8</v>
      </c>
      <c r="G41" s="726">
        <v>-28.9</v>
      </c>
      <c r="H41" s="726">
        <v>-30</v>
      </c>
      <c r="I41" s="726">
        <v>196.6</v>
      </c>
      <c r="J41" s="728">
        <v>-10.7</v>
      </c>
    </row>
    <row r="42" spans="1:10">
      <c r="A42" s="724" t="s">
        <v>943</v>
      </c>
      <c r="B42" s="725">
        <v>-7.7</v>
      </c>
      <c r="C42" s="726">
        <v>0</v>
      </c>
      <c r="D42" s="726">
        <v>0</v>
      </c>
      <c r="E42" s="726">
        <v>0</v>
      </c>
      <c r="F42" s="726">
        <v>0</v>
      </c>
      <c r="G42" s="726">
        <v>0</v>
      </c>
      <c r="H42" s="726">
        <v>0</v>
      </c>
      <c r="I42" s="726">
        <v>0</v>
      </c>
      <c r="J42" s="728">
        <v>0</v>
      </c>
    </row>
    <row r="43" spans="1:10">
      <c r="A43" s="724" t="s">
        <v>944</v>
      </c>
      <c r="B43" s="725">
        <v>172.7</v>
      </c>
      <c r="C43" s="726">
        <v>0</v>
      </c>
      <c r="D43" s="726">
        <v>0</v>
      </c>
      <c r="E43" s="726">
        <v>0</v>
      </c>
      <c r="F43" s="726">
        <v>0</v>
      </c>
      <c r="G43" s="726">
        <v>25.6</v>
      </c>
      <c r="H43" s="726">
        <v>0</v>
      </c>
      <c r="I43" s="726">
        <v>204.5</v>
      </c>
      <c r="J43" s="728">
        <v>0</v>
      </c>
    </row>
    <row r="44" spans="1:10">
      <c r="A44" s="724" t="s">
        <v>945</v>
      </c>
      <c r="B44" s="725">
        <v>-151.5</v>
      </c>
      <c r="C44" s="726">
        <v>-8.3000000000000007</v>
      </c>
      <c r="D44" s="726">
        <v>-8.3000000000000007</v>
      </c>
      <c r="E44" s="726">
        <v>-9.5</v>
      </c>
      <c r="F44" s="726">
        <v>-11.8</v>
      </c>
      <c r="G44" s="726">
        <v>-54.5</v>
      </c>
      <c r="H44" s="726">
        <v>-30</v>
      </c>
      <c r="I44" s="726">
        <v>-7.9</v>
      </c>
      <c r="J44" s="728">
        <v>-10.7</v>
      </c>
    </row>
    <row r="45" spans="1:10">
      <c r="A45" s="724" t="s">
        <v>946</v>
      </c>
      <c r="B45" s="725">
        <v>64.099999999999994</v>
      </c>
      <c r="C45" s="726">
        <v>2</v>
      </c>
      <c r="D45" s="726">
        <v>3.2</v>
      </c>
      <c r="E45" s="726">
        <v>-6.4</v>
      </c>
      <c r="F45" s="726">
        <v>1.5</v>
      </c>
      <c r="G45" s="726">
        <v>1.7</v>
      </c>
      <c r="H45" s="726">
        <v>8.1</v>
      </c>
      <c r="I45" s="726">
        <v>5.6</v>
      </c>
      <c r="J45" s="728">
        <v>-13.5</v>
      </c>
    </row>
    <row r="46" spans="1:10">
      <c r="A46" s="724" t="s">
        <v>947</v>
      </c>
      <c r="B46" s="725">
        <v>64.099999999999994</v>
      </c>
      <c r="C46" s="726">
        <v>2</v>
      </c>
      <c r="D46" s="726">
        <v>3.2</v>
      </c>
      <c r="E46" s="726">
        <v>1.5</v>
      </c>
      <c r="F46" s="726">
        <v>1.5</v>
      </c>
      <c r="G46" s="726">
        <v>1.7</v>
      </c>
      <c r="H46" s="726">
        <v>8.1</v>
      </c>
      <c r="I46" s="726">
        <v>5.6</v>
      </c>
      <c r="J46" s="728">
        <v>3.6</v>
      </c>
    </row>
    <row r="47" spans="1:10">
      <c r="A47" s="724" t="s">
        <v>948</v>
      </c>
      <c r="B47" s="725">
        <v>0</v>
      </c>
      <c r="C47" s="726">
        <v>0</v>
      </c>
      <c r="D47" s="726">
        <v>0</v>
      </c>
      <c r="E47" s="726">
        <v>-7.9</v>
      </c>
      <c r="F47" s="726">
        <v>0</v>
      </c>
      <c r="G47" s="726">
        <v>0</v>
      </c>
      <c r="H47" s="726">
        <v>0</v>
      </c>
      <c r="I47" s="726">
        <v>0</v>
      </c>
      <c r="J47" s="728">
        <v>-17.100000000000001</v>
      </c>
    </row>
    <row r="48" spans="1:10">
      <c r="A48" s="724" t="s">
        <v>949</v>
      </c>
      <c r="B48" s="725">
        <v>-1.3</v>
      </c>
      <c r="C48" s="726">
        <v>-0.9</v>
      </c>
      <c r="D48" s="726">
        <v>-0.5</v>
      </c>
      <c r="E48" s="726">
        <v>-0.8</v>
      </c>
      <c r="F48" s="726">
        <v>-1.1000000000000001</v>
      </c>
      <c r="G48" s="726">
        <v>-1.8</v>
      </c>
      <c r="H48" s="726">
        <v>-0.8</v>
      </c>
      <c r="I48" s="726">
        <v>-1.2</v>
      </c>
      <c r="J48" s="728">
        <v>-0.1</v>
      </c>
    </row>
    <row r="49" spans="1:10">
      <c r="A49" s="724" t="s">
        <v>923</v>
      </c>
      <c r="B49" s="725">
        <v>0</v>
      </c>
      <c r="C49" s="726">
        <v>0</v>
      </c>
      <c r="D49" s="726">
        <v>0</v>
      </c>
      <c r="E49" s="726" t="s">
        <v>476</v>
      </c>
      <c r="F49" s="726">
        <v>0</v>
      </c>
      <c r="G49" s="726">
        <v>0</v>
      </c>
      <c r="H49" s="726">
        <v>0</v>
      </c>
      <c r="I49" s="726">
        <v>0</v>
      </c>
      <c r="J49" s="728">
        <v>0</v>
      </c>
    </row>
    <row r="50" spans="1:10">
      <c r="A50" s="718" t="s">
        <v>940</v>
      </c>
      <c r="B50" s="719">
        <v>8.3000000000000007</v>
      </c>
      <c r="C50" s="720">
        <v>-7.2</v>
      </c>
      <c r="D50" s="720">
        <v>-5.6</v>
      </c>
      <c r="E50" s="720">
        <v>-16.7</v>
      </c>
      <c r="F50" s="720">
        <v>-11.4</v>
      </c>
      <c r="G50" s="720">
        <v>-29.1</v>
      </c>
      <c r="H50" s="720">
        <v>-22.7</v>
      </c>
      <c r="I50" s="720">
        <v>200.9</v>
      </c>
      <c r="J50" s="722">
        <v>-24.4</v>
      </c>
    </row>
    <row r="51" spans="1:10">
      <c r="A51" s="718" t="s">
        <v>364</v>
      </c>
      <c r="B51" s="720" t="s">
        <v>364</v>
      </c>
      <c r="C51" s="720" t="s">
        <v>364</v>
      </c>
      <c r="D51" s="720" t="s">
        <v>364</v>
      </c>
      <c r="E51" s="720" t="s">
        <v>364</v>
      </c>
      <c r="F51" s="720" t="s">
        <v>364</v>
      </c>
      <c r="G51" s="720" t="s">
        <v>364</v>
      </c>
      <c r="H51" s="720" t="s">
        <v>364</v>
      </c>
      <c r="I51" s="720" t="s">
        <v>364</v>
      </c>
      <c r="J51" s="722" t="s">
        <v>364</v>
      </c>
    </row>
    <row r="52" spans="1:10">
      <c r="A52" s="724" t="s">
        <v>950</v>
      </c>
      <c r="B52" s="725">
        <v>0</v>
      </c>
      <c r="C52" s="726">
        <v>0</v>
      </c>
      <c r="D52" s="726">
        <v>0</v>
      </c>
      <c r="E52" s="726">
        <v>0</v>
      </c>
      <c r="F52" s="726">
        <v>0</v>
      </c>
      <c r="G52" s="726">
        <v>0</v>
      </c>
      <c r="H52" s="726">
        <v>0</v>
      </c>
      <c r="I52" s="726">
        <v>0</v>
      </c>
      <c r="J52" s="728">
        <v>0</v>
      </c>
    </row>
    <row r="53" spans="1:10">
      <c r="A53" s="718" t="s">
        <v>364</v>
      </c>
      <c r="B53" s="720" t="s">
        <v>364</v>
      </c>
      <c r="C53" s="720" t="s">
        <v>364</v>
      </c>
      <c r="D53" s="720" t="s">
        <v>364</v>
      </c>
      <c r="E53" s="720" t="s">
        <v>364</v>
      </c>
      <c r="F53" s="720" t="s">
        <v>364</v>
      </c>
      <c r="G53" s="720" t="s">
        <v>364</v>
      </c>
      <c r="H53" s="720" t="s">
        <v>364</v>
      </c>
      <c r="I53" s="720" t="s">
        <v>364</v>
      </c>
      <c r="J53" s="722" t="s">
        <v>364</v>
      </c>
    </row>
    <row r="54" spans="1:10">
      <c r="A54" s="718" t="s">
        <v>329</v>
      </c>
      <c r="B54" s="719">
        <v>1.3</v>
      </c>
      <c r="C54" s="720">
        <v>-5.2</v>
      </c>
      <c r="D54" s="720">
        <v>41.1</v>
      </c>
      <c r="E54" s="720">
        <v>-7.7</v>
      </c>
      <c r="F54" s="720">
        <v>11.6</v>
      </c>
      <c r="G54" s="720">
        <v>-14.4</v>
      </c>
      <c r="H54" s="720">
        <v>77.400000000000006</v>
      </c>
      <c r="I54" s="720">
        <v>-12.6</v>
      </c>
      <c r="J54" s="722">
        <v>-1.1000000000000001</v>
      </c>
    </row>
    <row r="55" spans="1:10">
      <c r="A55" s="718" t="s">
        <v>364</v>
      </c>
      <c r="B55" s="720" t="s">
        <v>364</v>
      </c>
      <c r="C55" s="720" t="s">
        <v>364</v>
      </c>
      <c r="D55" s="720" t="s">
        <v>364</v>
      </c>
      <c r="E55" s="720" t="s">
        <v>364</v>
      </c>
      <c r="F55" s="720" t="s">
        <v>364</v>
      </c>
      <c r="G55" s="720" t="s">
        <v>364</v>
      </c>
      <c r="H55" s="720" t="s">
        <v>364</v>
      </c>
      <c r="I55" s="720" t="s">
        <v>364</v>
      </c>
      <c r="J55" s="722" t="s">
        <v>364</v>
      </c>
    </row>
    <row r="56" spans="1:10">
      <c r="A56" s="718" t="s">
        <v>951</v>
      </c>
      <c r="B56" s="719">
        <v>8.5</v>
      </c>
      <c r="C56" s="720">
        <v>5.7</v>
      </c>
      <c r="D56" s="720">
        <v>4.0999999999999996</v>
      </c>
      <c r="E56" s="720" t="s">
        <v>476</v>
      </c>
      <c r="F56" s="720" t="s">
        <v>476</v>
      </c>
      <c r="G56" s="720">
        <v>7.6</v>
      </c>
      <c r="H56" s="720">
        <v>13.4</v>
      </c>
      <c r="I56" s="720">
        <v>12.4</v>
      </c>
      <c r="J56" s="722" t="s">
        <v>364</v>
      </c>
    </row>
    <row r="57" spans="1:10">
      <c r="A57" s="718" t="s">
        <v>952</v>
      </c>
      <c r="B57" s="719">
        <v>12.2</v>
      </c>
      <c r="C57" s="720">
        <v>8.1999999999999993</v>
      </c>
      <c r="D57" s="720">
        <v>7.1</v>
      </c>
      <c r="E57" s="720" t="s">
        <v>476</v>
      </c>
      <c r="F57" s="720" t="s">
        <v>476</v>
      </c>
      <c r="G57" s="720">
        <v>1.8</v>
      </c>
      <c r="H57" s="720">
        <v>3.5</v>
      </c>
      <c r="I57" s="720">
        <v>11.3</v>
      </c>
      <c r="J57" s="722" t="s">
        <v>364</v>
      </c>
    </row>
    <row r="58" spans="1:10">
      <c r="A58" s="718" t="s">
        <v>364</v>
      </c>
      <c r="B58" s="720" t="s">
        <v>364</v>
      </c>
      <c r="C58" s="720" t="s">
        <v>364</v>
      </c>
      <c r="D58" s="720" t="s">
        <v>364</v>
      </c>
      <c r="E58" s="720" t="s">
        <v>364</v>
      </c>
      <c r="F58" s="720" t="s">
        <v>364</v>
      </c>
      <c r="G58" s="720" t="s">
        <v>364</v>
      </c>
      <c r="H58" s="720" t="s">
        <v>364</v>
      </c>
      <c r="I58" s="720" t="s">
        <v>364</v>
      </c>
      <c r="J58" s="722" t="s">
        <v>364</v>
      </c>
    </row>
    <row r="59" spans="1:10">
      <c r="A59" s="718" t="s">
        <v>778</v>
      </c>
      <c r="B59" s="720" t="s">
        <v>364</v>
      </c>
      <c r="C59" s="720" t="s">
        <v>364</v>
      </c>
      <c r="D59" s="720" t="s">
        <v>364</v>
      </c>
      <c r="E59" s="720" t="s">
        <v>364</v>
      </c>
      <c r="F59" s="720" t="s">
        <v>364</v>
      </c>
      <c r="G59" s="720" t="s">
        <v>364</v>
      </c>
      <c r="H59" s="720" t="s">
        <v>364</v>
      </c>
      <c r="I59" s="720" t="s">
        <v>364</v>
      </c>
      <c r="J59" s="722" t="s">
        <v>364</v>
      </c>
    </row>
    <row r="60" spans="1:10">
      <c r="A60" s="724" t="s">
        <v>245</v>
      </c>
      <c r="B60" s="725">
        <v>36.200000000000003</v>
      </c>
      <c r="C60" s="726">
        <v>47.8</v>
      </c>
      <c r="D60" s="726">
        <v>44</v>
      </c>
      <c r="E60" s="726">
        <v>55.7</v>
      </c>
      <c r="F60" s="726">
        <v>39.299999999999997</v>
      </c>
      <c r="G60" s="726">
        <v>61.1</v>
      </c>
      <c r="H60" s="726">
        <v>94.9</v>
      </c>
      <c r="I60" s="726">
        <v>192.9</v>
      </c>
      <c r="J60" s="728">
        <v>184.8</v>
      </c>
    </row>
    <row r="61" spans="1:10">
      <c r="A61" s="724" t="s">
        <v>953</v>
      </c>
      <c r="B61" s="725">
        <v>15.78</v>
      </c>
      <c r="C61" s="726">
        <v>17.71</v>
      </c>
      <c r="D61" s="726">
        <v>16.46</v>
      </c>
      <c r="E61" s="726">
        <v>19.71</v>
      </c>
      <c r="F61" s="726">
        <v>12.37</v>
      </c>
      <c r="G61" s="726">
        <v>15.58</v>
      </c>
      <c r="H61" s="726">
        <v>16.399999999999999</v>
      </c>
      <c r="I61" s="726">
        <v>18.84</v>
      </c>
      <c r="J61" s="728">
        <v>14.19</v>
      </c>
    </row>
    <row r="62" spans="1:10">
      <c r="A62" s="724" t="s">
        <v>954</v>
      </c>
      <c r="B62" s="725">
        <v>0</v>
      </c>
      <c r="C62" s="726">
        <v>0</v>
      </c>
      <c r="D62" s="726">
        <v>0</v>
      </c>
      <c r="E62" s="726">
        <v>25.9</v>
      </c>
      <c r="F62" s="726">
        <v>0</v>
      </c>
      <c r="G62" s="726">
        <v>0</v>
      </c>
      <c r="H62" s="726" t="s">
        <v>476</v>
      </c>
      <c r="I62" s="726">
        <v>275</v>
      </c>
      <c r="J62" s="728" t="s">
        <v>364</v>
      </c>
    </row>
    <row r="63" spans="1:10">
      <c r="A63" s="724" t="s">
        <v>955</v>
      </c>
      <c r="B63" s="725">
        <v>-7.1</v>
      </c>
      <c r="C63" s="726">
        <v>4.8</v>
      </c>
      <c r="D63" s="726">
        <v>46.7</v>
      </c>
      <c r="E63" s="726">
        <v>34.9</v>
      </c>
      <c r="F63" s="726">
        <v>23</v>
      </c>
      <c r="G63" s="726">
        <v>14.7</v>
      </c>
      <c r="H63" s="726">
        <v>100.2</v>
      </c>
      <c r="I63" s="726">
        <v>62.5</v>
      </c>
      <c r="J63" s="728">
        <v>24.6</v>
      </c>
    </row>
    <row r="64" spans="1:10">
      <c r="A64" s="724" t="s">
        <v>956</v>
      </c>
      <c r="B64" s="725">
        <v>1.7</v>
      </c>
      <c r="C64" s="726" t="s">
        <v>476</v>
      </c>
      <c r="D64" s="726">
        <v>53.5</v>
      </c>
      <c r="E64" s="726">
        <v>39.6</v>
      </c>
      <c r="F64" s="726" t="s">
        <v>476</v>
      </c>
      <c r="G64" s="726">
        <v>16.8</v>
      </c>
      <c r="H64" s="726">
        <v>102.1</v>
      </c>
      <c r="I64" s="726">
        <v>68.900000000000006</v>
      </c>
      <c r="J64" s="728">
        <v>36.6</v>
      </c>
    </row>
    <row r="65" spans="1:10">
      <c r="A65" s="724" t="s">
        <v>957</v>
      </c>
      <c r="B65" s="725">
        <v>-190.8</v>
      </c>
      <c r="C65" s="726">
        <v>-3.4</v>
      </c>
      <c r="D65" s="726">
        <v>38.5</v>
      </c>
      <c r="E65" s="726">
        <v>25.4</v>
      </c>
      <c r="F65" s="726">
        <v>11.2</v>
      </c>
      <c r="G65" s="726">
        <v>-14.2</v>
      </c>
      <c r="H65" s="726">
        <v>70.2</v>
      </c>
      <c r="I65" s="726">
        <v>259.10000000000002</v>
      </c>
      <c r="J65" s="728">
        <v>13.9</v>
      </c>
    </row>
    <row r="66" spans="1:10">
      <c r="A66" s="724" t="s">
        <v>958</v>
      </c>
      <c r="B66" s="725">
        <v>-0.56000000000000005</v>
      </c>
      <c r="C66" s="726">
        <v>0.11</v>
      </c>
      <c r="D66" s="726">
        <v>1</v>
      </c>
      <c r="E66" s="726">
        <v>0.72</v>
      </c>
      <c r="F66" s="726">
        <v>0.47</v>
      </c>
      <c r="G66" s="726">
        <v>0.28999999999999998</v>
      </c>
      <c r="H66" s="726">
        <v>1.91</v>
      </c>
      <c r="I66" s="726">
        <v>1.1399999999999999</v>
      </c>
      <c r="J66" s="728">
        <v>0.45</v>
      </c>
    </row>
    <row r="67" spans="1:10">
      <c r="A67" s="724" t="s">
        <v>959</v>
      </c>
      <c r="B67" s="725" t="s">
        <v>476</v>
      </c>
      <c r="C67" s="726">
        <v>209.34</v>
      </c>
      <c r="D67" s="726">
        <v>8.68</v>
      </c>
      <c r="E67" s="726">
        <v>13.68</v>
      </c>
      <c r="F67" s="726">
        <v>57.6</v>
      </c>
      <c r="G67" s="726">
        <v>89.54</v>
      </c>
      <c r="H67" s="726">
        <v>43.14</v>
      </c>
      <c r="I67" s="726">
        <v>171.73</v>
      </c>
      <c r="J67" s="728">
        <v>143.87</v>
      </c>
    </row>
    <row r="68" spans="1:10">
      <c r="A68" s="724" t="s">
        <v>275</v>
      </c>
      <c r="B68" s="725">
        <v>0.4</v>
      </c>
      <c r="C68" s="726">
        <v>0.37</v>
      </c>
      <c r="D68" s="726">
        <v>3.58</v>
      </c>
      <c r="E68" s="726">
        <v>2.48</v>
      </c>
      <c r="F68" s="726">
        <v>4.7300000000000004</v>
      </c>
      <c r="G68" s="726">
        <v>0.9</v>
      </c>
      <c r="H68" s="726">
        <v>1.66</v>
      </c>
      <c r="I68" s="726">
        <v>0.56000000000000005</v>
      </c>
      <c r="J68" s="728">
        <v>-0.85</v>
      </c>
    </row>
    <row r="69" spans="1:10">
      <c r="A69" s="734" t="s">
        <v>788</v>
      </c>
      <c r="B69" s="734" t="s">
        <v>789</v>
      </c>
      <c r="C69" s="735"/>
      <c r="D69" s="735"/>
      <c r="E69" s="735"/>
      <c r="F69" s="735"/>
      <c r="G69" s="734" t="s">
        <v>364</v>
      </c>
      <c r="H69" s="734" t="s">
        <v>364</v>
      </c>
      <c r="I69" s="734" t="s">
        <v>364</v>
      </c>
      <c r="J69" s="734" t="s">
        <v>364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BD872-EAB0-4119-B70F-4B45AF3DED10}">
  <dimension ref="A1:K26"/>
  <sheetViews>
    <sheetView workbookViewId="0">
      <selection activeCell="N5" sqref="N5:O11"/>
    </sheetView>
  </sheetViews>
  <sheetFormatPr defaultColWidth="8.875" defaultRowHeight="14.1"/>
  <cols>
    <col min="1" max="1" width="27" customWidth="1"/>
  </cols>
  <sheetData>
    <row r="1" spans="1:11" ht="14.45">
      <c r="A1" s="709" t="s">
        <v>364</v>
      </c>
      <c r="B1" s="709" t="s">
        <v>364</v>
      </c>
      <c r="C1" s="709" t="s">
        <v>364</v>
      </c>
      <c r="D1" s="709" t="s">
        <v>364</v>
      </c>
      <c r="E1" s="709" t="s">
        <v>364</v>
      </c>
      <c r="F1" s="709" t="s">
        <v>364</v>
      </c>
      <c r="G1" s="709" t="s">
        <v>364</v>
      </c>
      <c r="H1" s="709" t="s">
        <v>364</v>
      </c>
      <c r="I1" s="709" t="s">
        <v>364</v>
      </c>
      <c r="J1" s="709" t="s">
        <v>364</v>
      </c>
    </row>
    <row r="2" spans="1:11" ht="20.100000000000001">
      <c r="A2" s="710" t="s">
        <v>960</v>
      </c>
      <c r="B2" s="711"/>
      <c r="C2" s="711"/>
      <c r="D2" s="711"/>
      <c r="E2" s="710" t="s">
        <v>364</v>
      </c>
      <c r="F2" s="710" t="s">
        <v>364</v>
      </c>
      <c r="G2" s="710" t="s">
        <v>364</v>
      </c>
      <c r="H2" s="710" t="s">
        <v>364</v>
      </c>
      <c r="I2" s="710" t="s">
        <v>364</v>
      </c>
      <c r="J2" s="710" t="s">
        <v>364</v>
      </c>
      <c r="K2" s="710" t="s">
        <v>364</v>
      </c>
    </row>
    <row r="3" spans="1:11">
      <c r="A3" s="712" t="s">
        <v>364</v>
      </c>
      <c r="B3" s="712" t="s">
        <v>364</v>
      </c>
      <c r="C3" s="712" t="s">
        <v>364</v>
      </c>
      <c r="D3" s="712" t="s">
        <v>364</v>
      </c>
      <c r="E3" s="712" t="s">
        <v>364</v>
      </c>
      <c r="F3" s="712" t="s">
        <v>364</v>
      </c>
      <c r="G3" s="712" t="s">
        <v>364</v>
      </c>
      <c r="H3" s="712" t="s">
        <v>364</v>
      </c>
      <c r="I3" s="712" t="s">
        <v>364</v>
      </c>
      <c r="J3" s="712" t="s">
        <v>364</v>
      </c>
    </row>
    <row r="4" spans="1:11">
      <c r="A4" s="713" t="s">
        <v>735</v>
      </c>
      <c r="B4" s="714" t="s">
        <v>484</v>
      </c>
      <c r="C4" s="714" t="s">
        <v>485</v>
      </c>
      <c r="D4" s="714" t="s">
        <v>486</v>
      </c>
      <c r="E4" s="714" t="s">
        <v>487</v>
      </c>
      <c r="F4" s="714" t="s">
        <v>489</v>
      </c>
      <c r="G4" s="714" t="s">
        <v>490</v>
      </c>
      <c r="H4" s="714" t="s">
        <v>491</v>
      </c>
      <c r="I4" s="714" t="s">
        <v>492</v>
      </c>
      <c r="J4" s="714" t="s">
        <v>493</v>
      </c>
    </row>
    <row r="5" spans="1:11">
      <c r="A5" s="715" t="s">
        <v>737</v>
      </c>
      <c r="B5" s="717">
        <v>42369</v>
      </c>
      <c r="C5" s="717">
        <v>42735</v>
      </c>
      <c r="D5" s="717">
        <v>43100</v>
      </c>
      <c r="E5" s="717">
        <v>43465</v>
      </c>
      <c r="F5" s="717">
        <v>43921</v>
      </c>
      <c r="G5" s="717">
        <v>44286</v>
      </c>
      <c r="H5" s="717">
        <v>44651</v>
      </c>
      <c r="I5" s="717">
        <v>45016</v>
      </c>
      <c r="J5" s="717">
        <v>45382</v>
      </c>
    </row>
    <row r="6" spans="1:11">
      <c r="A6" s="718" t="s">
        <v>961</v>
      </c>
      <c r="B6" s="720" t="s">
        <v>364</v>
      </c>
      <c r="C6" s="720" t="s">
        <v>364</v>
      </c>
      <c r="D6" s="720" t="s">
        <v>364</v>
      </c>
      <c r="E6" s="720" t="s">
        <v>364</v>
      </c>
      <c r="F6" s="720" t="s">
        <v>364</v>
      </c>
      <c r="G6" s="720" t="s">
        <v>364</v>
      </c>
      <c r="H6" s="720" t="s">
        <v>364</v>
      </c>
      <c r="I6" s="720" t="s">
        <v>364</v>
      </c>
      <c r="J6" s="720" t="s">
        <v>364</v>
      </c>
    </row>
    <row r="7" spans="1:11">
      <c r="A7" s="724" t="s">
        <v>962</v>
      </c>
      <c r="B7" s="725" t="s">
        <v>476</v>
      </c>
      <c r="C7" s="726" t="s">
        <v>476</v>
      </c>
      <c r="D7" s="726">
        <v>20</v>
      </c>
      <c r="E7" s="726">
        <v>7.34</v>
      </c>
      <c r="F7" s="726">
        <v>7.82</v>
      </c>
      <c r="G7" s="726">
        <v>2.44</v>
      </c>
      <c r="H7" s="726">
        <v>7.48</v>
      </c>
      <c r="I7" s="726">
        <v>17.010000000000002</v>
      </c>
      <c r="J7" s="726">
        <v>24.23</v>
      </c>
    </row>
    <row r="8" spans="1:11">
      <c r="A8" s="724" t="s">
        <v>33</v>
      </c>
      <c r="B8" s="725" t="s">
        <v>476</v>
      </c>
      <c r="C8" s="726">
        <v>1.37</v>
      </c>
      <c r="D8" s="726">
        <v>8.0500000000000007</v>
      </c>
      <c r="E8" s="726">
        <v>3.64</v>
      </c>
      <c r="F8" s="726">
        <v>4.04</v>
      </c>
      <c r="G8" s="726">
        <v>1.33</v>
      </c>
      <c r="H8" s="726">
        <v>4.43</v>
      </c>
      <c r="I8" s="726">
        <v>11.29</v>
      </c>
      <c r="J8" s="726">
        <v>14.8</v>
      </c>
    </row>
    <row r="9" spans="1:11">
      <c r="A9" s="724" t="s">
        <v>963</v>
      </c>
      <c r="B9" s="725" t="s">
        <v>476</v>
      </c>
      <c r="C9" s="726">
        <v>4.8099999999999996</v>
      </c>
      <c r="D9" s="726">
        <v>11.95</v>
      </c>
      <c r="E9" s="726">
        <v>6.11</v>
      </c>
      <c r="F9" s="726">
        <v>5.8</v>
      </c>
      <c r="G9" s="726">
        <v>2.3199999999999998</v>
      </c>
      <c r="H9" s="726">
        <v>5.61</v>
      </c>
      <c r="I9" s="726">
        <v>13.76</v>
      </c>
      <c r="J9" s="726">
        <v>18.79</v>
      </c>
    </row>
    <row r="10" spans="1:11">
      <c r="A10" s="724" t="s">
        <v>964</v>
      </c>
      <c r="B10" s="725" t="s">
        <v>476</v>
      </c>
      <c r="C10" s="726">
        <v>3.77</v>
      </c>
      <c r="D10" s="726">
        <v>11.39</v>
      </c>
      <c r="E10" s="726">
        <v>5.87</v>
      </c>
      <c r="F10" s="726">
        <v>5.45</v>
      </c>
      <c r="G10" s="726">
        <v>2.52</v>
      </c>
      <c r="H10" s="726">
        <v>5.75</v>
      </c>
      <c r="I10" s="726">
        <v>13.98</v>
      </c>
      <c r="J10" s="726">
        <v>18.95</v>
      </c>
    </row>
    <row r="11" spans="1:11">
      <c r="A11" s="724" t="s">
        <v>364</v>
      </c>
      <c r="B11" s="726" t="s">
        <v>364</v>
      </c>
      <c r="C11" s="726" t="s">
        <v>364</v>
      </c>
      <c r="D11" s="726" t="s">
        <v>364</v>
      </c>
      <c r="E11" s="726" t="s">
        <v>364</v>
      </c>
      <c r="F11" s="726" t="s">
        <v>364</v>
      </c>
      <c r="G11" s="726" t="s">
        <v>364</v>
      </c>
      <c r="H11" s="726" t="s">
        <v>364</v>
      </c>
      <c r="I11" s="726" t="s">
        <v>364</v>
      </c>
      <c r="J11" s="726" t="s">
        <v>364</v>
      </c>
    </row>
    <row r="12" spans="1:11">
      <c r="A12" s="718" t="s">
        <v>965</v>
      </c>
      <c r="B12" s="720" t="s">
        <v>364</v>
      </c>
      <c r="C12" s="720" t="s">
        <v>364</v>
      </c>
      <c r="D12" s="720" t="s">
        <v>364</v>
      </c>
      <c r="E12" s="720" t="s">
        <v>364</v>
      </c>
      <c r="F12" s="720" t="s">
        <v>364</v>
      </c>
      <c r="G12" s="720" t="s">
        <v>364</v>
      </c>
      <c r="H12" s="720" t="s">
        <v>364</v>
      </c>
      <c r="I12" s="720" t="s">
        <v>364</v>
      </c>
      <c r="J12" s="720" t="s">
        <v>364</v>
      </c>
    </row>
    <row r="13" spans="1:11">
      <c r="A13" s="724" t="s">
        <v>783</v>
      </c>
      <c r="B13" s="725">
        <v>52.41</v>
      </c>
      <c r="C13" s="726">
        <v>57.6</v>
      </c>
      <c r="D13" s="726">
        <v>61.03</v>
      </c>
      <c r="E13" s="726">
        <v>60.85</v>
      </c>
      <c r="F13" s="726">
        <v>64.03</v>
      </c>
      <c r="G13" s="726">
        <v>64.819999999999993</v>
      </c>
      <c r="H13" s="726">
        <v>64.19</v>
      </c>
      <c r="I13" s="726">
        <v>67.44</v>
      </c>
      <c r="J13" s="726">
        <v>70.72</v>
      </c>
    </row>
    <row r="14" spans="1:11">
      <c r="A14" s="724" t="s">
        <v>39</v>
      </c>
      <c r="B14" s="725" t="s">
        <v>476</v>
      </c>
      <c r="C14" s="726">
        <v>15.78</v>
      </c>
      <c r="D14" s="726">
        <v>17.71</v>
      </c>
      <c r="E14" s="726">
        <v>16.46</v>
      </c>
      <c r="F14" s="726">
        <v>19.71</v>
      </c>
      <c r="G14" s="726">
        <v>12.37</v>
      </c>
      <c r="H14" s="726">
        <v>15.58</v>
      </c>
      <c r="I14" s="726">
        <v>16.399999999999999</v>
      </c>
      <c r="J14" s="726">
        <v>18.84</v>
      </c>
    </row>
    <row r="15" spans="1:11">
      <c r="A15" s="724" t="s">
        <v>256</v>
      </c>
      <c r="B15" s="725">
        <v>13.36</v>
      </c>
      <c r="C15" s="726">
        <v>10.050000000000001</v>
      </c>
      <c r="D15" s="726">
        <v>12.33</v>
      </c>
      <c r="E15" s="726">
        <v>9.7799999999999994</v>
      </c>
      <c r="F15" s="726">
        <v>10.59</v>
      </c>
      <c r="G15" s="726">
        <v>2.96</v>
      </c>
      <c r="H15" s="726">
        <v>7.47</v>
      </c>
      <c r="I15" s="726">
        <v>11.77</v>
      </c>
      <c r="J15" s="726">
        <v>14.62</v>
      </c>
    </row>
    <row r="16" spans="1:11">
      <c r="A16" s="724" t="s">
        <v>966</v>
      </c>
      <c r="B16" s="725" t="s">
        <v>476</v>
      </c>
      <c r="C16" s="726" t="s">
        <v>476</v>
      </c>
      <c r="D16" s="726">
        <v>25.3</v>
      </c>
      <c r="E16" s="726">
        <v>-290.13</v>
      </c>
      <c r="F16" s="726" t="s">
        <v>476</v>
      </c>
      <c r="G16" s="726" t="s">
        <v>476</v>
      </c>
      <c r="H16" s="726">
        <v>26.89</v>
      </c>
      <c r="I16" s="726">
        <v>20.8</v>
      </c>
      <c r="J16" s="726">
        <v>18.32</v>
      </c>
    </row>
    <row r="17" spans="1:10">
      <c r="A17" s="724" t="s">
        <v>967</v>
      </c>
      <c r="B17" s="725">
        <v>13.36</v>
      </c>
      <c r="C17" s="726">
        <v>4.2699999999999996</v>
      </c>
      <c r="D17" s="726">
        <v>8.33</v>
      </c>
      <c r="E17" s="726">
        <v>6.71</v>
      </c>
      <c r="F17" s="726">
        <v>8.51</v>
      </c>
      <c r="G17" s="726">
        <v>1.1599999999999999</v>
      </c>
      <c r="H17" s="726">
        <v>6.48</v>
      </c>
      <c r="I17" s="726">
        <v>11.07</v>
      </c>
      <c r="J17" s="726">
        <v>13.77</v>
      </c>
    </row>
    <row r="18" spans="1:10">
      <c r="A18" s="724" t="s">
        <v>968</v>
      </c>
      <c r="B18" s="725">
        <v>13.36</v>
      </c>
      <c r="C18" s="726">
        <v>2.31</v>
      </c>
      <c r="D18" s="726">
        <v>12.4</v>
      </c>
      <c r="E18" s="726">
        <v>5.81</v>
      </c>
      <c r="F18" s="726">
        <v>6.32</v>
      </c>
      <c r="G18" s="726">
        <v>1.96</v>
      </c>
      <c r="H18" s="726">
        <v>5.55</v>
      </c>
      <c r="I18" s="726">
        <v>10.63</v>
      </c>
      <c r="J18" s="726">
        <v>12.47</v>
      </c>
    </row>
    <row r="19" spans="1:10">
      <c r="A19" s="724" t="s">
        <v>45</v>
      </c>
      <c r="B19" s="725">
        <v>2.2799999999999998</v>
      </c>
      <c r="C19" s="726">
        <v>2.31</v>
      </c>
      <c r="D19" s="726">
        <v>12.4</v>
      </c>
      <c r="E19" s="726">
        <v>5.81</v>
      </c>
      <c r="F19" s="726">
        <v>6.32</v>
      </c>
      <c r="G19" s="726">
        <v>1.96</v>
      </c>
      <c r="H19" s="726">
        <v>5.55</v>
      </c>
      <c r="I19" s="726">
        <v>10.63</v>
      </c>
      <c r="J19" s="726">
        <v>12.47</v>
      </c>
    </row>
    <row r="20" spans="1:10">
      <c r="A20" s="724" t="s">
        <v>969</v>
      </c>
      <c r="B20" s="725">
        <v>2.2799999999999998</v>
      </c>
      <c r="C20" s="726">
        <v>-216.73</v>
      </c>
      <c r="D20" s="726">
        <v>12.4</v>
      </c>
      <c r="E20" s="726">
        <v>5.81</v>
      </c>
      <c r="F20" s="726">
        <v>6.32</v>
      </c>
      <c r="G20" s="726">
        <v>1.96</v>
      </c>
      <c r="H20" s="726">
        <v>5.55</v>
      </c>
      <c r="I20" s="726">
        <v>10.63</v>
      </c>
      <c r="J20" s="726">
        <v>12.47</v>
      </c>
    </row>
    <row r="21" spans="1:10">
      <c r="A21" s="724" t="s">
        <v>364</v>
      </c>
      <c r="B21" s="726" t="s">
        <v>364</v>
      </c>
      <c r="C21" s="726" t="s">
        <v>364</v>
      </c>
      <c r="D21" s="726" t="s">
        <v>364</v>
      </c>
      <c r="E21" s="726" t="s">
        <v>364</v>
      </c>
      <c r="F21" s="726" t="s">
        <v>364</v>
      </c>
      <c r="G21" s="726" t="s">
        <v>364</v>
      </c>
      <c r="H21" s="726" t="s">
        <v>364</v>
      </c>
      <c r="I21" s="726" t="s">
        <v>364</v>
      </c>
      <c r="J21" s="726" t="s">
        <v>364</v>
      </c>
    </row>
    <row r="22" spans="1:10">
      <c r="A22" s="718" t="s">
        <v>731</v>
      </c>
      <c r="B22" s="720" t="s">
        <v>364</v>
      </c>
      <c r="C22" s="720" t="s">
        <v>364</v>
      </c>
      <c r="D22" s="720" t="s">
        <v>364</v>
      </c>
      <c r="E22" s="720" t="s">
        <v>364</v>
      </c>
      <c r="F22" s="720" t="s">
        <v>364</v>
      </c>
      <c r="G22" s="720" t="s">
        <v>364</v>
      </c>
      <c r="H22" s="720" t="s">
        <v>364</v>
      </c>
      <c r="I22" s="720" t="s">
        <v>364</v>
      </c>
      <c r="J22" s="720" t="s">
        <v>364</v>
      </c>
    </row>
    <row r="23" spans="1:10">
      <c r="A23" s="724" t="s">
        <v>733</v>
      </c>
      <c r="B23" s="725" t="s">
        <v>476</v>
      </c>
      <c r="C23" s="726">
        <v>45.85</v>
      </c>
      <c r="D23" s="726" t="s">
        <v>476</v>
      </c>
      <c r="E23" s="726">
        <v>13.54</v>
      </c>
      <c r="F23" s="726">
        <v>25.7</v>
      </c>
      <c r="G23" s="726" t="s">
        <v>476</v>
      </c>
      <c r="H23" s="726">
        <v>14.4</v>
      </c>
      <c r="I23" s="726">
        <v>3.97</v>
      </c>
      <c r="J23" s="726">
        <v>9.4499999999999993</v>
      </c>
    </row>
    <row r="24" spans="1:10">
      <c r="A24" s="724" t="s">
        <v>970</v>
      </c>
      <c r="B24" s="725" t="s">
        <v>476</v>
      </c>
      <c r="C24" s="726" t="s">
        <v>476</v>
      </c>
      <c r="D24" s="726" t="s">
        <v>476</v>
      </c>
      <c r="E24" s="726" t="s">
        <v>476</v>
      </c>
      <c r="F24" s="726">
        <v>0</v>
      </c>
      <c r="G24" s="726">
        <v>0</v>
      </c>
      <c r="H24" s="726">
        <v>0</v>
      </c>
      <c r="I24" s="726">
        <v>0</v>
      </c>
      <c r="J24" s="726">
        <v>0</v>
      </c>
    </row>
    <row r="25" spans="1:10">
      <c r="A25" s="724" t="s">
        <v>971</v>
      </c>
      <c r="B25" s="725" t="s">
        <v>476</v>
      </c>
      <c r="C25" s="726" t="s">
        <v>476</v>
      </c>
      <c r="D25" s="726" t="s">
        <v>476</v>
      </c>
      <c r="E25" s="726" t="s">
        <v>476</v>
      </c>
      <c r="F25" s="726">
        <v>7.82</v>
      </c>
      <c r="G25" s="726">
        <v>2.44</v>
      </c>
      <c r="H25" s="726">
        <v>7.48</v>
      </c>
      <c r="I25" s="726">
        <v>17.010000000000002</v>
      </c>
      <c r="J25" s="726">
        <v>24.23</v>
      </c>
    </row>
    <row r="26" spans="1:10">
      <c r="A26" s="734" t="s">
        <v>788</v>
      </c>
      <c r="B26" s="734" t="s">
        <v>789</v>
      </c>
      <c r="C26" s="735"/>
      <c r="D26" s="735"/>
      <c r="E26" s="735"/>
      <c r="F26" s="735"/>
      <c r="G26" s="734" t="s">
        <v>364</v>
      </c>
      <c r="H26" s="734" t="s">
        <v>364</v>
      </c>
      <c r="I26" s="734" t="s">
        <v>364</v>
      </c>
      <c r="J26" s="734" t="s">
        <v>364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1948-2118-4867-8DDE-12D170EB75F5}">
  <dimension ref="A1:V46"/>
  <sheetViews>
    <sheetView workbookViewId="0">
      <selection activeCell="N5" sqref="N5:O11"/>
    </sheetView>
  </sheetViews>
  <sheetFormatPr defaultColWidth="8.875" defaultRowHeight="14.1"/>
  <cols>
    <col min="1" max="1" width="31.625" customWidth="1"/>
  </cols>
  <sheetData>
    <row r="1" spans="1:22" ht="14.45">
      <c r="A1" s="709" t="s">
        <v>364</v>
      </c>
      <c r="B1" s="709" t="s">
        <v>364</v>
      </c>
      <c r="C1" s="709" t="s">
        <v>364</v>
      </c>
      <c r="D1" s="709" t="s">
        <v>364</v>
      </c>
      <c r="E1" s="709" t="s">
        <v>364</v>
      </c>
      <c r="F1" s="709" t="s">
        <v>364</v>
      </c>
      <c r="G1" s="709" t="s">
        <v>364</v>
      </c>
      <c r="H1" s="709" t="s">
        <v>364</v>
      </c>
      <c r="I1" s="709" t="s">
        <v>364</v>
      </c>
      <c r="J1" s="709" t="s">
        <v>364</v>
      </c>
      <c r="K1" s="709" t="s">
        <v>364</v>
      </c>
      <c r="L1" s="709" t="s">
        <v>364</v>
      </c>
      <c r="M1" s="709" t="s">
        <v>364</v>
      </c>
      <c r="N1" s="709" t="s">
        <v>364</v>
      </c>
      <c r="O1" s="709" t="s">
        <v>364</v>
      </c>
      <c r="P1" s="709" t="s">
        <v>364</v>
      </c>
      <c r="Q1" s="709" t="s">
        <v>364</v>
      </c>
      <c r="R1" s="709" t="s">
        <v>364</v>
      </c>
      <c r="S1" s="709" t="s">
        <v>364</v>
      </c>
      <c r="T1" s="709" t="s">
        <v>364</v>
      </c>
      <c r="U1" s="709" t="s">
        <v>364</v>
      </c>
    </row>
    <row r="2" spans="1:22" ht="20.100000000000001">
      <c r="A2" s="710" t="s">
        <v>972</v>
      </c>
      <c r="B2" s="711"/>
      <c r="C2" s="711"/>
      <c r="D2" s="711"/>
      <c r="E2" s="710" t="s">
        <v>364</v>
      </c>
      <c r="F2" s="710" t="s">
        <v>364</v>
      </c>
      <c r="G2" s="710" t="s">
        <v>364</v>
      </c>
      <c r="H2" s="710" t="s">
        <v>364</v>
      </c>
      <c r="I2" s="710" t="s">
        <v>364</v>
      </c>
      <c r="J2" s="710" t="s">
        <v>364</v>
      </c>
      <c r="K2" s="710" t="s">
        <v>364</v>
      </c>
      <c r="L2" s="710" t="s">
        <v>364</v>
      </c>
      <c r="M2" s="710" t="s">
        <v>364</v>
      </c>
      <c r="N2" s="710" t="s">
        <v>364</v>
      </c>
      <c r="O2" s="710" t="s">
        <v>364</v>
      </c>
      <c r="P2" s="710" t="s">
        <v>364</v>
      </c>
      <c r="Q2" s="710" t="s">
        <v>364</v>
      </c>
      <c r="R2" s="710" t="s">
        <v>364</v>
      </c>
      <c r="S2" s="710" t="s">
        <v>364</v>
      </c>
      <c r="T2" s="710" t="s">
        <v>364</v>
      </c>
      <c r="U2" s="710" t="s">
        <v>364</v>
      </c>
      <c r="V2" s="710" t="s">
        <v>364</v>
      </c>
    </row>
    <row r="3" spans="1:22">
      <c r="A3" s="712" t="s">
        <v>364</v>
      </c>
      <c r="B3" s="712" t="s">
        <v>364</v>
      </c>
      <c r="C3" s="712" t="s">
        <v>364</v>
      </c>
      <c r="D3" s="712" t="s">
        <v>364</v>
      </c>
      <c r="E3" s="712" t="s">
        <v>364</v>
      </c>
      <c r="F3" s="712" t="s">
        <v>364</v>
      </c>
      <c r="G3" s="712" t="s">
        <v>364</v>
      </c>
      <c r="H3" s="712" t="s">
        <v>364</v>
      </c>
      <c r="I3" s="712" t="s">
        <v>364</v>
      </c>
      <c r="J3" s="712" t="s">
        <v>364</v>
      </c>
      <c r="K3" s="712" t="s">
        <v>364</v>
      </c>
      <c r="L3" s="712" t="s">
        <v>364</v>
      </c>
      <c r="M3" s="712" t="s">
        <v>364</v>
      </c>
      <c r="N3" s="712" t="s">
        <v>364</v>
      </c>
      <c r="O3" s="712" t="s">
        <v>364</v>
      </c>
      <c r="P3" s="712" t="s">
        <v>364</v>
      </c>
      <c r="Q3" s="712" t="s">
        <v>364</v>
      </c>
      <c r="R3" s="712" t="s">
        <v>364</v>
      </c>
      <c r="S3" s="712" t="s">
        <v>364</v>
      </c>
      <c r="T3" s="712" t="s">
        <v>364</v>
      </c>
      <c r="U3" s="712" t="s">
        <v>364</v>
      </c>
    </row>
    <row r="4" spans="1:22">
      <c r="A4" s="713" t="s">
        <v>735</v>
      </c>
      <c r="B4" s="713" t="s">
        <v>484</v>
      </c>
      <c r="C4" s="714" t="s">
        <v>364</v>
      </c>
      <c r="D4" s="714" t="s">
        <v>485</v>
      </c>
      <c r="E4" s="714" t="s">
        <v>364</v>
      </c>
      <c r="F4" s="714" t="s">
        <v>486</v>
      </c>
      <c r="G4" s="714" t="s">
        <v>364</v>
      </c>
      <c r="H4" s="714" t="s">
        <v>487</v>
      </c>
      <c r="I4" s="714" t="s">
        <v>364</v>
      </c>
      <c r="J4" s="714" t="s">
        <v>488</v>
      </c>
      <c r="K4" s="714" t="s">
        <v>364</v>
      </c>
      <c r="L4" s="714" t="s">
        <v>489</v>
      </c>
      <c r="M4" s="714" t="s">
        <v>364</v>
      </c>
      <c r="N4" s="714" t="s">
        <v>490</v>
      </c>
      <c r="O4" s="714" t="s">
        <v>364</v>
      </c>
      <c r="P4" s="714" t="s">
        <v>491</v>
      </c>
      <c r="Q4" s="714" t="s">
        <v>364</v>
      </c>
      <c r="R4" s="714" t="s">
        <v>492</v>
      </c>
      <c r="S4" s="714" t="s">
        <v>364</v>
      </c>
      <c r="T4" s="714" t="s">
        <v>493</v>
      </c>
      <c r="U4" s="714" t="s">
        <v>364</v>
      </c>
    </row>
    <row r="5" spans="1:22">
      <c r="A5" s="715" t="s">
        <v>737</v>
      </c>
      <c r="B5" s="736">
        <v>42369</v>
      </c>
      <c r="C5" s="716" t="s">
        <v>364</v>
      </c>
      <c r="D5" s="717">
        <v>42735</v>
      </c>
      <c r="E5" s="716" t="s">
        <v>364</v>
      </c>
      <c r="F5" s="717">
        <v>43100</v>
      </c>
      <c r="G5" s="716" t="s">
        <v>364</v>
      </c>
      <c r="H5" s="717">
        <v>43465</v>
      </c>
      <c r="I5" s="716" t="s">
        <v>364</v>
      </c>
      <c r="J5" s="717">
        <v>43555</v>
      </c>
      <c r="K5" s="716" t="s">
        <v>364</v>
      </c>
      <c r="L5" s="717">
        <v>43921</v>
      </c>
      <c r="M5" s="716" t="s">
        <v>364</v>
      </c>
      <c r="N5" s="717">
        <v>44286</v>
      </c>
      <c r="O5" s="716" t="s">
        <v>364</v>
      </c>
      <c r="P5" s="717">
        <v>44651</v>
      </c>
      <c r="Q5" s="716" t="s">
        <v>364</v>
      </c>
      <c r="R5" s="717">
        <v>45016</v>
      </c>
      <c r="S5" s="716" t="s">
        <v>364</v>
      </c>
      <c r="T5" s="717">
        <v>45382</v>
      </c>
      <c r="U5" s="716" t="s">
        <v>364</v>
      </c>
    </row>
    <row r="6" spans="1:22">
      <c r="A6" s="718" t="s">
        <v>244</v>
      </c>
      <c r="B6" s="718" t="s">
        <v>476</v>
      </c>
      <c r="C6" s="720" t="s">
        <v>364</v>
      </c>
      <c r="D6" s="737">
        <v>229.6</v>
      </c>
      <c r="E6" s="738">
        <v>1</v>
      </c>
      <c r="F6" s="737">
        <v>269.89999999999998</v>
      </c>
      <c r="G6" s="738">
        <v>1</v>
      </c>
      <c r="H6" s="737">
        <v>267.39999999999998</v>
      </c>
      <c r="I6" s="738">
        <v>1</v>
      </c>
      <c r="J6" s="737" t="s">
        <v>476</v>
      </c>
      <c r="K6" s="720" t="s">
        <v>364</v>
      </c>
      <c r="L6" s="737">
        <v>282.89999999999998</v>
      </c>
      <c r="M6" s="738">
        <v>1</v>
      </c>
      <c r="N6" s="737">
        <v>318.10000000000002</v>
      </c>
      <c r="O6" s="738">
        <v>1</v>
      </c>
      <c r="P6" s="737">
        <v>392.2</v>
      </c>
      <c r="Q6" s="738">
        <v>1</v>
      </c>
      <c r="R6" s="737">
        <v>578.79999999999995</v>
      </c>
      <c r="S6" s="738">
        <v>1</v>
      </c>
      <c r="T6" s="739">
        <v>1023.9</v>
      </c>
      <c r="U6" s="738">
        <v>1</v>
      </c>
    </row>
    <row r="7" spans="1:22">
      <c r="A7" s="724" t="s">
        <v>973</v>
      </c>
      <c r="B7" s="740" t="s">
        <v>476</v>
      </c>
      <c r="C7" s="726" t="s">
        <v>364</v>
      </c>
      <c r="D7" s="741">
        <v>229.6</v>
      </c>
      <c r="E7" s="742">
        <v>1</v>
      </c>
      <c r="F7" s="741">
        <v>269.89999999999998</v>
      </c>
      <c r="G7" s="742">
        <v>1</v>
      </c>
      <c r="H7" s="741">
        <v>267.39999999999998</v>
      </c>
      <c r="I7" s="742">
        <v>1</v>
      </c>
      <c r="J7" s="741" t="s">
        <v>476</v>
      </c>
      <c r="K7" s="726" t="s">
        <v>364</v>
      </c>
      <c r="L7" s="741">
        <v>282.89999999999998</v>
      </c>
      <c r="M7" s="742">
        <v>1</v>
      </c>
      <c r="N7" s="741">
        <v>318.10000000000002</v>
      </c>
      <c r="O7" s="742">
        <v>1</v>
      </c>
      <c r="P7" s="741">
        <v>392.2</v>
      </c>
      <c r="Q7" s="742">
        <v>1</v>
      </c>
      <c r="R7" s="741">
        <v>578.79999999999995</v>
      </c>
      <c r="S7" s="742">
        <v>1</v>
      </c>
      <c r="T7" s="743">
        <v>1023.9</v>
      </c>
      <c r="U7" s="742">
        <v>1</v>
      </c>
    </row>
    <row r="8" spans="1:22">
      <c r="A8" s="718" t="s">
        <v>974</v>
      </c>
      <c r="B8" s="718" t="s">
        <v>476</v>
      </c>
      <c r="C8" s="720" t="s">
        <v>364</v>
      </c>
      <c r="D8" s="737" t="s">
        <v>476</v>
      </c>
      <c r="E8" s="720" t="s">
        <v>364</v>
      </c>
      <c r="F8" s="737" t="s">
        <v>476</v>
      </c>
      <c r="G8" s="720" t="s">
        <v>364</v>
      </c>
      <c r="H8" s="737" t="s">
        <v>476</v>
      </c>
      <c r="I8" s="720" t="s">
        <v>364</v>
      </c>
      <c r="J8" s="737" t="s">
        <v>476</v>
      </c>
      <c r="K8" s="720" t="s">
        <v>364</v>
      </c>
      <c r="L8" s="737" t="s">
        <v>476</v>
      </c>
      <c r="M8" s="720" t="s">
        <v>364</v>
      </c>
      <c r="N8" s="737" t="s">
        <v>476</v>
      </c>
      <c r="O8" s="720" t="s">
        <v>364</v>
      </c>
      <c r="P8" s="737" t="s">
        <v>476</v>
      </c>
      <c r="Q8" s="720" t="s">
        <v>364</v>
      </c>
      <c r="R8" s="737" t="s">
        <v>476</v>
      </c>
      <c r="S8" s="720" t="s">
        <v>364</v>
      </c>
      <c r="T8" s="737" t="s">
        <v>476</v>
      </c>
      <c r="U8" s="720" t="s">
        <v>364</v>
      </c>
    </row>
    <row r="9" spans="1:22">
      <c r="A9" s="724" t="s">
        <v>975</v>
      </c>
      <c r="B9" s="740" t="s">
        <v>476</v>
      </c>
      <c r="C9" s="726" t="s">
        <v>364</v>
      </c>
      <c r="D9" s="741" t="s">
        <v>476</v>
      </c>
      <c r="E9" s="726" t="s">
        <v>364</v>
      </c>
      <c r="F9" s="741">
        <v>25</v>
      </c>
      <c r="G9" s="726" t="s">
        <v>364</v>
      </c>
      <c r="H9" s="741">
        <v>21</v>
      </c>
      <c r="I9" s="726" t="s">
        <v>364</v>
      </c>
      <c r="J9" s="741" t="s">
        <v>476</v>
      </c>
      <c r="K9" s="726" t="s">
        <v>364</v>
      </c>
      <c r="L9" s="741">
        <v>22</v>
      </c>
      <c r="M9" s="726" t="s">
        <v>364</v>
      </c>
      <c r="N9" s="741">
        <v>22</v>
      </c>
      <c r="O9" s="726" t="s">
        <v>364</v>
      </c>
      <c r="P9" s="741">
        <v>26</v>
      </c>
      <c r="Q9" s="726" t="s">
        <v>364</v>
      </c>
      <c r="R9" s="741">
        <v>25</v>
      </c>
      <c r="S9" s="726" t="s">
        <v>364</v>
      </c>
      <c r="T9" s="741">
        <v>25</v>
      </c>
      <c r="U9" s="726" t="s">
        <v>364</v>
      </c>
    </row>
    <row r="10" spans="1:22">
      <c r="A10" s="724" t="s">
        <v>976</v>
      </c>
      <c r="B10" s="740" t="s">
        <v>476</v>
      </c>
      <c r="C10" s="726" t="s">
        <v>364</v>
      </c>
      <c r="D10" s="741" t="s">
        <v>476</v>
      </c>
      <c r="E10" s="726" t="s">
        <v>364</v>
      </c>
      <c r="F10" s="741">
        <v>29</v>
      </c>
      <c r="G10" s="726" t="s">
        <v>364</v>
      </c>
      <c r="H10" s="741">
        <v>30</v>
      </c>
      <c r="I10" s="726" t="s">
        <v>364</v>
      </c>
      <c r="J10" s="741" t="s">
        <v>476</v>
      </c>
      <c r="K10" s="726" t="s">
        <v>364</v>
      </c>
      <c r="L10" s="741">
        <v>31</v>
      </c>
      <c r="M10" s="726" t="s">
        <v>364</v>
      </c>
      <c r="N10" s="741">
        <v>26</v>
      </c>
      <c r="O10" s="726" t="s">
        <v>364</v>
      </c>
      <c r="P10" s="741">
        <v>23</v>
      </c>
      <c r="Q10" s="726" t="s">
        <v>364</v>
      </c>
      <c r="R10" s="741">
        <v>20</v>
      </c>
      <c r="S10" s="726" t="s">
        <v>364</v>
      </c>
      <c r="T10" s="741">
        <v>17</v>
      </c>
      <c r="U10" s="726" t="s">
        <v>364</v>
      </c>
    </row>
    <row r="11" spans="1:22">
      <c r="A11" s="724" t="s">
        <v>977</v>
      </c>
      <c r="B11" s="740" t="s">
        <v>476</v>
      </c>
      <c r="C11" s="726" t="s">
        <v>364</v>
      </c>
      <c r="D11" s="741" t="s">
        <v>476</v>
      </c>
      <c r="E11" s="726" t="s">
        <v>364</v>
      </c>
      <c r="F11" s="741" t="s">
        <v>476</v>
      </c>
      <c r="G11" s="726" t="s">
        <v>364</v>
      </c>
      <c r="H11" s="741" t="s">
        <v>476</v>
      </c>
      <c r="I11" s="726" t="s">
        <v>364</v>
      </c>
      <c r="J11" s="741" t="s">
        <v>476</v>
      </c>
      <c r="K11" s="726" t="s">
        <v>364</v>
      </c>
      <c r="L11" s="741" t="s">
        <v>476</v>
      </c>
      <c r="M11" s="726" t="s">
        <v>364</v>
      </c>
      <c r="N11" s="741" t="s">
        <v>476</v>
      </c>
      <c r="O11" s="726" t="s">
        <v>364</v>
      </c>
      <c r="P11" s="741">
        <v>12</v>
      </c>
      <c r="Q11" s="726" t="s">
        <v>364</v>
      </c>
      <c r="R11" s="741">
        <v>15</v>
      </c>
      <c r="S11" s="726" t="s">
        <v>364</v>
      </c>
      <c r="T11" s="741">
        <v>16</v>
      </c>
      <c r="U11" s="726" t="s">
        <v>364</v>
      </c>
    </row>
    <row r="12" spans="1:22">
      <c r="A12" s="718" t="s">
        <v>301</v>
      </c>
      <c r="B12" s="718" t="s">
        <v>476</v>
      </c>
      <c r="C12" s="720" t="s">
        <v>364</v>
      </c>
      <c r="D12" s="737">
        <v>132.19999999999999</v>
      </c>
      <c r="E12" s="738">
        <v>1</v>
      </c>
      <c r="F12" s="737">
        <v>164.7</v>
      </c>
      <c r="G12" s="738">
        <v>1</v>
      </c>
      <c r="H12" s="737">
        <v>162.69999999999999</v>
      </c>
      <c r="I12" s="738">
        <v>1</v>
      </c>
      <c r="J12" s="737" t="s">
        <v>476</v>
      </c>
      <c r="K12" s="720" t="s">
        <v>364</v>
      </c>
      <c r="L12" s="737">
        <v>181.1</v>
      </c>
      <c r="M12" s="738">
        <v>1</v>
      </c>
      <c r="N12" s="737">
        <v>206.2</v>
      </c>
      <c r="O12" s="738">
        <v>1</v>
      </c>
      <c r="P12" s="737">
        <v>251.7</v>
      </c>
      <c r="Q12" s="738">
        <v>1</v>
      </c>
      <c r="R12" s="737">
        <v>390.4</v>
      </c>
      <c r="S12" s="738">
        <v>1</v>
      </c>
      <c r="T12" s="737">
        <v>724.1</v>
      </c>
      <c r="U12" s="738">
        <v>1</v>
      </c>
    </row>
    <row r="13" spans="1:22">
      <c r="A13" s="724" t="s">
        <v>973</v>
      </c>
      <c r="B13" s="740" t="s">
        <v>476</v>
      </c>
      <c r="C13" s="726" t="s">
        <v>364</v>
      </c>
      <c r="D13" s="741">
        <v>132.19999999999999</v>
      </c>
      <c r="E13" s="742">
        <v>1</v>
      </c>
      <c r="F13" s="741">
        <v>164.7</v>
      </c>
      <c r="G13" s="742">
        <v>1</v>
      </c>
      <c r="H13" s="741">
        <v>162.69999999999999</v>
      </c>
      <c r="I13" s="742">
        <v>1</v>
      </c>
      <c r="J13" s="741" t="s">
        <v>476</v>
      </c>
      <c r="K13" s="726" t="s">
        <v>364</v>
      </c>
      <c r="L13" s="741">
        <v>181.1</v>
      </c>
      <c r="M13" s="742">
        <v>1</v>
      </c>
      <c r="N13" s="741">
        <v>206.2</v>
      </c>
      <c r="O13" s="742">
        <v>1</v>
      </c>
      <c r="P13" s="741">
        <v>251.7</v>
      </c>
      <c r="Q13" s="742">
        <v>1</v>
      </c>
      <c r="R13" s="741">
        <v>390.4</v>
      </c>
      <c r="S13" s="742">
        <v>1</v>
      </c>
      <c r="T13" s="741">
        <v>724.1</v>
      </c>
      <c r="U13" s="742">
        <v>1</v>
      </c>
    </row>
    <row r="14" spans="1:22">
      <c r="A14" s="718" t="s">
        <v>245</v>
      </c>
      <c r="B14" s="718" t="s">
        <v>476</v>
      </c>
      <c r="C14" s="720" t="s">
        <v>364</v>
      </c>
      <c r="D14" s="737">
        <v>36.200000000000003</v>
      </c>
      <c r="E14" s="738">
        <v>1</v>
      </c>
      <c r="F14" s="737" t="s">
        <v>476</v>
      </c>
      <c r="G14" s="720" t="s">
        <v>364</v>
      </c>
      <c r="H14" s="737" t="s">
        <v>476</v>
      </c>
      <c r="I14" s="720" t="s">
        <v>364</v>
      </c>
      <c r="J14" s="737" t="s">
        <v>476</v>
      </c>
      <c r="K14" s="720" t="s">
        <v>364</v>
      </c>
      <c r="L14" s="737" t="s">
        <v>476</v>
      </c>
      <c r="M14" s="720" t="s">
        <v>364</v>
      </c>
      <c r="N14" s="737" t="s">
        <v>476</v>
      </c>
      <c r="O14" s="720" t="s">
        <v>364</v>
      </c>
      <c r="P14" s="737" t="s">
        <v>476</v>
      </c>
      <c r="Q14" s="720" t="s">
        <v>364</v>
      </c>
      <c r="R14" s="737" t="s">
        <v>476</v>
      </c>
      <c r="S14" s="720" t="s">
        <v>364</v>
      </c>
      <c r="T14" s="737" t="s">
        <v>476</v>
      </c>
      <c r="U14" s="720" t="s">
        <v>364</v>
      </c>
    </row>
    <row r="15" spans="1:22">
      <c r="A15" s="724" t="s">
        <v>973</v>
      </c>
      <c r="B15" s="740" t="s">
        <v>476</v>
      </c>
      <c r="C15" s="726" t="s">
        <v>364</v>
      </c>
      <c r="D15" s="741">
        <v>36.200000000000003</v>
      </c>
      <c r="E15" s="742">
        <v>1</v>
      </c>
      <c r="F15" s="741" t="s">
        <v>476</v>
      </c>
      <c r="G15" s="726" t="s">
        <v>364</v>
      </c>
      <c r="H15" s="741" t="s">
        <v>476</v>
      </c>
      <c r="I15" s="726" t="s">
        <v>364</v>
      </c>
      <c r="J15" s="741" t="s">
        <v>476</v>
      </c>
      <c r="K15" s="726" t="s">
        <v>364</v>
      </c>
      <c r="L15" s="741" t="s">
        <v>476</v>
      </c>
      <c r="M15" s="726" t="s">
        <v>364</v>
      </c>
      <c r="N15" s="741" t="s">
        <v>476</v>
      </c>
      <c r="O15" s="726" t="s">
        <v>364</v>
      </c>
      <c r="P15" s="741" t="s">
        <v>476</v>
      </c>
      <c r="Q15" s="726" t="s">
        <v>364</v>
      </c>
      <c r="R15" s="741" t="s">
        <v>476</v>
      </c>
      <c r="S15" s="726" t="s">
        <v>364</v>
      </c>
      <c r="T15" s="741" t="s">
        <v>476</v>
      </c>
      <c r="U15" s="726" t="s">
        <v>364</v>
      </c>
    </row>
    <row r="16" spans="1:22">
      <c r="A16" s="718" t="s">
        <v>978</v>
      </c>
      <c r="B16" s="718" t="s">
        <v>476</v>
      </c>
      <c r="C16" s="720" t="s">
        <v>364</v>
      </c>
      <c r="D16" s="737">
        <v>23.1</v>
      </c>
      <c r="E16" s="738">
        <v>1</v>
      </c>
      <c r="F16" s="737">
        <v>33.299999999999997</v>
      </c>
      <c r="G16" s="738">
        <v>1</v>
      </c>
      <c r="H16" s="737">
        <v>26.2</v>
      </c>
      <c r="I16" s="738">
        <v>1</v>
      </c>
      <c r="J16" s="737" t="s">
        <v>476</v>
      </c>
      <c r="K16" s="720" t="s">
        <v>364</v>
      </c>
      <c r="L16" s="737">
        <v>30</v>
      </c>
      <c r="M16" s="738">
        <v>1</v>
      </c>
      <c r="N16" s="737">
        <v>9.4</v>
      </c>
      <c r="O16" s="738">
        <v>1</v>
      </c>
      <c r="P16" s="737">
        <v>29.3</v>
      </c>
      <c r="Q16" s="738">
        <v>1</v>
      </c>
      <c r="R16" s="737">
        <v>68.099999999999994</v>
      </c>
      <c r="S16" s="738">
        <v>1</v>
      </c>
      <c r="T16" s="737">
        <v>149.69999999999999</v>
      </c>
      <c r="U16" s="738">
        <v>1</v>
      </c>
    </row>
    <row r="17" spans="1:21">
      <c r="A17" s="724" t="s">
        <v>973</v>
      </c>
      <c r="B17" s="740" t="s">
        <v>476</v>
      </c>
      <c r="C17" s="726" t="s">
        <v>364</v>
      </c>
      <c r="D17" s="741">
        <v>23.1</v>
      </c>
      <c r="E17" s="742">
        <v>1</v>
      </c>
      <c r="F17" s="741">
        <v>33.299999999999997</v>
      </c>
      <c r="G17" s="742">
        <v>1</v>
      </c>
      <c r="H17" s="741">
        <v>26.2</v>
      </c>
      <c r="I17" s="742">
        <v>1</v>
      </c>
      <c r="J17" s="741" t="s">
        <v>476</v>
      </c>
      <c r="K17" s="726" t="s">
        <v>364</v>
      </c>
      <c r="L17" s="741">
        <v>30</v>
      </c>
      <c r="M17" s="742">
        <v>1</v>
      </c>
      <c r="N17" s="741">
        <v>9.4</v>
      </c>
      <c r="O17" s="742">
        <v>1</v>
      </c>
      <c r="P17" s="741">
        <v>29.3</v>
      </c>
      <c r="Q17" s="742">
        <v>1</v>
      </c>
      <c r="R17" s="741">
        <v>68.099999999999994</v>
      </c>
      <c r="S17" s="742">
        <v>1</v>
      </c>
      <c r="T17" s="741">
        <v>149.69999999999999</v>
      </c>
      <c r="U17" s="742">
        <v>1</v>
      </c>
    </row>
    <row r="18" spans="1:21">
      <c r="A18" s="718" t="s">
        <v>565</v>
      </c>
      <c r="B18" s="718" t="s">
        <v>476</v>
      </c>
      <c r="C18" s="720" t="s">
        <v>364</v>
      </c>
      <c r="D18" s="737">
        <v>16.3</v>
      </c>
      <c r="E18" s="738">
        <v>1</v>
      </c>
      <c r="F18" s="737">
        <v>8.8000000000000007</v>
      </c>
      <c r="G18" s="738">
        <v>1</v>
      </c>
      <c r="H18" s="737">
        <v>7.8</v>
      </c>
      <c r="I18" s="738">
        <v>1</v>
      </c>
      <c r="J18" s="737" t="s">
        <v>476</v>
      </c>
      <c r="K18" s="720" t="s">
        <v>364</v>
      </c>
      <c r="L18" s="737">
        <v>6.3</v>
      </c>
      <c r="M18" s="738">
        <v>1</v>
      </c>
      <c r="N18" s="737">
        <v>4.0999999999999996</v>
      </c>
      <c r="O18" s="738">
        <v>1</v>
      </c>
      <c r="P18" s="737">
        <v>2.4</v>
      </c>
      <c r="Q18" s="738">
        <v>1</v>
      </c>
      <c r="R18" s="737">
        <v>2</v>
      </c>
      <c r="S18" s="738">
        <v>1</v>
      </c>
      <c r="T18" s="737">
        <v>7</v>
      </c>
      <c r="U18" s="738">
        <v>1</v>
      </c>
    </row>
    <row r="19" spans="1:21">
      <c r="A19" s="724" t="s">
        <v>973</v>
      </c>
      <c r="B19" s="740" t="s">
        <v>476</v>
      </c>
      <c r="C19" s="726" t="s">
        <v>364</v>
      </c>
      <c r="D19" s="741">
        <v>16.3</v>
      </c>
      <c r="E19" s="742">
        <v>1</v>
      </c>
      <c r="F19" s="741">
        <v>8.8000000000000007</v>
      </c>
      <c r="G19" s="742">
        <v>1</v>
      </c>
      <c r="H19" s="741">
        <v>7.8</v>
      </c>
      <c r="I19" s="742">
        <v>1</v>
      </c>
      <c r="J19" s="741" t="s">
        <v>476</v>
      </c>
      <c r="K19" s="726" t="s">
        <v>364</v>
      </c>
      <c r="L19" s="741">
        <v>6.3</v>
      </c>
      <c r="M19" s="742">
        <v>1</v>
      </c>
      <c r="N19" s="741">
        <v>4.0999999999999996</v>
      </c>
      <c r="O19" s="742">
        <v>1</v>
      </c>
      <c r="P19" s="741">
        <v>2.4</v>
      </c>
      <c r="Q19" s="742">
        <v>1</v>
      </c>
      <c r="R19" s="741">
        <v>2</v>
      </c>
      <c r="S19" s="742">
        <v>1</v>
      </c>
      <c r="T19" s="741">
        <v>7</v>
      </c>
      <c r="U19" s="742">
        <v>1</v>
      </c>
    </row>
    <row r="20" spans="1:21">
      <c r="A20" s="718" t="s">
        <v>567</v>
      </c>
      <c r="B20" s="718" t="s">
        <v>476</v>
      </c>
      <c r="C20" s="720" t="s">
        <v>364</v>
      </c>
      <c r="D20" s="737">
        <v>0</v>
      </c>
      <c r="E20" s="720" t="s">
        <v>364</v>
      </c>
      <c r="F20" s="737">
        <v>0</v>
      </c>
      <c r="G20" s="720" t="s">
        <v>364</v>
      </c>
      <c r="H20" s="737">
        <v>0</v>
      </c>
      <c r="I20" s="720" t="s">
        <v>364</v>
      </c>
      <c r="J20" s="737" t="s">
        <v>476</v>
      </c>
      <c r="K20" s="720" t="s">
        <v>364</v>
      </c>
      <c r="L20" s="737">
        <v>0</v>
      </c>
      <c r="M20" s="720" t="s">
        <v>364</v>
      </c>
      <c r="N20" s="737">
        <v>0</v>
      </c>
      <c r="O20" s="720" t="s">
        <v>364</v>
      </c>
      <c r="P20" s="737">
        <v>0</v>
      </c>
      <c r="Q20" s="720" t="s">
        <v>364</v>
      </c>
      <c r="R20" s="737">
        <v>0</v>
      </c>
      <c r="S20" s="720" t="s">
        <v>364</v>
      </c>
      <c r="T20" s="737">
        <v>0</v>
      </c>
      <c r="U20" s="720" t="s">
        <v>364</v>
      </c>
    </row>
    <row r="21" spans="1:21">
      <c r="A21" s="724" t="s">
        <v>973</v>
      </c>
      <c r="B21" s="740" t="s">
        <v>476</v>
      </c>
      <c r="C21" s="726" t="s">
        <v>364</v>
      </c>
      <c r="D21" s="741">
        <v>0</v>
      </c>
      <c r="E21" s="726" t="s">
        <v>364</v>
      </c>
      <c r="F21" s="741">
        <v>0</v>
      </c>
      <c r="G21" s="726" t="s">
        <v>364</v>
      </c>
      <c r="H21" s="741">
        <v>0</v>
      </c>
      <c r="I21" s="726" t="s">
        <v>364</v>
      </c>
      <c r="J21" s="741" t="s">
        <v>476</v>
      </c>
      <c r="K21" s="726" t="s">
        <v>364</v>
      </c>
      <c r="L21" s="741">
        <v>0</v>
      </c>
      <c r="M21" s="726" t="s">
        <v>364</v>
      </c>
      <c r="N21" s="741">
        <v>0</v>
      </c>
      <c r="O21" s="726" t="s">
        <v>364</v>
      </c>
      <c r="P21" s="741">
        <v>0</v>
      </c>
      <c r="Q21" s="726" t="s">
        <v>364</v>
      </c>
      <c r="R21" s="741">
        <v>0</v>
      </c>
      <c r="S21" s="726" t="s">
        <v>364</v>
      </c>
      <c r="T21" s="741">
        <v>0</v>
      </c>
      <c r="U21" s="726" t="s">
        <v>364</v>
      </c>
    </row>
    <row r="22" spans="1:21">
      <c r="A22" s="718" t="s">
        <v>753</v>
      </c>
      <c r="B22" s="718" t="s">
        <v>476</v>
      </c>
      <c r="C22" s="720" t="s">
        <v>364</v>
      </c>
      <c r="D22" s="737">
        <v>9.8000000000000007</v>
      </c>
      <c r="E22" s="738">
        <v>1</v>
      </c>
      <c r="F22" s="737">
        <v>22.5</v>
      </c>
      <c r="G22" s="738">
        <v>1</v>
      </c>
      <c r="H22" s="737">
        <v>18</v>
      </c>
      <c r="I22" s="738">
        <v>1</v>
      </c>
      <c r="J22" s="737" t="s">
        <v>476</v>
      </c>
      <c r="K22" s="720" t="s">
        <v>364</v>
      </c>
      <c r="L22" s="737">
        <v>24.1</v>
      </c>
      <c r="M22" s="738">
        <v>1</v>
      </c>
      <c r="N22" s="737">
        <v>3.7</v>
      </c>
      <c r="O22" s="738">
        <v>1</v>
      </c>
      <c r="P22" s="737">
        <v>25.4</v>
      </c>
      <c r="Q22" s="738">
        <v>1</v>
      </c>
      <c r="R22" s="737">
        <v>64.099999999999994</v>
      </c>
      <c r="S22" s="738">
        <v>1</v>
      </c>
      <c r="T22" s="737">
        <v>141</v>
      </c>
      <c r="U22" s="738">
        <v>1</v>
      </c>
    </row>
    <row r="23" spans="1:21">
      <c r="A23" s="724" t="s">
        <v>973</v>
      </c>
      <c r="B23" s="740" t="s">
        <v>476</v>
      </c>
      <c r="C23" s="726" t="s">
        <v>364</v>
      </c>
      <c r="D23" s="741">
        <v>9.8000000000000007</v>
      </c>
      <c r="E23" s="742">
        <v>1</v>
      </c>
      <c r="F23" s="741">
        <v>22.5</v>
      </c>
      <c r="G23" s="742">
        <v>1</v>
      </c>
      <c r="H23" s="741">
        <v>18</v>
      </c>
      <c r="I23" s="742">
        <v>1</v>
      </c>
      <c r="J23" s="741" t="s">
        <v>476</v>
      </c>
      <c r="K23" s="726" t="s">
        <v>364</v>
      </c>
      <c r="L23" s="741">
        <v>24.1</v>
      </c>
      <c r="M23" s="742">
        <v>1</v>
      </c>
      <c r="N23" s="741">
        <v>3.7</v>
      </c>
      <c r="O23" s="742">
        <v>1</v>
      </c>
      <c r="P23" s="741">
        <v>25.4</v>
      </c>
      <c r="Q23" s="742">
        <v>1</v>
      </c>
      <c r="R23" s="741">
        <v>64.099999999999994</v>
      </c>
      <c r="S23" s="742">
        <v>1</v>
      </c>
      <c r="T23" s="741">
        <v>141</v>
      </c>
      <c r="U23" s="742">
        <v>1</v>
      </c>
    </row>
    <row r="24" spans="1:21">
      <c r="A24" s="718" t="s">
        <v>979</v>
      </c>
      <c r="B24" s="718" t="s">
        <v>476</v>
      </c>
      <c r="C24" s="720" t="s">
        <v>364</v>
      </c>
      <c r="D24" s="737">
        <v>4.5</v>
      </c>
      <c r="E24" s="738">
        <v>1</v>
      </c>
      <c r="F24" s="737">
        <v>-11</v>
      </c>
      <c r="G24" s="720" t="s">
        <v>364</v>
      </c>
      <c r="H24" s="737">
        <v>2.4</v>
      </c>
      <c r="I24" s="738">
        <v>1</v>
      </c>
      <c r="J24" s="737" t="s">
        <v>476</v>
      </c>
      <c r="K24" s="720" t="s">
        <v>364</v>
      </c>
      <c r="L24" s="737">
        <v>6.2</v>
      </c>
      <c r="M24" s="738">
        <v>1</v>
      </c>
      <c r="N24" s="737">
        <v>-2.5</v>
      </c>
      <c r="O24" s="720" t="s">
        <v>364</v>
      </c>
      <c r="P24" s="737">
        <v>3.7</v>
      </c>
      <c r="Q24" s="738">
        <v>1</v>
      </c>
      <c r="R24" s="737">
        <v>2.5</v>
      </c>
      <c r="S24" s="738">
        <v>1</v>
      </c>
      <c r="T24" s="737">
        <v>13.3</v>
      </c>
      <c r="U24" s="738">
        <v>1</v>
      </c>
    </row>
    <row r="25" spans="1:21">
      <c r="A25" s="724" t="s">
        <v>973</v>
      </c>
      <c r="B25" s="740" t="s">
        <v>476</v>
      </c>
      <c r="C25" s="726" t="s">
        <v>364</v>
      </c>
      <c r="D25" s="741">
        <v>4.5</v>
      </c>
      <c r="E25" s="742">
        <v>1</v>
      </c>
      <c r="F25" s="741">
        <v>-11</v>
      </c>
      <c r="G25" s="742">
        <v>1</v>
      </c>
      <c r="H25" s="741">
        <v>2.4</v>
      </c>
      <c r="I25" s="742">
        <v>1</v>
      </c>
      <c r="J25" s="741" t="s">
        <v>476</v>
      </c>
      <c r="K25" s="726" t="s">
        <v>364</v>
      </c>
      <c r="L25" s="741">
        <v>6.2</v>
      </c>
      <c r="M25" s="742">
        <v>1</v>
      </c>
      <c r="N25" s="741">
        <v>-2.5</v>
      </c>
      <c r="O25" s="742">
        <v>1</v>
      </c>
      <c r="P25" s="741">
        <v>3.7</v>
      </c>
      <c r="Q25" s="742">
        <v>1</v>
      </c>
      <c r="R25" s="741">
        <v>2.5</v>
      </c>
      <c r="S25" s="742">
        <v>1</v>
      </c>
      <c r="T25" s="741">
        <v>13.3</v>
      </c>
      <c r="U25" s="742">
        <v>1</v>
      </c>
    </row>
    <row r="26" spans="1:21">
      <c r="A26" s="718" t="s">
        <v>306</v>
      </c>
      <c r="B26" s="718" t="s">
        <v>476</v>
      </c>
      <c r="C26" s="720" t="s">
        <v>364</v>
      </c>
      <c r="D26" s="737">
        <v>5.3</v>
      </c>
      <c r="E26" s="738">
        <v>1</v>
      </c>
      <c r="F26" s="737">
        <v>33.5</v>
      </c>
      <c r="G26" s="738">
        <v>1</v>
      </c>
      <c r="H26" s="737">
        <v>15.5</v>
      </c>
      <c r="I26" s="738">
        <v>1</v>
      </c>
      <c r="J26" s="737" t="s">
        <v>476</v>
      </c>
      <c r="K26" s="720" t="s">
        <v>364</v>
      </c>
      <c r="L26" s="737">
        <v>17.899999999999999</v>
      </c>
      <c r="M26" s="738">
        <v>1</v>
      </c>
      <c r="N26" s="737">
        <v>6.2</v>
      </c>
      <c r="O26" s="738">
        <v>1</v>
      </c>
      <c r="P26" s="737">
        <v>21.8</v>
      </c>
      <c r="Q26" s="738">
        <v>1</v>
      </c>
      <c r="R26" s="737">
        <v>61.5</v>
      </c>
      <c r="S26" s="738">
        <v>1</v>
      </c>
      <c r="T26" s="737">
        <v>127.7</v>
      </c>
      <c r="U26" s="738">
        <v>1</v>
      </c>
    </row>
    <row r="27" spans="1:21">
      <c r="A27" s="724" t="s">
        <v>973</v>
      </c>
      <c r="B27" s="740" t="s">
        <v>476</v>
      </c>
      <c r="C27" s="726" t="s">
        <v>364</v>
      </c>
      <c r="D27" s="741">
        <v>5.3</v>
      </c>
      <c r="E27" s="742">
        <v>1</v>
      </c>
      <c r="F27" s="741">
        <v>33.5</v>
      </c>
      <c r="G27" s="742">
        <v>1</v>
      </c>
      <c r="H27" s="741">
        <v>15.5</v>
      </c>
      <c r="I27" s="742">
        <v>1</v>
      </c>
      <c r="J27" s="741" t="s">
        <v>476</v>
      </c>
      <c r="K27" s="726" t="s">
        <v>364</v>
      </c>
      <c r="L27" s="741">
        <v>17.899999999999999</v>
      </c>
      <c r="M27" s="742">
        <v>1</v>
      </c>
      <c r="N27" s="741">
        <v>6.2</v>
      </c>
      <c r="O27" s="742">
        <v>1</v>
      </c>
      <c r="P27" s="741">
        <v>21.8</v>
      </c>
      <c r="Q27" s="742">
        <v>1</v>
      </c>
      <c r="R27" s="741">
        <v>61.5</v>
      </c>
      <c r="S27" s="742">
        <v>1</v>
      </c>
      <c r="T27" s="741">
        <v>127.7</v>
      </c>
      <c r="U27" s="742">
        <v>1</v>
      </c>
    </row>
    <row r="28" spans="1:21">
      <c r="A28" s="718" t="s">
        <v>980</v>
      </c>
      <c r="B28" s="718">
        <v>9.9</v>
      </c>
      <c r="C28" s="738">
        <v>1</v>
      </c>
      <c r="D28" s="737">
        <v>17.2</v>
      </c>
      <c r="E28" s="738">
        <v>1</v>
      </c>
      <c r="F28" s="737">
        <v>18</v>
      </c>
      <c r="G28" s="738">
        <v>1</v>
      </c>
      <c r="H28" s="737">
        <v>21.8</v>
      </c>
      <c r="I28" s="738">
        <v>1</v>
      </c>
      <c r="J28" s="737">
        <v>16</v>
      </c>
      <c r="K28" s="738">
        <v>1</v>
      </c>
      <c r="L28" s="737">
        <v>17.2</v>
      </c>
      <c r="M28" s="738">
        <v>1</v>
      </c>
      <c r="N28" s="737">
        <v>36.5</v>
      </c>
      <c r="O28" s="738">
        <v>1</v>
      </c>
      <c r="P28" s="737">
        <v>28.8</v>
      </c>
      <c r="Q28" s="738">
        <v>1</v>
      </c>
      <c r="R28" s="737">
        <v>21.9</v>
      </c>
      <c r="S28" s="738">
        <v>1</v>
      </c>
      <c r="T28" s="737">
        <v>41.4</v>
      </c>
      <c r="U28" s="738">
        <v>1</v>
      </c>
    </row>
    <row r="29" spans="1:21">
      <c r="A29" s="724" t="s">
        <v>973</v>
      </c>
      <c r="B29" s="740">
        <v>9.9</v>
      </c>
      <c r="C29" s="742">
        <v>1</v>
      </c>
      <c r="D29" s="741">
        <v>17.2</v>
      </c>
      <c r="E29" s="742">
        <v>1</v>
      </c>
      <c r="F29" s="741">
        <v>18</v>
      </c>
      <c r="G29" s="742">
        <v>1</v>
      </c>
      <c r="H29" s="741">
        <v>21.8</v>
      </c>
      <c r="I29" s="742">
        <v>1</v>
      </c>
      <c r="J29" s="741">
        <v>16</v>
      </c>
      <c r="K29" s="742">
        <v>1</v>
      </c>
      <c r="L29" s="741">
        <v>17.2</v>
      </c>
      <c r="M29" s="742">
        <v>1</v>
      </c>
      <c r="N29" s="741">
        <v>36.5</v>
      </c>
      <c r="O29" s="742">
        <v>1</v>
      </c>
      <c r="P29" s="741">
        <v>28.8</v>
      </c>
      <c r="Q29" s="742">
        <v>1</v>
      </c>
      <c r="R29" s="741">
        <v>21.9</v>
      </c>
      <c r="S29" s="742">
        <v>1</v>
      </c>
      <c r="T29" s="741">
        <v>41.4</v>
      </c>
      <c r="U29" s="742">
        <v>1</v>
      </c>
    </row>
    <row r="30" spans="1:21">
      <c r="A30" s="718" t="s">
        <v>702</v>
      </c>
      <c r="B30" s="718">
        <v>157.30000000000001</v>
      </c>
      <c r="C30" s="738">
        <v>1</v>
      </c>
      <c r="D30" s="737">
        <v>157.30000000000001</v>
      </c>
      <c r="E30" s="738">
        <v>1</v>
      </c>
      <c r="F30" s="737">
        <v>157.30000000000001</v>
      </c>
      <c r="G30" s="738">
        <v>1</v>
      </c>
      <c r="H30" s="737">
        <v>157.30000000000001</v>
      </c>
      <c r="I30" s="738">
        <v>1</v>
      </c>
      <c r="J30" s="737">
        <v>157.30000000000001</v>
      </c>
      <c r="K30" s="738">
        <v>1</v>
      </c>
      <c r="L30" s="737">
        <v>171.3</v>
      </c>
      <c r="M30" s="738">
        <v>1</v>
      </c>
      <c r="N30" s="737">
        <v>171.6</v>
      </c>
      <c r="O30" s="738">
        <v>1</v>
      </c>
      <c r="P30" s="737">
        <v>171.6</v>
      </c>
      <c r="Q30" s="738">
        <v>1</v>
      </c>
      <c r="R30" s="737">
        <v>171.6</v>
      </c>
      <c r="S30" s="738">
        <v>1</v>
      </c>
      <c r="T30" s="737">
        <v>340.6</v>
      </c>
      <c r="U30" s="738">
        <v>1</v>
      </c>
    </row>
    <row r="31" spans="1:21">
      <c r="A31" s="724" t="s">
        <v>973</v>
      </c>
      <c r="B31" s="740">
        <v>157.30000000000001</v>
      </c>
      <c r="C31" s="742">
        <v>1</v>
      </c>
      <c r="D31" s="741">
        <v>157.30000000000001</v>
      </c>
      <c r="E31" s="742">
        <v>1</v>
      </c>
      <c r="F31" s="741">
        <v>157.30000000000001</v>
      </c>
      <c r="G31" s="742">
        <v>1</v>
      </c>
      <c r="H31" s="741">
        <v>157.30000000000001</v>
      </c>
      <c r="I31" s="742">
        <v>1</v>
      </c>
      <c r="J31" s="741">
        <v>157.30000000000001</v>
      </c>
      <c r="K31" s="742">
        <v>1</v>
      </c>
      <c r="L31" s="741">
        <v>171.3</v>
      </c>
      <c r="M31" s="742">
        <v>1</v>
      </c>
      <c r="N31" s="741">
        <v>171.6</v>
      </c>
      <c r="O31" s="742">
        <v>1</v>
      </c>
      <c r="P31" s="741">
        <v>171.6</v>
      </c>
      <c r="Q31" s="742">
        <v>1</v>
      </c>
      <c r="R31" s="741">
        <v>171.6</v>
      </c>
      <c r="S31" s="742">
        <v>1</v>
      </c>
      <c r="T31" s="741">
        <v>340.6</v>
      </c>
      <c r="U31" s="742">
        <v>1</v>
      </c>
    </row>
    <row r="32" spans="1:21">
      <c r="A32" s="718" t="s">
        <v>572</v>
      </c>
      <c r="B32" s="718">
        <v>361.1</v>
      </c>
      <c r="C32" s="738">
        <v>1</v>
      </c>
      <c r="D32" s="737">
        <v>414.7</v>
      </c>
      <c r="E32" s="738">
        <v>1</v>
      </c>
      <c r="F32" s="737">
        <v>417.2</v>
      </c>
      <c r="G32" s="738">
        <v>1</v>
      </c>
      <c r="H32" s="737">
        <v>435.9</v>
      </c>
      <c r="I32" s="738">
        <v>1</v>
      </c>
      <c r="J32" s="737">
        <v>431.7</v>
      </c>
      <c r="K32" s="738">
        <v>1</v>
      </c>
      <c r="L32" s="737">
        <v>453.1</v>
      </c>
      <c r="M32" s="738">
        <v>1</v>
      </c>
      <c r="N32" s="737">
        <v>487.4</v>
      </c>
      <c r="O32" s="738">
        <v>1</v>
      </c>
      <c r="P32" s="737">
        <v>494.6</v>
      </c>
      <c r="Q32" s="738">
        <v>1</v>
      </c>
      <c r="R32" s="737">
        <v>595.6</v>
      </c>
      <c r="S32" s="738">
        <v>1</v>
      </c>
      <c r="T32" s="739">
        <v>1129.2</v>
      </c>
      <c r="U32" s="738">
        <v>1</v>
      </c>
    </row>
    <row r="33" spans="1:21">
      <c r="A33" s="724" t="s">
        <v>973</v>
      </c>
      <c r="B33" s="740">
        <v>361.1</v>
      </c>
      <c r="C33" s="742">
        <v>1</v>
      </c>
      <c r="D33" s="741">
        <v>414.7</v>
      </c>
      <c r="E33" s="742">
        <v>1</v>
      </c>
      <c r="F33" s="741">
        <v>417.2</v>
      </c>
      <c r="G33" s="742">
        <v>1</v>
      </c>
      <c r="H33" s="741">
        <v>435.9</v>
      </c>
      <c r="I33" s="742">
        <v>1</v>
      </c>
      <c r="J33" s="741">
        <v>431.7</v>
      </c>
      <c r="K33" s="742">
        <v>1</v>
      </c>
      <c r="L33" s="741">
        <v>453.1</v>
      </c>
      <c r="M33" s="742">
        <v>1</v>
      </c>
      <c r="N33" s="741">
        <v>487.4</v>
      </c>
      <c r="O33" s="742">
        <v>1</v>
      </c>
      <c r="P33" s="741">
        <v>494.6</v>
      </c>
      <c r="Q33" s="742">
        <v>1</v>
      </c>
      <c r="R33" s="741">
        <v>595.6</v>
      </c>
      <c r="S33" s="742">
        <v>1</v>
      </c>
      <c r="T33" s="743">
        <v>1129.2</v>
      </c>
      <c r="U33" s="742">
        <v>1</v>
      </c>
    </row>
    <row r="34" spans="1:21">
      <c r="A34" s="718" t="s">
        <v>584</v>
      </c>
      <c r="B34" s="718">
        <v>224.2</v>
      </c>
      <c r="C34" s="738">
        <v>1</v>
      </c>
      <c r="D34" s="737">
        <v>273.89999999999998</v>
      </c>
      <c r="E34" s="738">
        <v>1</v>
      </c>
      <c r="F34" s="737">
        <v>223.4</v>
      </c>
      <c r="G34" s="738">
        <v>1</v>
      </c>
      <c r="H34" s="737">
        <v>206.5</v>
      </c>
      <c r="I34" s="738">
        <v>1</v>
      </c>
      <c r="J34" s="737">
        <v>216.5</v>
      </c>
      <c r="K34" s="738">
        <v>1</v>
      </c>
      <c r="L34" s="737">
        <v>210.9</v>
      </c>
      <c r="M34" s="738">
        <v>1</v>
      </c>
      <c r="N34" s="737">
        <v>217.7</v>
      </c>
      <c r="O34" s="738">
        <v>1</v>
      </c>
      <c r="P34" s="737">
        <v>182.2</v>
      </c>
      <c r="Q34" s="738">
        <v>1</v>
      </c>
      <c r="R34" s="737">
        <v>184.6</v>
      </c>
      <c r="S34" s="738">
        <v>1</v>
      </c>
      <c r="T34" s="737">
        <v>486.7</v>
      </c>
      <c r="U34" s="738">
        <v>1</v>
      </c>
    </row>
    <row r="35" spans="1:21">
      <c r="A35" s="724" t="s">
        <v>973</v>
      </c>
      <c r="B35" s="740">
        <v>224.2</v>
      </c>
      <c r="C35" s="742">
        <v>1</v>
      </c>
      <c r="D35" s="741">
        <v>273.89999999999998</v>
      </c>
      <c r="E35" s="742">
        <v>1</v>
      </c>
      <c r="F35" s="741">
        <v>223.4</v>
      </c>
      <c r="G35" s="742">
        <v>1</v>
      </c>
      <c r="H35" s="741">
        <v>206.5</v>
      </c>
      <c r="I35" s="742">
        <v>1</v>
      </c>
      <c r="J35" s="741">
        <v>216.5</v>
      </c>
      <c r="K35" s="742">
        <v>1</v>
      </c>
      <c r="L35" s="741">
        <v>210.9</v>
      </c>
      <c r="M35" s="742">
        <v>1</v>
      </c>
      <c r="N35" s="741">
        <v>217.7</v>
      </c>
      <c r="O35" s="742">
        <v>1</v>
      </c>
      <c r="P35" s="741">
        <v>182.2</v>
      </c>
      <c r="Q35" s="742">
        <v>1</v>
      </c>
      <c r="R35" s="741">
        <v>184.6</v>
      </c>
      <c r="S35" s="742">
        <v>1</v>
      </c>
      <c r="T35" s="741">
        <v>486.7</v>
      </c>
      <c r="U35" s="742">
        <v>1</v>
      </c>
    </row>
    <row r="36" spans="1:21">
      <c r="A36" s="718" t="s">
        <v>981</v>
      </c>
      <c r="B36" s="718" t="s">
        <v>476</v>
      </c>
      <c r="C36" s="720" t="s">
        <v>364</v>
      </c>
      <c r="D36" s="737">
        <v>13.2</v>
      </c>
      <c r="E36" s="738">
        <v>1</v>
      </c>
      <c r="F36" s="737">
        <v>14.5</v>
      </c>
      <c r="G36" s="738">
        <v>1</v>
      </c>
      <c r="H36" s="737">
        <v>17.899999999999999</v>
      </c>
      <c r="I36" s="738">
        <v>1</v>
      </c>
      <c r="J36" s="737" t="s">
        <v>476</v>
      </c>
      <c r="K36" s="720" t="s">
        <v>364</v>
      </c>
      <c r="L36" s="737">
        <v>22.8</v>
      </c>
      <c r="M36" s="738">
        <v>1</v>
      </c>
      <c r="N36" s="737">
        <v>25.2</v>
      </c>
      <c r="O36" s="738">
        <v>1</v>
      </c>
      <c r="P36" s="737">
        <v>27.1</v>
      </c>
      <c r="Q36" s="738">
        <v>1</v>
      </c>
      <c r="R36" s="737">
        <v>22.2</v>
      </c>
      <c r="S36" s="738">
        <v>1</v>
      </c>
      <c r="T36" s="737">
        <v>35.9</v>
      </c>
      <c r="U36" s="738">
        <v>1</v>
      </c>
    </row>
    <row r="37" spans="1:21">
      <c r="A37" s="724" t="s">
        <v>973</v>
      </c>
      <c r="B37" s="740" t="s">
        <v>476</v>
      </c>
      <c r="C37" s="726" t="s">
        <v>364</v>
      </c>
      <c r="D37" s="741">
        <v>13.2</v>
      </c>
      <c r="E37" s="742">
        <v>1</v>
      </c>
      <c r="F37" s="741">
        <v>14.5</v>
      </c>
      <c r="G37" s="742">
        <v>1</v>
      </c>
      <c r="H37" s="741">
        <v>17.899999999999999</v>
      </c>
      <c r="I37" s="742">
        <v>1</v>
      </c>
      <c r="J37" s="741" t="s">
        <v>476</v>
      </c>
      <c r="K37" s="726" t="s">
        <v>364</v>
      </c>
      <c r="L37" s="741">
        <v>22.8</v>
      </c>
      <c r="M37" s="742">
        <v>1</v>
      </c>
      <c r="N37" s="741">
        <v>25.2</v>
      </c>
      <c r="O37" s="742">
        <v>1</v>
      </c>
      <c r="P37" s="741">
        <v>27.1</v>
      </c>
      <c r="Q37" s="742">
        <v>1</v>
      </c>
      <c r="R37" s="741">
        <v>22.2</v>
      </c>
      <c r="S37" s="742">
        <v>1</v>
      </c>
      <c r="T37" s="741">
        <v>35.9</v>
      </c>
      <c r="U37" s="742">
        <v>1</v>
      </c>
    </row>
    <row r="38" spans="1:21">
      <c r="A38" s="718" t="s">
        <v>982</v>
      </c>
      <c r="B38" s="718" t="s">
        <v>476</v>
      </c>
      <c r="C38" s="720" t="s">
        <v>364</v>
      </c>
      <c r="D38" s="737">
        <v>4.9000000000000004</v>
      </c>
      <c r="E38" s="738">
        <v>1</v>
      </c>
      <c r="F38" s="737">
        <v>6.8</v>
      </c>
      <c r="G38" s="738">
        <v>1</v>
      </c>
      <c r="H38" s="737">
        <v>7.6</v>
      </c>
      <c r="I38" s="738">
        <v>1</v>
      </c>
      <c r="J38" s="737" t="s">
        <v>476</v>
      </c>
      <c r="K38" s="720" t="s">
        <v>364</v>
      </c>
      <c r="L38" s="737" t="s">
        <v>476</v>
      </c>
      <c r="M38" s="720" t="s">
        <v>364</v>
      </c>
      <c r="N38" s="737">
        <v>25.2</v>
      </c>
      <c r="O38" s="738">
        <v>1</v>
      </c>
      <c r="P38" s="737">
        <v>7.9</v>
      </c>
      <c r="Q38" s="738">
        <v>1</v>
      </c>
      <c r="R38" s="737">
        <v>4.3</v>
      </c>
      <c r="S38" s="738">
        <v>1</v>
      </c>
      <c r="T38" s="737">
        <v>20.9</v>
      </c>
      <c r="U38" s="738">
        <v>1</v>
      </c>
    </row>
    <row r="39" spans="1:21">
      <c r="A39" s="724" t="s">
        <v>973</v>
      </c>
      <c r="B39" s="740" t="s">
        <v>476</v>
      </c>
      <c r="C39" s="726" t="s">
        <v>364</v>
      </c>
      <c r="D39" s="741">
        <v>4.9000000000000004</v>
      </c>
      <c r="E39" s="742">
        <v>1</v>
      </c>
      <c r="F39" s="741">
        <v>6.8</v>
      </c>
      <c r="G39" s="742">
        <v>1</v>
      </c>
      <c r="H39" s="741">
        <v>7.6</v>
      </c>
      <c r="I39" s="742">
        <v>1</v>
      </c>
      <c r="J39" s="741" t="s">
        <v>476</v>
      </c>
      <c r="K39" s="726" t="s">
        <v>364</v>
      </c>
      <c r="L39" s="741" t="s">
        <v>476</v>
      </c>
      <c r="M39" s="726" t="s">
        <v>364</v>
      </c>
      <c r="N39" s="741">
        <v>25.2</v>
      </c>
      <c r="O39" s="742">
        <v>1</v>
      </c>
      <c r="P39" s="741">
        <v>7.9</v>
      </c>
      <c r="Q39" s="742">
        <v>1</v>
      </c>
      <c r="R39" s="741">
        <v>4.3</v>
      </c>
      <c r="S39" s="742">
        <v>1</v>
      </c>
      <c r="T39" s="741">
        <v>20.9</v>
      </c>
      <c r="U39" s="742">
        <v>1</v>
      </c>
    </row>
    <row r="40" spans="1:21">
      <c r="A40" s="718" t="s">
        <v>983</v>
      </c>
      <c r="B40" s="718" t="s">
        <v>476</v>
      </c>
      <c r="C40" s="720" t="s">
        <v>364</v>
      </c>
      <c r="D40" s="737">
        <v>0</v>
      </c>
      <c r="E40" s="720" t="s">
        <v>364</v>
      </c>
      <c r="F40" s="737">
        <v>0</v>
      </c>
      <c r="G40" s="720" t="s">
        <v>364</v>
      </c>
      <c r="H40" s="737">
        <v>0</v>
      </c>
      <c r="I40" s="720" t="s">
        <v>364</v>
      </c>
      <c r="J40" s="737" t="s">
        <v>476</v>
      </c>
      <c r="K40" s="720" t="s">
        <v>364</v>
      </c>
      <c r="L40" s="737" t="s">
        <v>476</v>
      </c>
      <c r="M40" s="720" t="s">
        <v>364</v>
      </c>
      <c r="N40" s="737" t="s">
        <v>476</v>
      </c>
      <c r="O40" s="720" t="s">
        <v>364</v>
      </c>
      <c r="P40" s="737" t="s">
        <v>476</v>
      </c>
      <c r="Q40" s="720" t="s">
        <v>364</v>
      </c>
      <c r="R40" s="737" t="s">
        <v>476</v>
      </c>
      <c r="S40" s="720" t="s">
        <v>364</v>
      </c>
      <c r="T40" s="737" t="s">
        <v>476</v>
      </c>
      <c r="U40" s="720" t="s">
        <v>364</v>
      </c>
    </row>
    <row r="41" spans="1:21">
      <c r="A41" s="724" t="s">
        <v>973</v>
      </c>
      <c r="B41" s="740" t="s">
        <v>476</v>
      </c>
      <c r="C41" s="726" t="s">
        <v>364</v>
      </c>
      <c r="D41" s="741">
        <v>0</v>
      </c>
      <c r="E41" s="726" t="s">
        <v>364</v>
      </c>
      <c r="F41" s="741">
        <v>0</v>
      </c>
      <c r="G41" s="726" t="s">
        <v>364</v>
      </c>
      <c r="H41" s="741">
        <v>0</v>
      </c>
      <c r="I41" s="726" t="s">
        <v>364</v>
      </c>
      <c r="J41" s="741" t="s">
        <v>476</v>
      </c>
      <c r="K41" s="726" t="s">
        <v>364</v>
      </c>
      <c r="L41" s="741" t="s">
        <v>476</v>
      </c>
      <c r="M41" s="726" t="s">
        <v>364</v>
      </c>
      <c r="N41" s="741" t="s">
        <v>476</v>
      </c>
      <c r="O41" s="726" t="s">
        <v>364</v>
      </c>
      <c r="P41" s="741" t="s">
        <v>476</v>
      </c>
      <c r="Q41" s="726" t="s">
        <v>364</v>
      </c>
      <c r="R41" s="741" t="s">
        <v>476</v>
      </c>
      <c r="S41" s="726" t="s">
        <v>364</v>
      </c>
      <c r="T41" s="741" t="s">
        <v>476</v>
      </c>
      <c r="U41" s="726" t="s">
        <v>364</v>
      </c>
    </row>
    <row r="42" spans="1:21">
      <c r="A42" s="718" t="s">
        <v>984</v>
      </c>
      <c r="B42" s="718" t="s">
        <v>476</v>
      </c>
      <c r="C42" s="720" t="s">
        <v>364</v>
      </c>
      <c r="D42" s="737">
        <v>-9.1999999999999993</v>
      </c>
      <c r="E42" s="720" t="s">
        <v>364</v>
      </c>
      <c r="F42" s="737">
        <v>-7.5</v>
      </c>
      <c r="G42" s="720" t="s">
        <v>364</v>
      </c>
      <c r="H42" s="737">
        <v>-8.9</v>
      </c>
      <c r="I42" s="720" t="s">
        <v>364</v>
      </c>
      <c r="J42" s="737" t="s">
        <v>476</v>
      </c>
      <c r="K42" s="720" t="s">
        <v>364</v>
      </c>
      <c r="L42" s="737">
        <v>-9.4</v>
      </c>
      <c r="M42" s="720" t="s">
        <v>364</v>
      </c>
      <c r="N42" s="737">
        <v>-6.5</v>
      </c>
      <c r="O42" s="720" t="s">
        <v>364</v>
      </c>
      <c r="P42" s="737">
        <v>-4.8</v>
      </c>
      <c r="Q42" s="720" t="s">
        <v>364</v>
      </c>
      <c r="R42" s="737">
        <v>-1.7</v>
      </c>
      <c r="S42" s="720" t="s">
        <v>364</v>
      </c>
      <c r="T42" s="737">
        <v>-8.6999999999999993</v>
      </c>
      <c r="U42" s="720" t="s">
        <v>364</v>
      </c>
    </row>
    <row r="43" spans="1:21">
      <c r="A43" s="724" t="s">
        <v>973</v>
      </c>
      <c r="B43" s="740" t="s">
        <v>476</v>
      </c>
      <c r="C43" s="726" t="s">
        <v>364</v>
      </c>
      <c r="D43" s="741">
        <v>-9.1999999999999993</v>
      </c>
      <c r="E43" s="742">
        <v>1</v>
      </c>
      <c r="F43" s="741">
        <v>-7.5</v>
      </c>
      <c r="G43" s="742">
        <v>1</v>
      </c>
      <c r="H43" s="741">
        <v>-8.9</v>
      </c>
      <c r="I43" s="742">
        <v>1</v>
      </c>
      <c r="J43" s="741" t="s">
        <v>476</v>
      </c>
      <c r="K43" s="726" t="s">
        <v>364</v>
      </c>
      <c r="L43" s="741">
        <v>-9.4</v>
      </c>
      <c r="M43" s="742">
        <v>1</v>
      </c>
      <c r="N43" s="741">
        <v>-6.5</v>
      </c>
      <c r="O43" s="742">
        <v>1</v>
      </c>
      <c r="P43" s="741">
        <v>-4.8</v>
      </c>
      <c r="Q43" s="742">
        <v>1</v>
      </c>
      <c r="R43" s="741">
        <v>-1.7</v>
      </c>
      <c r="S43" s="742">
        <v>1</v>
      </c>
      <c r="T43" s="741">
        <v>-8.6999999999999993</v>
      </c>
      <c r="U43" s="742">
        <v>1</v>
      </c>
    </row>
    <row r="44" spans="1:21">
      <c r="A44" s="718" t="s">
        <v>985</v>
      </c>
      <c r="B44" s="718" t="s">
        <v>476</v>
      </c>
      <c r="C44" s="720" t="s">
        <v>364</v>
      </c>
      <c r="D44" s="737" t="s">
        <v>476</v>
      </c>
      <c r="E44" s="720" t="s">
        <v>364</v>
      </c>
      <c r="F44" s="737" t="s">
        <v>476</v>
      </c>
      <c r="G44" s="720" t="s">
        <v>364</v>
      </c>
      <c r="H44" s="737" t="s">
        <v>476</v>
      </c>
      <c r="I44" s="720" t="s">
        <v>364</v>
      </c>
      <c r="J44" s="737" t="s">
        <v>476</v>
      </c>
      <c r="K44" s="720" t="s">
        <v>364</v>
      </c>
      <c r="L44" s="737" t="s">
        <v>476</v>
      </c>
      <c r="M44" s="720" t="s">
        <v>364</v>
      </c>
      <c r="N44" s="737" t="s">
        <v>476</v>
      </c>
      <c r="O44" s="720" t="s">
        <v>364</v>
      </c>
      <c r="P44" s="737">
        <v>0.5</v>
      </c>
      <c r="Q44" s="738">
        <v>1</v>
      </c>
      <c r="R44" s="737" t="s">
        <v>476</v>
      </c>
      <c r="S44" s="720" t="s">
        <v>364</v>
      </c>
      <c r="T44" s="737" t="s">
        <v>476</v>
      </c>
      <c r="U44" s="720" t="s">
        <v>364</v>
      </c>
    </row>
    <row r="45" spans="1:21">
      <c r="A45" s="724" t="s">
        <v>973</v>
      </c>
      <c r="B45" s="740" t="s">
        <v>476</v>
      </c>
      <c r="C45" s="726" t="s">
        <v>364</v>
      </c>
      <c r="D45" s="741" t="s">
        <v>476</v>
      </c>
      <c r="E45" s="726" t="s">
        <v>364</v>
      </c>
      <c r="F45" s="741" t="s">
        <v>476</v>
      </c>
      <c r="G45" s="726" t="s">
        <v>364</v>
      </c>
      <c r="H45" s="741" t="s">
        <v>476</v>
      </c>
      <c r="I45" s="726" t="s">
        <v>364</v>
      </c>
      <c r="J45" s="741" t="s">
        <v>476</v>
      </c>
      <c r="K45" s="726" t="s">
        <v>364</v>
      </c>
      <c r="L45" s="741" t="s">
        <v>476</v>
      </c>
      <c r="M45" s="726" t="s">
        <v>364</v>
      </c>
      <c r="N45" s="741" t="s">
        <v>476</v>
      </c>
      <c r="O45" s="726" t="s">
        <v>364</v>
      </c>
      <c r="P45" s="741">
        <v>0.5</v>
      </c>
      <c r="Q45" s="742">
        <v>1</v>
      </c>
      <c r="R45" s="741" t="s">
        <v>476</v>
      </c>
      <c r="S45" s="726" t="s">
        <v>364</v>
      </c>
      <c r="T45" s="741" t="s">
        <v>476</v>
      </c>
      <c r="U45" s="726" t="s">
        <v>364</v>
      </c>
    </row>
    <row r="46" spans="1:21">
      <c r="A46" s="734" t="s">
        <v>788</v>
      </c>
      <c r="B46" s="734" t="s">
        <v>364</v>
      </c>
      <c r="C46" s="734" t="s">
        <v>364</v>
      </c>
      <c r="D46" s="734" t="s">
        <v>364</v>
      </c>
      <c r="E46" s="734" t="s">
        <v>364</v>
      </c>
      <c r="F46" s="734" t="s">
        <v>364</v>
      </c>
      <c r="G46" s="734" t="s">
        <v>364</v>
      </c>
      <c r="H46" s="734" t="s">
        <v>364</v>
      </c>
      <c r="I46" s="734" t="s">
        <v>364</v>
      </c>
      <c r="J46" s="734" t="s">
        <v>364</v>
      </c>
      <c r="K46" s="734" t="s">
        <v>364</v>
      </c>
      <c r="L46" s="734" t="s">
        <v>364</v>
      </c>
      <c r="M46" s="734" t="s">
        <v>364</v>
      </c>
      <c r="N46" s="734" t="s">
        <v>364</v>
      </c>
      <c r="O46" s="734" t="s">
        <v>364</v>
      </c>
      <c r="P46" s="734" t="s">
        <v>364</v>
      </c>
      <c r="Q46" s="734" t="s">
        <v>364</v>
      </c>
      <c r="R46" s="734" t="s">
        <v>364</v>
      </c>
      <c r="S46" s="734" t="s">
        <v>364</v>
      </c>
      <c r="T46" s="734" t="s">
        <v>364</v>
      </c>
      <c r="U46" s="734" t="s">
        <v>364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F2D29-BBA4-4DCE-B816-E0BFD0092D08}">
  <dimension ref="A1:T19"/>
  <sheetViews>
    <sheetView workbookViewId="0">
      <selection activeCell="N5" sqref="N5:O11"/>
    </sheetView>
  </sheetViews>
  <sheetFormatPr defaultColWidth="8.875" defaultRowHeight="14.1"/>
  <cols>
    <col min="1" max="1" width="23.5" customWidth="1"/>
  </cols>
  <sheetData>
    <row r="1" spans="1:20" ht="14.45">
      <c r="A1" s="709" t="s">
        <v>364</v>
      </c>
      <c r="B1" s="709" t="s">
        <v>364</v>
      </c>
      <c r="C1" s="709" t="s">
        <v>364</v>
      </c>
      <c r="D1" s="709" t="s">
        <v>364</v>
      </c>
      <c r="E1" s="709" t="s">
        <v>364</v>
      </c>
      <c r="F1" s="709" t="s">
        <v>364</v>
      </c>
      <c r="G1" s="709" t="s">
        <v>364</v>
      </c>
      <c r="H1" s="709" t="s">
        <v>364</v>
      </c>
      <c r="I1" s="709" t="s">
        <v>364</v>
      </c>
      <c r="J1" s="709" t="s">
        <v>364</v>
      </c>
      <c r="K1" s="709" t="s">
        <v>364</v>
      </c>
      <c r="L1" s="709" t="s">
        <v>364</v>
      </c>
      <c r="M1" s="709" t="s">
        <v>364</v>
      </c>
      <c r="N1" s="709" t="s">
        <v>364</v>
      </c>
      <c r="O1" s="709" t="s">
        <v>364</v>
      </c>
      <c r="P1" s="709" t="s">
        <v>364</v>
      </c>
      <c r="Q1" s="709" t="s">
        <v>364</v>
      </c>
      <c r="R1" s="709" t="s">
        <v>364</v>
      </c>
      <c r="S1" s="709" t="s">
        <v>364</v>
      </c>
    </row>
    <row r="2" spans="1:20" ht="20.100000000000001">
      <c r="A2" s="710" t="s">
        <v>986</v>
      </c>
      <c r="B2" s="711"/>
      <c r="C2" s="711"/>
      <c r="D2" s="711"/>
      <c r="E2" s="711"/>
      <c r="F2" s="710" t="s">
        <v>364</v>
      </c>
      <c r="G2" s="710" t="s">
        <v>364</v>
      </c>
      <c r="H2" s="710" t="s">
        <v>364</v>
      </c>
      <c r="I2" s="710" t="s">
        <v>364</v>
      </c>
      <c r="J2" s="710" t="s">
        <v>364</v>
      </c>
      <c r="K2" s="710" t="s">
        <v>364</v>
      </c>
      <c r="L2" s="710" t="s">
        <v>364</v>
      </c>
      <c r="M2" s="710" t="s">
        <v>364</v>
      </c>
      <c r="N2" s="710" t="s">
        <v>364</v>
      </c>
      <c r="O2" s="710" t="s">
        <v>364</v>
      </c>
      <c r="P2" s="710" t="s">
        <v>364</v>
      </c>
      <c r="Q2" s="710" t="s">
        <v>364</v>
      </c>
      <c r="R2" s="710" t="s">
        <v>364</v>
      </c>
      <c r="S2" s="710" t="s">
        <v>364</v>
      </c>
      <c r="T2" s="710" t="s">
        <v>364</v>
      </c>
    </row>
    <row r="3" spans="1:20">
      <c r="A3" s="712" t="s">
        <v>364</v>
      </c>
      <c r="B3" s="712" t="s">
        <v>364</v>
      </c>
      <c r="C3" s="712" t="s">
        <v>364</v>
      </c>
      <c r="D3" s="712" t="s">
        <v>364</v>
      </c>
      <c r="E3" s="712" t="s">
        <v>364</v>
      </c>
      <c r="F3" s="712" t="s">
        <v>364</v>
      </c>
      <c r="G3" s="712" t="s">
        <v>364</v>
      </c>
      <c r="H3" s="712" t="s">
        <v>364</v>
      </c>
      <c r="I3" s="712" t="s">
        <v>364</v>
      </c>
      <c r="J3" s="712" t="s">
        <v>364</v>
      </c>
      <c r="K3" s="712" t="s">
        <v>364</v>
      </c>
      <c r="L3" s="712" t="s">
        <v>364</v>
      </c>
      <c r="M3" s="712" t="s">
        <v>364</v>
      </c>
      <c r="N3" s="712" t="s">
        <v>364</v>
      </c>
      <c r="O3" s="712" t="s">
        <v>364</v>
      </c>
      <c r="P3" s="712" t="s">
        <v>364</v>
      </c>
      <c r="Q3" s="712" t="s">
        <v>364</v>
      </c>
      <c r="R3" s="712" t="s">
        <v>364</v>
      </c>
      <c r="S3" s="712" t="s">
        <v>364</v>
      </c>
    </row>
    <row r="4" spans="1:20">
      <c r="A4" s="713" t="s">
        <v>735</v>
      </c>
      <c r="B4" s="713" t="s">
        <v>484</v>
      </c>
      <c r="C4" s="714" t="s">
        <v>364</v>
      </c>
      <c r="D4" s="714" t="s">
        <v>485</v>
      </c>
      <c r="E4" s="714" t="s">
        <v>364</v>
      </c>
      <c r="F4" s="714" t="s">
        <v>486</v>
      </c>
      <c r="G4" s="714" t="s">
        <v>364</v>
      </c>
      <c r="H4" s="714" t="s">
        <v>487</v>
      </c>
      <c r="I4" s="714" t="s">
        <v>364</v>
      </c>
      <c r="J4" s="714" t="s">
        <v>489</v>
      </c>
      <c r="K4" s="714" t="s">
        <v>364</v>
      </c>
      <c r="L4" s="714" t="s">
        <v>490</v>
      </c>
      <c r="M4" s="714" t="s">
        <v>364</v>
      </c>
      <c r="N4" s="714" t="s">
        <v>491</v>
      </c>
      <c r="O4" s="714" t="s">
        <v>364</v>
      </c>
      <c r="P4" s="714" t="s">
        <v>492</v>
      </c>
      <c r="Q4" s="714" t="s">
        <v>364</v>
      </c>
      <c r="R4" s="714" t="s">
        <v>493</v>
      </c>
      <c r="S4" s="714" t="s">
        <v>364</v>
      </c>
    </row>
    <row r="5" spans="1:20">
      <c r="A5" s="715" t="s">
        <v>737</v>
      </c>
      <c r="B5" s="736">
        <v>42369</v>
      </c>
      <c r="C5" s="716" t="s">
        <v>364</v>
      </c>
      <c r="D5" s="717">
        <v>42735</v>
      </c>
      <c r="E5" s="716" t="s">
        <v>364</v>
      </c>
      <c r="F5" s="717">
        <v>43100</v>
      </c>
      <c r="G5" s="716" t="s">
        <v>364</v>
      </c>
      <c r="H5" s="717">
        <v>43465</v>
      </c>
      <c r="I5" s="716" t="s">
        <v>364</v>
      </c>
      <c r="J5" s="717">
        <v>43921</v>
      </c>
      <c r="K5" s="716" t="s">
        <v>364</v>
      </c>
      <c r="L5" s="717">
        <v>44286</v>
      </c>
      <c r="M5" s="716" t="s">
        <v>364</v>
      </c>
      <c r="N5" s="717">
        <v>44651</v>
      </c>
      <c r="O5" s="716" t="s">
        <v>364</v>
      </c>
      <c r="P5" s="717">
        <v>45016</v>
      </c>
      <c r="Q5" s="716" t="s">
        <v>364</v>
      </c>
      <c r="R5" s="717">
        <v>45382</v>
      </c>
      <c r="S5" s="716" t="s">
        <v>364</v>
      </c>
    </row>
    <row r="6" spans="1:20">
      <c r="A6" s="718" t="s">
        <v>244</v>
      </c>
      <c r="B6" s="718" t="s">
        <v>476</v>
      </c>
      <c r="C6" s="720" t="s">
        <v>364</v>
      </c>
      <c r="D6" s="737">
        <v>229.6</v>
      </c>
      <c r="E6" s="738">
        <v>1</v>
      </c>
      <c r="F6" s="737">
        <v>269.89999999999998</v>
      </c>
      <c r="G6" s="738">
        <v>1</v>
      </c>
      <c r="H6" s="737">
        <v>267.39999999999998</v>
      </c>
      <c r="I6" s="738">
        <v>1</v>
      </c>
      <c r="J6" s="737">
        <v>282.89999999999998</v>
      </c>
      <c r="K6" s="738">
        <v>1</v>
      </c>
      <c r="L6" s="737">
        <v>318.10000000000002</v>
      </c>
      <c r="M6" s="738">
        <v>1</v>
      </c>
      <c r="N6" s="737">
        <v>392.2</v>
      </c>
      <c r="O6" s="738">
        <v>1</v>
      </c>
      <c r="P6" s="737">
        <v>578.79999999999995</v>
      </c>
      <c r="Q6" s="738">
        <v>1</v>
      </c>
      <c r="R6" s="739">
        <v>1023.9</v>
      </c>
      <c r="S6" s="738">
        <v>1</v>
      </c>
    </row>
    <row r="7" spans="1:20">
      <c r="A7" s="724" t="s">
        <v>987</v>
      </c>
      <c r="B7" s="740" t="s">
        <v>476</v>
      </c>
      <c r="C7" s="726" t="s">
        <v>364</v>
      </c>
      <c r="D7" s="741">
        <v>210.2</v>
      </c>
      <c r="E7" s="742">
        <v>0.91600000000000004</v>
      </c>
      <c r="F7" s="741">
        <v>243.3</v>
      </c>
      <c r="G7" s="742">
        <v>0.90100000000000002</v>
      </c>
      <c r="H7" s="741">
        <v>240.6</v>
      </c>
      <c r="I7" s="742">
        <v>0.9</v>
      </c>
      <c r="J7" s="741">
        <v>255.3</v>
      </c>
      <c r="K7" s="742">
        <v>0.90300000000000002</v>
      </c>
      <c r="L7" s="741">
        <v>284.2</v>
      </c>
      <c r="M7" s="742">
        <v>0.89300000000000002</v>
      </c>
      <c r="N7" s="741">
        <v>347.5</v>
      </c>
      <c r="O7" s="742">
        <v>0.88600000000000001</v>
      </c>
      <c r="P7" s="741">
        <v>506.8</v>
      </c>
      <c r="Q7" s="742">
        <v>0.875</v>
      </c>
      <c r="R7" s="741">
        <v>868.1</v>
      </c>
      <c r="S7" s="742">
        <v>0.84799999999999998</v>
      </c>
    </row>
    <row r="8" spans="1:20">
      <c r="A8" s="724" t="s">
        <v>988</v>
      </c>
      <c r="B8" s="740" t="s">
        <v>476</v>
      </c>
      <c r="C8" s="726" t="s">
        <v>364</v>
      </c>
      <c r="D8" s="741">
        <v>19.3</v>
      </c>
      <c r="E8" s="742">
        <v>8.4000000000000005E-2</v>
      </c>
      <c r="F8" s="741">
        <v>26.6</v>
      </c>
      <c r="G8" s="742">
        <v>9.9000000000000005E-2</v>
      </c>
      <c r="H8" s="741">
        <v>26.8</v>
      </c>
      <c r="I8" s="742">
        <v>0.1</v>
      </c>
      <c r="J8" s="741">
        <v>27.6</v>
      </c>
      <c r="K8" s="742">
        <v>9.7000000000000003E-2</v>
      </c>
      <c r="L8" s="741">
        <v>33.9</v>
      </c>
      <c r="M8" s="742">
        <v>0.107</v>
      </c>
      <c r="N8" s="741">
        <v>44.7</v>
      </c>
      <c r="O8" s="742">
        <v>0.114</v>
      </c>
      <c r="P8" s="741">
        <v>72.099999999999994</v>
      </c>
      <c r="Q8" s="742">
        <v>0.125</v>
      </c>
      <c r="R8" s="741">
        <v>155.9</v>
      </c>
      <c r="S8" s="742">
        <v>0.152</v>
      </c>
    </row>
    <row r="9" spans="1:20">
      <c r="A9" s="718" t="s">
        <v>980</v>
      </c>
      <c r="B9" s="718">
        <v>9.9</v>
      </c>
      <c r="C9" s="738">
        <v>1</v>
      </c>
      <c r="D9" s="737">
        <v>17.2</v>
      </c>
      <c r="E9" s="738">
        <v>1</v>
      </c>
      <c r="F9" s="737">
        <v>18</v>
      </c>
      <c r="G9" s="738">
        <v>1</v>
      </c>
      <c r="H9" s="737">
        <v>21.8</v>
      </c>
      <c r="I9" s="738">
        <v>1</v>
      </c>
      <c r="J9" s="737">
        <v>17.2</v>
      </c>
      <c r="K9" s="738">
        <v>1</v>
      </c>
      <c r="L9" s="737">
        <v>13.8</v>
      </c>
      <c r="M9" s="738">
        <v>1</v>
      </c>
      <c r="N9" s="737">
        <v>10.6</v>
      </c>
      <c r="O9" s="738">
        <v>1</v>
      </c>
      <c r="P9" s="737">
        <v>21.9</v>
      </c>
      <c r="Q9" s="738">
        <v>1</v>
      </c>
      <c r="R9" s="737" t="s">
        <v>476</v>
      </c>
      <c r="S9" s="720" t="s">
        <v>364</v>
      </c>
    </row>
    <row r="10" spans="1:20">
      <c r="A10" s="724" t="s">
        <v>989</v>
      </c>
      <c r="B10" s="740" t="s">
        <v>476</v>
      </c>
      <c r="C10" s="726" t="s">
        <v>364</v>
      </c>
      <c r="D10" s="741" t="s">
        <v>476</v>
      </c>
      <c r="E10" s="726" t="s">
        <v>364</v>
      </c>
      <c r="F10" s="741" t="s">
        <v>476</v>
      </c>
      <c r="G10" s="726" t="s">
        <v>364</v>
      </c>
      <c r="H10" s="741" t="s">
        <v>476</v>
      </c>
      <c r="I10" s="726" t="s">
        <v>364</v>
      </c>
      <c r="J10" s="741" t="s">
        <v>476</v>
      </c>
      <c r="K10" s="726" t="s">
        <v>364</v>
      </c>
      <c r="L10" s="741" t="s">
        <v>476</v>
      </c>
      <c r="M10" s="726" t="s">
        <v>364</v>
      </c>
      <c r="N10" s="741" t="s">
        <v>476</v>
      </c>
      <c r="O10" s="726" t="s">
        <v>364</v>
      </c>
      <c r="P10" s="741">
        <v>14.1</v>
      </c>
      <c r="Q10" s="742">
        <v>0.64100000000000001</v>
      </c>
      <c r="R10" s="741" t="s">
        <v>476</v>
      </c>
      <c r="S10" s="726" t="s">
        <v>364</v>
      </c>
    </row>
    <row r="11" spans="1:20">
      <c r="A11" s="724" t="s">
        <v>987</v>
      </c>
      <c r="B11" s="740">
        <v>9.9</v>
      </c>
      <c r="C11" s="742">
        <v>1</v>
      </c>
      <c r="D11" s="741">
        <v>16.8</v>
      </c>
      <c r="E11" s="742">
        <v>0.97699999999999998</v>
      </c>
      <c r="F11" s="741">
        <v>17.8</v>
      </c>
      <c r="G11" s="742">
        <v>0.98899999999999999</v>
      </c>
      <c r="H11" s="741">
        <v>21.2</v>
      </c>
      <c r="I11" s="742">
        <v>0.97399999999999998</v>
      </c>
      <c r="J11" s="741">
        <v>16.8</v>
      </c>
      <c r="K11" s="742">
        <v>0.98099999999999998</v>
      </c>
      <c r="L11" s="741">
        <v>13.5</v>
      </c>
      <c r="M11" s="742">
        <v>0.98199999999999998</v>
      </c>
      <c r="N11" s="741">
        <v>10.4</v>
      </c>
      <c r="O11" s="742">
        <v>0.98</v>
      </c>
      <c r="P11" s="741">
        <v>7.6</v>
      </c>
      <c r="Q11" s="742">
        <v>0.34699999999999998</v>
      </c>
      <c r="R11" s="741" t="s">
        <v>476</v>
      </c>
      <c r="S11" s="726" t="s">
        <v>364</v>
      </c>
    </row>
    <row r="12" spans="1:20">
      <c r="A12" s="724" t="s">
        <v>988</v>
      </c>
      <c r="B12" s="740" t="s">
        <v>476</v>
      </c>
      <c r="C12" s="726" t="s">
        <v>364</v>
      </c>
      <c r="D12" s="741">
        <v>0.4</v>
      </c>
      <c r="E12" s="742">
        <v>2.3E-2</v>
      </c>
      <c r="F12" s="741">
        <v>0.2</v>
      </c>
      <c r="G12" s="742">
        <v>1.0999999999999999E-2</v>
      </c>
      <c r="H12" s="741">
        <v>0.6</v>
      </c>
      <c r="I12" s="742">
        <v>2.5999999999999999E-2</v>
      </c>
      <c r="J12" s="741">
        <v>0.3</v>
      </c>
      <c r="K12" s="742">
        <v>1.9E-2</v>
      </c>
      <c r="L12" s="741">
        <v>0.2</v>
      </c>
      <c r="M12" s="742">
        <v>1.7999999999999999E-2</v>
      </c>
      <c r="N12" s="741">
        <v>0.2</v>
      </c>
      <c r="O12" s="742">
        <v>0.02</v>
      </c>
      <c r="P12" s="741">
        <v>0.3</v>
      </c>
      <c r="Q12" s="742">
        <v>1.2E-2</v>
      </c>
      <c r="R12" s="741" t="s">
        <v>476</v>
      </c>
      <c r="S12" s="726" t="s">
        <v>364</v>
      </c>
    </row>
    <row r="13" spans="1:20">
      <c r="A13" s="718" t="s">
        <v>702</v>
      </c>
      <c r="B13" s="718">
        <v>157.30000000000001</v>
      </c>
      <c r="C13" s="738">
        <v>1</v>
      </c>
      <c r="D13" s="737" t="s">
        <v>476</v>
      </c>
      <c r="E13" s="720" t="s">
        <v>364</v>
      </c>
      <c r="F13" s="737" t="s">
        <v>476</v>
      </c>
      <c r="G13" s="720" t="s">
        <v>364</v>
      </c>
      <c r="H13" s="737" t="s">
        <v>476</v>
      </c>
      <c r="I13" s="720" t="s">
        <v>364</v>
      </c>
      <c r="J13" s="737" t="s">
        <v>476</v>
      </c>
      <c r="K13" s="720" t="s">
        <v>364</v>
      </c>
      <c r="L13" s="737" t="s">
        <v>476</v>
      </c>
      <c r="M13" s="720" t="s">
        <v>364</v>
      </c>
      <c r="N13" s="737" t="s">
        <v>476</v>
      </c>
      <c r="O13" s="720" t="s">
        <v>364</v>
      </c>
      <c r="P13" s="737" t="s">
        <v>476</v>
      </c>
      <c r="Q13" s="720" t="s">
        <v>364</v>
      </c>
      <c r="R13" s="737" t="s">
        <v>476</v>
      </c>
      <c r="S13" s="720" t="s">
        <v>364</v>
      </c>
    </row>
    <row r="14" spans="1:20">
      <c r="A14" s="724" t="s">
        <v>987</v>
      </c>
      <c r="B14" s="740">
        <v>157.30000000000001</v>
      </c>
      <c r="C14" s="742">
        <v>1</v>
      </c>
      <c r="D14" s="741" t="s">
        <v>476</v>
      </c>
      <c r="E14" s="726" t="s">
        <v>364</v>
      </c>
      <c r="F14" s="741" t="s">
        <v>476</v>
      </c>
      <c r="G14" s="726" t="s">
        <v>364</v>
      </c>
      <c r="H14" s="741" t="s">
        <v>476</v>
      </c>
      <c r="I14" s="726" t="s">
        <v>364</v>
      </c>
      <c r="J14" s="741" t="s">
        <v>476</v>
      </c>
      <c r="K14" s="726" t="s">
        <v>364</v>
      </c>
      <c r="L14" s="741" t="s">
        <v>476</v>
      </c>
      <c r="M14" s="726" t="s">
        <v>364</v>
      </c>
      <c r="N14" s="741" t="s">
        <v>476</v>
      </c>
      <c r="O14" s="726" t="s">
        <v>364</v>
      </c>
      <c r="P14" s="741" t="s">
        <v>476</v>
      </c>
      <c r="Q14" s="726" t="s">
        <v>364</v>
      </c>
      <c r="R14" s="741" t="s">
        <v>476</v>
      </c>
      <c r="S14" s="726" t="s">
        <v>364</v>
      </c>
    </row>
    <row r="15" spans="1:20">
      <c r="A15" s="718" t="s">
        <v>572</v>
      </c>
      <c r="B15" s="718">
        <v>361.1</v>
      </c>
      <c r="C15" s="738">
        <v>1</v>
      </c>
      <c r="D15" s="737" t="s">
        <v>476</v>
      </c>
      <c r="E15" s="720" t="s">
        <v>364</v>
      </c>
      <c r="F15" s="737" t="s">
        <v>476</v>
      </c>
      <c r="G15" s="720" t="s">
        <v>364</v>
      </c>
      <c r="H15" s="737" t="s">
        <v>476</v>
      </c>
      <c r="I15" s="720" t="s">
        <v>364</v>
      </c>
      <c r="J15" s="737" t="s">
        <v>476</v>
      </c>
      <c r="K15" s="720" t="s">
        <v>364</v>
      </c>
      <c r="L15" s="737" t="s">
        <v>476</v>
      </c>
      <c r="M15" s="720" t="s">
        <v>364</v>
      </c>
      <c r="N15" s="737" t="s">
        <v>476</v>
      </c>
      <c r="O15" s="720" t="s">
        <v>364</v>
      </c>
      <c r="P15" s="737" t="s">
        <v>476</v>
      </c>
      <c r="Q15" s="720" t="s">
        <v>364</v>
      </c>
      <c r="R15" s="737" t="s">
        <v>476</v>
      </c>
      <c r="S15" s="720" t="s">
        <v>364</v>
      </c>
    </row>
    <row r="16" spans="1:20">
      <c r="A16" s="724" t="s">
        <v>987</v>
      </c>
      <c r="B16" s="740">
        <v>361.1</v>
      </c>
      <c r="C16" s="742">
        <v>1</v>
      </c>
      <c r="D16" s="741" t="s">
        <v>476</v>
      </c>
      <c r="E16" s="726" t="s">
        <v>364</v>
      </c>
      <c r="F16" s="741" t="s">
        <v>476</v>
      </c>
      <c r="G16" s="726" t="s">
        <v>364</v>
      </c>
      <c r="H16" s="741" t="s">
        <v>476</v>
      </c>
      <c r="I16" s="726" t="s">
        <v>364</v>
      </c>
      <c r="J16" s="741" t="s">
        <v>476</v>
      </c>
      <c r="K16" s="726" t="s">
        <v>364</v>
      </c>
      <c r="L16" s="741" t="s">
        <v>476</v>
      </c>
      <c r="M16" s="726" t="s">
        <v>364</v>
      </c>
      <c r="N16" s="741" t="s">
        <v>476</v>
      </c>
      <c r="O16" s="726" t="s">
        <v>364</v>
      </c>
      <c r="P16" s="741" t="s">
        <v>476</v>
      </c>
      <c r="Q16" s="726" t="s">
        <v>364</v>
      </c>
      <c r="R16" s="741" t="s">
        <v>476</v>
      </c>
      <c r="S16" s="726" t="s">
        <v>364</v>
      </c>
    </row>
    <row r="17" spans="1:19">
      <c r="A17" s="718" t="s">
        <v>584</v>
      </c>
      <c r="B17" s="718">
        <v>224.2</v>
      </c>
      <c r="C17" s="738">
        <v>1</v>
      </c>
      <c r="D17" s="737" t="s">
        <v>476</v>
      </c>
      <c r="E17" s="720" t="s">
        <v>364</v>
      </c>
      <c r="F17" s="737" t="s">
        <v>476</v>
      </c>
      <c r="G17" s="720" t="s">
        <v>364</v>
      </c>
      <c r="H17" s="737" t="s">
        <v>476</v>
      </c>
      <c r="I17" s="720" t="s">
        <v>364</v>
      </c>
      <c r="J17" s="737" t="s">
        <v>476</v>
      </c>
      <c r="K17" s="720" t="s">
        <v>364</v>
      </c>
      <c r="L17" s="737" t="s">
        <v>476</v>
      </c>
      <c r="M17" s="720" t="s">
        <v>364</v>
      </c>
      <c r="N17" s="737" t="s">
        <v>476</v>
      </c>
      <c r="O17" s="720" t="s">
        <v>364</v>
      </c>
      <c r="P17" s="737" t="s">
        <v>476</v>
      </c>
      <c r="Q17" s="720" t="s">
        <v>364</v>
      </c>
      <c r="R17" s="737" t="s">
        <v>476</v>
      </c>
      <c r="S17" s="720" t="s">
        <v>364</v>
      </c>
    </row>
    <row r="18" spans="1:19">
      <c r="A18" s="724" t="s">
        <v>987</v>
      </c>
      <c r="B18" s="740">
        <v>224.2</v>
      </c>
      <c r="C18" s="742">
        <v>1</v>
      </c>
      <c r="D18" s="741" t="s">
        <v>476</v>
      </c>
      <c r="E18" s="726" t="s">
        <v>364</v>
      </c>
      <c r="F18" s="741" t="s">
        <v>476</v>
      </c>
      <c r="G18" s="726" t="s">
        <v>364</v>
      </c>
      <c r="H18" s="741" t="s">
        <v>476</v>
      </c>
      <c r="I18" s="726" t="s">
        <v>364</v>
      </c>
      <c r="J18" s="741" t="s">
        <v>476</v>
      </c>
      <c r="K18" s="726" t="s">
        <v>364</v>
      </c>
      <c r="L18" s="741" t="s">
        <v>476</v>
      </c>
      <c r="M18" s="726" t="s">
        <v>364</v>
      </c>
      <c r="N18" s="741" t="s">
        <v>476</v>
      </c>
      <c r="O18" s="726" t="s">
        <v>364</v>
      </c>
      <c r="P18" s="741" t="s">
        <v>476</v>
      </c>
      <c r="Q18" s="726" t="s">
        <v>364</v>
      </c>
      <c r="R18" s="741" t="s">
        <v>476</v>
      </c>
      <c r="S18" s="726" t="s">
        <v>364</v>
      </c>
    </row>
    <row r="19" spans="1:19">
      <c r="A19" s="734" t="s">
        <v>788</v>
      </c>
      <c r="B19" s="734" t="s">
        <v>364</v>
      </c>
      <c r="C19" s="734" t="s">
        <v>364</v>
      </c>
      <c r="D19" s="734" t="s">
        <v>364</v>
      </c>
      <c r="E19" s="734" t="s">
        <v>364</v>
      </c>
      <c r="F19" s="734" t="s">
        <v>364</v>
      </c>
      <c r="G19" s="734" t="s">
        <v>364</v>
      </c>
      <c r="H19" s="734" t="s">
        <v>364</v>
      </c>
      <c r="I19" s="734" t="s">
        <v>364</v>
      </c>
      <c r="J19" s="734" t="s">
        <v>364</v>
      </c>
      <c r="K19" s="734" t="s">
        <v>364</v>
      </c>
      <c r="L19" s="734" t="s">
        <v>364</v>
      </c>
      <c r="M19" s="734" t="s">
        <v>364</v>
      </c>
      <c r="N19" s="734" t="s">
        <v>364</v>
      </c>
      <c r="O19" s="734" t="s">
        <v>364</v>
      </c>
      <c r="P19" s="734" t="s">
        <v>364</v>
      </c>
      <c r="Q19" s="734" t="s">
        <v>364</v>
      </c>
      <c r="R19" s="734" t="s">
        <v>364</v>
      </c>
      <c r="S19" s="734" t="s">
        <v>364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40DE-AC8F-426A-BAC5-59B4F87E4137}">
  <dimension ref="A1:J130"/>
  <sheetViews>
    <sheetView topLeftCell="A91" workbookViewId="0">
      <selection activeCell="N5" sqref="N5:O11"/>
    </sheetView>
  </sheetViews>
  <sheetFormatPr defaultColWidth="8.875" defaultRowHeight="14.1"/>
  <cols>
    <col min="1" max="1" width="41.875" customWidth="1"/>
  </cols>
  <sheetData>
    <row r="1" spans="1:10" ht="14.45">
      <c r="A1" s="709" t="s">
        <v>364</v>
      </c>
      <c r="B1" s="709" t="s">
        <v>364</v>
      </c>
      <c r="C1" s="709" t="s">
        <v>364</v>
      </c>
      <c r="D1" s="709" t="s">
        <v>364</v>
      </c>
      <c r="E1" s="709" t="s">
        <v>364</v>
      </c>
      <c r="F1" s="709" t="s">
        <v>364</v>
      </c>
      <c r="G1" s="709" t="s">
        <v>364</v>
      </c>
      <c r="H1" s="709" t="s">
        <v>364</v>
      </c>
      <c r="I1" s="709" t="s">
        <v>364</v>
      </c>
    </row>
    <row r="2" spans="1:10" ht="20.100000000000001">
      <c r="A2" s="710" t="s">
        <v>990</v>
      </c>
      <c r="B2" s="711"/>
      <c r="C2" s="711"/>
      <c r="D2" s="711"/>
      <c r="E2" s="710" t="s">
        <v>364</v>
      </c>
      <c r="F2" s="710" t="s">
        <v>364</v>
      </c>
      <c r="G2" s="710" t="s">
        <v>364</v>
      </c>
      <c r="H2" s="710" t="s">
        <v>364</v>
      </c>
      <c r="I2" s="710" t="s">
        <v>364</v>
      </c>
      <c r="J2" s="710" t="s">
        <v>364</v>
      </c>
    </row>
    <row r="3" spans="1:10">
      <c r="A3" s="712" t="s">
        <v>364</v>
      </c>
      <c r="B3" s="712" t="s">
        <v>364</v>
      </c>
      <c r="C3" s="712" t="s">
        <v>364</v>
      </c>
      <c r="D3" s="712" t="s">
        <v>364</v>
      </c>
      <c r="E3" s="712" t="s">
        <v>364</v>
      </c>
      <c r="F3" s="712" t="s">
        <v>364</v>
      </c>
      <c r="G3" s="712" t="s">
        <v>364</v>
      </c>
      <c r="H3" s="712" t="s">
        <v>364</v>
      </c>
      <c r="I3" s="712" t="s">
        <v>364</v>
      </c>
    </row>
    <row r="4" spans="1:10">
      <c r="A4" s="713" t="s">
        <v>735</v>
      </c>
      <c r="B4" s="714" t="s">
        <v>485</v>
      </c>
      <c r="C4" s="714" t="s">
        <v>486</v>
      </c>
      <c r="D4" s="714" t="s">
        <v>487</v>
      </c>
      <c r="E4" s="714" t="s">
        <v>489</v>
      </c>
      <c r="F4" s="714" t="s">
        <v>490</v>
      </c>
      <c r="G4" s="714" t="s">
        <v>491</v>
      </c>
      <c r="H4" s="714" t="s">
        <v>492</v>
      </c>
      <c r="I4" s="714" t="s">
        <v>493</v>
      </c>
    </row>
    <row r="5" spans="1:10">
      <c r="A5" s="715" t="s">
        <v>737</v>
      </c>
      <c r="B5" s="717">
        <v>42735</v>
      </c>
      <c r="C5" s="717">
        <v>43100</v>
      </c>
      <c r="D5" s="717">
        <v>43465</v>
      </c>
      <c r="E5" s="717">
        <v>43921</v>
      </c>
      <c r="F5" s="717">
        <v>44286</v>
      </c>
      <c r="G5" s="717">
        <v>44651</v>
      </c>
      <c r="H5" s="717">
        <v>45016</v>
      </c>
      <c r="I5" s="717">
        <v>45382</v>
      </c>
    </row>
    <row r="6" spans="1:10">
      <c r="A6" s="724" t="s">
        <v>991</v>
      </c>
      <c r="B6" s="726" t="s">
        <v>364</v>
      </c>
      <c r="C6" s="726" t="s">
        <v>364</v>
      </c>
      <c r="D6" s="726" t="s">
        <v>364</v>
      </c>
      <c r="E6" s="726" t="s">
        <v>364</v>
      </c>
      <c r="F6" s="726" t="s">
        <v>364</v>
      </c>
      <c r="G6" s="726" t="s">
        <v>364</v>
      </c>
      <c r="H6" s="726" t="s">
        <v>364</v>
      </c>
      <c r="I6" s="726" t="s">
        <v>364</v>
      </c>
    </row>
    <row r="7" spans="1:10">
      <c r="A7" s="724" t="s">
        <v>992</v>
      </c>
      <c r="B7" s="725">
        <v>1.84</v>
      </c>
      <c r="C7" s="726">
        <v>1.88</v>
      </c>
      <c r="D7" s="726">
        <v>1.93</v>
      </c>
      <c r="E7" s="726">
        <v>1.82</v>
      </c>
      <c r="F7" s="726">
        <v>1.86</v>
      </c>
      <c r="G7" s="726">
        <v>3.18</v>
      </c>
      <c r="H7" s="726">
        <v>3.5</v>
      </c>
      <c r="I7" s="726" t="s">
        <v>476</v>
      </c>
    </row>
    <row r="8" spans="1:10">
      <c r="A8" s="724" t="s">
        <v>993</v>
      </c>
      <c r="B8" s="725">
        <v>0</v>
      </c>
      <c r="C8" s="726">
        <v>0</v>
      </c>
      <c r="D8" s="726">
        <v>0</v>
      </c>
      <c r="E8" s="726">
        <v>0</v>
      </c>
      <c r="F8" s="726">
        <v>0</v>
      </c>
      <c r="G8" s="726">
        <v>2.61</v>
      </c>
      <c r="H8" s="726">
        <v>3.19</v>
      </c>
      <c r="I8" s="726" t="s">
        <v>476</v>
      </c>
    </row>
    <row r="9" spans="1:10">
      <c r="A9" s="724" t="s">
        <v>994</v>
      </c>
      <c r="B9" s="725">
        <v>1.2</v>
      </c>
      <c r="C9" s="726">
        <v>1.2</v>
      </c>
      <c r="D9" s="726">
        <v>1.2</v>
      </c>
      <c r="E9" s="726">
        <v>0.6</v>
      </c>
      <c r="F9" s="726">
        <v>0.6</v>
      </c>
      <c r="G9" s="726">
        <v>1.1499999999999999</v>
      </c>
      <c r="H9" s="726">
        <v>1.1499999999999999</v>
      </c>
      <c r="I9" s="726" t="s">
        <v>476</v>
      </c>
    </row>
    <row r="10" spans="1:10">
      <c r="A10" s="724" t="s">
        <v>995</v>
      </c>
      <c r="B10" s="725">
        <v>5.64</v>
      </c>
      <c r="C10" s="726">
        <v>5.79</v>
      </c>
      <c r="D10" s="726">
        <v>6.03</v>
      </c>
      <c r="E10" s="726">
        <v>6.67</v>
      </c>
      <c r="F10" s="726">
        <v>6.9</v>
      </c>
      <c r="G10" s="726">
        <v>6.66</v>
      </c>
      <c r="H10" s="726">
        <v>7.13</v>
      </c>
      <c r="I10" s="726" t="s">
        <v>476</v>
      </c>
    </row>
    <row r="11" spans="1:10">
      <c r="A11" s="724" t="s">
        <v>364</v>
      </c>
      <c r="B11" s="726" t="s">
        <v>364</v>
      </c>
      <c r="C11" s="726" t="s">
        <v>364</v>
      </c>
      <c r="D11" s="726" t="s">
        <v>364</v>
      </c>
      <c r="E11" s="726" t="s">
        <v>364</v>
      </c>
      <c r="F11" s="726" t="s">
        <v>364</v>
      </c>
      <c r="G11" s="726" t="s">
        <v>364</v>
      </c>
      <c r="H11" s="726" t="s">
        <v>364</v>
      </c>
      <c r="I11" s="726" t="s">
        <v>364</v>
      </c>
    </row>
    <row r="12" spans="1:10">
      <c r="A12" s="724" t="s">
        <v>996</v>
      </c>
      <c r="B12" s="726" t="s">
        <v>364</v>
      </c>
      <c r="C12" s="726" t="s">
        <v>364</v>
      </c>
      <c r="D12" s="726" t="s">
        <v>364</v>
      </c>
      <c r="E12" s="726" t="s">
        <v>364</v>
      </c>
      <c r="F12" s="726" t="s">
        <v>364</v>
      </c>
      <c r="G12" s="726" t="s">
        <v>364</v>
      </c>
      <c r="H12" s="726" t="s">
        <v>364</v>
      </c>
      <c r="I12" s="726" t="s">
        <v>364</v>
      </c>
    </row>
    <row r="13" spans="1:10">
      <c r="A13" s="724" t="s">
        <v>997</v>
      </c>
      <c r="B13" s="725">
        <v>29.2</v>
      </c>
      <c r="C13" s="726">
        <v>31.52</v>
      </c>
      <c r="D13" s="726">
        <v>31.52</v>
      </c>
      <c r="E13" s="726">
        <v>31.32</v>
      </c>
      <c r="F13" s="726">
        <v>31.75</v>
      </c>
      <c r="G13" s="726">
        <v>34.630000000000003</v>
      </c>
      <c r="H13" s="726">
        <v>34.340000000000003</v>
      </c>
      <c r="I13" s="726" t="s">
        <v>476</v>
      </c>
    </row>
    <row r="14" spans="1:10">
      <c r="A14" s="724" t="s">
        <v>998</v>
      </c>
      <c r="B14" s="725">
        <v>0</v>
      </c>
      <c r="C14" s="726">
        <v>0</v>
      </c>
      <c r="D14" s="726">
        <v>0</v>
      </c>
      <c r="E14" s="726">
        <v>0</v>
      </c>
      <c r="F14" s="726">
        <v>0</v>
      </c>
      <c r="G14" s="726">
        <v>7.64</v>
      </c>
      <c r="H14" s="726">
        <v>6.77</v>
      </c>
      <c r="I14" s="726" t="s">
        <v>476</v>
      </c>
    </row>
    <row r="15" spans="1:10">
      <c r="A15" s="724" t="s">
        <v>999</v>
      </c>
      <c r="B15" s="725">
        <v>6.95</v>
      </c>
      <c r="C15" s="726">
        <v>10.76</v>
      </c>
      <c r="D15" s="726">
        <v>10.76</v>
      </c>
      <c r="E15" s="726">
        <v>10.19</v>
      </c>
      <c r="F15" s="726">
        <v>10.76</v>
      </c>
      <c r="G15" s="726">
        <v>11.79</v>
      </c>
      <c r="H15" s="726">
        <v>11.79</v>
      </c>
      <c r="I15" s="726" t="s">
        <v>476</v>
      </c>
    </row>
    <row r="16" spans="1:10">
      <c r="A16" s="724" t="s">
        <v>1000</v>
      </c>
      <c r="B16" s="725">
        <v>80.459999999999994</v>
      </c>
      <c r="C16" s="726">
        <v>83.59</v>
      </c>
      <c r="D16" s="726">
        <v>83.59</v>
      </c>
      <c r="E16" s="726">
        <v>83.59</v>
      </c>
      <c r="F16" s="726">
        <v>84.29</v>
      </c>
      <c r="G16" s="726">
        <v>84.29</v>
      </c>
      <c r="H16" s="726">
        <v>84.29</v>
      </c>
      <c r="I16" s="726" t="s">
        <v>476</v>
      </c>
    </row>
    <row r="17" spans="1:9">
      <c r="A17" s="724" t="s">
        <v>364</v>
      </c>
      <c r="B17" s="726" t="s">
        <v>364</v>
      </c>
      <c r="C17" s="726" t="s">
        <v>364</v>
      </c>
      <c r="D17" s="726" t="s">
        <v>364</v>
      </c>
      <c r="E17" s="726" t="s">
        <v>364</v>
      </c>
      <c r="F17" s="726" t="s">
        <v>364</v>
      </c>
      <c r="G17" s="726" t="s">
        <v>364</v>
      </c>
      <c r="H17" s="726" t="s">
        <v>364</v>
      </c>
      <c r="I17" s="726" t="s">
        <v>364</v>
      </c>
    </row>
    <row r="18" spans="1:9">
      <c r="A18" s="718" t="s">
        <v>1001</v>
      </c>
      <c r="B18" s="720" t="s">
        <v>364</v>
      </c>
      <c r="C18" s="720" t="s">
        <v>364</v>
      </c>
      <c r="D18" s="720" t="s">
        <v>364</v>
      </c>
      <c r="E18" s="720" t="s">
        <v>364</v>
      </c>
      <c r="F18" s="720" t="s">
        <v>364</v>
      </c>
      <c r="G18" s="720" t="s">
        <v>364</v>
      </c>
      <c r="H18" s="720" t="s">
        <v>364</v>
      </c>
      <c r="I18" s="720" t="s">
        <v>364</v>
      </c>
    </row>
    <row r="19" spans="1:9">
      <c r="A19" s="724" t="s">
        <v>1002</v>
      </c>
      <c r="B19" s="726" t="s">
        <v>364</v>
      </c>
      <c r="C19" s="726" t="s">
        <v>364</v>
      </c>
      <c r="D19" s="726" t="s">
        <v>364</v>
      </c>
      <c r="E19" s="726" t="s">
        <v>364</v>
      </c>
      <c r="F19" s="726" t="s">
        <v>364</v>
      </c>
      <c r="G19" s="726" t="s">
        <v>364</v>
      </c>
      <c r="H19" s="726" t="s">
        <v>364</v>
      </c>
      <c r="I19" s="726" t="s">
        <v>364</v>
      </c>
    </row>
    <row r="20" spans="1:9">
      <c r="A20" s="724" t="s">
        <v>364</v>
      </c>
      <c r="B20" s="726" t="s">
        <v>364</v>
      </c>
      <c r="C20" s="726" t="s">
        <v>364</v>
      </c>
      <c r="D20" s="726" t="s">
        <v>364</v>
      </c>
      <c r="E20" s="726" t="s">
        <v>364</v>
      </c>
      <c r="F20" s="726" t="s">
        <v>364</v>
      </c>
      <c r="G20" s="726" t="s">
        <v>364</v>
      </c>
      <c r="H20" s="726" t="s">
        <v>364</v>
      </c>
      <c r="I20" s="726" t="s">
        <v>364</v>
      </c>
    </row>
    <row r="21" spans="1:9">
      <c r="A21" s="724" t="s">
        <v>1003</v>
      </c>
      <c r="B21" s="726" t="s">
        <v>364</v>
      </c>
      <c r="C21" s="726" t="s">
        <v>364</v>
      </c>
      <c r="D21" s="726" t="s">
        <v>364</v>
      </c>
      <c r="E21" s="726" t="s">
        <v>364</v>
      </c>
      <c r="F21" s="726" t="s">
        <v>364</v>
      </c>
      <c r="G21" s="726" t="s">
        <v>364</v>
      </c>
      <c r="H21" s="726" t="s">
        <v>364</v>
      </c>
      <c r="I21" s="726" t="s">
        <v>364</v>
      </c>
    </row>
    <row r="22" spans="1:9">
      <c r="A22" s="724" t="s">
        <v>1004</v>
      </c>
      <c r="B22" s="725" t="s">
        <v>1005</v>
      </c>
      <c r="C22" s="726" t="s">
        <v>1005</v>
      </c>
      <c r="D22" s="726" t="s">
        <v>1005</v>
      </c>
      <c r="E22" s="726" t="s">
        <v>1005</v>
      </c>
      <c r="F22" s="726" t="s">
        <v>1005</v>
      </c>
      <c r="G22" s="726" t="s">
        <v>1005</v>
      </c>
      <c r="H22" s="726" t="s">
        <v>1005</v>
      </c>
      <c r="I22" s="726" t="s">
        <v>1006</v>
      </c>
    </row>
    <row r="23" spans="1:9">
      <c r="A23" s="724" t="s">
        <v>1007</v>
      </c>
      <c r="B23" s="725" t="s">
        <v>1006</v>
      </c>
      <c r="C23" s="726" t="s">
        <v>1006</v>
      </c>
      <c r="D23" s="726" t="s">
        <v>1006</v>
      </c>
      <c r="E23" s="726" t="s">
        <v>1006</v>
      </c>
      <c r="F23" s="726" t="s">
        <v>1006</v>
      </c>
      <c r="G23" s="726" t="s">
        <v>1005</v>
      </c>
      <c r="H23" s="726" t="s">
        <v>1005</v>
      </c>
      <c r="I23" s="726" t="s">
        <v>1005</v>
      </c>
    </row>
    <row r="24" spans="1:9">
      <c r="A24" s="724" t="s">
        <v>1008</v>
      </c>
      <c r="B24" s="725" t="s">
        <v>1005</v>
      </c>
      <c r="C24" s="726" t="s">
        <v>1005</v>
      </c>
      <c r="D24" s="726" t="s">
        <v>1005</v>
      </c>
      <c r="E24" s="726" t="s">
        <v>1005</v>
      </c>
      <c r="F24" s="726" t="s">
        <v>1005</v>
      </c>
      <c r="G24" s="726" t="s">
        <v>1005</v>
      </c>
      <c r="H24" s="726" t="s">
        <v>1005</v>
      </c>
      <c r="I24" s="726" t="s">
        <v>1006</v>
      </c>
    </row>
    <row r="25" spans="1:9">
      <c r="A25" s="724" t="s">
        <v>1009</v>
      </c>
      <c r="B25" s="725" t="s">
        <v>1005</v>
      </c>
      <c r="C25" s="726" t="s">
        <v>1005</v>
      </c>
      <c r="D25" s="726" t="s">
        <v>1005</v>
      </c>
      <c r="E25" s="726" t="s">
        <v>1005</v>
      </c>
      <c r="F25" s="726" t="s">
        <v>1005</v>
      </c>
      <c r="G25" s="726" t="s">
        <v>1005</v>
      </c>
      <c r="H25" s="726" t="s">
        <v>1005</v>
      </c>
      <c r="I25" s="726" t="s">
        <v>1006</v>
      </c>
    </row>
    <row r="26" spans="1:9">
      <c r="A26" s="724" t="s">
        <v>1010</v>
      </c>
      <c r="B26" s="725" t="s">
        <v>1005</v>
      </c>
      <c r="C26" s="726" t="s">
        <v>1005</v>
      </c>
      <c r="D26" s="726" t="s">
        <v>1005</v>
      </c>
      <c r="E26" s="726" t="s">
        <v>1005</v>
      </c>
      <c r="F26" s="726" t="s">
        <v>1005</v>
      </c>
      <c r="G26" s="726" t="s">
        <v>1005</v>
      </c>
      <c r="H26" s="726" t="s">
        <v>1005</v>
      </c>
      <c r="I26" s="726" t="s">
        <v>1006</v>
      </c>
    </row>
    <row r="27" spans="1:9">
      <c r="A27" s="724" t="s">
        <v>1011</v>
      </c>
      <c r="B27" s="725" t="s">
        <v>476</v>
      </c>
      <c r="C27" s="726" t="s">
        <v>476</v>
      </c>
      <c r="D27" s="726" t="s">
        <v>476</v>
      </c>
      <c r="E27" s="726" t="s">
        <v>476</v>
      </c>
      <c r="F27" s="726" t="s">
        <v>476</v>
      </c>
      <c r="G27" s="726">
        <v>0</v>
      </c>
      <c r="H27" s="726" t="s">
        <v>476</v>
      </c>
      <c r="I27" s="726" t="s">
        <v>476</v>
      </c>
    </row>
    <row r="28" spans="1:9">
      <c r="A28" s="724" t="s">
        <v>1012</v>
      </c>
      <c r="B28" s="725" t="s">
        <v>476</v>
      </c>
      <c r="C28" s="726" t="s">
        <v>476</v>
      </c>
      <c r="D28" s="726" t="s">
        <v>476</v>
      </c>
      <c r="E28" s="726" t="s">
        <v>476</v>
      </c>
      <c r="F28" s="726" t="s">
        <v>476</v>
      </c>
      <c r="G28" s="726">
        <v>0.2</v>
      </c>
      <c r="H28" s="726" t="s">
        <v>476</v>
      </c>
      <c r="I28" s="726" t="s">
        <v>476</v>
      </c>
    </row>
    <row r="29" spans="1:9">
      <c r="A29" s="724" t="s">
        <v>1013</v>
      </c>
      <c r="B29" s="725" t="s">
        <v>476</v>
      </c>
      <c r="C29" s="726" t="s">
        <v>476</v>
      </c>
      <c r="D29" s="726" t="s">
        <v>476</v>
      </c>
      <c r="E29" s="726" t="s">
        <v>476</v>
      </c>
      <c r="F29" s="726" t="s">
        <v>476</v>
      </c>
      <c r="G29" s="726">
        <v>20.9</v>
      </c>
      <c r="H29" s="726" t="s">
        <v>476</v>
      </c>
      <c r="I29" s="726" t="s">
        <v>476</v>
      </c>
    </row>
    <row r="30" spans="1:9">
      <c r="A30" s="724" t="s">
        <v>364</v>
      </c>
      <c r="B30" s="726" t="s">
        <v>364</v>
      </c>
      <c r="C30" s="726" t="s">
        <v>364</v>
      </c>
      <c r="D30" s="726" t="s">
        <v>364</v>
      </c>
      <c r="E30" s="726" t="s">
        <v>364</v>
      </c>
      <c r="F30" s="726" t="s">
        <v>364</v>
      </c>
      <c r="G30" s="726" t="s">
        <v>364</v>
      </c>
      <c r="H30" s="726" t="s">
        <v>364</v>
      </c>
      <c r="I30" s="726" t="s">
        <v>364</v>
      </c>
    </row>
    <row r="31" spans="1:9">
      <c r="A31" s="724" t="s">
        <v>1014</v>
      </c>
      <c r="B31" s="726" t="s">
        <v>364</v>
      </c>
      <c r="C31" s="726" t="s">
        <v>364</v>
      </c>
      <c r="D31" s="726" t="s">
        <v>364</v>
      </c>
      <c r="E31" s="726" t="s">
        <v>364</v>
      </c>
      <c r="F31" s="726" t="s">
        <v>364</v>
      </c>
      <c r="G31" s="726" t="s">
        <v>364</v>
      </c>
      <c r="H31" s="726" t="s">
        <v>364</v>
      </c>
      <c r="I31" s="726" t="s">
        <v>364</v>
      </c>
    </row>
    <row r="32" spans="1:9">
      <c r="A32" s="724" t="s">
        <v>1015</v>
      </c>
      <c r="B32" s="725" t="s">
        <v>1005</v>
      </c>
      <c r="C32" s="726" t="s">
        <v>1005</v>
      </c>
      <c r="D32" s="726" t="s">
        <v>1005</v>
      </c>
      <c r="E32" s="726" t="s">
        <v>1005</v>
      </c>
      <c r="F32" s="726" t="s">
        <v>1005</v>
      </c>
      <c r="G32" s="726" t="s">
        <v>1005</v>
      </c>
      <c r="H32" s="726" t="s">
        <v>1005</v>
      </c>
      <c r="I32" s="726" t="s">
        <v>1006</v>
      </c>
    </row>
    <row r="33" spans="1:9">
      <c r="A33" s="724" t="s">
        <v>364</v>
      </c>
      <c r="B33" s="726" t="s">
        <v>364</v>
      </c>
      <c r="C33" s="726" t="s">
        <v>364</v>
      </c>
      <c r="D33" s="726" t="s">
        <v>364</v>
      </c>
      <c r="E33" s="726" t="s">
        <v>364</v>
      </c>
      <c r="F33" s="726" t="s">
        <v>364</v>
      </c>
      <c r="G33" s="726" t="s">
        <v>364</v>
      </c>
      <c r="H33" s="726" t="s">
        <v>364</v>
      </c>
      <c r="I33" s="726" t="s">
        <v>364</v>
      </c>
    </row>
    <row r="34" spans="1:9">
      <c r="A34" s="724" t="s">
        <v>1016</v>
      </c>
      <c r="B34" s="726" t="s">
        <v>364</v>
      </c>
      <c r="C34" s="726" t="s">
        <v>364</v>
      </c>
      <c r="D34" s="726" t="s">
        <v>364</v>
      </c>
      <c r="E34" s="726" t="s">
        <v>364</v>
      </c>
      <c r="F34" s="726" t="s">
        <v>364</v>
      </c>
      <c r="G34" s="726" t="s">
        <v>364</v>
      </c>
      <c r="H34" s="726" t="s">
        <v>364</v>
      </c>
      <c r="I34" s="726" t="s">
        <v>364</v>
      </c>
    </row>
    <row r="35" spans="1:9">
      <c r="A35" s="724" t="s">
        <v>1017</v>
      </c>
      <c r="B35" s="725" t="s">
        <v>1005</v>
      </c>
      <c r="C35" s="726" t="s">
        <v>1005</v>
      </c>
      <c r="D35" s="726" t="s">
        <v>1005</v>
      </c>
      <c r="E35" s="726" t="s">
        <v>1005</v>
      </c>
      <c r="F35" s="726" t="s">
        <v>1005</v>
      </c>
      <c r="G35" s="726" t="s">
        <v>1005</v>
      </c>
      <c r="H35" s="726" t="s">
        <v>1005</v>
      </c>
      <c r="I35" s="726" t="s">
        <v>1006</v>
      </c>
    </row>
    <row r="36" spans="1:9">
      <c r="A36" s="724" t="s">
        <v>1018</v>
      </c>
      <c r="B36" s="725" t="s">
        <v>1006</v>
      </c>
      <c r="C36" s="726" t="s">
        <v>1006</v>
      </c>
      <c r="D36" s="726" t="s">
        <v>1006</v>
      </c>
      <c r="E36" s="726" t="s">
        <v>1006</v>
      </c>
      <c r="F36" s="726" t="s">
        <v>1005</v>
      </c>
      <c r="G36" s="726" t="s">
        <v>1005</v>
      </c>
      <c r="H36" s="726" t="s">
        <v>1005</v>
      </c>
      <c r="I36" s="726" t="s">
        <v>1006</v>
      </c>
    </row>
    <row r="37" spans="1:9">
      <c r="A37" s="724" t="s">
        <v>1019</v>
      </c>
      <c r="B37" s="725" t="s">
        <v>1006</v>
      </c>
      <c r="C37" s="726" t="s">
        <v>1006</v>
      </c>
      <c r="D37" s="726" t="s">
        <v>1006</v>
      </c>
      <c r="E37" s="726" t="s">
        <v>1006</v>
      </c>
      <c r="F37" s="726" t="s">
        <v>1005</v>
      </c>
      <c r="G37" s="726" t="s">
        <v>1005</v>
      </c>
      <c r="H37" s="726" t="s">
        <v>1005</v>
      </c>
      <c r="I37" s="726" t="s">
        <v>1006</v>
      </c>
    </row>
    <row r="38" spans="1:9">
      <c r="A38" s="724" t="s">
        <v>364</v>
      </c>
      <c r="B38" s="726" t="s">
        <v>364</v>
      </c>
      <c r="C38" s="726" t="s">
        <v>364</v>
      </c>
      <c r="D38" s="726" t="s">
        <v>364</v>
      </c>
      <c r="E38" s="726" t="s">
        <v>364</v>
      </c>
      <c r="F38" s="726" t="s">
        <v>364</v>
      </c>
      <c r="G38" s="726" t="s">
        <v>364</v>
      </c>
      <c r="H38" s="726" t="s">
        <v>364</v>
      </c>
      <c r="I38" s="726" t="s">
        <v>364</v>
      </c>
    </row>
    <row r="39" spans="1:9">
      <c r="A39" s="724" t="s">
        <v>1020</v>
      </c>
      <c r="B39" s="726" t="s">
        <v>364</v>
      </c>
      <c r="C39" s="726" t="s">
        <v>364</v>
      </c>
      <c r="D39" s="726" t="s">
        <v>364</v>
      </c>
      <c r="E39" s="726" t="s">
        <v>364</v>
      </c>
      <c r="F39" s="726" t="s">
        <v>364</v>
      </c>
      <c r="G39" s="726" t="s">
        <v>364</v>
      </c>
      <c r="H39" s="726" t="s">
        <v>364</v>
      </c>
      <c r="I39" s="726" t="s">
        <v>364</v>
      </c>
    </row>
    <row r="40" spans="1:9">
      <c r="A40" s="724" t="s">
        <v>1021</v>
      </c>
      <c r="B40" s="725" t="s">
        <v>1005</v>
      </c>
      <c r="C40" s="726" t="s">
        <v>1005</v>
      </c>
      <c r="D40" s="726" t="s">
        <v>1005</v>
      </c>
      <c r="E40" s="726" t="s">
        <v>1005</v>
      </c>
      <c r="F40" s="726" t="s">
        <v>1005</v>
      </c>
      <c r="G40" s="726" t="s">
        <v>1005</v>
      </c>
      <c r="H40" s="726" t="s">
        <v>1005</v>
      </c>
      <c r="I40" s="726" t="s">
        <v>1006</v>
      </c>
    </row>
    <row r="41" spans="1:9">
      <c r="A41" s="724" t="s">
        <v>364</v>
      </c>
      <c r="B41" s="726" t="s">
        <v>364</v>
      </c>
      <c r="C41" s="726" t="s">
        <v>364</v>
      </c>
      <c r="D41" s="726" t="s">
        <v>364</v>
      </c>
      <c r="E41" s="726" t="s">
        <v>364</v>
      </c>
      <c r="F41" s="726" t="s">
        <v>364</v>
      </c>
      <c r="G41" s="726" t="s">
        <v>364</v>
      </c>
      <c r="H41" s="726" t="s">
        <v>364</v>
      </c>
      <c r="I41" s="726" t="s">
        <v>364</v>
      </c>
    </row>
    <row r="42" spans="1:9">
      <c r="A42" s="724" t="s">
        <v>1022</v>
      </c>
      <c r="B42" s="726" t="s">
        <v>364</v>
      </c>
      <c r="C42" s="726" t="s">
        <v>364</v>
      </c>
      <c r="D42" s="726" t="s">
        <v>364</v>
      </c>
      <c r="E42" s="726" t="s">
        <v>364</v>
      </c>
      <c r="F42" s="726" t="s">
        <v>364</v>
      </c>
      <c r="G42" s="726" t="s">
        <v>364</v>
      </c>
      <c r="H42" s="726" t="s">
        <v>364</v>
      </c>
      <c r="I42" s="726" t="s">
        <v>364</v>
      </c>
    </row>
    <row r="43" spans="1:9">
      <c r="A43" s="724" t="s">
        <v>1023</v>
      </c>
      <c r="B43" s="725" t="s">
        <v>1005</v>
      </c>
      <c r="C43" s="726" t="s">
        <v>1005</v>
      </c>
      <c r="D43" s="726" t="s">
        <v>1005</v>
      </c>
      <c r="E43" s="726" t="s">
        <v>1005</v>
      </c>
      <c r="F43" s="726" t="s">
        <v>1005</v>
      </c>
      <c r="G43" s="726" t="s">
        <v>1005</v>
      </c>
      <c r="H43" s="726" t="s">
        <v>1005</v>
      </c>
      <c r="I43" s="726" t="s">
        <v>1006</v>
      </c>
    </row>
    <row r="44" spans="1:9">
      <c r="A44" s="724" t="s">
        <v>1024</v>
      </c>
      <c r="B44" s="725" t="s">
        <v>476</v>
      </c>
      <c r="C44" s="726" t="s">
        <v>476</v>
      </c>
      <c r="D44" s="726" t="s">
        <v>476</v>
      </c>
      <c r="E44" s="726" t="s">
        <v>476</v>
      </c>
      <c r="F44" s="726" t="s">
        <v>476</v>
      </c>
      <c r="G44" s="726">
        <v>85.7</v>
      </c>
      <c r="H44" s="726">
        <v>141.30000000000001</v>
      </c>
      <c r="I44" s="726" t="s">
        <v>476</v>
      </c>
    </row>
    <row r="45" spans="1:9">
      <c r="A45" s="724" t="s">
        <v>368</v>
      </c>
      <c r="B45" s="725" t="s">
        <v>476</v>
      </c>
      <c r="C45" s="726" t="s">
        <v>476</v>
      </c>
      <c r="D45" s="726" t="s">
        <v>476</v>
      </c>
      <c r="E45" s="726" t="s">
        <v>476</v>
      </c>
      <c r="F45" s="726" t="s">
        <v>476</v>
      </c>
      <c r="G45" s="726" t="s">
        <v>476</v>
      </c>
      <c r="H45" s="726">
        <v>14.3</v>
      </c>
      <c r="I45" s="726" t="s">
        <v>476</v>
      </c>
    </row>
    <row r="46" spans="1:9">
      <c r="A46" s="724" t="s">
        <v>364</v>
      </c>
      <c r="B46" s="726" t="s">
        <v>364</v>
      </c>
      <c r="C46" s="726" t="s">
        <v>364</v>
      </c>
      <c r="D46" s="726" t="s">
        <v>364</v>
      </c>
      <c r="E46" s="726" t="s">
        <v>364</v>
      </c>
      <c r="F46" s="726" t="s">
        <v>364</v>
      </c>
      <c r="G46" s="726" t="s">
        <v>364</v>
      </c>
      <c r="H46" s="726" t="s">
        <v>364</v>
      </c>
      <c r="I46" s="726" t="s">
        <v>364</v>
      </c>
    </row>
    <row r="47" spans="1:9">
      <c r="A47" s="724" t="s">
        <v>1025</v>
      </c>
      <c r="B47" s="726" t="s">
        <v>364</v>
      </c>
      <c r="C47" s="726" t="s">
        <v>364</v>
      </c>
      <c r="D47" s="726" t="s">
        <v>364</v>
      </c>
      <c r="E47" s="726" t="s">
        <v>364</v>
      </c>
      <c r="F47" s="726" t="s">
        <v>364</v>
      </c>
      <c r="G47" s="726" t="s">
        <v>364</v>
      </c>
      <c r="H47" s="726" t="s">
        <v>364</v>
      </c>
      <c r="I47" s="726" t="s">
        <v>364</v>
      </c>
    </row>
    <row r="48" spans="1:9">
      <c r="A48" s="724" t="s">
        <v>1026</v>
      </c>
      <c r="B48" s="725" t="s">
        <v>1005</v>
      </c>
      <c r="C48" s="726" t="s">
        <v>1005</v>
      </c>
      <c r="D48" s="726" t="s">
        <v>1005</v>
      </c>
      <c r="E48" s="726" t="s">
        <v>1005</v>
      </c>
      <c r="F48" s="726" t="s">
        <v>1005</v>
      </c>
      <c r="G48" s="726" t="s">
        <v>1005</v>
      </c>
      <c r="H48" s="726" t="s">
        <v>1005</v>
      </c>
      <c r="I48" s="726" t="s">
        <v>1006</v>
      </c>
    </row>
    <row r="49" spans="1:9">
      <c r="A49" s="724" t="s">
        <v>1027</v>
      </c>
      <c r="B49" s="725" t="s">
        <v>1006</v>
      </c>
      <c r="C49" s="726" t="s">
        <v>1006</v>
      </c>
      <c r="D49" s="726" t="s">
        <v>1006</v>
      </c>
      <c r="E49" s="726" t="s">
        <v>1006</v>
      </c>
      <c r="F49" s="726" t="s">
        <v>1005</v>
      </c>
      <c r="G49" s="726" t="s">
        <v>1005</v>
      </c>
      <c r="H49" s="726" t="s">
        <v>1005</v>
      </c>
      <c r="I49" s="726" t="s">
        <v>1006</v>
      </c>
    </row>
    <row r="50" spans="1:9">
      <c r="A50" s="724" t="s">
        <v>1028</v>
      </c>
      <c r="B50" s="725" t="s">
        <v>1006</v>
      </c>
      <c r="C50" s="726" t="s">
        <v>1006</v>
      </c>
      <c r="D50" s="726" t="s">
        <v>1006</v>
      </c>
      <c r="E50" s="726" t="s">
        <v>1006</v>
      </c>
      <c r="F50" s="726" t="s">
        <v>1005</v>
      </c>
      <c r="G50" s="726" t="s">
        <v>1005</v>
      </c>
      <c r="H50" s="726" t="s">
        <v>1005</v>
      </c>
      <c r="I50" s="726" t="s">
        <v>1006</v>
      </c>
    </row>
    <row r="51" spans="1:9">
      <c r="A51" s="724" t="s">
        <v>1029</v>
      </c>
      <c r="B51" s="725" t="s">
        <v>1006</v>
      </c>
      <c r="C51" s="726" t="s">
        <v>1006</v>
      </c>
      <c r="D51" s="726" t="s">
        <v>1006</v>
      </c>
      <c r="E51" s="726" t="s">
        <v>1006</v>
      </c>
      <c r="F51" s="726" t="s">
        <v>1005</v>
      </c>
      <c r="G51" s="726" t="s">
        <v>1005</v>
      </c>
      <c r="H51" s="726" t="s">
        <v>1005</v>
      </c>
      <c r="I51" s="726" t="s">
        <v>1006</v>
      </c>
    </row>
    <row r="52" spans="1:9">
      <c r="A52" s="724" t="s">
        <v>1030</v>
      </c>
      <c r="B52" s="725" t="s">
        <v>1006</v>
      </c>
      <c r="C52" s="726" t="s">
        <v>1006</v>
      </c>
      <c r="D52" s="726" t="s">
        <v>1006</v>
      </c>
      <c r="E52" s="726" t="s">
        <v>1006</v>
      </c>
      <c r="F52" s="726" t="s">
        <v>1005</v>
      </c>
      <c r="G52" s="726" t="s">
        <v>1005</v>
      </c>
      <c r="H52" s="726" t="s">
        <v>1005</v>
      </c>
      <c r="I52" s="726" t="s">
        <v>1006</v>
      </c>
    </row>
    <row r="53" spans="1:9">
      <c r="A53" s="724" t="s">
        <v>364</v>
      </c>
      <c r="B53" s="726" t="s">
        <v>364</v>
      </c>
      <c r="C53" s="726" t="s">
        <v>364</v>
      </c>
      <c r="D53" s="726" t="s">
        <v>364</v>
      </c>
      <c r="E53" s="726" t="s">
        <v>364</v>
      </c>
      <c r="F53" s="726" t="s">
        <v>364</v>
      </c>
      <c r="G53" s="726" t="s">
        <v>364</v>
      </c>
      <c r="H53" s="726" t="s">
        <v>364</v>
      </c>
      <c r="I53" s="726" t="s">
        <v>364</v>
      </c>
    </row>
    <row r="54" spans="1:9">
      <c r="A54" s="724" t="s">
        <v>1031</v>
      </c>
      <c r="B54" s="726" t="s">
        <v>364</v>
      </c>
      <c r="C54" s="726" t="s">
        <v>364</v>
      </c>
      <c r="D54" s="726" t="s">
        <v>364</v>
      </c>
      <c r="E54" s="726" t="s">
        <v>364</v>
      </c>
      <c r="F54" s="726" t="s">
        <v>364</v>
      </c>
      <c r="G54" s="726" t="s">
        <v>364</v>
      </c>
      <c r="H54" s="726" t="s">
        <v>364</v>
      </c>
      <c r="I54" s="726" t="s">
        <v>364</v>
      </c>
    </row>
    <row r="55" spans="1:9">
      <c r="A55" s="724" t="s">
        <v>1032</v>
      </c>
      <c r="B55" s="726" t="s">
        <v>364</v>
      </c>
      <c r="C55" s="726" t="s">
        <v>364</v>
      </c>
      <c r="D55" s="726" t="s">
        <v>364</v>
      </c>
      <c r="E55" s="726" t="s">
        <v>364</v>
      </c>
      <c r="F55" s="726" t="s">
        <v>364</v>
      </c>
      <c r="G55" s="726" t="s">
        <v>364</v>
      </c>
      <c r="H55" s="726" t="s">
        <v>364</v>
      </c>
      <c r="I55" s="726" t="s">
        <v>364</v>
      </c>
    </row>
    <row r="56" spans="1:9">
      <c r="A56" s="724" t="s">
        <v>1033</v>
      </c>
      <c r="B56" s="725" t="s">
        <v>1005</v>
      </c>
      <c r="C56" s="726" t="s">
        <v>1005</v>
      </c>
      <c r="D56" s="726" t="s">
        <v>1005</v>
      </c>
      <c r="E56" s="726" t="s">
        <v>1005</v>
      </c>
      <c r="F56" s="726" t="s">
        <v>1005</v>
      </c>
      <c r="G56" s="726" t="s">
        <v>1005</v>
      </c>
      <c r="H56" s="726" t="s">
        <v>1005</v>
      </c>
      <c r="I56" s="726" t="s">
        <v>1006</v>
      </c>
    </row>
    <row r="57" spans="1:9">
      <c r="A57" s="724" t="s">
        <v>1034</v>
      </c>
      <c r="B57" s="725" t="s">
        <v>1005</v>
      </c>
      <c r="C57" s="726" t="s">
        <v>1005</v>
      </c>
      <c r="D57" s="726" t="s">
        <v>1005</v>
      </c>
      <c r="E57" s="726" t="s">
        <v>1005</v>
      </c>
      <c r="F57" s="726" t="s">
        <v>1005</v>
      </c>
      <c r="G57" s="726" t="s">
        <v>1005</v>
      </c>
      <c r="H57" s="726" t="s">
        <v>1005</v>
      </c>
      <c r="I57" s="726" t="s">
        <v>1006</v>
      </c>
    </row>
    <row r="58" spans="1:9">
      <c r="A58" s="724" t="s">
        <v>1035</v>
      </c>
      <c r="B58" s="725" t="s">
        <v>1036</v>
      </c>
      <c r="C58" s="726" t="s">
        <v>1036</v>
      </c>
      <c r="D58" s="726" t="s">
        <v>1036</v>
      </c>
      <c r="E58" s="726" t="s">
        <v>1005</v>
      </c>
      <c r="F58" s="726" t="s">
        <v>1005</v>
      </c>
      <c r="G58" s="726" t="s">
        <v>1005</v>
      </c>
      <c r="H58" s="726" t="s">
        <v>1005</v>
      </c>
      <c r="I58" s="726" t="s">
        <v>1006</v>
      </c>
    </row>
    <row r="59" spans="1:9">
      <c r="A59" s="724" t="s">
        <v>1037</v>
      </c>
      <c r="B59" s="725" t="s">
        <v>1005</v>
      </c>
      <c r="C59" s="726" t="s">
        <v>1036</v>
      </c>
      <c r="D59" s="726" t="s">
        <v>1036</v>
      </c>
      <c r="E59" s="726" t="s">
        <v>1036</v>
      </c>
      <c r="F59" s="726" t="s">
        <v>1036</v>
      </c>
      <c r="G59" s="726" t="s">
        <v>1036</v>
      </c>
      <c r="H59" s="726" t="s">
        <v>1036</v>
      </c>
      <c r="I59" s="726" t="s">
        <v>1036</v>
      </c>
    </row>
    <row r="60" spans="1:9">
      <c r="A60" s="724" t="s">
        <v>364</v>
      </c>
      <c r="B60" s="726" t="s">
        <v>364</v>
      </c>
      <c r="C60" s="726" t="s">
        <v>364</v>
      </c>
      <c r="D60" s="726" t="s">
        <v>364</v>
      </c>
      <c r="E60" s="726" t="s">
        <v>364</v>
      </c>
      <c r="F60" s="726" t="s">
        <v>364</v>
      </c>
      <c r="G60" s="726" t="s">
        <v>364</v>
      </c>
      <c r="H60" s="726" t="s">
        <v>364</v>
      </c>
      <c r="I60" s="726" t="s">
        <v>364</v>
      </c>
    </row>
    <row r="61" spans="1:9">
      <c r="A61" s="724" t="s">
        <v>1038</v>
      </c>
      <c r="B61" s="726" t="s">
        <v>364</v>
      </c>
      <c r="C61" s="726" t="s">
        <v>364</v>
      </c>
      <c r="D61" s="726" t="s">
        <v>364</v>
      </c>
      <c r="E61" s="726" t="s">
        <v>364</v>
      </c>
      <c r="F61" s="726" t="s">
        <v>364</v>
      </c>
      <c r="G61" s="726" t="s">
        <v>364</v>
      </c>
      <c r="H61" s="726" t="s">
        <v>364</v>
      </c>
      <c r="I61" s="726" t="s">
        <v>364</v>
      </c>
    </row>
    <row r="62" spans="1:9">
      <c r="A62" s="724" t="s">
        <v>1039</v>
      </c>
      <c r="B62" s="725" t="s">
        <v>1005</v>
      </c>
      <c r="C62" s="726" t="s">
        <v>1005</v>
      </c>
      <c r="D62" s="726" t="s">
        <v>1005</v>
      </c>
      <c r="E62" s="726" t="s">
        <v>1005</v>
      </c>
      <c r="F62" s="726" t="s">
        <v>1005</v>
      </c>
      <c r="G62" s="726" t="s">
        <v>1036</v>
      </c>
      <c r="H62" s="726" t="s">
        <v>1036</v>
      </c>
      <c r="I62" s="726" t="s">
        <v>1036</v>
      </c>
    </row>
    <row r="63" spans="1:9">
      <c r="A63" s="724" t="s">
        <v>1040</v>
      </c>
      <c r="B63" s="725" t="s">
        <v>1005</v>
      </c>
      <c r="C63" s="726" t="s">
        <v>1005</v>
      </c>
      <c r="D63" s="726" t="s">
        <v>1005</v>
      </c>
      <c r="E63" s="726" t="s">
        <v>1005</v>
      </c>
      <c r="F63" s="726" t="s">
        <v>1005</v>
      </c>
      <c r="G63" s="726" t="s">
        <v>1005</v>
      </c>
      <c r="H63" s="726" t="s">
        <v>1005</v>
      </c>
      <c r="I63" s="726" t="s">
        <v>1006</v>
      </c>
    </row>
    <row r="64" spans="1:9">
      <c r="A64" s="724" t="s">
        <v>1041</v>
      </c>
      <c r="B64" s="725" t="s">
        <v>476</v>
      </c>
      <c r="C64" s="726" t="s">
        <v>476</v>
      </c>
      <c r="D64" s="726" t="s">
        <v>476</v>
      </c>
      <c r="E64" s="726" t="s">
        <v>476</v>
      </c>
      <c r="F64" s="726">
        <v>73</v>
      </c>
      <c r="G64" s="726">
        <v>75</v>
      </c>
      <c r="H64" s="726">
        <v>74</v>
      </c>
      <c r="I64" s="726">
        <v>75</v>
      </c>
    </row>
    <row r="65" spans="1:9">
      <c r="A65" s="724" t="s">
        <v>1042</v>
      </c>
      <c r="B65" s="725" t="s">
        <v>476</v>
      </c>
      <c r="C65" s="726" t="s">
        <v>476</v>
      </c>
      <c r="D65" s="726" t="s">
        <v>476</v>
      </c>
      <c r="E65" s="726" t="s">
        <v>476</v>
      </c>
      <c r="F65" s="726">
        <v>42</v>
      </c>
      <c r="G65" s="726">
        <v>42</v>
      </c>
      <c r="H65" s="726">
        <v>41</v>
      </c>
      <c r="I65" s="726" t="s">
        <v>476</v>
      </c>
    </row>
    <row r="66" spans="1:9">
      <c r="A66" s="724" t="s">
        <v>364</v>
      </c>
      <c r="B66" s="726" t="s">
        <v>364</v>
      </c>
      <c r="C66" s="726" t="s">
        <v>364</v>
      </c>
      <c r="D66" s="726" t="s">
        <v>364</v>
      </c>
      <c r="E66" s="726" t="s">
        <v>364</v>
      </c>
      <c r="F66" s="726" t="s">
        <v>364</v>
      </c>
      <c r="G66" s="726" t="s">
        <v>364</v>
      </c>
      <c r="H66" s="726" t="s">
        <v>364</v>
      </c>
      <c r="I66" s="726" t="s">
        <v>364</v>
      </c>
    </row>
    <row r="67" spans="1:9">
      <c r="A67" s="724" t="s">
        <v>1043</v>
      </c>
      <c r="B67" s="726" t="s">
        <v>364</v>
      </c>
      <c r="C67" s="726" t="s">
        <v>364</v>
      </c>
      <c r="D67" s="726" t="s">
        <v>364</v>
      </c>
      <c r="E67" s="726" t="s">
        <v>364</v>
      </c>
      <c r="F67" s="726" t="s">
        <v>364</v>
      </c>
      <c r="G67" s="726" t="s">
        <v>364</v>
      </c>
      <c r="H67" s="726" t="s">
        <v>364</v>
      </c>
      <c r="I67" s="726" t="s">
        <v>364</v>
      </c>
    </row>
    <row r="68" spans="1:9">
      <c r="A68" s="724" t="s">
        <v>1044</v>
      </c>
      <c r="B68" s="725" t="s">
        <v>1005</v>
      </c>
      <c r="C68" s="726" t="s">
        <v>1036</v>
      </c>
      <c r="D68" s="726" t="s">
        <v>1036</v>
      </c>
      <c r="E68" s="726" t="s">
        <v>1036</v>
      </c>
      <c r="F68" s="726" t="s">
        <v>1036</v>
      </c>
      <c r="G68" s="726" t="s">
        <v>1036</v>
      </c>
      <c r="H68" s="726" t="s">
        <v>1036</v>
      </c>
      <c r="I68" s="726" t="s">
        <v>1036</v>
      </c>
    </row>
    <row r="69" spans="1:9">
      <c r="A69" s="724" t="s">
        <v>1045</v>
      </c>
      <c r="B69" s="725" t="s">
        <v>1005</v>
      </c>
      <c r="C69" s="726" t="s">
        <v>1005</v>
      </c>
      <c r="D69" s="726" t="s">
        <v>1005</v>
      </c>
      <c r="E69" s="726" t="s">
        <v>1005</v>
      </c>
      <c r="F69" s="726" t="s">
        <v>1005</v>
      </c>
      <c r="G69" s="726" t="s">
        <v>1005</v>
      </c>
      <c r="H69" s="726" t="s">
        <v>1005</v>
      </c>
      <c r="I69" s="726" t="s">
        <v>1006</v>
      </c>
    </row>
    <row r="70" spans="1:9">
      <c r="A70" s="724" t="s">
        <v>364</v>
      </c>
      <c r="B70" s="726" t="s">
        <v>364</v>
      </c>
      <c r="C70" s="726" t="s">
        <v>364</v>
      </c>
      <c r="D70" s="726" t="s">
        <v>364</v>
      </c>
      <c r="E70" s="726" t="s">
        <v>364</v>
      </c>
      <c r="F70" s="726" t="s">
        <v>364</v>
      </c>
      <c r="G70" s="726" t="s">
        <v>364</v>
      </c>
      <c r="H70" s="726" t="s">
        <v>364</v>
      </c>
      <c r="I70" s="726" t="s">
        <v>364</v>
      </c>
    </row>
    <row r="71" spans="1:9">
      <c r="A71" s="724" t="s">
        <v>1046</v>
      </c>
      <c r="B71" s="726" t="s">
        <v>364</v>
      </c>
      <c r="C71" s="726" t="s">
        <v>364</v>
      </c>
      <c r="D71" s="726" t="s">
        <v>364</v>
      </c>
      <c r="E71" s="726" t="s">
        <v>364</v>
      </c>
      <c r="F71" s="726" t="s">
        <v>364</v>
      </c>
      <c r="G71" s="726" t="s">
        <v>364</v>
      </c>
      <c r="H71" s="726" t="s">
        <v>364</v>
      </c>
      <c r="I71" s="726" t="s">
        <v>364</v>
      </c>
    </row>
    <row r="72" spans="1:9">
      <c r="A72" s="724" t="s">
        <v>1047</v>
      </c>
      <c r="B72" s="725" t="s">
        <v>1005</v>
      </c>
      <c r="C72" s="726" t="s">
        <v>1005</v>
      </c>
      <c r="D72" s="726" t="s">
        <v>1005</v>
      </c>
      <c r="E72" s="726" t="s">
        <v>1036</v>
      </c>
      <c r="F72" s="726" t="s">
        <v>1036</v>
      </c>
      <c r="G72" s="726" t="s">
        <v>1036</v>
      </c>
      <c r="H72" s="726" t="s">
        <v>1036</v>
      </c>
      <c r="I72" s="726" t="s">
        <v>1036</v>
      </c>
    </row>
    <row r="73" spans="1:9">
      <c r="A73" s="724" t="s">
        <v>364</v>
      </c>
      <c r="B73" s="726" t="s">
        <v>364</v>
      </c>
      <c r="C73" s="726" t="s">
        <v>364</v>
      </c>
      <c r="D73" s="726" t="s">
        <v>364</v>
      </c>
      <c r="E73" s="726" t="s">
        <v>364</v>
      </c>
      <c r="F73" s="726" t="s">
        <v>364</v>
      </c>
      <c r="G73" s="726" t="s">
        <v>364</v>
      </c>
      <c r="H73" s="726" t="s">
        <v>364</v>
      </c>
      <c r="I73" s="726" t="s">
        <v>364</v>
      </c>
    </row>
    <row r="74" spans="1:9">
      <c r="A74" s="724" t="s">
        <v>1048</v>
      </c>
      <c r="B74" s="726" t="s">
        <v>364</v>
      </c>
      <c r="C74" s="726" t="s">
        <v>364</v>
      </c>
      <c r="D74" s="726" t="s">
        <v>364</v>
      </c>
      <c r="E74" s="726" t="s">
        <v>364</v>
      </c>
      <c r="F74" s="726" t="s">
        <v>364</v>
      </c>
      <c r="G74" s="726" t="s">
        <v>364</v>
      </c>
      <c r="H74" s="726" t="s">
        <v>364</v>
      </c>
      <c r="I74" s="726" t="s">
        <v>364</v>
      </c>
    </row>
    <row r="75" spans="1:9">
      <c r="A75" s="724" t="s">
        <v>1049</v>
      </c>
      <c r="B75" s="725" t="s">
        <v>1005</v>
      </c>
      <c r="C75" s="726" t="s">
        <v>1005</v>
      </c>
      <c r="D75" s="726" t="s">
        <v>1005</v>
      </c>
      <c r="E75" s="726" t="s">
        <v>1005</v>
      </c>
      <c r="F75" s="726" t="s">
        <v>1005</v>
      </c>
      <c r="G75" s="726" t="s">
        <v>1036</v>
      </c>
      <c r="H75" s="726" t="s">
        <v>1036</v>
      </c>
      <c r="I75" s="726" t="s">
        <v>1036</v>
      </c>
    </row>
    <row r="76" spans="1:9">
      <c r="A76" s="724" t="s">
        <v>1050</v>
      </c>
      <c r="B76" s="725" t="s">
        <v>1005</v>
      </c>
      <c r="C76" s="726" t="s">
        <v>1005</v>
      </c>
      <c r="D76" s="726" t="s">
        <v>1005</v>
      </c>
      <c r="E76" s="726" t="s">
        <v>1005</v>
      </c>
      <c r="F76" s="726" t="s">
        <v>1005</v>
      </c>
      <c r="G76" s="726" t="s">
        <v>1005</v>
      </c>
      <c r="H76" s="726" t="s">
        <v>1005</v>
      </c>
      <c r="I76" s="726" t="s">
        <v>1006</v>
      </c>
    </row>
    <row r="77" spans="1:9">
      <c r="A77" s="724" t="s">
        <v>1051</v>
      </c>
      <c r="B77" s="725">
        <v>351</v>
      </c>
      <c r="C77" s="726">
        <v>413</v>
      </c>
      <c r="D77" s="726">
        <v>414</v>
      </c>
      <c r="E77" s="726">
        <v>217</v>
      </c>
      <c r="F77" s="726">
        <v>288</v>
      </c>
      <c r="G77" s="726">
        <v>303</v>
      </c>
      <c r="H77" s="726">
        <v>339</v>
      </c>
      <c r="I77" s="726">
        <v>475</v>
      </c>
    </row>
    <row r="78" spans="1:9">
      <c r="A78" s="724" t="s">
        <v>1052</v>
      </c>
      <c r="B78" s="725">
        <v>0</v>
      </c>
      <c r="C78" s="726">
        <v>0</v>
      </c>
      <c r="D78" s="726">
        <v>0</v>
      </c>
      <c r="E78" s="726">
        <v>0</v>
      </c>
      <c r="F78" s="726" t="s">
        <v>476</v>
      </c>
      <c r="G78" s="726" t="s">
        <v>476</v>
      </c>
      <c r="H78" s="726" t="s">
        <v>476</v>
      </c>
      <c r="I78" s="726" t="s">
        <v>476</v>
      </c>
    </row>
    <row r="79" spans="1:9">
      <c r="A79" s="724" t="s">
        <v>1053</v>
      </c>
      <c r="B79" s="725" t="s">
        <v>1005</v>
      </c>
      <c r="C79" s="726" t="s">
        <v>1005</v>
      </c>
      <c r="D79" s="726" t="s">
        <v>1005</v>
      </c>
      <c r="E79" s="726" t="s">
        <v>1005</v>
      </c>
      <c r="F79" s="726" t="s">
        <v>1005</v>
      </c>
      <c r="G79" s="726" t="s">
        <v>1036</v>
      </c>
      <c r="H79" s="726" t="s">
        <v>1036</v>
      </c>
      <c r="I79" s="726" t="s">
        <v>1006</v>
      </c>
    </row>
    <row r="80" spans="1:9">
      <c r="A80" s="724" t="s">
        <v>364</v>
      </c>
      <c r="B80" s="726" t="s">
        <v>364</v>
      </c>
      <c r="C80" s="726" t="s">
        <v>364</v>
      </c>
      <c r="D80" s="726" t="s">
        <v>364</v>
      </c>
      <c r="E80" s="726" t="s">
        <v>364</v>
      </c>
      <c r="F80" s="726" t="s">
        <v>364</v>
      </c>
      <c r="G80" s="726" t="s">
        <v>364</v>
      </c>
      <c r="H80" s="726" t="s">
        <v>364</v>
      </c>
      <c r="I80" s="726" t="s">
        <v>364</v>
      </c>
    </row>
    <row r="81" spans="1:9">
      <c r="A81" s="724" t="s">
        <v>1020</v>
      </c>
      <c r="B81" s="726" t="s">
        <v>364</v>
      </c>
      <c r="C81" s="726" t="s">
        <v>364</v>
      </c>
      <c r="D81" s="726" t="s">
        <v>364</v>
      </c>
      <c r="E81" s="726" t="s">
        <v>364</v>
      </c>
      <c r="F81" s="726" t="s">
        <v>364</v>
      </c>
      <c r="G81" s="726" t="s">
        <v>364</v>
      </c>
      <c r="H81" s="726" t="s">
        <v>364</v>
      </c>
      <c r="I81" s="726" t="s">
        <v>364</v>
      </c>
    </row>
    <row r="82" spans="1:9">
      <c r="A82" s="724" t="s">
        <v>1054</v>
      </c>
      <c r="B82" s="725" t="s">
        <v>1036</v>
      </c>
      <c r="C82" s="726" t="s">
        <v>1036</v>
      </c>
      <c r="D82" s="726" t="s">
        <v>1036</v>
      </c>
      <c r="E82" s="726" t="s">
        <v>1036</v>
      </c>
      <c r="F82" s="726" t="s">
        <v>1036</v>
      </c>
      <c r="G82" s="726" t="s">
        <v>1036</v>
      </c>
      <c r="H82" s="726" t="s">
        <v>1036</v>
      </c>
      <c r="I82" s="726" t="s">
        <v>1036</v>
      </c>
    </row>
    <row r="83" spans="1:9">
      <c r="A83" s="724" t="s">
        <v>364</v>
      </c>
      <c r="B83" s="726" t="s">
        <v>364</v>
      </c>
      <c r="C83" s="726" t="s">
        <v>364</v>
      </c>
      <c r="D83" s="726" t="s">
        <v>364</v>
      </c>
      <c r="E83" s="726" t="s">
        <v>364</v>
      </c>
      <c r="F83" s="726" t="s">
        <v>364</v>
      </c>
      <c r="G83" s="726" t="s">
        <v>364</v>
      </c>
      <c r="H83" s="726" t="s">
        <v>364</v>
      </c>
      <c r="I83" s="726" t="s">
        <v>364</v>
      </c>
    </row>
    <row r="84" spans="1:9">
      <c r="A84" s="724" t="s">
        <v>1055</v>
      </c>
      <c r="B84" s="726" t="s">
        <v>364</v>
      </c>
      <c r="C84" s="726" t="s">
        <v>364</v>
      </c>
      <c r="D84" s="726" t="s">
        <v>364</v>
      </c>
      <c r="E84" s="726" t="s">
        <v>364</v>
      </c>
      <c r="F84" s="726" t="s">
        <v>364</v>
      </c>
      <c r="G84" s="726" t="s">
        <v>364</v>
      </c>
      <c r="H84" s="726" t="s">
        <v>364</v>
      </c>
      <c r="I84" s="726" t="s">
        <v>364</v>
      </c>
    </row>
    <row r="85" spans="1:9">
      <c r="A85" s="724" t="s">
        <v>1056</v>
      </c>
      <c r="B85" s="726" t="s">
        <v>364</v>
      </c>
      <c r="C85" s="726" t="s">
        <v>364</v>
      </c>
      <c r="D85" s="726" t="s">
        <v>364</v>
      </c>
      <c r="E85" s="726" t="s">
        <v>364</v>
      </c>
      <c r="F85" s="726" t="s">
        <v>364</v>
      </c>
      <c r="G85" s="726" t="s">
        <v>364</v>
      </c>
      <c r="H85" s="726" t="s">
        <v>364</v>
      </c>
      <c r="I85" s="726" t="s">
        <v>364</v>
      </c>
    </row>
    <row r="86" spans="1:9">
      <c r="A86" s="724" t="s">
        <v>1057</v>
      </c>
      <c r="B86" s="725">
        <v>3</v>
      </c>
      <c r="C86" s="726">
        <v>4</v>
      </c>
      <c r="D86" s="726">
        <v>5</v>
      </c>
      <c r="E86" s="726">
        <v>6</v>
      </c>
      <c r="F86" s="726">
        <v>7</v>
      </c>
      <c r="G86" s="726">
        <v>8</v>
      </c>
      <c r="H86" s="726">
        <v>9</v>
      </c>
      <c r="I86" s="726">
        <v>10</v>
      </c>
    </row>
    <row r="87" spans="1:9">
      <c r="A87" s="724" t="s">
        <v>1058</v>
      </c>
      <c r="B87" s="725">
        <v>3</v>
      </c>
      <c r="C87" s="726">
        <v>3</v>
      </c>
      <c r="D87" s="726">
        <v>3</v>
      </c>
      <c r="E87" s="726">
        <v>3</v>
      </c>
      <c r="F87" s="726">
        <v>4</v>
      </c>
      <c r="G87" s="726">
        <v>2</v>
      </c>
      <c r="H87" s="726">
        <v>3</v>
      </c>
      <c r="I87" s="726">
        <v>3</v>
      </c>
    </row>
    <row r="88" spans="1:9">
      <c r="A88" s="724" t="s">
        <v>1059</v>
      </c>
      <c r="B88" s="725">
        <v>3</v>
      </c>
      <c r="C88" s="726">
        <v>3</v>
      </c>
      <c r="D88" s="726">
        <v>3</v>
      </c>
      <c r="E88" s="726">
        <v>3</v>
      </c>
      <c r="F88" s="726">
        <v>4</v>
      </c>
      <c r="G88" s="726">
        <v>2</v>
      </c>
      <c r="H88" s="726">
        <v>3</v>
      </c>
      <c r="I88" s="726">
        <v>3</v>
      </c>
    </row>
    <row r="89" spans="1:9">
      <c r="A89" s="724" t="s">
        <v>1060</v>
      </c>
      <c r="B89" s="725">
        <v>5</v>
      </c>
      <c r="C89" s="726">
        <v>5</v>
      </c>
      <c r="D89" s="726">
        <v>4</v>
      </c>
      <c r="E89" s="726">
        <v>6</v>
      </c>
      <c r="F89" s="726">
        <v>4</v>
      </c>
      <c r="G89" s="726">
        <v>4</v>
      </c>
      <c r="H89" s="726">
        <v>4</v>
      </c>
      <c r="I89" s="726">
        <v>4</v>
      </c>
    </row>
    <row r="90" spans="1:9">
      <c r="A90" s="724" t="s">
        <v>1061</v>
      </c>
      <c r="B90" s="725">
        <v>75</v>
      </c>
      <c r="C90" s="726">
        <v>75</v>
      </c>
      <c r="D90" s="726">
        <v>75</v>
      </c>
      <c r="E90" s="726">
        <v>75</v>
      </c>
      <c r="F90" s="726">
        <v>75</v>
      </c>
      <c r="G90" s="726">
        <v>75</v>
      </c>
      <c r="H90" s="726">
        <v>75</v>
      </c>
      <c r="I90" s="726">
        <v>75</v>
      </c>
    </row>
    <row r="91" spans="1:9">
      <c r="A91" s="724" t="s">
        <v>364</v>
      </c>
      <c r="B91" s="726" t="s">
        <v>364</v>
      </c>
      <c r="C91" s="726" t="s">
        <v>364</v>
      </c>
      <c r="D91" s="726" t="s">
        <v>364</v>
      </c>
      <c r="E91" s="726" t="s">
        <v>364</v>
      </c>
      <c r="F91" s="726" t="s">
        <v>364</v>
      </c>
      <c r="G91" s="726" t="s">
        <v>364</v>
      </c>
      <c r="H91" s="726" t="s">
        <v>364</v>
      </c>
      <c r="I91" s="726" t="s">
        <v>364</v>
      </c>
    </row>
    <row r="92" spans="1:9">
      <c r="A92" s="724" t="s">
        <v>1062</v>
      </c>
      <c r="B92" s="726" t="s">
        <v>364</v>
      </c>
      <c r="C92" s="726" t="s">
        <v>364</v>
      </c>
      <c r="D92" s="726" t="s">
        <v>364</v>
      </c>
      <c r="E92" s="726" t="s">
        <v>364</v>
      </c>
      <c r="F92" s="726" t="s">
        <v>364</v>
      </c>
      <c r="G92" s="726" t="s">
        <v>364</v>
      </c>
      <c r="H92" s="726" t="s">
        <v>364</v>
      </c>
      <c r="I92" s="726" t="s">
        <v>364</v>
      </c>
    </row>
    <row r="93" spans="1:9">
      <c r="A93" s="724" t="s">
        <v>1063</v>
      </c>
      <c r="B93" s="725" t="s">
        <v>1036</v>
      </c>
      <c r="C93" s="726" t="s">
        <v>1036</v>
      </c>
      <c r="D93" s="726" t="s">
        <v>1036</v>
      </c>
      <c r="E93" s="726" t="s">
        <v>1036</v>
      </c>
      <c r="F93" s="726" t="s">
        <v>1036</v>
      </c>
      <c r="G93" s="726" t="s">
        <v>1036</v>
      </c>
      <c r="H93" s="726" t="s">
        <v>1036</v>
      </c>
      <c r="I93" s="726" t="s">
        <v>1036</v>
      </c>
    </row>
    <row r="94" spans="1:9">
      <c r="A94" s="724" t="s">
        <v>1064</v>
      </c>
      <c r="B94" s="725">
        <v>8</v>
      </c>
      <c r="C94" s="726">
        <v>8</v>
      </c>
      <c r="D94" s="726">
        <v>9</v>
      </c>
      <c r="E94" s="726">
        <v>8</v>
      </c>
      <c r="F94" s="726">
        <v>10</v>
      </c>
      <c r="G94" s="726">
        <v>9</v>
      </c>
      <c r="H94" s="726">
        <v>9</v>
      </c>
      <c r="I94" s="726">
        <v>9</v>
      </c>
    </row>
    <row r="95" spans="1:9">
      <c r="A95" s="724" t="s">
        <v>1065</v>
      </c>
      <c r="B95" s="725">
        <v>5</v>
      </c>
      <c r="C95" s="726">
        <v>5</v>
      </c>
      <c r="D95" s="726">
        <v>4</v>
      </c>
      <c r="E95" s="726">
        <v>6</v>
      </c>
      <c r="F95" s="726">
        <v>6</v>
      </c>
      <c r="G95" s="726">
        <v>5</v>
      </c>
      <c r="H95" s="726">
        <v>6</v>
      </c>
      <c r="I95" s="726">
        <v>6</v>
      </c>
    </row>
    <row r="96" spans="1:9">
      <c r="A96" s="724" t="s">
        <v>1066</v>
      </c>
      <c r="B96" s="725">
        <v>7</v>
      </c>
      <c r="C96" s="726">
        <v>7</v>
      </c>
      <c r="D96" s="726">
        <v>8</v>
      </c>
      <c r="E96" s="726">
        <v>7</v>
      </c>
      <c r="F96" s="726">
        <v>9</v>
      </c>
      <c r="G96" s="726">
        <v>8</v>
      </c>
      <c r="H96" s="726">
        <v>8</v>
      </c>
      <c r="I96" s="726">
        <v>8</v>
      </c>
    </row>
    <row r="97" spans="1:9">
      <c r="A97" s="724" t="s">
        <v>1067</v>
      </c>
      <c r="B97" s="725">
        <v>6</v>
      </c>
      <c r="C97" s="726">
        <v>4</v>
      </c>
      <c r="D97" s="726">
        <v>7</v>
      </c>
      <c r="E97" s="726">
        <v>10</v>
      </c>
      <c r="F97" s="726">
        <v>10</v>
      </c>
      <c r="G97" s="726">
        <v>5</v>
      </c>
      <c r="H97" s="726">
        <v>5</v>
      </c>
      <c r="I97" s="726">
        <v>5</v>
      </c>
    </row>
    <row r="98" spans="1:9">
      <c r="A98" s="724" t="s">
        <v>1068</v>
      </c>
      <c r="B98" s="725">
        <v>75</v>
      </c>
      <c r="C98" s="726">
        <v>75</v>
      </c>
      <c r="D98" s="726">
        <v>75</v>
      </c>
      <c r="E98" s="726">
        <v>75</v>
      </c>
      <c r="F98" s="726">
        <v>75</v>
      </c>
      <c r="G98" s="726">
        <v>75</v>
      </c>
      <c r="H98" s="726">
        <v>75</v>
      </c>
      <c r="I98" s="726">
        <v>75</v>
      </c>
    </row>
    <row r="99" spans="1:9">
      <c r="A99" s="724" t="s">
        <v>364</v>
      </c>
      <c r="B99" s="726" t="s">
        <v>364</v>
      </c>
      <c r="C99" s="726" t="s">
        <v>364</v>
      </c>
      <c r="D99" s="726" t="s">
        <v>364</v>
      </c>
      <c r="E99" s="726" t="s">
        <v>364</v>
      </c>
      <c r="F99" s="726" t="s">
        <v>364</v>
      </c>
      <c r="G99" s="726" t="s">
        <v>364</v>
      </c>
      <c r="H99" s="726" t="s">
        <v>364</v>
      </c>
      <c r="I99" s="726" t="s">
        <v>364</v>
      </c>
    </row>
    <row r="100" spans="1:9">
      <c r="A100" s="724" t="s">
        <v>1069</v>
      </c>
      <c r="B100" s="726" t="s">
        <v>364</v>
      </c>
      <c r="C100" s="726" t="s">
        <v>364</v>
      </c>
      <c r="D100" s="726" t="s">
        <v>364</v>
      </c>
      <c r="E100" s="726" t="s">
        <v>364</v>
      </c>
      <c r="F100" s="726" t="s">
        <v>364</v>
      </c>
      <c r="G100" s="726" t="s">
        <v>364</v>
      </c>
      <c r="H100" s="726" t="s">
        <v>364</v>
      </c>
      <c r="I100" s="726" t="s">
        <v>364</v>
      </c>
    </row>
    <row r="101" spans="1:9">
      <c r="A101" s="724" t="s">
        <v>1070</v>
      </c>
      <c r="B101" s="725" t="s">
        <v>1005</v>
      </c>
      <c r="C101" s="726" t="s">
        <v>1005</v>
      </c>
      <c r="D101" s="726" t="s">
        <v>1005</v>
      </c>
      <c r="E101" s="726" t="s">
        <v>1005</v>
      </c>
      <c r="F101" s="726" t="s">
        <v>1036</v>
      </c>
      <c r="G101" s="726" t="s">
        <v>1036</v>
      </c>
      <c r="H101" s="726" t="s">
        <v>1036</v>
      </c>
      <c r="I101" s="726" t="s">
        <v>1036</v>
      </c>
    </row>
    <row r="102" spans="1:9">
      <c r="A102" s="724" t="s">
        <v>1071</v>
      </c>
      <c r="B102" s="725" t="s">
        <v>1005</v>
      </c>
      <c r="C102" s="726" t="s">
        <v>1005</v>
      </c>
      <c r="D102" s="726" t="s">
        <v>1005</v>
      </c>
      <c r="E102" s="726" t="s">
        <v>1005</v>
      </c>
      <c r="F102" s="726" t="s">
        <v>1005</v>
      </c>
      <c r="G102" s="726" t="s">
        <v>1005</v>
      </c>
      <c r="H102" s="726" t="s">
        <v>1005</v>
      </c>
      <c r="I102" s="726" t="s">
        <v>1036</v>
      </c>
    </row>
    <row r="103" spans="1:9">
      <c r="A103" s="724" t="s">
        <v>1072</v>
      </c>
      <c r="B103" s="725">
        <v>2</v>
      </c>
      <c r="C103" s="726">
        <v>2</v>
      </c>
      <c r="D103" s="726">
        <v>2</v>
      </c>
      <c r="E103" s="726">
        <v>2</v>
      </c>
      <c r="F103" s="726">
        <v>2</v>
      </c>
      <c r="G103" s="726">
        <v>2</v>
      </c>
      <c r="H103" s="726">
        <v>2</v>
      </c>
      <c r="I103" s="726">
        <v>2</v>
      </c>
    </row>
    <row r="104" spans="1:9">
      <c r="A104" s="724" t="s">
        <v>1073</v>
      </c>
      <c r="B104" s="725">
        <v>2</v>
      </c>
      <c r="C104" s="726">
        <v>2</v>
      </c>
      <c r="D104" s="726">
        <v>2</v>
      </c>
      <c r="E104" s="726">
        <v>2</v>
      </c>
      <c r="F104" s="726">
        <v>2</v>
      </c>
      <c r="G104" s="726">
        <v>2</v>
      </c>
      <c r="H104" s="726">
        <v>2</v>
      </c>
      <c r="I104" s="726">
        <v>2</v>
      </c>
    </row>
    <row r="105" spans="1:9">
      <c r="A105" s="724" t="s">
        <v>1074</v>
      </c>
      <c r="B105" s="725">
        <v>8</v>
      </c>
      <c r="C105" s="726">
        <v>2</v>
      </c>
      <c r="D105" s="726">
        <v>3</v>
      </c>
      <c r="E105" s="726">
        <v>5</v>
      </c>
      <c r="F105" s="726">
        <v>5</v>
      </c>
      <c r="G105" s="726">
        <v>6</v>
      </c>
      <c r="H105" s="726">
        <v>4</v>
      </c>
      <c r="I105" s="726">
        <v>4</v>
      </c>
    </row>
    <row r="106" spans="1:9">
      <c r="A106" s="724" t="s">
        <v>1075</v>
      </c>
      <c r="B106" s="725">
        <v>75</v>
      </c>
      <c r="C106" s="726">
        <v>75</v>
      </c>
      <c r="D106" s="726">
        <v>75</v>
      </c>
      <c r="E106" s="726">
        <v>75</v>
      </c>
      <c r="F106" s="726">
        <v>75</v>
      </c>
      <c r="G106" s="726">
        <v>75</v>
      </c>
      <c r="H106" s="726">
        <v>75</v>
      </c>
      <c r="I106" s="726">
        <v>75</v>
      </c>
    </row>
    <row r="107" spans="1:9">
      <c r="A107" s="724" t="s">
        <v>364</v>
      </c>
      <c r="B107" s="726" t="s">
        <v>364</v>
      </c>
      <c r="C107" s="726" t="s">
        <v>364</v>
      </c>
      <c r="D107" s="726" t="s">
        <v>364</v>
      </c>
      <c r="E107" s="726" t="s">
        <v>364</v>
      </c>
      <c r="F107" s="726" t="s">
        <v>364</v>
      </c>
      <c r="G107" s="726" t="s">
        <v>364</v>
      </c>
      <c r="H107" s="726" t="s">
        <v>364</v>
      </c>
      <c r="I107" s="726" t="s">
        <v>364</v>
      </c>
    </row>
    <row r="108" spans="1:9">
      <c r="A108" s="724" t="s">
        <v>1038</v>
      </c>
      <c r="B108" s="726" t="s">
        <v>364</v>
      </c>
      <c r="C108" s="726" t="s">
        <v>364</v>
      </c>
      <c r="D108" s="726" t="s">
        <v>364</v>
      </c>
      <c r="E108" s="726" t="s">
        <v>364</v>
      </c>
      <c r="F108" s="726" t="s">
        <v>364</v>
      </c>
      <c r="G108" s="726" t="s">
        <v>364</v>
      </c>
      <c r="H108" s="726" t="s">
        <v>364</v>
      </c>
      <c r="I108" s="726" t="s">
        <v>364</v>
      </c>
    </row>
    <row r="109" spans="1:9">
      <c r="A109" s="724" t="s">
        <v>1076</v>
      </c>
      <c r="B109" s="725">
        <v>0</v>
      </c>
      <c r="C109" s="726">
        <v>0</v>
      </c>
      <c r="D109" s="726">
        <v>0</v>
      </c>
      <c r="E109" s="726">
        <v>2</v>
      </c>
      <c r="F109" s="726">
        <v>2</v>
      </c>
      <c r="G109" s="726">
        <v>2</v>
      </c>
      <c r="H109" s="726">
        <v>3</v>
      </c>
      <c r="I109" s="726">
        <v>3</v>
      </c>
    </row>
    <row r="110" spans="1:9">
      <c r="A110" s="724" t="s">
        <v>1077</v>
      </c>
      <c r="B110" s="725">
        <v>3</v>
      </c>
      <c r="C110" s="726">
        <v>4</v>
      </c>
      <c r="D110" s="726">
        <v>5</v>
      </c>
      <c r="E110" s="726">
        <v>5</v>
      </c>
      <c r="F110" s="726">
        <v>6</v>
      </c>
      <c r="G110" s="726">
        <v>5</v>
      </c>
      <c r="H110" s="726">
        <v>6</v>
      </c>
      <c r="I110" s="726">
        <v>6</v>
      </c>
    </row>
    <row r="111" spans="1:9">
      <c r="A111" s="724" t="s">
        <v>1078</v>
      </c>
      <c r="B111" s="725">
        <v>49</v>
      </c>
      <c r="C111" s="726">
        <v>52</v>
      </c>
      <c r="D111" s="726">
        <v>51</v>
      </c>
      <c r="E111" s="726">
        <v>52</v>
      </c>
      <c r="F111" s="726">
        <v>45</v>
      </c>
      <c r="G111" s="726">
        <v>46</v>
      </c>
      <c r="H111" s="726">
        <v>46</v>
      </c>
      <c r="I111" s="726">
        <v>42</v>
      </c>
    </row>
    <row r="112" spans="1:9">
      <c r="A112" s="724" t="s">
        <v>1079</v>
      </c>
      <c r="B112" s="725">
        <v>72</v>
      </c>
      <c r="C112" s="726">
        <v>73</v>
      </c>
      <c r="D112" s="726">
        <v>74</v>
      </c>
      <c r="E112" s="726">
        <v>75</v>
      </c>
      <c r="F112" s="726">
        <v>76</v>
      </c>
      <c r="G112" s="726">
        <v>77</v>
      </c>
      <c r="H112" s="726">
        <v>78</v>
      </c>
      <c r="I112" s="726">
        <v>79</v>
      </c>
    </row>
    <row r="113" spans="1:9">
      <c r="A113" s="724" t="s">
        <v>364</v>
      </c>
      <c r="B113" s="726" t="s">
        <v>364</v>
      </c>
      <c r="C113" s="726" t="s">
        <v>364</v>
      </c>
      <c r="D113" s="726" t="s">
        <v>364</v>
      </c>
      <c r="E113" s="726" t="s">
        <v>364</v>
      </c>
      <c r="F113" s="726" t="s">
        <v>364</v>
      </c>
      <c r="G113" s="726" t="s">
        <v>364</v>
      </c>
      <c r="H113" s="726" t="s">
        <v>364</v>
      </c>
      <c r="I113" s="726" t="s">
        <v>364</v>
      </c>
    </row>
    <row r="114" spans="1:9">
      <c r="A114" s="724" t="s">
        <v>1080</v>
      </c>
      <c r="B114" s="726" t="s">
        <v>364</v>
      </c>
      <c r="C114" s="726" t="s">
        <v>364</v>
      </c>
      <c r="D114" s="726" t="s">
        <v>364</v>
      </c>
      <c r="E114" s="726" t="s">
        <v>364</v>
      </c>
      <c r="F114" s="726" t="s">
        <v>364</v>
      </c>
      <c r="G114" s="726" t="s">
        <v>364</v>
      </c>
      <c r="H114" s="726" t="s">
        <v>364</v>
      </c>
      <c r="I114" s="726" t="s">
        <v>364</v>
      </c>
    </row>
    <row r="115" spans="1:9">
      <c r="A115" s="724" t="s">
        <v>1081</v>
      </c>
      <c r="B115" s="725">
        <v>6</v>
      </c>
      <c r="C115" s="726">
        <v>7</v>
      </c>
      <c r="D115" s="726">
        <v>8</v>
      </c>
      <c r="E115" s="726">
        <v>7</v>
      </c>
      <c r="F115" s="726">
        <v>9</v>
      </c>
      <c r="G115" s="726">
        <v>8</v>
      </c>
      <c r="H115" s="726">
        <v>8</v>
      </c>
      <c r="I115" s="726">
        <v>8</v>
      </c>
    </row>
    <row r="116" spans="1:9">
      <c r="A116" s="724" t="s">
        <v>364</v>
      </c>
      <c r="B116" s="726" t="s">
        <v>364</v>
      </c>
      <c r="C116" s="726" t="s">
        <v>364</v>
      </c>
      <c r="D116" s="726" t="s">
        <v>364</v>
      </c>
      <c r="E116" s="726" t="s">
        <v>364</v>
      </c>
      <c r="F116" s="726" t="s">
        <v>364</v>
      </c>
      <c r="G116" s="726" t="s">
        <v>364</v>
      </c>
      <c r="H116" s="726" t="s">
        <v>364</v>
      </c>
      <c r="I116" s="726" t="s">
        <v>364</v>
      </c>
    </row>
    <row r="117" spans="1:9">
      <c r="A117" s="724" t="s">
        <v>1082</v>
      </c>
      <c r="B117" s="726" t="s">
        <v>364</v>
      </c>
      <c r="C117" s="726" t="s">
        <v>364</v>
      </c>
      <c r="D117" s="726" t="s">
        <v>364</v>
      </c>
      <c r="E117" s="726" t="s">
        <v>364</v>
      </c>
      <c r="F117" s="726" t="s">
        <v>364</v>
      </c>
      <c r="G117" s="726" t="s">
        <v>364</v>
      </c>
      <c r="H117" s="726" t="s">
        <v>364</v>
      </c>
      <c r="I117" s="726" t="s">
        <v>364</v>
      </c>
    </row>
    <row r="118" spans="1:9">
      <c r="A118" s="724" t="s">
        <v>1083</v>
      </c>
      <c r="B118" s="725">
        <v>2</v>
      </c>
      <c r="C118" s="726">
        <v>2</v>
      </c>
      <c r="D118" s="726">
        <v>2</v>
      </c>
      <c r="E118" s="726">
        <v>2</v>
      </c>
      <c r="F118" s="726">
        <v>2</v>
      </c>
      <c r="G118" s="726">
        <v>3</v>
      </c>
      <c r="H118" s="726">
        <v>3</v>
      </c>
      <c r="I118" s="726">
        <v>3</v>
      </c>
    </row>
    <row r="119" spans="1:9">
      <c r="A119" s="724" t="s">
        <v>1084</v>
      </c>
      <c r="B119" s="725">
        <v>2</v>
      </c>
      <c r="C119" s="726">
        <v>2</v>
      </c>
      <c r="D119" s="726">
        <v>2</v>
      </c>
      <c r="E119" s="726">
        <v>2</v>
      </c>
      <c r="F119" s="726">
        <v>2</v>
      </c>
      <c r="G119" s="726">
        <v>3</v>
      </c>
      <c r="H119" s="726">
        <v>3</v>
      </c>
      <c r="I119" s="726">
        <v>3</v>
      </c>
    </row>
    <row r="120" spans="1:9">
      <c r="A120" s="724" t="s">
        <v>1085</v>
      </c>
      <c r="B120" s="725">
        <v>0</v>
      </c>
      <c r="C120" s="726">
        <v>2</v>
      </c>
      <c r="D120" s="726">
        <v>1</v>
      </c>
      <c r="E120" s="726">
        <v>6</v>
      </c>
      <c r="F120" s="726">
        <v>3</v>
      </c>
      <c r="G120" s="726">
        <v>5</v>
      </c>
      <c r="H120" s="726">
        <v>3</v>
      </c>
      <c r="I120" s="726">
        <v>3</v>
      </c>
    </row>
    <row r="121" spans="1:9">
      <c r="A121" s="724" t="s">
        <v>1086</v>
      </c>
      <c r="B121" s="725" t="s">
        <v>476</v>
      </c>
      <c r="C121" s="726">
        <v>75</v>
      </c>
      <c r="D121" s="726">
        <v>75</v>
      </c>
      <c r="E121" s="726">
        <v>75</v>
      </c>
      <c r="F121" s="726">
        <v>75</v>
      </c>
      <c r="G121" s="726">
        <v>75</v>
      </c>
      <c r="H121" s="726">
        <v>75</v>
      </c>
      <c r="I121" s="726">
        <v>75</v>
      </c>
    </row>
    <row r="122" spans="1:9">
      <c r="A122" s="724" t="s">
        <v>364</v>
      </c>
      <c r="B122" s="726" t="s">
        <v>364</v>
      </c>
      <c r="C122" s="726" t="s">
        <v>364</v>
      </c>
      <c r="D122" s="726" t="s">
        <v>364</v>
      </c>
      <c r="E122" s="726" t="s">
        <v>364</v>
      </c>
      <c r="F122" s="726" t="s">
        <v>364</v>
      </c>
      <c r="G122" s="726" t="s">
        <v>364</v>
      </c>
      <c r="H122" s="726" t="s">
        <v>364</v>
      </c>
      <c r="I122" s="726" t="s">
        <v>364</v>
      </c>
    </row>
    <row r="123" spans="1:9">
      <c r="A123" s="724" t="s">
        <v>1087</v>
      </c>
      <c r="B123" s="726" t="s">
        <v>364</v>
      </c>
      <c r="C123" s="726" t="s">
        <v>364</v>
      </c>
      <c r="D123" s="726" t="s">
        <v>364</v>
      </c>
      <c r="E123" s="726" t="s">
        <v>364</v>
      </c>
      <c r="F123" s="726" t="s">
        <v>364</v>
      </c>
      <c r="G123" s="726" t="s">
        <v>364</v>
      </c>
      <c r="H123" s="726" t="s">
        <v>364</v>
      </c>
      <c r="I123" s="726" t="s">
        <v>364</v>
      </c>
    </row>
    <row r="124" spans="1:9">
      <c r="A124" s="724" t="s">
        <v>1088</v>
      </c>
      <c r="B124" s="725" t="s">
        <v>1005</v>
      </c>
      <c r="C124" s="726" t="s">
        <v>1005</v>
      </c>
      <c r="D124" s="726" t="s">
        <v>1005</v>
      </c>
      <c r="E124" s="726" t="s">
        <v>1005</v>
      </c>
      <c r="F124" s="726" t="s">
        <v>1005</v>
      </c>
      <c r="G124" s="726" t="s">
        <v>1005</v>
      </c>
      <c r="H124" s="726" t="s">
        <v>1005</v>
      </c>
      <c r="I124" s="726" t="s">
        <v>1006</v>
      </c>
    </row>
    <row r="125" spans="1:9">
      <c r="A125" s="724" t="s">
        <v>1089</v>
      </c>
      <c r="B125" s="725" t="s">
        <v>1005</v>
      </c>
      <c r="C125" s="726" t="s">
        <v>1005</v>
      </c>
      <c r="D125" s="726" t="s">
        <v>1005</v>
      </c>
      <c r="E125" s="726" t="s">
        <v>1005</v>
      </c>
      <c r="F125" s="726" t="s">
        <v>1005</v>
      </c>
      <c r="G125" s="726" t="s">
        <v>1005</v>
      </c>
      <c r="H125" s="726" t="s">
        <v>1005</v>
      </c>
      <c r="I125" s="726" t="s">
        <v>1006</v>
      </c>
    </row>
    <row r="126" spans="1:9">
      <c r="A126" s="724" t="s">
        <v>364</v>
      </c>
      <c r="B126" s="726" t="s">
        <v>364</v>
      </c>
      <c r="C126" s="726" t="s">
        <v>364</v>
      </c>
      <c r="D126" s="726" t="s">
        <v>364</v>
      </c>
      <c r="E126" s="726" t="s">
        <v>364</v>
      </c>
      <c r="F126" s="726" t="s">
        <v>364</v>
      </c>
      <c r="G126" s="726" t="s">
        <v>364</v>
      </c>
      <c r="H126" s="726" t="s">
        <v>364</v>
      </c>
      <c r="I126" s="726" t="s">
        <v>364</v>
      </c>
    </row>
    <row r="127" spans="1:9">
      <c r="A127" s="724" t="s">
        <v>1090</v>
      </c>
      <c r="B127" s="726" t="s">
        <v>364</v>
      </c>
      <c r="C127" s="726" t="s">
        <v>364</v>
      </c>
      <c r="D127" s="726" t="s">
        <v>364</v>
      </c>
      <c r="E127" s="726" t="s">
        <v>364</v>
      </c>
      <c r="F127" s="726" t="s">
        <v>364</v>
      </c>
      <c r="G127" s="726" t="s">
        <v>364</v>
      </c>
      <c r="H127" s="726" t="s">
        <v>364</v>
      </c>
      <c r="I127" s="726" t="s">
        <v>364</v>
      </c>
    </row>
    <row r="128" spans="1:9">
      <c r="A128" s="724" t="s">
        <v>1091</v>
      </c>
      <c r="B128" s="725">
        <v>3</v>
      </c>
      <c r="C128" s="726">
        <v>3</v>
      </c>
      <c r="D128" s="726">
        <v>3</v>
      </c>
      <c r="E128" s="726">
        <v>3</v>
      </c>
      <c r="F128" s="726">
        <v>3</v>
      </c>
      <c r="G128" s="726">
        <v>3</v>
      </c>
      <c r="H128" s="726">
        <v>3</v>
      </c>
      <c r="I128" s="726">
        <v>3</v>
      </c>
    </row>
    <row r="129" spans="1:9">
      <c r="A129" s="724" t="s">
        <v>364</v>
      </c>
      <c r="B129" s="726" t="s">
        <v>364</v>
      </c>
      <c r="C129" s="726" t="s">
        <v>364</v>
      </c>
      <c r="D129" s="726" t="s">
        <v>364</v>
      </c>
      <c r="E129" s="726" t="s">
        <v>364</v>
      </c>
      <c r="F129" s="726" t="s">
        <v>364</v>
      </c>
      <c r="G129" s="726" t="s">
        <v>364</v>
      </c>
      <c r="H129" s="726" t="s">
        <v>364</v>
      </c>
      <c r="I129" s="726" t="s">
        <v>364</v>
      </c>
    </row>
    <row r="130" spans="1:9">
      <c r="A130" s="734" t="s">
        <v>788</v>
      </c>
      <c r="B130" s="734" t="s">
        <v>789</v>
      </c>
      <c r="C130" s="735"/>
      <c r="D130" s="735"/>
      <c r="E130" s="735"/>
      <c r="F130" s="735"/>
      <c r="G130" s="734" t="s">
        <v>364</v>
      </c>
      <c r="H130" s="734" t="s">
        <v>364</v>
      </c>
      <c r="I130" s="734" t="s">
        <v>364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929F-54F7-4024-AF74-52DC2526A71B}">
  <dimension ref="A1:J88"/>
  <sheetViews>
    <sheetView workbookViewId="0">
      <selection activeCell="N5" sqref="N5:O11"/>
    </sheetView>
  </sheetViews>
  <sheetFormatPr defaultColWidth="8.875" defaultRowHeight="14.1"/>
  <cols>
    <col min="1" max="1" width="40" customWidth="1"/>
    <col min="2" max="9" width="9.875" customWidth="1"/>
  </cols>
  <sheetData>
    <row r="1" spans="1:10" ht="14.45">
      <c r="A1" s="709" t="s">
        <v>364</v>
      </c>
      <c r="B1" s="709" t="s">
        <v>364</v>
      </c>
      <c r="C1" s="709" t="s">
        <v>364</v>
      </c>
      <c r="D1" s="709" t="s">
        <v>364</v>
      </c>
      <c r="E1" s="709" t="s">
        <v>364</v>
      </c>
      <c r="F1" s="709" t="s">
        <v>364</v>
      </c>
      <c r="G1" s="709" t="s">
        <v>364</v>
      </c>
      <c r="H1" s="709" t="s">
        <v>364</v>
      </c>
      <c r="I1" s="709" t="s">
        <v>364</v>
      </c>
    </row>
    <row r="2" spans="1:10" ht="20.100000000000001">
      <c r="A2" s="710" t="s">
        <v>1092</v>
      </c>
      <c r="B2" s="711"/>
      <c r="C2" s="711"/>
      <c r="D2" s="711"/>
      <c r="E2" s="710" t="s">
        <v>364</v>
      </c>
      <c r="F2" s="710" t="s">
        <v>364</v>
      </c>
      <c r="G2" s="710" t="s">
        <v>364</v>
      </c>
      <c r="H2" s="710" t="s">
        <v>364</v>
      </c>
      <c r="I2" s="710" t="s">
        <v>364</v>
      </c>
      <c r="J2" s="710" t="s">
        <v>364</v>
      </c>
    </row>
    <row r="3" spans="1:10">
      <c r="A3" s="712" t="s">
        <v>364</v>
      </c>
      <c r="B3" s="712" t="s">
        <v>364</v>
      </c>
      <c r="C3" s="712" t="s">
        <v>364</v>
      </c>
      <c r="D3" s="712" t="s">
        <v>364</v>
      </c>
      <c r="E3" s="712" t="s">
        <v>364</v>
      </c>
      <c r="F3" s="712" t="s">
        <v>364</v>
      </c>
      <c r="G3" s="712" t="s">
        <v>364</v>
      </c>
      <c r="H3" s="712" t="s">
        <v>364</v>
      </c>
      <c r="I3" s="712" t="s">
        <v>364</v>
      </c>
    </row>
    <row r="4" spans="1:10">
      <c r="A4" s="713" t="s">
        <v>735</v>
      </c>
      <c r="B4" s="714" t="s">
        <v>485</v>
      </c>
      <c r="C4" s="714" t="s">
        <v>486</v>
      </c>
      <c r="D4" s="714" t="s">
        <v>487</v>
      </c>
      <c r="E4" s="714" t="s">
        <v>489</v>
      </c>
      <c r="F4" s="714" t="s">
        <v>490</v>
      </c>
      <c r="G4" s="714" t="s">
        <v>491</v>
      </c>
      <c r="H4" s="714" t="s">
        <v>492</v>
      </c>
      <c r="I4" s="714" t="s">
        <v>493</v>
      </c>
    </row>
    <row r="5" spans="1:10">
      <c r="A5" s="715" t="s">
        <v>737</v>
      </c>
      <c r="B5" s="717">
        <v>42735</v>
      </c>
      <c r="C5" s="717">
        <v>43100</v>
      </c>
      <c r="D5" s="717">
        <v>43465</v>
      </c>
      <c r="E5" s="717">
        <v>43921</v>
      </c>
      <c r="F5" s="717">
        <v>44286</v>
      </c>
      <c r="G5" s="717">
        <v>44651</v>
      </c>
      <c r="H5" s="717">
        <v>45016</v>
      </c>
      <c r="I5" s="717">
        <v>45382</v>
      </c>
    </row>
    <row r="6" spans="1:10">
      <c r="A6" s="724" t="s">
        <v>991</v>
      </c>
      <c r="B6" s="726" t="s">
        <v>364</v>
      </c>
      <c r="C6" s="726" t="s">
        <v>364</v>
      </c>
      <c r="D6" s="726" t="s">
        <v>364</v>
      </c>
      <c r="E6" s="726" t="s">
        <v>364</v>
      </c>
      <c r="F6" s="726" t="s">
        <v>364</v>
      </c>
      <c r="G6" s="726" t="s">
        <v>364</v>
      </c>
      <c r="H6" s="726" t="s">
        <v>364</v>
      </c>
      <c r="I6" s="726" t="s">
        <v>364</v>
      </c>
    </row>
    <row r="7" spans="1:10">
      <c r="A7" s="724" t="s">
        <v>993</v>
      </c>
      <c r="B7" s="725">
        <v>0</v>
      </c>
      <c r="C7" s="726">
        <v>0</v>
      </c>
      <c r="D7" s="726">
        <v>0</v>
      </c>
      <c r="E7" s="726">
        <v>0</v>
      </c>
      <c r="F7" s="726">
        <v>0</v>
      </c>
      <c r="G7" s="726">
        <v>2.61</v>
      </c>
      <c r="H7" s="726">
        <v>3.19</v>
      </c>
      <c r="I7" s="726" t="s">
        <v>476</v>
      </c>
    </row>
    <row r="8" spans="1:10">
      <c r="A8" s="724" t="s">
        <v>364</v>
      </c>
      <c r="B8" s="726" t="s">
        <v>364</v>
      </c>
      <c r="C8" s="726" t="s">
        <v>364</v>
      </c>
      <c r="D8" s="726" t="s">
        <v>364</v>
      </c>
      <c r="E8" s="726" t="s">
        <v>364</v>
      </c>
      <c r="F8" s="726" t="s">
        <v>364</v>
      </c>
      <c r="G8" s="726" t="s">
        <v>364</v>
      </c>
      <c r="H8" s="726" t="s">
        <v>364</v>
      </c>
      <c r="I8" s="726" t="s">
        <v>364</v>
      </c>
    </row>
    <row r="9" spans="1:10">
      <c r="A9" s="724" t="s">
        <v>996</v>
      </c>
      <c r="B9" s="726" t="s">
        <v>364</v>
      </c>
      <c r="C9" s="726" t="s">
        <v>364</v>
      </c>
      <c r="D9" s="726" t="s">
        <v>364</v>
      </c>
      <c r="E9" s="726" t="s">
        <v>364</v>
      </c>
      <c r="F9" s="726" t="s">
        <v>364</v>
      </c>
      <c r="G9" s="726" t="s">
        <v>364</v>
      </c>
      <c r="H9" s="726" t="s">
        <v>364</v>
      </c>
      <c r="I9" s="726" t="s">
        <v>364</v>
      </c>
    </row>
    <row r="10" spans="1:10">
      <c r="A10" s="724" t="s">
        <v>998</v>
      </c>
      <c r="B10" s="725">
        <v>0</v>
      </c>
      <c r="C10" s="726">
        <v>0</v>
      </c>
      <c r="D10" s="726">
        <v>0</v>
      </c>
      <c r="E10" s="726">
        <v>0</v>
      </c>
      <c r="F10" s="726">
        <v>0</v>
      </c>
      <c r="G10" s="726">
        <v>7.64</v>
      </c>
      <c r="H10" s="726">
        <v>6.77</v>
      </c>
      <c r="I10" s="726" t="s">
        <v>476</v>
      </c>
    </row>
    <row r="11" spans="1:10">
      <c r="A11" s="724" t="s">
        <v>364</v>
      </c>
      <c r="B11" s="726" t="s">
        <v>364</v>
      </c>
      <c r="C11" s="726" t="s">
        <v>364</v>
      </c>
      <c r="D11" s="726" t="s">
        <v>364</v>
      </c>
      <c r="E11" s="726" t="s">
        <v>364</v>
      </c>
      <c r="F11" s="726" t="s">
        <v>364</v>
      </c>
      <c r="G11" s="726" t="s">
        <v>364</v>
      </c>
      <c r="H11" s="726" t="s">
        <v>364</v>
      </c>
      <c r="I11" s="726" t="s">
        <v>364</v>
      </c>
    </row>
    <row r="12" spans="1:10">
      <c r="A12" s="724" t="s">
        <v>1093</v>
      </c>
      <c r="B12" s="726" t="s">
        <v>364</v>
      </c>
      <c r="C12" s="726" t="s">
        <v>364</v>
      </c>
      <c r="D12" s="726" t="s">
        <v>364</v>
      </c>
      <c r="E12" s="726" t="s">
        <v>364</v>
      </c>
      <c r="F12" s="726" t="s">
        <v>364</v>
      </c>
      <c r="G12" s="726" t="s">
        <v>364</v>
      </c>
      <c r="H12" s="726" t="s">
        <v>364</v>
      </c>
      <c r="I12" s="726" t="s">
        <v>364</v>
      </c>
    </row>
    <row r="13" spans="1:10">
      <c r="A13" s="724" t="s">
        <v>1088</v>
      </c>
      <c r="B13" s="725" t="s">
        <v>1005</v>
      </c>
      <c r="C13" s="726" t="s">
        <v>1005</v>
      </c>
      <c r="D13" s="726" t="s">
        <v>1005</v>
      </c>
      <c r="E13" s="726" t="s">
        <v>1005</v>
      </c>
      <c r="F13" s="726" t="s">
        <v>1005</v>
      </c>
      <c r="G13" s="726" t="s">
        <v>1005</v>
      </c>
      <c r="H13" s="726" t="s">
        <v>1005</v>
      </c>
      <c r="I13" s="726" t="s">
        <v>1006</v>
      </c>
    </row>
    <row r="14" spans="1:10">
      <c r="A14" s="724" t="s">
        <v>1094</v>
      </c>
      <c r="B14" s="725" t="s">
        <v>1005</v>
      </c>
      <c r="C14" s="726" t="s">
        <v>1005</v>
      </c>
      <c r="D14" s="726" t="s">
        <v>1005</v>
      </c>
      <c r="E14" s="726" t="s">
        <v>1005</v>
      </c>
      <c r="F14" s="726" t="s">
        <v>1005</v>
      </c>
      <c r="G14" s="726" t="s">
        <v>1005</v>
      </c>
      <c r="H14" s="726" t="s">
        <v>1005</v>
      </c>
      <c r="I14" s="726" t="s">
        <v>1006</v>
      </c>
    </row>
    <row r="15" spans="1:10">
      <c r="A15" s="724" t="s">
        <v>1095</v>
      </c>
      <c r="B15" s="725" t="s">
        <v>1005</v>
      </c>
      <c r="C15" s="726" t="s">
        <v>1005</v>
      </c>
      <c r="D15" s="726" t="s">
        <v>1005</v>
      </c>
      <c r="E15" s="726" t="s">
        <v>1005</v>
      </c>
      <c r="F15" s="726" t="s">
        <v>1005</v>
      </c>
      <c r="G15" s="726" t="s">
        <v>1005</v>
      </c>
      <c r="H15" s="726" t="s">
        <v>1005</v>
      </c>
      <c r="I15" s="726" t="s">
        <v>1006</v>
      </c>
    </row>
    <row r="16" spans="1:10">
      <c r="A16" s="724" t="s">
        <v>1096</v>
      </c>
      <c r="B16" s="725" t="s">
        <v>1005</v>
      </c>
      <c r="C16" s="726" t="s">
        <v>1005</v>
      </c>
      <c r="D16" s="726" t="s">
        <v>1005</v>
      </c>
      <c r="E16" s="726" t="s">
        <v>1005</v>
      </c>
      <c r="F16" s="726" t="s">
        <v>1005</v>
      </c>
      <c r="G16" s="726" t="s">
        <v>1036</v>
      </c>
      <c r="H16" s="726" t="s">
        <v>1036</v>
      </c>
      <c r="I16" s="726" t="s">
        <v>1006</v>
      </c>
    </row>
    <row r="17" spans="1:9">
      <c r="A17" s="724" t="s">
        <v>1097</v>
      </c>
      <c r="B17" s="725" t="s">
        <v>1006</v>
      </c>
      <c r="C17" s="726" t="s">
        <v>1006</v>
      </c>
      <c r="D17" s="726" t="s">
        <v>1006</v>
      </c>
      <c r="E17" s="726" t="s">
        <v>1005</v>
      </c>
      <c r="F17" s="726" t="s">
        <v>1005</v>
      </c>
      <c r="G17" s="726" t="s">
        <v>1005</v>
      </c>
      <c r="H17" s="726" t="s">
        <v>1005</v>
      </c>
      <c r="I17" s="726" t="s">
        <v>1006</v>
      </c>
    </row>
    <row r="18" spans="1:9">
      <c r="A18" s="724" t="s">
        <v>1027</v>
      </c>
      <c r="B18" s="725" t="s">
        <v>1006</v>
      </c>
      <c r="C18" s="726" t="s">
        <v>1006</v>
      </c>
      <c r="D18" s="726" t="s">
        <v>1006</v>
      </c>
      <c r="E18" s="726" t="s">
        <v>1006</v>
      </c>
      <c r="F18" s="726" t="s">
        <v>1005</v>
      </c>
      <c r="G18" s="726" t="s">
        <v>1005</v>
      </c>
      <c r="H18" s="726" t="s">
        <v>1005</v>
      </c>
      <c r="I18" s="726" t="s">
        <v>1006</v>
      </c>
    </row>
    <row r="19" spans="1:9">
      <c r="A19" s="724" t="s">
        <v>1007</v>
      </c>
      <c r="B19" s="725" t="s">
        <v>1006</v>
      </c>
      <c r="C19" s="726" t="s">
        <v>1006</v>
      </c>
      <c r="D19" s="726" t="s">
        <v>1006</v>
      </c>
      <c r="E19" s="726" t="s">
        <v>1006</v>
      </c>
      <c r="F19" s="726" t="s">
        <v>1006</v>
      </c>
      <c r="G19" s="726" t="s">
        <v>1005</v>
      </c>
      <c r="H19" s="726" t="s">
        <v>1005</v>
      </c>
      <c r="I19" s="726" t="s">
        <v>1005</v>
      </c>
    </row>
    <row r="20" spans="1:9">
      <c r="A20" s="724" t="s">
        <v>364</v>
      </c>
      <c r="B20" s="726" t="s">
        <v>364</v>
      </c>
      <c r="C20" s="726" t="s">
        <v>364</v>
      </c>
      <c r="D20" s="726" t="s">
        <v>364</v>
      </c>
      <c r="E20" s="726" t="s">
        <v>364</v>
      </c>
      <c r="F20" s="726" t="s">
        <v>364</v>
      </c>
      <c r="G20" s="726" t="s">
        <v>364</v>
      </c>
      <c r="H20" s="726" t="s">
        <v>364</v>
      </c>
      <c r="I20" s="726" t="s">
        <v>364</v>
      </c>
    </row>
    <row r="21" spans="1:9">
      <c r="A21" s="724" t="s">
        <v>1098</v>
      </c>
      <c r="B21" s="726" t="s">
        <v>364</v>
      </c>
      <c r="C21" s="726" t="s">
        <v>364</v>
      </c>
      <c r="D21" s="726" t="s">
        <v>364</v>
      </c>
      <c r="E21" s="726" t="s">
        <v>364</v>
      </c>
      <c r="F21" s="726" t="s">
        <v>364</v>
      </c>
      <c r="G21" s="726" t="s">
        <v>364</v>
      </c>
      <c r="H21" s="726" t="s">
        <v>364</v>
      </c>
      <c r="I21" s="726" t="s">
        <v>364</v>
      </c>
    </row>
    <row r="22" spans="1:9">
      <c r="A22" s="718" t="s">
        <v>1099</v>
      </c>
      <c r="B22" s="719" t="s">
        <v>476</v>
      </c>
      <c r="C22" s="720" t="s">
        <v>476</v>
      </c>
      <c r="D22" s="720" t="s">
        <v>476</v>
      </c>
      <c r="E22" s="720" t="s">
        <v>476</v>
      </c>
      <c r="F22" s="720" t="s">
        <v>476</v>
      </c>
      <c r="G22" s="720">
        <v>0.3</v>
      </c>
      <c r="H22" s="720" t="s">
        <v>476</v>
      </c>
      <c r="I22" s="720" t="s">
        <v>476</v>
      </c>
    </row>
    <row r="23" spans="1:9">
      <c r="A23" s="724" t="s">
        <v>1011</v>
      </c>
      <c r="B23" s="725" t="s">
        <v>476</v>
      </c>
      <c r="C23" s="726" t="s">
        <v>476</v>
      </c>
      <c r="D23" s="726" t="s">
        <v>476</v>
      </c>
      <c r="E23" s="726" t="s">
        <v>476</v>
      </c>
      <c r="F23" s="726" t="s">
        <v>476</v>
      </c>
      <c r="G23" s="726">
        <v>0</v>
      </c>
      <c r="H23" s="726" t="s">
        <v>476</v>
      </c>
      <c r="I23" s="726" t="s">
        <v>476</v>
      </c>
    </row>
    <row r="24" spans="1:9">
      <c r="A24" s="724" t="s">
        <v>1012</v>
      </c>
      <c r="B24" s="725" t="s">
        <v>476</v>
      </c>
      <c r="C24" s="726" t="s">
        <v>476</v>
      </c>
      <c r="D24" s="726" t="s">
        <v>476</v>
      </c>
      <c r="E24" s="726" t="s">
        <v>476</v>
      </c>
      <c r="F24" s="726" t="s">
        <v>476</v>
      </c>
      <c r="G24" s="726">
        <v>0.2</v>
      </c>
      <c r="H24" s="726" t="s">
        <v>476</v>
      </c>
      <c r="I24" s="726" t="s">
        <v>476</v>
      </c>
    </row>
    <row r="25" spans="1:9">
      <c r="A25" s="724" t="s">
        <v>1013</v>
      </c>
      <c r="B25" s="725" t="s">
        <v>476</v>
      </c>
      <c r="C25" s="726" t="s">
        <v>476</v>
      </c>
      <c r="D25" s="726" t="s">
        <v>476</v>
      </c>
      <c r="E25" s="726" t="s">
        <v>476</v>
      </c>
      <c r="F25" s="726" t="s">
        <v>476</v>
      </c>
      <c r="G25" s="726">
        <v>20.9</v>
      </c>
      <c r="H25" s="726" t="s">
        <v>476</v>
      </c>
      <c r="I25" s="726" t="s">
        <v>476</v>
      </c>
    </row>
    <row r="26" spans="1:9">
      <c r="A26" s="724" t="s">
        <v>1100</v>
      </c>
      <c r="B26" s="725" t="s">
        <v>476</v>
      </c>
      <c r="C26" s="726" t="s">
        <v>476</v>
      </c>
      <c r="D26" s="726" t="s">
        <v>476</v>
      </c>
      <c r="E26" s="726" t="s">
        <v>476</v>
      </c>
      <c r="F26" s="726" t="s">
        <v>476</v>
      </c>
      <c r="G26" s="726">
        <v>14.3</v>
      </c>
      <c r="H26" s="726" t="s">
        <v>476</v>
      </c>
      <c r="I26" s="726" t="s">
        <v>476</v>
      </c>
    </row>
    <row r="27" spans="1:9">
      <c r="A27" s="724" t="s">
        <v>1101</v>
      </c>
      <c r="B27" s="725" t="s">
        <v>476</v>
      </c>
      <c r="C27" s="726" t="s">
        <v>476</v>
      </c>
      <c r="D27" s="726" t="s">
        <v>476</v>
      </c>
      <c r="E27" s="726" t="s">
        <v>476</v>
      </c>
      <c r="F27" s="726" t="s">
        <v>476</v>
      </c>
      <c r="G27" s="726">
        <v>6.6</v>
      </c>
      <c r="H27" s="726" t="s">
        <v>476</v>
      </c>
      <c r="I27" s="726" t="s">
        <v>476</v>
      </c>
    </row>
    <row r="28" spans="1:9">
      <c r="A28" s="724" t="s">
        <v>364</v>
      </c>
      <c r="B28" s="726" t="s">
        <v>364</v>
      </c>
      <c r="C28" s="726" t="s">
        <v>364</v>
      </c>
      <c r="D28" s="726" t="s">
        <v>364</v>
      </c>
      <c r="E28" s="726" t="s">
        <v>364</v>
      </c>
      <c r="F28" s="726" t="s">
        <v>364</v>
      </c>
      <c r="G28" s="726" t="s">
        <v>364</v>
      </c>
      <c r="H28" s="726" t="s">
        <v>364</v>
      </c>
      <c r="I28" s="726" t="s">
        <v>364</v>
      </c>
    </row>
    <row r="29" spans="1:9">
      <c r="A29" s="724" t="s">
        <v>364</v>
      </c>
      <c r="B29" s="726" t="s">
        <v>364</v>
      </c>
      <c r="C29" s="726" t="s">
        <v>364</v>
      </c>
      <c r="D29" s="726" t="s">
        <v>364</v>
      </c>
      <c r="E29" s="726" t="s">
        <v>364</v>
      </c>
      <c r="F29" s="726" t="s">
        <v>364</v>
      </c>
      <c r="G29" s="726" t="s">
        <v>364</v>
      </c>
      <c r="H29" s="726" t="s">
        <v>364</v>
      </c>
      <c r="I29" s="726" t="s">
        <v>364</v>
      </c>
    </row>
    <row r="30" spans="1:9">
      <c r="A30" s="724" t="s">
        <v>364</v>
      </c>
      <c r="B30" s="726" t="s">
        <v>364</v>
      </c>
      <c r="C30" s="726" t="s">
        <v>364</v>
      </c>
      <c r="D30" s="726" t="s">
        <v>364</v>
      </c>
      <c r="E30" s="726" t="s">
        <v>364</v>
      </c>
      <c r="F30" s="726" t="s">
        <v>364</v>
      </c>
      <c r="G30" s="726" t="s">
        <v>364</v>
      </c>
      <c r="H30" s="726" t="s">
        <v>364</v>
      </c>
      <c r="I30" s="726" t="s">
        <v>364</v>
      </c>
    </row>
    <row r="31" spans="1:9">
      <c r="A31" s="724" t="s">
        <v>364</v>
      </c>
      <c r="B31" s="726" t="s">
        <v>364</v>
      </c>
      <c r="C31" s="726" t="s">
        <v>364</v>
      </c>
      <c r="D31" s="726" t="s">
        <v>364</v>
      </c>
      <c r="E31" s="726" t="s">
        <v>364</v>
      </c>
      <c r="F31" s="726" t="s">
        <v>364</v>
      </c>
      <c r="G31" s="726" t="s">
        <v>364</v>
      </c>
      <c r="H31" s="726" t="s">
        <v>364</v>
      </c>
      <c r="I31" s="726" t="s">
        <v>364</v>
      </c>
    </row>
    <row r="32" spans="1:9">
      <c r="A32" s="724" t="s">
        <v>364</v>
      </c>
      <c r="B32" s="726" t="s">
        <v>364</v>
      </c>
      <c r="C32" s="726" t="s">
        <v>364</v>
      </c>
      <c r="D32" s="726" t="s">
        <v>364</v>
      </c>
      <c r="E32" s="726" t="s">
        <v>364</v>
      </c>
      <c r="F32" s="726" t="s">
        <v>364</v>
      </c>
      <c r="G32" s="726" t="s">
        <v>364</v>
      </c>
      <c r="H32" s="726" t="s">
        <v>364</v>
      </c>
      <c r="I32" s="726" t="s">
        <v>364</v>
      </c>
    </row>
    <row r="33" spans="1:9">
      <c r="A33" s="724" t="s">
        <v>364</v>
      </c>
      <c r="B33" s="726" t="s">
        <v>364</v>
      </c>
      <c r="C33" s="726" t="s">
        <v>364</v>
      </c>
      <c r="D33" s="726" t="s">
        <v>364</v>
      </c>
      <c r="E33" s="726" t="s">
        <v>364</v>
      </c>
      <c r="F33" s="726" t="s">
        <v>364</v>
      </c>
      <c r="G33" s="726" t="s">
        <v>364</v>
      </c>
      <c r="H33" s="726" t="s">
        <v>364</v>
      </c>
      <c r="I33" s="726" t="s">
        <v>364</v>
      </c>
    </row>
    <row r="34" spans="1:9">
      <c r="A34" s="724" t="s">
        <v>1014</v>
      </c>
      <c r="B34" s="726" t="s">
        <v>364</v>
      </c>
      <c r="C34" s="726" t="s">
        <v>364</v>
      </c>
      <c r="D34" s="726" t="s">
        <v>364</v>
      </c>
      <c r="E34" s="726" t="s">
        <v>364</v>
      </c>
      <c r="F34" s="726" t="s">
        <v>364</v>
      </c>
      <c r="G34" s="726" t="s">
        <v>364</v>
      </c>
      <c r="H34" s="726" t="s">
        <v>364</v>
      </c>
      <c r="I34" s="726" t="s">
        <v>364</v>
      </c>
    </row>
    <row r="35" spans="1:9">
      <c r="A35" s="724" t="s">
        <v>364</v>
      </c>
      <c r="B35" s="726" t="s">
        <v>364</v>
      </c>
      <c r="C35" s="726" t="s">
        <v>364</v>
      </c>
      <c r="D35" s="726" t="s">
        <v>364</v>
      </c>
      <c r="E35" s="726" t="s">
        <v>364</v>
      </c>
      <c r="F35" s="726" t="s">
        <v>364</v>
      </c>
      <c r="G35" s="726" t="s">
        <v>364</v>
      </c>
      <c r="H35" s="726" t="s">
        <v>364</v>
      </c>
      <c r="I35" s="726" t="s">
        <v>364</v>
      </c>
    </row>
    <row r="36" spans="1:9">
      <c r="A36" s="724" t="s">
        <v>1022</v>
      </c>
      <c r="B36" s="726" t="s">
        <v>364</v>
      </c>
      <c r="C36" s="726" t="s">
        <v>364</v>
      </c>
      <c r="D36" s="726" t="s">
        <v>364</v>
      </c>
      <c r="E36" s="726" t="s">
        <v>364</v>
      </c>
      <c r="F36" s="726" t="s">
        <v>364</v>
      </c>
      <c r="G36" s="726" t="s">
        <v>364</v>
      </c>
      <c r="H36" s="726" t="s">
        <v>364</v>
      </c>
      <c r="I36" s="726" t="s">
        <v>364</v>
      </c>
    </row>
    <row r="37" spans="1:9">
      <c r="A37" s="718" t="s">
        <v>1102</v>
      </c>
      <c r="B37" s="719" t="s">
        <v>476</v>
      </c>
      <c r="C37" s="720" t="s">
        <v>476</v>
      </c>
      <c r="D37" s="720" t="s">
        <v>476</v>
      </c>
      <c r="E37" s="720" t="s">
        <v>476</v>
      </c>
      <c r="F37" s="720" t="s">
        <v>476</v>
      </c>
      <c r="G37" s="720">
        <v>85.7</v>
      </c>
      <c r="H37" s="720">
        <v>141.30000000000001</v>
      </c>
      <c r="I37" s="720" t="s">
        <v>476</v>
      </c>
    </row>
    <row r="38" spans="1:9">
      <c r="A38" s="724" t="s">
        <v>1024</v>
      </c>
      <c r="B38" s="725" t="s">
        <v>476</v>
      </c>
      <c r="C38" s="726" t="s">
        <v>476</v>
      </c>
      <c r="D38" s="726" t="s">
        <v>476</v>
      </c>
      <c r="E38" s="726" t="s">
        <v>476</v>
      </c>
      <c r="F38" s="726" t="s">
        <v>476</v>
      </c>
      <c r="G38" s="726">
        <v>85.7</v>
      </c>
      <c r="H38" s="726">
        <v>141.30000000000001</v>
      </c>
      <c r="I38" s="726" t="s">
        <v>476</v>
      </c>
    </row>
    <row r="39" spans="1:9">
      <c r="A39" s="724" t="s">
        <v>368</v>
      </c>
      <c r="B39" s="725" t="s">
        <v>476</v>
      </c>
      <c r="C39" s="726" t="s">
        <v>476</v>
      </c>
      <c r="D39" s="726" t="s">
        <v>476</v>
      </c>
      <c r="E39" s="726" t="s">
        <v>476</v>
      </c>
      <c r="F39" s="726" t="s">
        <v>476</v>
      </c>
      <c r="G39" s="726" t="s">
        <v>476</v>
      </c>
      <c r="H39" s="726">
        <v>14.3</v>
      </c>
      <c r="I39" s="726" t="s">
        <v>476</v>
      </c>
    </row>
    <row r="40" spans="1:9">
      <c r="A40" s="724" t="s">
        <v>364</v>
      </c>
      <c r="B40" s="726" t="s">
        <v>364</v>
      </c>
      <c r="C40" s="726" t="s">
        <v>364</v>
      </c>
      <c r="D40" s="726" t="s">
        <v>364</v>
      </c>
      <c r="E40" s="726" t="s">
        <v>364</v>
      </c>
      <c r="F40" s="726" t="s">
        <v>364</v>
      </c>
      <c r="G40" s="726" t="s">
        <v>364</v>
      </c>
      <c r="H40" s="726" t="s">
        <v>364</v>
      </c>
      <c r="I40" s="726" t="s">
        <v>364</v>
      </c>
    </row>
    <row r="41" spans="1:9">
      <c r="A41" s="724" t="s">
        <v>364</v>
      </c>
      <c r="B41" s="726" t="s">
        <v>364</v>
      </c>
      <c r="C41" s="726" t="s">
        <v>364</v>
      </c>
      <c r="D41" s="726" t="s">
        <v>364</v>
      </c>
      <c r="E41" s="726" t="s">
        <v>364</v>
      </c>
      <c r="F41" s="726" t="s">
        <v>364</v>
      </c>
      <c r="G41" s="726" t="s">
        <v>364</v>
      </c>
      <c r="H41" s="726" t="s">
        <v>364</v>
      </c>
      <c r="I41" s="726" t="s">
        <v>364</v>
      </c>
    </row>
    <row r="42" spans="1:9">
      <c r="A42" s="724" t="s">
        <v>1103</v>
      </c>
      <c r="B42" s="725" t="s">
        <v>476</v>
      </c>
      <c r="C42" s="726" t="s">
        <v>476</v>
      </c>
      <c r="D42" s="726" t="s">
        <v>476</v>
      </c>
      <c r="E42" s="726" t="s">
        <v>476</v>
      </c>
      <c r="F42" s="726" t="s">
        <v>476</v>
      </c>
      <c r="G42" s="726">
        <v>96</v>
      </c>
      <c r="H42" s="726">
        <v>96</v>
      </c>
      <c r="I42" s="726" t="s">
        <v>476</v>
      </c>
    </row>
    <row r="43" spans="1:9">
      <c r="A43" s="724" t="s">
        <v>364</v>
      </c>
      <c r="B43" s="726" t="s">
        <v>364</v>
      </c>
      <c r="C43" s="726" t="s">
        <v>364</v>
      </c>
      <c r="D43" s="726" t="s">
        <v>364</v>
      </c>
      <c r="E43" s="726" t="s">
        <v>364</v>
      </c>
      <c r="F43" s="726" t="s">
        <v>364</v>
      </c>
      <c r="G43" s="726" t="s">
        <v>364</v>
      </c>
      <c r="H43" s="726" t="s">
        <v>364</v>
      </c>
      <c r="I43" s="726" t="s">
        <v>364</v>
      </c>
    </row>
    <row r="44" spans="1:9">
      <c r="A44" s="724" t="s">
        <v>364</v>
      </c>
      <c r="B44" s="726" t="s">
        <v>364</v>
      </c>
      <c r="C44" s="726" t="s">
        <v>364</v>
      </c>
      <c r="D44" s="726" t="s">
        <v>364</v>
      </c>
      <c r="E44" s="726" t="s">
        <v>364</v>
      </c>
      <c r="F44" s="726" t="s">
        <v>364</v>
      </c>
      <c r="G44" s="726" t="s">
        <v>364</v>
      </c>
      <c r="H44" s="726" t="s">
        <v>364</v>
      </c>
      <c r="I44" s="726" t="s">
        <v>364</v>
      </c>
    </row>
    <row r="45" spans="1:9">
      <c r="A45" s="724" t="s">
        <v>375</v>
      </c>
      <c r="B45" s="726" t="s">
        <v>364</v>
      </c>
      <c r="C45" s="726" t="s">
        <v>364</v>
      </c>
      <c r="D45" s="726" t="s">
        <v>364</v>
      </c>
      <c r="E45" s="726" t="s">
        <v>364</v>
      </c>
      <c r="F45" s="726" t="s">
        <v>364</v>
      </c>
      <c r="G45" s="726" t="s">
        <v>364</v>
      </c>
      <c r="H45" s="726" t="s">
        <v>364</v>
      </c>
      <c r="I45" s="726" t="s">
        <v>364</v>
      </c>
    </row>
    <row r="46" spans="1:9">
      <c r="A46" s="724" t="s">
        <v>364</v>
      </c>
      <c r="B46" s="726" t="s">
        <v>364</v>
      </c>
      <c r="C46" s="726" t="s">
        <v>364</v>
      </c>
      <c r="D46" s="726" t="s">
        <v>364</v>
      </c>
      <c r="E46" s="726" t="s">
        <v>364</v>
      </c>
      <c r="F46" s="726" t="s">
        <v>364</v>
      </c>
      <c r="G46" s="726" t="s">
        <v>364</v>
      </c>
      <c r="H46" s="726" t="s">
        <v>364</v>
      </c>
      <c r="I46" s="726" t="s">
        <v>364</v>
      </c>
    </row>
    <row r="47" spans="1:9">
      <c r="A47" s="724" t="s">
        <v>1104</v>
      </c>
      <c r="B47" s="726" t="s">
        <v>364</v>
      </c>
      <c r="C47" s="726" t="s">
        <v>364</v>
      </c>
      <c r="D47" s="726" t="s">
        <v>364</v>
      </c>
      <c r="E47" s="726" t="s">
        <v>364</v>
      </c>
      <c r="F47" s="726" t="s">
        <v>364</v>
      </c>
      <c r="G47" s="726" t="s">
        <v>364</v>
      </c>
      <c r="H47" s="726" t="s">
        <v>364</v>
      </c>
      <c r="I47" s="726" t="s">
        <v>364</v>
      </c>
    </row>
    <row r="48" spans="1:9">
      <c r="A48" s="724" t="s">
        <v>364</v>
      </c>
      <c r="B48" s="726" t="s">
        <v>364</v>
      </c>
      <c r="C48" s="726" t="s">
        <v>364</v>
      </c>
      <c r="D48" s="726" t="s">
        <v>364</v>
      </c>
      <c r="E48" s="726" t="s">
        <v>364</v>
      </c>
      <c r="F48" s="726" t="s">
        <v>364</v>
      </c>
      <c r="G48" s="726" t="s">
        <v>364</v>
      </c>
      <c r="H48" s="726" t="s">
        <v>364</v>
      </c>
      <c r="I48" s="726" t="s">
        <v>364</v>
      </c>
    </row>
    <row r="49" spans="1:9">
      <c r="A49" s="724" t="s">
        <v>1018</v>
      </c>
      <c r="B49" s="725" t="s">
        <v>1006</v>
      </c>
      <c r="C49" s="726" t="s">
        <v>1006</v>
      </c>
      <c r="D49" s="726" t="s">
        <v>1006</v>
      </c>
      <c r="E49" s="726" t="s">
        <v>1006</v>
      </c>
      <c r="F49" s="726" t="s">
        <v>1005</v>
      </c>
      <c r="G49" s="726" t="s">
        <v>1005</v>
      </c>
      <c r="H49" s="726" t="s">
        <v>1005</v>
      </c>
      <c r="I49" s="726" t="s">
        <v>1006</v>
      </c>
    </row>
    <row r="50" spans="1:9">
      <c r="A50" s="724" t="s">
        <v>1019</v>
      </c>
      <c r="B50" s="725" t="s">
        <v>1006</v>
      </c>
      <c r="C50" s="726" t="s">
        <v>1006</v>
      </c>
      <c r="D50" s="726" t="s">
        <v>1006</v>
      </c>
      <c r="E50" s="726" t="s">
        <v>1006</v>
      </c>
      <c r="F50" s="726" t="s">
        <v>1005</v>
      </c>
      <c r="G50" s="726" t="s">
        <v>1005</v>
      </c>
      <c r="H50" s="726" t="s">
        <v>1005</v>
      </c>
      <c r="I50" s="726" t="s">
        <v>1006</v>
      </c>
    </row>
    <row r="51" spans="1:9">
      <c r="A51" s="724" t="s">
        <v>364</v>
      </c>
      <c r="B51" s="726" t="s">
        <v>364</v>
      </c>
      <c r="C51" s="726" t="s">
        <v>364</v>
      </c>
      <c r="D51" s="726" t="s">
        <v>364</v>
      </c>
      <c r="E51" s="726" t="s">
        <v>364</v>
      </c>
      <c r="F51" s="726" t="s">
        <v>364</v>
      </c>
      <c r="G51" s="726" t="s">
        <v>364</v>
      </c>
      <c r="H51" s="726" t="s">
        <v>364</v>
      </c>
      <c r="I51" s="726" t="s">
        <v>364</v>
      </c>
    </row>
    <row r="52" spans="1:9">
      <c r="A52" s="724" t="s">
        <v>1105</v>
      </c>
      <c r="B52" s="726" t="s">
        <v>364</v>
      </c>
      <c r="C52" s="726" t="s">
        <v>364</v>
      </c>
      <c r="D52" s="726" t="s">
        <v>364</v>
      </c>
      <c r="E52" s="726" t="s">
        <v>364</v>
      </c>
      <c r="F52" s="726" t="s">
        <v>364</v>
      </c>
      <c r="G52" s="726" t="s">
        <v>364</v>
      </c>
      <c r="H52" s="726" t="s">
        <v>364</v>
      </c>
      <c r="I52" s="726" t="s">
        <v>364</v>
      </c>
    </row>
    <row r="53" spans="1:9">
      <c r="A53" s="724" t="s">
        <v>364</v>
      </c>
      <c r="B53" s="726" t="s">
        <v>364</v>
      </c>
      <c r="C53" s="726" t="s">
        <v>364</v>
      </c>
      <c r="D53" s="726" t="s">
        <v>364</v>
      </c>
      <c r="E53" s="726" t="s">
        <v>364</v>
      </c>
      <c r="F53" s="726" t="s">
        <v>364</v>
      </c>
      <c r="G53" s="726" t="s">
        <v>364</v>
      </c>
      <c r="H53" s="726" t="s">
        <v>364</v>
      </c>
      <c r="I53" s="726" t="s">
        <v>364</v>
      </c>
    </row>
    <row r="54" spans="1:9">
      <c r="A54" s="724" t="s">
        <v>1106</v>
      </c>
      <c r="B54" s="726" t="s">
        <v>364</v>
      </c>
      <c r="C54" s="726" t="s">
        <v>364</v>
      </c>
      <c r="D54" s="726" t="s">
        <v>364</v>
      </c>
      <c r="E54" s="726" t="s">
        <v>364</v>
      </c>
      <c r="F54" s="726" t="s">
        <v>364</v>
      </c>
      <c r="G54" s="726" t="s">
        <v>364</v>
      </c>
      <c r="H54" s="726" t="s">
        <v>364</v>
      </c>
      <c r="I54" s="726" t="s">
        <v>364</v>
      </c>
    </row>
    <row r="55" spans="1:9">
      <c r="A55" s="724" t="s">
        <v>364</v>
      </c>
      <c r="B55" s="726" t="s">
        <v>364</v>
      </c>
      <c r="C55" s="726" t="s">
        <v>364</v>
      </c>
      <c r="D55" s="726" t="s">
        <v>364</v>
      </c>
      <c r="E55" s="726" t="s">
        <v>364</v>
      </c>
      <c r="F55" s="726" t="s">
        <v>364</v>
      </c>
      <c r="G55" s="726" t="s">
        <v>364</v>
      </c>
      <c r="H55" s="726" t="s">
        <v>364</v>
      </c>
      <c r="I55" s="726" t="s">
        <v>364</v>
      </c>
    </row>
    <row r="56" spans="1:9">
      <c r="A56" s="724" t="s">
        <v>1107</v>
      </c>
      <c r="B56" s="726" t="s">
        <v>364</v>
      </c>
      <c r="C56" s="726" t="s">
        <v>364</v>
      </c>
      <c r="D56" s="726" t="s">
        <v>364</v>
      </c>
      <c r="E56" s="726" t="s">
        <v>364</v>
      </c>
      <c r="F56" s="726" t="s">
        <v>364</v>
      </c>
      <c r="G56" s="726" t="s">
        <v>364</v>
      </c>
      <c r="H56" s="726" t="s">
        <v>364</v>
      </c>
      <c r="I56" s="726" t="s">
        <v>364</v>
      </c>
    </row>
    <row r="57" spans="1:9">
      <c r="A57" s="724" t="s">
        <v>364</v>
      </c>
      <c r="B57" s="726" t="s">
        <v>364</v>
      </c>
      <c r="C57" s="726" t="s">
        <v>364</v>
      </c>
      <c r="D57" s="726" t="s">
        <v>364</v>
      </c>
      <c r="E57" s="726" t="s">
        <v>364</v>
      </c>
      <c r="F57" s="726" t="s">
        <v>364</v>
      </c>
      <c r="G57" s="726" t="s">
        <v>364</v>
      </c>
      <c r="H57" s="726" t="s">
        <v>364</v>
      </c>
      <c r="I57" s="726" t="s">
        <v>364</v>
      </c>
    </row>
    <row r="58" spans="1:9">
      <c r="A58" s="724" t="s">
        <v>1108</v>
      </c>
      <c r="B58" s="726" t="s">
        <v>364</v>
      </c>
      <c r="C58" s="726" t="s">
        <v>364</v>
      </c>
      <c r="D58" s="726" t="s">
        <v>364</v>
      </c>
      <c r="E58" s="726" t="s">
        <v>364</v>
      </c>
      <c r="F58" s="726" t="s">
        <v>364</v>
      </c>
      <c r="G58" s="726" t="s">
        <v>364</v>
      </c>
      <c r="H58" s="726" t="s">
        <v>364</v>
      </c>
      <c r="I58" s="726" t="s">
        <v>364</v>
      </c>
    </row>
    <row r="59" spans="1:9">
      <c r="A59" s="724" t="s">
        <v>1109</v>
      </c>
      <c r="B59" s="725">
        <v>20</v>
      </c>
      <c r="C59" s="726">
        <v>22</v>
      </c>
      <c r="D59" s="726">
        <v>32</v>
      </c>
      <c r="E59" s="726">
        <v>9</v>
      </c>
      <c r="F59" s="726">
        <v>8</v>
      </c>
      <c r="G59" s="726">
        <v>8</v>
      </c>
      <c r="H59" s="726" t="s">
        <v>476</v>
      </c>
      <c r="I59" s="726" t="s">
        <v>476</v>
      </c>
    </row>
    <row r="60" spans="1:9">
      <c r="A60" s="724" t="s">
        <v>364</v>
      </c>
      <c r="B60" s="726" t="s">
        <v>364</v>
      </c>
      <c r="C60" s="726" t="s">
        <v>364</v>
      </c>
      <c r="D60" s="726" t="s">
        <v>364</v>
      </c>
      <c r="E60" s="726" t="s">
        <v>364</v>
      </c>
      <c r="F60" s="726" t="s">
        <v>364</v>
      </c>
      <c r="G60" s="726" t="s">
        <v>364</v>
      </c>
      <c r="H60" s="726" t="s">
        <v>364</v>
      </c>
      <c r="I60" s="726" t="s">
        <v>364</v>
      </c>
    </row>
    <row r="61" spans="1:9">
      <c r="A61" s="724" t="s">
        <v>1110</v>
      </c>
      <c r="B61" s="726" t="s">
        <v>364</v>
      </c>
      <c r="C61" s="726" t="s">
        <v>364</v>
      </c>
      <c r="D61" s="726" t="s">
        <v>364</v>
      </c>
      <c r="E61" s="726" t="s">
        <v>364</v>
      </c>
      <c r="F61" s="726" t="s">
        <v>364</v>
      </c>
      <c r="G61" s="726" t="s">
        <v>364</v>
      </c>
      <c r="H61" s="726" t="s">
        <v>364</v>
      </c>
      <c r="I61" s="726" t="s">
        <v>364</v>
      </c>
    </row>
    <row r="62" spans="1:9">
      <c r="A62" s="724" t="s">
        <v>1111</v>
      </c>
      <c r="B62" s="725" t="s">
        <v>1005</v>
      </c>
      <c r="C62" s="726" t="s">
        <v>1005</v>
      </c>
      <c r="D62" s="726" t="s">
        <v>1005</v>
      </c>
      <c r="E62" s="726" t="s">
        <v>1005</v>
      </c>
      <c r="F62" s="726" t="s">
        <v>1005</v>
      </c>
      <c r="G62" s="726" t="s">
        <v>1005</v>
      </c>
      <c r="H62" s="726" t="s">
        <v>1005</v>
      </c>
      <c r="I62" s="726" t="s">
        <v>1006</v>
      </c>
    </row>
    <row r="63" spans="1:9">
      <c r="A63" s="724" t="s">
        <v>1015</v>
      </c>
      <c r="B63" s="725" t="s">
        <v>1005</v>
      </c>
      <c r="C63" s="726" t="s">
        <v>1005</v>
      </c>
      <c r="D63" s="726" t="s">
        <v>1005</v>
      </c>
      <c r="E63" s="726" t="s">
        <v>1005</v>
      </c>
      <c r="F63" s="726" t="s">
        <v>1005</v>
      </c>
      <c r="G63" s="726" t="s">
        <v>1005</v>
      </c>
      <c r="H63" s="726" t="s">
        <v>1005</v>
      </c>
      <c r="I63" s="726" t="s">
        <v>1006</v>
      </c>
    </row>
    <row r="64" spans="1:9">
      <c r="A64" s="724" t="s">
        <v>1004</v>
      </c>
      <c r="B64" s="725" t="s">
        <v>1005</v>
      </c>
      <c r="C64" s="726" t="s">
        <v>1005</v>
      </c>
      <c r="D64" s="726" t="s">
        <v>1005</v>
      </c>
      <c r="E64" s="726" t="s">
        <v>1005</v>
      </c>
      <c r="F64" s="726" t="s">
        <v>1005</v>
      </c>
      <c r="G64" s="726" t="s">
        <v>1005</v>
      </c>
      <c r="H64" s="726" t="s">
        <v>1005</v>
      </c>
      <c r="I64" s="726" t="s">
        <v>1006</v>
      </c>
    </row>
    <row r="65" spans="1:9">
      <c r="A65" s="724" t="s">
        <v>1021</v>
      </c>
      <c r="B65" s="725" t="s">
        <v>1005</v>
      </c>
      <c r="C65" s="726" t="s">
        <v>1005</v>
      </c>
      <c r="D65" s="726" t="s">
        <v>1005</v>
      </c>
      <c r="E65" s="726" t="s">
        <v>1005</v>
      </c>
      <c r="F65" s="726" t="s">
        <v>1005</v>
      </c>
      <c r="G65" s="726" t="s">
        <v>1005</v>
      </c>
      <c r="H65" s="726" t="s">
        <v>1005</v>
      </c>
      <c r="I65" s="726" t="s">
        <v>1006</v>
      </c>
    </row>
    <row r="66" spans="1:9">
      <c r="A66" s="724" t="s">
        <v>1112</v>
      </c>
      <c r="B66" s="725" t="s">
        <v>1005</v>
      </c>
      <c r="C66" s="726" t="s">
        <v>1005</v>
      </c>
      <c r="D66" s="726" t="s">
        <v>1005</v>
      </c>
      <c r="E66" s="726" t="s">
        <v>1005</v>
      </c>
      <c r="F66" s="726" t="s">
        <v>1005</v>
      </c>
      <c r="G66" s="726" t="s">
        <v>1005</v>
      </c>
      <c r="H66" s="726" t="s">
        <v>1005</v>
      </c>
      <c r="I66" s="726" t="s">
        <v>1006</v>
      </c>
    </row>
    <row r="67" spans="1:9">
      <c r="A67" s="724" t="s">
        <v>1113</v>
      </c>
      <c r="B67" s="725" t="s">
        <v>1005</v>
      </c>
      <c r="C67" s="726" t="s">
        <v>1005</v>
      </c>
      <c r="D67" s="726" t="s">
        <v>1005</v>
      </c>
      <c r="E67" s="726" t="s">
        <v>1005</v>
      </c>
      <c r="F67" s="726" t="s">
        <v>1005</v>
      </c>
      <c r="G67" s="726" t="s">
        <v>1005</v>
      </c>
      <c r="H67" s="726" t="s">
        <v>1005</v>
      </c>
      <c r="I67" s="726" t="s">
        <v>1006</v>
      </c>
    </row>
    <row r="68" spans="1:9">
      <c r="A68" s="724" t="s">
        <v>1114</v>
      </c>
      <c r="B68" s="725" t="s">
        <v>1005</v>
      </c>
      <c r="C68" s="726" t="s">
        <v>1005</v>
      </c>
      <c r="D68" s="726" t="s">
        <v>1005</v>
      </c>
      <c r="E68" s="726" t="s">
        <v>1005</v>
      </c>
      <c r="F68" s="726" t="s">
        <v>1005</v>
      </c>
      <c r="G68" s="726" t="s">
        <v>1036</v>
      </c>
      <c r="H68" s="726" t="s">
        <v>1036</v>
      </c>
      <c r="I68" s="726" t="s">
        <v>1006</v>
      </c>
    </row>
    <row r="69" spans="1:9">
      <c r="A69" s="724" t="s">
        <v>1017</v>
      </c>
      <c r="B69" s="725" t="s">
        <v>1005</v>
      </c>
      <c r="C69" s="726" t="s">
        <v>1005</v>
      </c>
      <c r="D69" s="726" t="s">
        <v>1005</v>
      </c>
      <c r="E69" s="726" t="s">
        <v>1005</v>
      </c>
      <c r="F69" s="726" t="s">
        <v>1005</v>
      </c>
      <c r="G69" s="726" t="s">
        <v>1005</v>
      </c>
      <c r="H69" s="726" t="s">
        <v>1005</v>
      </c>
      <c r="I69" s="726" t="s">
        <v>1006</v>
      </c>
    </row>
    <row r="70" spans="1:9">
      <c r="A70" s="724" t="s">
        <v>1023</v>
      </c>
      <c r="B70" s="725" t="s">
        <v>1005</v>
      </c>
      <c r="C70" s="726" t="s">
        <v>1005</v>
      </c>
      <c r="D70" s="726" t="s">
        <v>1005</v>
      </c>
      <c r="E70" s="726" t="s">
        <v>1005</v>
      </c>
      <c r="F70" s="726" t="s">
        <v>1005</v>
      </c>
      <c r="G70" s="726" t="s">
        <v>1005</v>
      </c>
      <c r="H70" s="726" t="s">
        <v>1005</v>
      </c>
      <c r="I70" s="726" t="s">
        <v>1006</v>
      </c>
    </row>
    <row r="71" spans="1:9">
      <c r="A71" s="724" t="s">
        <v>1026</v>
      </c>
      <c r="B71" s="725" t="s">
        <v>1005</v>
      </c>
      <c r="C71" s="726" t="s">
        <v>1005</v>
      </c>
      <c r="D71" s="726" t="s">
        <v>1005</v>
      </c>
      <c r="E71" s="726" t="s">
        <v>1005</v>
      </c>
      <c r="F71" s="726" t="s">
        <v>1005</v>
      </c>
      <c r="G71" s="726" t="s">
        <v>1005</v>
      </c>
      <c r="H71" s="726" t="s">
        <v>1005</v>
      </c>
      <c r="I71" s="726" t="s">
        <v>1006</v>
      </c>
    </row>
    <row r="72" spans="1:9">
      <c r="A72" s="724" t="s">
        <v>1008</v>
      </c>
      <c r="B72" s="725" t="s">
        <v>1005</v>
      </c>
      <c r="C72" s="726" t="s">
        <v>1005</v>
      </c>
      <c r="D72" s="726" t="s">
        <v>1005</v>
      </c>
      <c r="E72" s="726" t="s">
        <v>1005</v>
      </c>
      <c r="F72" s="726" t="s">
        <v>1005</v>
      </c>
      <c r="G72" s="726" t="s">
        <v>1005</v>
      </c>
      <c r="H72" s="726" t="s">
        <v>1005</v>
      </c>
      <c r="I72" s="726" t="s">
        <v>1006</v>
      </c>
    </row>
    <row r="73" spans="1:9">
      <c r="A73" s="724" t="s">
        <v>1115</v>
      </c>
      <c r="B73" s="725" t="s">
        <v>1005</v>
      </c>
      <c r="C73" s="726" t="s">
        <v>1005</v>
      </c>
      <c r="D73" s="726" t="s">
        <v>1005</v>
      </c>
      <c r="E73" s="726" t="s">
        <v>1005</v>
      </c>
      <c r="F73" s="726" t="s">
        <v>1005</v>
      </c>
      <c r="G73" s="726" t="s">
        <v>1005</v>
      </c>
      <c r="H73" s="726" t="s">
        <v>1005</v>
      </c>
      <c r="I73" s="726" t="s">
        <v>1006</v>
      </c>
    </row>
    <row r="74" spans="1:9">
      <c r="A74" s="724" t="s">
        <v>1009</v>
      </c>
      <c r="B74" s="725" t="s">
        <v>1005</v>
      </c>
      <c r="C74" s="726" t="s">
        <v>1005</v>
      </c>
      <c r="D74" s="726" t="s">
        <v>1005</v>
      </c>
      <c r="E74" s="726" t="s">
        <v>1005</v>
      </c>
      <c r="F74" s="726" t="s">
        <v>1005</v>
      </c>
      <c r="G74" s="726" t="s">
        <v>1005</v>
      </c>
      <c r="H74" s="726" t="s">
        <v>1005</v>
      </c>
      <c r="I74" s="726" t="s">
        <v>1006</v>
      </c>
    </row>
    <row r="75" spans="1:9">
      <c r="A75" s="724" t="s">
        <v>1010</v>
      </c>
      <c r="B75" s="725" t="s">
        <v>1005</v>
      </c>
      <c r="C75" s="726" t="s">
        <v>1005</v>
      </c>
      <c r="D75" s="726" t="s">
        <v>1005</v>
      </c>
      <c r="E75" s="726" t="s">
        <v>1005</v>
      </c>
      <c r="F75" s="726" t="s">
        <v>1005</v>
      </c>
      <c r="G75" s="726" t="s">
        <v>1005</v>
      </c>
      <c r="H75" s="726" t="s">
        <v>1005</v>
      </c>
      <c r="I75" s="726" t="s">
        <v>1006</v>
      </c>
    </row>
    <row r="76" spans="1:9">
      <c r="A76" s="724" t="s">
        <v>1116</v>
      </c>
      <c r="B76" s="725" t="s">
        <v>1005</v>
      </c>
      <c r="C76" s="726" t="s">
        <v>1005</v>
      </c>
      <c r="D76" s="726" t="s">
        <v>1005</v>
      </c>
      <c r="E76" s="726" t="s">
        <v>1005</v>
      </c>
      <c r="F76" s="726" t="s">
        <v>1005</v>
      </c>
      <c r="G76" s="726" t="s">
        <v>1005</v>
      </c>
      <c r="H76" s="726" t="s">
        <v>1005</v>
      </c>
      <c r="I76" s="726" t="s">
        <v>1006</v>
      </c>
    </row>
    <row r="77" spans="1:9">
      <c r="A77" s="724" t="s">
        <v>1117</v>
      </c>
      <c r="B77" s="725" t="s">
        <v>1005</v>
      </c>
      <c r="C77" s="726" t="s">
        <v>1005</v>
      </c>
      <c r="D77" s="726" t="s">
        <v>1005</v>
      </c>
      <c r="E77" s="726" t="s">
        <v>1005</v>
      </c>
      <c r="F77" s="726" t="s">
        <v>1005</v>
      </c>
      <c r="G77" s="726" t="s">
        <v>1005</v>
      </c>
      <c r="H77" s="726" t="s">
        <v>1005</v>
      </c>
      <c r="I77" s="726" t="s">
        <v>1006</v>
      </c>
    </row>
    <row r="78" spans="1:9">
      <c r="A78" s="724" t="s">
        <v>1118</v>
      </c>
      <c r="B78" s="725" t="s">
        <v>1006</v>
      </c>
      <c r="C78" s="726" t="s">
        <v>1006</v>
      </c>
      <c r="D78" s="726" t="s">
        <v>1006</v>
      </c>
      <c r="E78" s="726" t="s">
        <v>1006</v>
      </c>
      <c r="F78" s="726" t="s">
        <v>1006</v>
      </c>
      <c r="G78" s="726" t="s">
        <v>1005</v>
      </c>
      <c r="H78" s="726" t="s">
        <v>1005</v>
      </c>
      <c r="I78" s="726" t="s">
        <v>1006</v>
      </c>
    </row>
    <row r="79" spans="1:9">
      <c r="A79" s="724" t="s">
        <v>364</v>
      </c>
      <c r="B79" s="726" t="s">
        <v>364</v>
      </c>
      <c r="C79" s="726" t="s">
        <v>364</v>
      </c>
      <c r="D79" s="726" t="s">
        <v>364</v>
      </c>
      <c r="E79" s="726" t="s">
        <v>364</v>
      </c>
      <c r="F79" s="726" t="s">
        <v>364</v>
      </c>
      <c r="G79" s="726" t="s">
        <v>364</v>
      </c>
      <c r="H79" s="726" t="s">
        <v>364</v>
      </c>
      <c r="I79" s="726" t="s">
        <v>364</v>
      </c>
    </row>
    <row r="80" spans="1:9">
      <c r="A80" s="724" t="s">
        <v>1119</v>
      </c>
      <c r="B80" s="726" t="s">
        <v>364</v>
      </c>
      <c r="C80" s="726" t="s">
        <v>364</v>
      </c>
      <c r="D80" s="726" t="s">
        <v>364</v>
      </c>
      <c r="E80" s="726" t="s">
        <v>364</v>
      </c>
      <c r="F80" s="726" t="s">
        <v>364</v>
      </c>
      <c r="G80" s="726" t="s">
        <v>364</v>
      </c>
      <c r="H80" s="726" t="s">
        <v>364</v>
      </c>
      <c r="I80" s="726" t="s">
        <v>364</v>
      </c>
    </row>
    <row r="81" spans="1:9">
      <c r="A81" s="724" t="s">
        <v>1026</v>
      </c>
      <c r="B81" s="725" t="s">
        <v>1005</v>
      </c>
      <c r="C81" s="726" t="s">
        <v>1005</v>
      </c>
      <c r="D81" s="726" t="s">
        <v>1005</v>
      </c>
      <c r="E81" s="726" t="s">
        <v>1005</v>
      </c>
      <c r="F81" s="726" t="s">
        <v>1005</v>
      </c>
      <c r="G81" s="726" t="s">
        <v>1005</v>
      </c>
      <c r="H81" s="726" t="s">
        <v>1005</v>
      </c>
      <c r="I81" s="726" t="s">
        <v>1006</v>
      </c>
    </row>
    <row r="82" spans="1:9">
      <c r="A82" s="724" t="s">
        <v>1027</v>
      </c>
      <c r="B82" s="725" t="s">
        <v>1006</v>
      </c>
      <c r="C82" s="726" t="s">
        <v>1006</v>
      </c>
      <c r="D82" s="726" t="s">
        <v>1006</v>
      </c>
      <c r="E82" s="726" t="s">
        <v>1006</v>
      </c>
      <c r="F82" s="726" t="s">
        <v>1005</v>
      </c>
      <c r="G82" s="726" t="s">
        <v>1005</v>
      </c>
      <c r="H82" s="726" t="s">
        <v>1005</v>
      </c>
      <c r="I82" s="726" t="s">
        <v>1006</v>
      </c>
    </row>
    <row r="83" spans="1:9">
      <c r="A83" s="724" t="s">
        <v>1120</v>
      </c>
      <c r="B83" s="725" t="s">
        <v>1006</v>
      </c>
      <c r="C83" s="726" t="s">
        <v>1006</v>
      </c>
      <c r="D83" s="726" t="s">
        <v>1006</v>
      </c>
      <c r="E83" s="726" t="s">
        <v>1006</v>
      </c>
      <c r="F83" s="726" t="s">
        <v>1005</v>
      </c>
      <c r="G83" s="726" t="s">
        <v>1005</v>
      </c>
      <c r="H83" s="726" t="s">
        <v>1005</v>
      </c>
      <c r="I83" s="726" t="s">
        <v>1006</v>
      </c>
    </row>
    <row r="84" spans="1:9">
      <c r="A84" s="724" t="s">
        <v>1121</v>
      </c>
      <c r="B84" s="725" t="s">
        <v>1006</v>
      </c>
      <c r="C84" s="726" t="s">
        <v>1006</v>
      </c>
      <c r="D84" s="726" t="s">
        <v>1006</v>
      </c>
      <c r="E84" s="726" t="s">
        <v>1006</v>
      </c>
      <c r="F84" s="726" t="s">
        <v>1005</v>
      </c>
      <c r="G84" s="726" t="s">
        <v>1005</v>
      </c>
      <c r="H84" s="726" t="s">
        <v>1005</v>
      </c>
      <c r="I84" s="726" t="s">
        <v>1006</v>
      </c>
    </row>
    <row r="85" spans="1:9">
      <c r="A85" s="724" t="s">
        <v>1122</v>
      </c>
      <c r="B85" s="725" t="s">
        <v>1006</v>
      </c>
      <c r="C85" s="726" t="s">
        <v>1006</v>
      </c>
      <c r="D85" s="726" t="s">
        <v>1006</v>
      </c>
      <c r="E85" s="726" t="s">
        <v>1006</v>
      </c>
      <c r="F85" s="726" t="s">
        <v>1005</v>
      </c>
      <c r="G85" s="726" t="s">
        <v>1005</v>
      </c>
      <c r="H85" s="726" t="s">
        <v>1005</v>
      </c>
      <c r="I85" s="726" t="s">
        <v>1006</v>
      </c>
    </row>
    <row r="86" spans="1:9">
      <c r="A86" s="724" t="s">
        <v>1028</v>
      </c>
      <c r="B86" s="725" t="s">
        <v>1006</v>
      </c>
      <c r="C86" s="726" t="s">
        <v>1006</v>
      </c>
      <c r="D86" s="726" t="s">
        <v>1006</v>
      </c>
      <c r="E86" s="726" t="s">
        <v>1006</v>
      </c>
      <c r="F86" s="726" t="s">
        <v>1005</v>
      </c>
      <c r="G86" s="726" t="s">
        <v>1005</v>
      </c>
      <c r="H86" s="726" t="s">
        <v>1005</v>
      </c>
      <c r="I86" s="726" t="s">
        <v>1006</v>
      </c>
    </row>
    <row r="87" spans="1:9">
      <c r="A87" s="724" t="s">
        <v>364</v>
      </c>
      <c r="B87" s="726" t="s">
        <v>364</v>
      </c>
      <c r="C87" s="726" t="s">
        <v>364</v>
      </c>
      <c r="D87" s="726" t="s">
        <v>364</v>
      </c>
      <c r="E87" s="726" t="s">
        <v>364</v>
      </c>
      <c r="F87" s="726" t="s">
        <v>364</v>
      </c>
      <c r="G87" s="726" t="s">
        <v>364</v>
      </c>
      <c r="H87" s="726" t="s">
        <v>364</v>
      </c>
      <c r="I87" s="726" t="s">
        <v>364</v>
      </c>
    </row>
    <row r="88" spans="1:9">
      <c r="A88" s="734" t="s">
        <v>788</v>
      </c>
      <c r="B88" s="734" t="s">
        <v>789</v>
      </c>
      <c r="C88" s="735"/>
      <c r="D88" s="735"/>
      <c r="E88" s="735"/>
      <c r="F88" s="735"/>
      <c r="G88" s="734" t="s">
        <v>364</v>
      </c>
      <c r="H88" s="734" t="s">
        <v>364</v>
      </c>
      <c r="I88" s="734" t="s">
        <v>364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0C64-C987-4437-AEC7-BC6781A4C931}">
  <dimension ref="A1:J81"/>
  <sheetViews>
    <sheetView topLeftCell="A25" workbookViewId="0">
      <selection activeCell="N5" sqref="N5:O11"/>
    </sheetView>
  </sheetViews>
  <sheetFormatPr defaultColWidth="8.875" defaultRowHeight="14.1"/>
  <cols>
    <col min="1" max="1" width="42.875" customWidth="1"/>
  </cols>
  <sheetData>
    <row r="1" spans="1:10" ht="14.45">
      <c r="A1" s="709" t="s">
        <v>364</v>
      </c>
      <c r="B1" s="709" t="s">
        <v>364</v>
      </c>
      <c r="C1" s="709" t="s">
        <v>364</v>
      </c>
      <c r="D1" s="709" t="s">
        <v>364</v>
      </c>
      <c r="E1" s="709" t="s">
        <v>364</v>
      </c>
      <c r="F1" s="709" t="s">
        <v>364</v>
      </c>
      <c r="G1" s="709" t="s">
        <v>364</v>
      </c>
      <c r="H1" s="709" t="s">
        <v>364</v>
      </c>
      <c r="I1" s="709" t="s">
        <v>364</v>
      </c>
    </row>
    <row r="2" spans="1:10" ht="20.100000000000001">
      <c r="A2" s="710" t="s">
        <v>1123</v>
      </c>
      <c r="B2" s="711"/>
      <c r="C2" s="711"/>
      <c r="D2" s="710" t="s">
        <v>364</v>
      </c>
      <c r="E2" s="710" t="s">
        <v>364</v>
      </c>
      <c r="F2" s="710" t="s">
        <v>364</v>
      </c>
      <c r="G2" s="710" t="s">
        <v>364</v>
      </c>
      <c r="H2" s="710" t="s">
        <v>364</v>
      </c>
      <c r="I2" s="710" t="s">
        <v>364</v>
      </c>
      <c r="J2" s="710" t="s">
        <v>364</v>
      </c>
    </row>
    <row r="3" spans="1:10">
      <c r="A3" s="712" t="s">
        <v>364</v>
      </c>
      <c r="B3" s="712" t="s">
        <v>364</v>
      </c>
      <c r="C3" s="712" t="s">
        <v>364</v>
      </c>
      <c r="D3" s="712" t="s">
        <v>364</v>
      </c>
      <c r="E3" s="712" t="s">
        <v>364</v>
      </c>
      <c r="F3" s="712" t="s">
        <v>364</v>
      </c>
      <c r="G3" s="712" t="s">
        <v>364</v>
      </c>
      <c r="H3" s="712" t="s">
        <v>364</v>
      </c>
      <c r="I3" s="712" t="s">
        <v>364</v>
      </c>
    </row>
    <row r="4" spans="1:10">
      <c r="A4" s="713" t="s">
        <v>735</v>
      </c>
      <c r="B4" s="714" t="s">
        <v>485</v>
      </c>
      <c r="C4" s="714" t="s">
        <v>486</v>
      </c>
      <c r="D4" s="714" t="s">
        <v>487</v>
      </c>
      <c r="E4" s="714" t="s">
        <v>489</v>
      </c>
      <c r="F4" s="714" t="s">
        <v>490</v>
      </c>
      <c r="G4" s="714" t="s">
        <v>491</v>
      </c>
      <c r="H4" s="714" t="s">
        <v>492</v>
      </c>
      <c r="I4" s="714" t="s">
        <v>493</v>
      </c>
    </row>
    <row r="5" spans="1:10">
      <c r="A5" s="715" t="s">
        <v>737</v>
      </c>
      <c r="B5" s="717">
        <v>42735</v>
      </c>
      <c r="C5" s="717">
        <v>43100</v>
      </c>
      <c r="D5" s="717">
        <v>43465</v>
      </c>
      <c r="E5" s="717">
        <v>43921</v>
      </c>
      <c r="F5" s="717">
        <v>44286</v>
      </c>
      <c r="G5" s="717">
        <v>44651</v>
      </c>
      <c r="H5" s="717">
        <v>45016</v>
      </c>
      <c r="I5" s="717">
        <v>45382</v>
      </c>
    </row>
    <row r="6" spans="1:10">
      <c r="A6" s="724" t="s">
        <v>991</v>
      </c>
      <c r="B6" s="726" t="s">
        <v>364</v>
      </c>
      <c r="C6" s="726" t="s">
        <v>364</v>
      </c>
      <c r="D6" s="726" t="s">
        <v>364</v>
      </c>
      <c r="E6" s="726" t="s">
        <v>364</v>
      </c>
      <c r="F6" s="726" t="s">
        <v>364</v>
      </c>
      <c r="G6" s="726" t="s">
        <v>364</v>
      </c>
      <c r="H6" s="726" t="s">
        <v>364</v>
      </c>
      <c r="I6" s="726" t="s">
        <v>364</v>
      </c>
    </row>
    <row r="7" spans="1:10">
      <c r="A7" s="724" t="s">
        <v>994</v>
      </c>
      <c r="B7" s="725">
        <v>1.2</v>
      </c>
      <c r="C7" s="726">
        <v>1.2</v>
      </c>
      <c r="D7" s="726">
        <v>1.2</v>
      </c>
      <c r="E7" s="726">
        <v>0.6</v>
      </c>
      <c r="F7" s="726">
        <v>0.6</v>
      </c>
      <c r="G7" s="726">
        <v>1.1499999999999999</v>
      </c>
      <c r="H7" s="726">
        <v>1.1499999999999999</v>
      </c>
      <c r="I7" s="726" t="s">
        <v>476</v>
      </c>
    </row>
    <row r="8" spans="1:10">
      <c r="A8" s="724" t="s">
        <v>364</v>
      </c>
      <c r="B8" s="726" t="s">
        <v>364</v>
      </c>
      <c r="C8" s="726" t="s">
        <v>364</v>
      </c>
      <c r="D8" s="726" t="s">
        <v>364</v>
      </c>
      <c r="E8" s="726" t="s">
        <v>364</v>
      </c>
      <c r="F8" s="726" t="s">
        <v>364</v>
      </c>
      <c r="G8" s="726" t="s">
        <v>364</v>
      </c>
      <c r="H8" s="726" t="s">
        <v>364</v>
      </c>
      <c r="I8" s="726" t="s">
        <v>364</v>
      </c>
    </row>
    <row r="9" spans="1:10">
      <c r="A9" s="724" t="s">
        <v>996</v>
      </c>
      <c r="B9" s="726" t="s">
        <v>364</v>
      </c>
      <c r="C9" s="726" t="s">
        <v>364</v>
      </c>
      <c r="D9" s="726" t="s">
        <v>364</v>
      </c>
      <c r="E9" s="726" t="s">
        <v>364</v>
      </c>
      <c r="F9" s="726" t="s">
        <v>364</v>
      </c>
      <c r="G9" s="726" t="s">
        <v>364</v>
      </c>
      <c r="H9" s="726" t="s">
        <v>364</v>
      </c>
      <c r="I9" s="726" t="s">
        <v>364</v>
      </c>
    </row>
    <row r="10" spans="1:10">
      <c r="A10" s="724" t="s">
        <v>999</v>
      </c>
      <c r="B10" s="725">
        <v>6.95</v>
      </c>
      <c r="C10" s="726">
        <v>10.76</v>
      </c>
      <c r="D10" s="726">
        <v>10.76</v>
      </c>
      <c r="E10" s="726">
        <v>10.19</v>
      </c>
      <c r="F10" s="726">
        <v>10.76</v>
      </c>
      <c r="G10" s="726">
        <v>11.79</v>
      </c>
      <c r="H10" s="726">
        <v>11.79</v>
      </c>
      <c r="I10" s="726" t="s">
        <v>476</v>
      </c>
    </row>
    <row r="11" spans="1:10">
      <c r="A11" s="724" t="s">
        <v>364</v>
      </c>
      <c r="B11" s="726" t="s">
        <v>364</v>
      </c>
      <c r="C11" s="726" t="s">
        <v>364</v>
      </c>
      <c r="D11" s="726" t="s">
        <v>364</v>
      </c>
      <c r="E11" s="726" t="s">
        <v>364</v>
      </c>
      <c r="F11" s="726" t="s">
        <v>364</v>
      </c>
      <c r="G11" s="726" t="s">
        <v>364</v>
      </c>
      <c r="H11" s="726" t="s">
        <v>364</v>
      </c>
      <c r="I11" s="726" t="s">
        <v>364</v>
      </c>
    </row>
    <row r="12" spans="1:10">
      <c r="A12" s="724" t="s">
        <v>1124</v>
      </c>
      <c r="B12" s="726" t="s">
        <v>364</v>
      </c>
      <c r="C12" s="726" t="s">
        <v>364</v>
      </c>
      <c r="D12" s="726" t="s">
        <v>364</v>
      </c>
      <c r="E12" s="726" t="s">
        <v>364</v>
      </c>
      <c r="F12" s="726" t="s">
        <v>364</v>
      </c>
      <c r="G12" s="726" t="s">
        <v>364</v>
      </c>
      <c r="H12" s="726" t="s">
        <v>364</v>
      </c>
      <c r="I12" s="726" t="s">
        <v>364</v>
      </c>
    </row>
    <row r="13" spans="1:10">
      <c r="A13" s="718" t="s">
        <v>911</v>
      </c>
      <c r="B13" s="719">
        <v>351</v>
      </c>
      <c r="C13" s="720">
        <v>413</v>
      </c>
      <c r="D13" s="720">
        <v>414</v>
      </c>
      <c r="E13" s="720">
        <v>217</v>
      </c>
      <c r="F13" s="720">
        <v>288</v>
      </c>
      <c r="G13" s="720">
        <v>303</v>
      </c>
      <c r="H13" s="720">
        <v>339</v>
      </c>
      <c r="I13" s="720">
        <v>475</v>
      </c>
    </row>
    <row r="14" spans="1:10">
      <c r="A14" s="724" t="s">
        <v>1125</v>
      </c>
      <c r="B14" s="725">
        <v>102</v>
      </c>
      <c r="C14" s="726">
        <v>151</v>
      </c>
      <c r="D14" s="726">
        <v>137</v>
      </c>
      <c r="E14" s="726">
        <v>8</v>
      </c>
      <c r="F14" s="726">
        <v>21</v>
      </c>
      <c r="G14" s="726" t="s">
        <v>476</v>
      </c>
      <c r="H14" s="726" t="s">
        <v>476</v>
      </c>
      <c r="I14" s="726" t="s">
        <v>476</v>
      </c>
    </row>
    <row r="15" spans="1:10">
      <c r="A15" s="724" t="s">
        <v>1052</v>
      </c>
      <c r="B15" s="725">
        <v>0</v>
      </c>
      <c r="C15" s="726">
        <v>0</v>
      </c>
      <c r="D15" s="726">
        <v>0</v>
      </c>
      <c r="E15" s="726">
        <v>0</v>
      </c>
      <c r="F15" s="726" t="s">
        <v>476</v>
      </c>
      <c r="G15" s="726" t="s">
        <v>476</v>
      </c>
      <c r="H15" s="726" t="s">
        <v>476</v>
      </c>
      <c r="I15" s="726" t="s">
        <v>476</v>
      </c>
    </row>
    <row r="16" spans="1:10">
      <c r="A16" s="724" t="s">
        <v>364</v>
      </c>
      <c r="B16" s="726" t="s">
        <v>364</v>
      </c>
      <c r="C16" s="726" t="s">
        <v>364</v>
      </c>
      <c r="D16" s="726" t="s">
        <v>364</v>
      </c>
      <c r="E16" s="726" t="s">
        <v>364</v>
      </c>
      <c r="F16" s="726" t="s">
        <v>364</v>
      </c>
      <c r="G16" s="726" t="s">
        <v>364</v>
      </c>
      <c r="H16" s="726" t="s">
        <v>364</v>
      </c>
      <c r="I16" s="726" t="s">
        <v>364</v>
      </c>
    </row>
    <row r="17" spans="1:9">
      <c r="A17" s="724" t="s">
        <v>1126</v>
      </c>
      <c r="B17" s="726" t="s">
        <v>364</v>
      </c>
      <c r="C17" s="726" t="s">
        <v>364</v>
      </c>
      <c r="D17" s="726" t="s">
        <v>364</v>
      </c>
      <c r="E17" s="726" t="s">
        <v>364</v>
      </c>
      <c r="F17" s="726" t="s">
        <v>364</v>
      </c>
      <c r="G17" s="726" t="s">
        <v>364</v>
      </c>
      <c r="H17" s="726" t="s">
        <v>364</v>
      </c>
      <c r="I17" s="726" t="s">
        <v>364</v>
      </c>
    </row>
    <row r="18" spans="1:9">
      <c r="A18" s="724" t="s">
        <v>1041</v>
      </c>
      <c r="B18" s="725" t="s">
        <v>476</v>
      </c>
      <c r="C18" s="726" t="s">
        <v>476</v>
      </c>
      <c r="D18" s="726" t="s">
        <v>476</v>
      </c>
      <c r="E18" s="726" t="s">
        <v>476</v>
      </c>
      <c r="F18" s="726">
        <v>73</v>
      </c>
      <c r="G18" s="726">
        <v>75</v>
      </c>
      <c r="H18" s="726">
        <v>74</v>
      </c>
      <c r="I18" s="726">
        <v>75</v>
      </c>
    </row>
    <row r="19" spans="1:9">
      <c r="A19" s="724" t="s">
        <v>1042</v>
      </c>
      <c r="B19" s="725" t="s">
        <v>476</v>
      </c>
      <c r="C19" s="726" t="s">
        <v>476</v>
      </c>
      <c r="D19" s="726" t="s">
        <v>476</v>
      </c>
      <c r="E19" s="726" t="s">
        <v>476</v>
      </c>
      <c r="F19" s="726">
        <v>42</v>
      </c>
      <c r="G19" s="726">
        <v>42</v>
      </c>
      <c r="H19" s="726">
        <v>41</v>
      </c>
      <c r="I19" s="726" t="s">
        <v>476</v>
      </c>
    </row>
    <row r="20" spans="1:9">
      <c r="A20" s="724" t="s">
        <v>1039</v>
      </c>
      <c r="B20" s="725" t="s">
        <v>1005</v>
      </c>
      <c r="C20" s="726" t="s">
        <v>1005</v>
      </c>
      <c r="D20" s="726" t="s">
        <v>1005</v>
      </c>
      <c r="E20" s="726" t="s">
        <v>1005</v>
      </c>
      <c r="F20" s="726" t="s">
        <v>1005</v>
      </c>
      <c r="G20" s="726" t="s">
        <v>1036</v>
      </c>
      <c r="H20" s="726" t="s">
        <v>1036</v>
      </c>
      <c r="I20" s="726" t="s">
        <v>1036</v>
      </c>
    </row>
    <row r="21" spans="1:9">
      <c r="A21" s="724" t="s">
        <v>1127</v>
      </c>
      <c r="B21" s="725" t="s">
        <v>1006</v>
      </c>
      <c r="C21" s="726" t="s">
        <v>1006</v>
      </c>
      <c r="D21" s="726" t="s">
        <v>1006</v>
      </c>
      <c r="E21" s="726" t="s">
        <v>1006</v>
      </c>
      <c r="F21" s="726" t="s">
        <v>1006</v>
      </c>
      <c r="G21" s="726" t="s">
        <v>1005</v>
      </c>
      <c r="H21" s="726" t="s">
        <v>1005</v>
      </c>
      <c r="I21" s="726" t="s">
        <v>1006</v>
      </c>
    </row>
    <row r="22" spans="1:9">
      <c r="A22" s="724" t="s">
        <v>364</v>
      </c>
      <c r="B22" s="726" t="s">
        <v>364</v>
      </c>
      <c r="C22" s="726" t="s">
        <v>364</v>
      </c>
      <c r="D22" s="726" t="s">
        <v>364</v>
      </c>
      <c r="E22" s="726" t="s">
        <v>364</v>
      </c>
      <c r="F22" s="726" t="s">
        <v>364</v>
      </c>
      <c r="G22" s="726" t="s">
        <v>364</v>
      </c>
      <c r="H22" s="726" t="s">
        <v>364</v>
      </c>
      <c r="I22" s="726" t="s">
        <v>364</v>
      </c>
    </row>
    <row r="23" spans="1:9">
      <c r="A23" s="724" t="s">
        <v>1128</v>
      </c>
      <c r="B23" s="726" t="s">
        <v>364</v>
      </c>
      <c r="C23" s="726" t="s">
        <v>364</v>
      </c>
      <c r="D23" s="726" t="s">
        <v>364</v>
      </c>
      <c r="E23" s="726" t="s">
        <v>364</v>
      </c>
      <c r="F23" s="726" t="s">
        <v>364</v>
      </c>
      <c r="G23" s="726" t="s">
        <v>364</v>
      </c>
      <c r="H23" s="726" t="s">
        <v>364</v>
      </c>
      <c r="I23" s="726" t="s">
        <v>364</v>
      </c>
    </row>
    <row r="24" spans="1:9">
      <c r="A24" s="724" t="s">
        <v>1129</v>
      </c>
      <c r="B24" s="725" t="s">
        <v>1006</v>
      </c>
      <c r="C24" s="726" t="s">
        <v>1006</v>
      </c>
      <c r="D24" s="726" t="s">
        <v>1006</v>
      </c>
      <c r="E24" s="726" t="s">
        <v>1006</v>
      </c>
      <c r="F24" s="726" t="s">
        <v>1006</v>
      </c>
      <c r="G24" s="726" t="s">
        <v>1006</v>
      </c>
      <c r="H24" s="726" t="s">
        <v>1006</v>
      </c>
      <c r="I24" s="726" t="s">
        <v>1036</v>
      </c>
    </row>
    <row r="25" spans="1:9">
      <c r="A25" s="724" t="s">
        <v>1130</v>
      </c>
      <c r="B25" s="725" t="s">
        <v>1006</v>
      </c>
      <c r="C25" s="726" t="s">
        <v>1006</v>
      </c>
      <c r="D25" s="726" t="s">
        <v>1006</v>
      </c>
      <c r="E25" s="726" t="s">
        <v>1006</v>
      </c>
      <c r="F25" s="726" t="s">
        <v>1006</v>
      </c>
      <c r="G25" s="726" t="s">
        <v>1006</v>
      </c>
      <c r="H25" s="726" t="s">
        <v>1005</v>
      </c>
      <c r="I25" s="726" t="s">
        <v>1006</v>
      </c>
    </row>
    <row r="26" spans="1:9">
      <c r="A26" s="724" t="s">
        <v>364</v>
      </c>
      <c r="B26" s="726" t="s">
        <v>364</v>
      </c>
      <c r="C26" s="726" t="s">
        <v>364</v>
      </c>
      <c r="D26" s="726" t="s">
        <v>364</v>
      </c>
      <c r="E26" s="726" t="s">
        <v>364</v>
      </c>
      <c r="F26" s="726" t="s">
        <v>364</v>
      </c>
      <c r="G26" s="726" t="s">
        <v>364</v>
      </c>
      <c r="H26" s="726" t="s">
        <v>364</v>
      </c>
      <c r="I26" s="726" t="s">
        <v>364</v>
      </c>
    </row>
    <row r="27" spans="1:9">
      <c r="A27" s="724" t="s">
        <v>1131</v>
      </c>
      <c r="B27" s="726" t="s">
        <v>364</v>
      </c>
      <c r="C27" s="726" t="s">
        <v>364</v>
      </c>
      <c r="D27" s="726" t="s">
        <v>364</v>
      </c>
      <c r="E27" s="726" t="s">
        <v>364</v>
      </c>
      <c r="F27" s="726" t="s">
        <v>364</v>
      </c>
      <c r="G27" s="726" t="s">
        <v>364</v>
      </c>
      <c r="H27" s="726" t="s">
        <v>364</v>
      </c>
      <c r="I27" s="726" t="s">
        <v>364</v>
      </c>
    </row>
    <row r="28" spans="1:9">
      <c r="A28" s="724" t="s">
        <v>1040</v>
      </c>
      <c r="B28" s="725" t="s">
        <v>1005</v>
      </c>
      <c r="C28" s="726" t="s">
        <v>1005</v>
      </c>
      <c r="D28" s="726" t="s">
        <v>1005</v>
      </c>
      <c r="E28" s="726" t="s">
        <v>1005</v>
      </c>
      <c r="F28" s="726" t="s">
        <v>1005</v>
      </c>
      <c r="G28" s="726" t="s">
        <v>1005</v>
      </c>
      <c r="H28" s="726" t="s">
        <v>1005</v>
      </c>
      <c r="I28" s="726" t="s">
        <v>1006</v>
      </c>
    </row>
    <row r="29" spans="1:9">
      <c r="A29" s="724" t="s">
        <v>1132</v>
      </c>
      <c r="B29" s="725" t="s">
        <v>1006</v>
      </c>
      <c r="C29" s="726" t="s">
        <v>1006</v>
      </c>
      <c r="D29" s="726" t="s">
        <v>1006</v>
      </c>
      <c r="E29" s="726" t="s">
        <v>1006</v>
      </c>
      <c r="F29" s="726" t="s">
        <v>1006</v>
      </c>
      <c r="G29" s="726" t="s">
        <v>1006</v>
      </c>
      <c r="H29" s="726" t="s">
        <v>1005</v>
      </c>
      <c r="I29" s="726" t="s">
        <v>1006</v>
      </c>
    </row>
    <row r="30" spans="1:9">
      <c r="A30" s="724" t="s">
        <v>364</v>
      </c>
      <c r="B30" s="726" t="s">
        <v>364</v>
      </c>
      <c r="C30" s="726" t="s">
        <v>364</v>
      </c>
      <c r="D30" s="726" t="s">
        <v>364</v>
      </c>
      <c r="E30" s="726" t="s">
        <v>364</v>
      </c>
      <c r="F30" s="726" t="s">
        <v>364</v>
      </c>
      <c r="G30" s="726" t="s">
        <v>364</v>
      </c>
      <c r="H30" s="726" t="s">
        <v>364</v>
      </c>
      <c r="I30" s="726" t="s">
        <v>364</v>
      </c>
    </row>
    <row r="31" spans="1:9">
      <c r="A31" s="724" t="s">
        <v>1133</v>
      </c>
      <c r="B31" s="726" t="s">
        <v>364</v>
      </c>
      <c r="C31" s="726" t="s">
        <v>364</v>
      </c>
      <c r="D31" s="726" t="s">
        <v>364</v>
      </c>
      <c r="E31" s="726" t="s">
        <v>364</v>
      </c>
      <c r="F31" s="726" t="s">
        <v>364</v>
      </c>
      <c r="G31" s="726" t="s">
        <v>364</v>
      </c>
      <c r="H31" s="726" t="s">
        <v>364</v>
      </c>
      <c r="I31" s="726" t="s">
        <v>364</v>
      </c>
    </row>
    <row r="32" spans="1:9">
      <c r="A32" s="724" t="s">
        <v>1049</v>
      </c>
      <c r="B32" s="725" t="s">
        <v>1005</v>
      </c>
      <c r="C32" s="726" t="s">
        <v>1005</v>
      </c>
      <c r="D32" s="726" t="s">
        <v>1005</v>
      </c>
      <c r="E32" s="726" t="s">
        <v>1005</v>
      </c>
      <c r="F32" s="726" t="s">
        <v>1005</v>
      </c>
      <c r="G32" s="726" t="s">
        <v>1036</v>
      </c>
      <c r="H32" s="726" t="s">
        <v>1036</v>
      </c>
      <c r="I32" s="726" t="s">
        <v>1036</v>
      </c>
    </row>
    <row r="33" spans="1:9">
      <c r="A33" s="724" t="s">
        <v>1089</v>
      </c>
      <c r="B33" s="725" t="s">
        <v>1005</v>
      </c>
      <c r="C33" s="726" t="s">
        <v>1005</v>
      </c>
      <c r="D33" s="726" t="s">
        <v>1005</v>
      </c>
      <c r="E33" s="726" t="s">
        <v>1005</v>
      </c>
      <c r="F33" s="726" t="s">
        <v>1005</v>
      </c>
      <c r="G33" s="726" t="s">
        <v>1005</v>
      </c>
      <c r="H33" s="726" t="s">
        <v>1005</v>
      </c>
      <c r="I33" s="726" t="s">
        <v>1006</v>
      </c>
    </row>
    <row r="34" spans="1:9">
      <c r="A34" s="724" t="s">
        <v>364</v>
      </c>
      <c r="B34" s="726" t="s">
        <v>364</v>
      </c>
      <c r="C34" s="726" t="s">
        <v>364</v>
      </c>
      <c r="D34" s="726" t="s">
        <v>364</v>
      </c>
      <c r="E34" s="726" t="s">
        <v>364</v>
      </c>
      <c r="F34" s="726" t="s">
        <v>364</v>
      </c>
      <c r="G34" s="726" t="s">
        <v>364</v>
      </c>
      <c r="H34" s="726" t="s">
        <v>364</v>
      </c>
      <c r="I34" s="726" t="s">
        <v>364</v>
      </c>
    </row>
    <row r="35" spans="1:9">
      <c r="A35" s="724" t="s">
        <v>1134</v>
      </c>
      <c r="B35" s="726" t="s">
        <v>364</v>
      </c>
      <c r="C35" s="726" t="s">
        <v>364</v>
      </c>
      <c r="D35" s="726" t="s">
        <v>364</v>
      </c>
      <c r="E35" s="726" t="s">
        <v>364</v>
      </c>
      <c r="F35" s="726" t="s">
        <v>364</v>
      </c>
      <c r="G35" s="726" t="s">
        <v>364</v>
      </c>
      <c r="H35" s="726" t="s">
        <v>364</v>
      </c>
      <c r="I35" s="726" t="s">
        <v>364</v>
      </c>
    </row>
    <row r="36" spans="1:9">
      <c r="A36" s="724" t="s">
        <v>1047</v>
      </c>
      <c r="B36" s="725" t="s">
        <v>1005</v>
      </c>
      <c r="C36" s="726" t="s">
        <v>1005</v>
      </c>
      <c r="D36" s="726" t="s">
        <v>1005</v>
      </c>
      <c r="E36" s="726" t="s">
        <v>1036</v>
      </c>
      <c r="F36" s="726" t="s">
        <v>1036</v>
      </c>
      <c r="G36" s="726" t="s">
        <v>1036</v>
      </c>
      <c r="H36" s="726" t="s">
        <v>1036</v>
      </c>
      <c r="I36" s="726" t="s">
        <v>1036</v>
      </c>
    </row>
    <row r="37" spans="1:9">
      <c r="A37" s="724" t="s">
        <v>364</v>
      </c>
      <c r="B37" s="726" t="s">
        <v>364</v>
      </c>
      <c r="C37" s="726" t="s">
        <v>364</v>
      </c>
      <c r="D37" s="726" t="s">
        <v>364</v>
      </c>
      <c r="E37" s="726" t="s">
        <v>364</v>
      </c>
      <c r="F37" s="726" t="s">
        <v>364</v>
      </c>
      <c r="G37" s="726" t="s">
        <v>364</v>
      </c>
      <c r="H37" s="726" t="s">
        <v>364</v>
      </c>
      <c r="I37" s="726" t="s">
        <v>364</v>
      </c>
    </row>
    <row r="38" spans="1:9">
      <c r="A38" s="724" t="s">
        <v>1020</v>
      </c>
      <c r="B38" s="726" t="s">
        <v>364</v>
      </c>
      <c r="C38" s="726" t="s">
        <v>364</v>
      </c>
      <c r="D38" s="726" t="s">
        <v>364</v>
      </c>
      <c r="E38" s="726" t="s">
        <v>364</v>
      </c>
      <c r="F38" s="726" t="s">
        <v>364</v>
      </c>
      <c r="G38" s="726" t="s">
        <v>364</v>
      </c>
      <c r="H38" s="726" t="s">
        <v>364</v>
      </c>
      <c r="I38" s="726" t="s">
        <v>364</v>
      </c>
    </row>
    <row r="39" spans="1:9">
      <c r="A39" s="724" t="s">
        <v>1054</v>
      </c>
      <c r="B39" s="725" t="s">
        <v>1036</v>
      </c>
      <c r="C39" s="726" t="s">
        <v>1036</v>
      </c>
      <c r="D39" s="726" t="s">
        <v>1036</v>
      </c>
      <c r="E39" s="726" t="s">
        <v>1036</v>
      </c>
      <c r="F39" s="726" t="s">
        <v>1036</v>
      </c>
      <c r="G39" s="726" t="s">
        <v>1036</v>
      </c>
      <c r="H39" s="726" t="s">
        <v>1036</v>
      </c>
      <c r="I39" s="726" t="s">
        <v>1036</v>
      </c>
    </row>
    <row r="40" spans="1:9">
      <c r="A40" s="724" t="s">
        <v>1135</v>
      </c>
      <c r="B40" s="725" t="s">
        <v>1005</v>
      </c>
      <c r="C40" s="726" t="s">
        <v>1005</v>
      </c>
      <c r="D40" s="726" t="s">
        <v>1005</v>
      </c>
      <c r="E40" s="726" t="s">
        <v>1005</v>
      </c>
      <c r="F40" s="726" t="s">
        <v>1005</v>
      </c>
      <c r="G40" s="726" t="s">
        <v>1005</v>
      </c>
      <c r="H40" s="726" t="s">
        <v>1005</v>
      </c>
      <c r="I40" s="726" t="s">
        <v>1006</v>
      </c>
    </row>
    <row r="41" spans="1:9">
      <c r="A41" s="724" t="s">
        <v>364</v>
      </c>
      <c r="B41" s="726" t="s">
        <v>364</v>
      </c>
      <c r="C41" s="726" t="s">
        <v>364</v>
      </c>
      <c r="D41" s="726" t="s">
        <v>364</v>
      </c>
      <c r="E41" s="726" t="s">
        <v>364</v>
      </c>
      <c r="F41" s="726" t="s">
        <v>364</v>
      </c>
      <c r="G41" s="726" t="s">
        <v>364</v>
      </c>
      <c r="H41" s="726" t="s">
        <v>364</v>
      </c>
      <c r="I41" s="726" t="s">
        <v>364</v>
      </c>
    </row>
    <row r="42" spans="1:9">
      <c r="A42" s="724" t="s">
        <v>1136</v>
      </c>
      <c r="B42" s="726" t="s">
        <v>364</v>
      </c>
      <c r="C42" s="726" t="s">
        <v>364</v>
      </c>
      <c r="D42" s="726" t="s">
        <v>364</v>
      </c>
      <c r="E42" s="726" t="s">
        <v>364</v>
      </c>
      <c r="F42" s="726" t="s">
        <v>364</v>
      </c>
      <c r="G42" s="726" t="s">
        <v>364</v>
      </c>
      <c r="H42" s="726" t="s">
        <v>364</v>
      </c>
      <c r="I42" s="726" t="s">
        <v>364</v>
      </c>
    </row>
    <row r="43" spans="1:9">
      <c r="A43" s="724" t="s">
        <v>1033</v>
      </c>
      <c r="B43" s="725" t="s">
        <v>1005</v>
      </c>
      <c r="C43" s="726" t="s">
        <v>1005</v>
      </c>
      <c r="D43" s="726" t="s">
        <v>1005</v>
      </c>
      <c r="E43" s="726" t="s">
        <v>1005</v>
      </c>
      <c r="F43" s="726" t="s">
        <v>1005</v>
      </c>
      <c r="G43" s="726" t="s">
        <v>1005</v>
      </c>
      <c r="H43" s="726" t="s">
        <v>1005</v>
      </c>
      <c r="I43" s="726" t="s">
        <v>1006</v>
      </c>
    </row>
    <row r="44" spans="1:9">
      <c r="A44" s="724" t="s">
        <v>1137</v>
      </c>
      <c r="B44" s="725" t="s">
        <v>1006</v>
      </c>
      <c r="C44" s="726" t="s">
        <v>1006</v>
      </c>
      <c r="D44" s="726" t="s">
        <v>1006</v>
      </c>
      <c r="E44" s="726" t="s">
        <v>1005</v>
      </c>
      <c r="F44" s="726" t="s">
        <v>1005</v>
      </c>
      <c r="G44" s="726" t="s">
        <v>1005</v>
      </c>
      <c r="H44" s="726" t="s">
        <v>1005</v>
      </c>
      <c r="I44" s="726" t="s">
        <v>1006</v>
      </c>
    </row>
    <row r="45" spans="1:9">
      <c r="A45" s="724" t="s">
        <v>1138</v>
      </c>
      <c r="B45" s="725" t="s">
        <v>1006</v>
      </c>
      <c r="C45" s="726" t="s">
        <v>1006</v>
      </c>
      <c r="D45" s="726" t="s">
        <v>1006</v>
      </c>
      <c r="E45" s="726" t="s">
        <v>1005</v>
      </c>
      <c r="F45" s="726" t="s">
        <v>1005</v>
      </c>
      <c r="G45" s="726" t="s">
        <v>1005</v>
      </c>
      <c r="H45" s="726" t="s">
        <v>1005</v>
      </c>
      <c r="I45" s="726" t="s">
        <v>1006</v>
      </c>
    </row>
    <row r="46" spans="1:9">
      <c r="A46" s="724" t="s">
        <v>1139</v>
      </c>
      <c r="B46" s="725" t="s">
        <v>1005</v>
      </c>
      <c r="C46" s="726" t="s">
        <v>1005</v>
      </c>
      <c r="D46" s="726" t="s">
        <v>1005</v>
      </c>
      <c r="E46" s="726" t="s">
        <v>1005</v>
      </c>
      <c r="F46" s="726" t="s">
        <v>1005</v>
      </c>
      <c r="G46" s="726" t="s">
        <v>1005</v>
      </c>
      <c r="H46" s="726" t="s">
        <v>1005</v>
      </c>
      <c r="I46" s="726" t="s">
        <v>1006</v>
      </c>
    </row>
    <row r="47" spans="1:9">
      <c r="A47" s="724" t="s">
        <v>1140</v>
      </c>
      <c r="B47" s="725" t="s">
        <v>1005</v>
      </c>
      <c r="C47" s="726" t="s">
        <v>1005</v>
      </c>
      <c r="D47" s="726" t="s">
        <v>1005</v>
      </c>
      <c r="E47" s="726" t="s">
        <v>1005</v>
      </c>
      <c r="F47" s="726" t="s">
        <v>1005</v>
      </c>
      <c r="G47" s="726" t="s">
        <v>1005</v>
      </c>
      <c r="H47" s="726" t="s">
        <v>1005</v>
      </c>
      <c r="I47" s="726" t="s">
        <v>1006</v>
      </c>
    </row>
    <row r="48" spans="1:9">
      <c r="A48" s="724" t="s">
        <v>1034</v>
      </c>
      <c r="B48" s="725" t="s">
        <v>1005</v>
      </c>
      <c r="C48" s="726" t="s">
        <v>1005</v>
      </c>
      <c r="D48" s="726" t="s">
        <v>1005</v>
      </c>
      <c r="E48" s="726" t="s">
        <v>1005</v>
      </c>
      <c r="F48" s="726" t="s">
        <v>1005</v>
      </c>
      <c r="G48" s="726" t="s">
        <v>1005</v>
      </c>
      <c r="H48" s="726" t="s">
        <v>1005</v>
      </c>
      <c r="I48" s="726" t="s">
        <v>1006</v>
      </c>
    </row>
    <row r="49" spans="1:9">
      <c r="A49" s="724" t="s">
        <v>364</v>
      </c>
      <c r="B49" s="726" t="s">
        <v>364</v>
      </c>
      <c r="C49" s="726" t="s">
        <v>364</v>
      </c>
      <c r="D49" s="726" t="s">
        <v>364</v>
      </c>
      <c r="E49" s="726" t="s">
        <v>364</v>
      </c>
      <c r="F49" s="726" t="s">
        <v>364</v>
      </c>
      <c r="G49" s="726" t="s">
        <v>364</v>
      </c>
      <c r="H49" s="726" t="s">
        <v>364</v>
      </c>
      <c r="I49" s="726" t="s">
        <v>364</v>
      </c>
    </row>
    <row r="50" spans="1:9">
      <c r="A50" s="724" t="s">
        <v>1032</v>
      </c>
      <c r="B50" s="726" t="s">
        <v>364</v>
      </c>
      <c r="C50" s="726" t="s">
        <v>364</v>
      </c>
      <c r="D50" s="726" t="s">
        <v>364</v>
      </c>
      <c r="E50" s="726" t="s">
        <v>364</v>
      </c>
      <c r="F50" s="726" t="s">
        <v>364</v>
      </c>
      <c r="G50" s="726" t="s">
        <v>364</v>
      </c>
      <c r="H50" s="726" t="s">
        <v>364</v>
      </c>
      <c r="I50" s="726" t="s">
        <v>364</v>
      </c>
    </row>
    <row r="51" spans="1:9">
      <c r="A51" s="724" t="s">
        <v>1037</v>
      </c>
      <c r="B51" s="725" t="s">
        <v>1005</v>
      </c>
      <c r="C51" s="726" t="s">
        <v>1036</v>
      </c>
      <c r="D51" s="726" t="s">
        <v>1036</v>
      </c>
      <c r="E51" s="726" t="s">
        <v>1036</v>
      </c>
      <c r="F51" s="726" t="s">
        <v>1036</v>
      </c>
      <c r="G51" s="726" t="s">
        <v>1036</v>
      </c>
      <c r="H51" s="726" t="s">
        <v>1036</v>
      </c>
      <c r="I51" s="726" t="s">
        <v>1036</v>
      </c>
    </row>
    <row r="52" spans="1:9">
      <c r="A52" s="724" t="s">
        <v>1141</v>
      </c>
      <c r="B52" s="725" t="s">
        <v>1005</v>
      </c>
      <c r="C52" s="726" t="s">
        <v>1005</v>
      </c>
      <c r="D52" s="726" t="s">
        <v>1005</v>
      </c>
      <c r="E52" s="726" t="s">
        <v>1005</v>
      </c>
      <c r="F52" s="726" t="s">
        <v>1005</v>
      </c>
      <c r="G52" s="726" t="s">
        <v>1005</v>
      </c>
      <c r="H52" s="726" t="s">
        <v>1005</v>
      </c>
      <c r="I52" s="726" t="s">
        <v>1006</v>
      </c>
    </row>
    <row r="53" spans="1:9">
      <c r="A53" s="724" t="s">
        <v>364</v>
      </c>
      <c r="B53" s="726" t="s">
        <v>364</v>
      </c>
      <c r="C53" s="726" t="s">
        <v>364</v>
      </c>
      <c r="D53" s="726" t="s">
        <v>364</v>
      </c>
      <c r="E53" s="726" t="s">
        <v>364</v>
      </c>
      <c r="F53" s="726" t="s">
        <v>364</v>
      </c>
      <c r="G53" s="726" t="s">
        <v>364</v>
      </c>
      <c r="H53" s="726" t="s">
        <v>364</v>
      </c>
      <c r="I53" s="726" t="s">
        <v>364</v>
      </c>
    </row>
    <row r="54" spans="1:9">
      <c r="A54" s="724" t="s">
        <v>1142</v>
      </c>
      <c r="B54" s="726" t="s">
        <v>364</v>
      </c>
      <c r="C54" s="726" t="s">
        <v>364</v>
      </c>
      <c r="D54" s="726" t="s">
        <v>364</v>
      </c>
      <c r="E54" s="726" t="s">
        <v>364</v>
      </c>
      <c r="F54" s="726" t="s">
        <v>364</v>
      </c>
      <c r="G54" s="726" t="s">
        <v>364</v>
      </c>
      <c r="H54" s="726" t="s">
        <v>364</v>
      </c>
      <c r="I54" s="726" t="s">
        <v>364</v>
      </c>
    </row>
    <row r="55" spans="1:9">
      <c r="A55" s="724" t="s">
        <v>1045</v>
      </c>
      <c r="B55" s="725" t="s">
        <v>1005</v>
      </c>
      <c r="C55" s="726" t="s">
        <v>1005</v>
      </c>
      <c r="D55" s="726" t="s">
        <v>1005</v>
      </c>
      <c r="E55" s="726" t="s">
        <v>1005</v>
      </c>
      <c r="F55" s="726" t="s">
        <v>1005</v>
      </c>
      <c r="G55" s="726" t="s">
        <v>1005</v>
      </c>
      <c r="H55" s="726" t="s">
        <v>1005</v>
      </c>
      <c r="I55" s="726" t="s">
        <v>1006</v>
      </c>
    </row>
    <row r="56" spans="1:9">
      <c r="A56" s="724" t="s">
        <v>1044</v>
      </c>
      <c r="B56" s="725" t="s">
        <v>1005</v>
      </c>
      <c r="C56" s="726" t="s">
        <v>1036</v>
      </c>
      <c r="D56" s="726" t="s">
        <v>1036</v>
      </c>
      <c r="E56" s="726" t="s">
        <v>1036</v>
      </c>
      <c r="F56" s="726" t="s">
        <v>1036</v>
      </c>
      <c r="G56" s="726" t="s">
        <v>1036</v>
      </c>
      <c r="H56" s="726" t="s">
        <v>1036</v>
      </c>
      <c r="I56" s="726" t="s">
        <v>1036</v>
      </c>
    </row>
    <row r="57" spans="1:9">
      <c r="A57" s="724" t="s">
        <v>1143</v>
      </c>
      <c r="B57" s="725" t="s">
        <v>1005</v>
      </c>
      <c r="C57" s="726" t="s">
        <v>1036</v>
      </c>
      <c r="D57" s="726" t="s">
        <v>1036</v>
      </c>
      <c r="E57" s="726" t="s">
        <v>1036</v>
      </c>
      <c r="F57" s="726" t="s">
        <v>1036</v>
      </c>
      <c r="G57" s="726" t="s">
        <v>1036</v>
      </c>
      <c r="H57" s="726" t="s">
        <v>1036</v>
      </c>
      <c r="I57" s="726" t="s">
        <v>1036</v>
      </c>
    </row>
    <row r="58" spans="1:9">
      <c r="A58" s="724" t="s">
        <v>1050</v>
      </c>
      <c r="B58" s="725" t="s">
        <v>1005</v>
      </c>
      <c r="C58" s="726" t="s">
        <v>1005</v>
      </c>
      <c r="D58" s="726" t="s">
        <v>1005</v>
      </c>
      <c r="E58" s="726" t="s">
        <v>1005</v>
      </c>
      <c r="F58" s="726" t="s">
        <v>1005</v>
      </c>
      <c r="G58" s="726" t="s">
        <v>1005</v>
      </c>
      <c r="H58" s="726" t="s">
        <v>1005</v>
      </c>
      <c r="I58" s="726" t="s">
        <v>1006</v>
      </c>
    </row>
    <row r="59" spans="1:9">
      <c r="A59" s="724" t="s">
        <v>1144</v>
      </c>
      <c r="B59" s="725" t="s">
        <v>1005</v>
      </c>
      <c r="C59" s="726" t="s">
        <v>1005</v>
      </c>
      <c r="D59" s="726" t="s">
        <v>1005</v>
      </c>
      <c r="E59" s="726" t="s">
        <v>1005</v>
      </c>
      <c r="F59" s="726" t="s">
        <v>1005</v>
      </c>
      <c r="G59" s="726" t="s">
        <v>1005</v>
      </c>
      <c r="H59" s="726" t="s">
        <v>1005</v>
      </c>
      <c r="I59" s="726" t="s">
        <v>1006</v>
      </c>
    </row>
    <row r="60" spans="1:9">
      <c r="A60" s="724" t="s">
        <v>1035</v>
      </c>
      <c r="B60" s="725" t="s">
        <v>1036</v>
      </c>
      <c r="C60" s="726" t="s">
        <v>1036</v>
      </c>
      <c r="D60" s="726" t="s">
        <v>1036</v>
      </c>
      <c r="E60" s="726" t="s">
        <v>1005</v>
      </c>
      <c r="F60" s="726" t="s">
        <v>1005</v>
      </c>
      <c r="G60" s="726" t="s">
        <v>1005</v>
      </c>
      <c r="H60" s="726" t="s">
        <v>1005</v>
      </c>
      <c r="I60" s="726" t="s">
        <v>1006</v>
      </c>
    </row>
    <row r="61" spans="1:9">
      <c r="A61" s="724" t="s">
        <v>1145</v>
      </c>
      <c r="B61" s="725" t="s">
        <v>1005</v>
      </c>
      <c r="C61" s="726" t="s">
        <v>1005</v>
      </c>
      <c r="D61" s="726" t="s">
        <v>1005</v>
      </c>
      <c r="E61" s="726" t="s">
        <v>1005</v>
      </c>
      <c r="F61" s="726" t="s">
        <v>1005</v>
      </c>
      <c r="G61" s="726" t="s">
        <v>1005</v>
      </c>
      <c r="H61" s="726" t="s">
        <v>1005</v>
      </c>
      <c r="I61" s="726" t="s">
        <v>1006</v>
      </c>
    </row>
    <row r="62" spans="1:9">
      <c r="A62" s="724" t="s">
        <v>1146</v>
      </c>
      <c r="B62" s="725" t="s">
        <v>1005</v>
      </c>
      <c r="C62" s="726" t="s">
        <v>1005</v>
      </c>
      <c r="D62" s="726" t="s">
        <v>1005</v>
      </c>
      <c r="E62" s="726" t="s">
        <v>1005</v>
      </c>
      <c r="F62" s="726" t="s">
        <v>1005</v>
      </c>
      <c r="G62" s="726" t="s">
        <v>1005</v>
      </c>
      <c r="H62" s="726" t="s">
        <v>1005</v>
      </c>
      <c r="I62" s="726" t="s">
        <v>1006</v>
      </c>
    </row>
    <row r="63" spans="1:9">
      <c r="A63" s="724" t="s">
        <v>1147</v>
      </c>
      <c r="B63" s="725" t="s">
        <v>1005</v>
      </c>
      <c r="C63" s="726" t="s">
        <v>1005</v>
      </c>
      <c r="D63" s="726" t="s">
        <v>1005</v>
      </c>
      <c r="E63" s="726" t="s">
        <v>1005</v>
      </c>
      <c r="F63" s="726" t="s">
        <v>1005</v>
      </c>
      <c r="G63" s="726" t="s">
        <v>1005</v>
      </c>
      <c r="H63" s="726" t="s">
        <v>1005</v>
      </c>
      <c r="I63" s="726" t="s">
        <v>1006</v>
      </c>
    </row>
    <row r="64" spans="1:9">
      <c r="A64" s="724" t="s">
        <v>1148</v>
      </c>
      <c r="B64" s="725" t="s">
        <v>1005</v>
      </c>
      <c r="C64" s="726" t="s">
        <v>1005</v>
      </c>
      <c r="D64" s="726" t="s">
        <v>1005</v>
      </c>
      <c r="E64" s="726" t="s">
        <v>1005</v>
      </c>
      <c r="F64" s="726" t="s">
        <v>1005</v>
      </c>
      <c r="G64" s="726" t="s">
        <v>1036</v>
      </c>
      <c r="H64" s="726" t="s">
        <v>1036</v>
      </c>
      <c r="I64" s="726" t="s">
        <v>1036</v>
      </c>
    </row>
    <row r="65" spans="1:9">
      <c r="A65" s="724" t="s">
        <v>1149</v>
      </c>
      <c r="B65" s="725" t="s">
        <v>1005</v>
      </c>
      <c r="C65" s="726" t="s">
        <v>1005</v>
      </c>
      <c r="D65" s="726" t="s">
        <v>1005</v>
      </c>
      <c r="E65" s="726" t="s">
        <v>1005</v>
      </c>
      <c r="F65" s="726" t="s">
        <v>1005</v>
      </c>
      <c r="G65" s="726" t="s">
        <v>1005</v>
      </c>
      <c r="H65" s="726" t="s">
        <v>1005</v>
      </c>
      <c r="I65" s="726" t="s">
        <v>1006</v>
      </c>
    </row>
    <row r="66" spans="1:9">
      <c r="A66" s="724" t="s">
        <v>1150</v>
      </c>
      <c r="B66" s="725" t="s">
        <v>1005</v>
      </c>
      <c r="C66" s="726" t="s">
        <v>1005</v>
      </c>
      <c r="D66" s="726" t="s">
        <v>1005</v>
      </c>
      <c r="E66" s="726" t="s">
        <v>1005</v>
      </c>
      <c r="F66" s="726" t="s">
        <v>1005</v>
      </c>
      <c r="G66" s="726" t="s">
        <v>1005</v>
      </c>
      <c r="H66" s="726" t="s">
        <v>1005</v>
      </c>
      <c r="I66" s="726" t="s">
        <v>1006</v>
      </c>
    </row>
    <row r="67" spans="1:9">
      <c r="A67" s="724" t="s">
        <v>1033</v>
      </c>
      <c r="B67" s="725" t="s">
        <v>1005</v>
      </c>
      <c r="C67" s="726" t="s">
        <v>1005</v>
      </c>
      <c r="D67" s="726" t="s">
        <v>1005</v>
      </c>
      <c r="E67" s="726" t="s">
        <v>1005</v>
      </c>
      <c r="F67" s="726" t="s">
        <v>1005</v>
      </c>
      <c r="G67" s="726" t="s">
        <v>1005</v>
      </c>
      <c r="H67" s="726" t="s">
        <v>1005</v>
      </c>
      <c r="I67" s="726" t="s">
        <v>1006</v>
      </c>
    </row>
    <row r="68" spans="1:9">
      <c r="A68" s="724" t="s">
        <v>1137</v>
      </c>
      <c r="B68" s="725" t="s">
        <v>1006</v>
      </c>
      <c r="C68" s="726" t="s">
        <v>1006</v>
      </c>
      <c r="D68" s="726" t="s">
        <v>1006</v>
      </c>
      <c r="E68" s="726" t="s">
        <v>1005</v>
      </c>
      <c r="F68" s="726" t="s">
        <v>1005</v>
      </c>
      <c r="G68" s="726" t="s">
        <v>1005</v>
      </c>
      <c r="H68" s="726" t="s">
        <v>1005</v>
      </c>
      <c r="I68" s="726" t="s">
        <v>1006</v>
      </c>
    </row>
    <row r="69" spans="1:9">
      <c r="A69" s="724" t="s">
        <v>1034</v>
      </c>
      <c r="B69" s="725" t="s">
        <v>1005</v>
      </c>
      <c r="C69" s="726" t="s">
        <v>1005</v>
      </c>
      <c r="D69" s="726" t="s">
        <v>1005</v>
      </c>
      <c r="E69" s="726" t="s">
        <v>1005</v>
      </c>
      <c r="F69" s="726" t="s">
        <v>1005</v>
      </c>
      <c r="G69" s="726" t="s">
        <v>1005</v>
      </c>
      <c r="H69" s="726" t="s">
        <v>1005</v>
      </c>
      <c r="I69" s="726" t="s">
        <v>1006</v>
      </c>
    </row>
    <row r="70" spans="1:9">
      <c r="A70" s="724" t="s">
        <v>1139</v>
      </c>
      <c r="B70" s="725" t="s">
        <v>1005</v>
      </c>
      <c r="C70" s="726" t="s">
        <v>1005</v>
      </c>
      <c r="D70" s="726" t="s">
        <v>1005</v>
      </c>
      <c r="E70" s="726" t="s">
        <v>1005</v>
      </c>
      <c r="F70" s="726" t="s">
        <v>1005</v>
      </c>
      <c r="G70" s="726" t="s">
        <v>1005</v>
      </c>
      <c r="H70" s="726" t="s">
        <v>1005</v>
      </c>
      <c r="I70" s="726" t="s">
        <v>1006</v>
      </c>
    </row>
    <row r="71" spans="1:9">
      <c r="A71" s="724" t="s">
        <v>1140</v>
      </c>
      <c r="B71" s="725" t="s">
        <v>1005</v>
      </c>
      <c r="C71" s="726" t="s">
        <v>1005</v>
      </c>
      <c r="D71" s="726" t="s">
        <v>1005</v>
      </c>
      <c r="E71" s="726" t="s">
        <v>1005</v>
      </c>
      <c r="F71" s="726" t="s">
        <v>1005</v>
      </c>
      <c r="G71" s="726" t="s">
        <v>1005</v>
      </c>
      <c r="H71" s="726" t="s">
        <v>1005</v>
      </c>
      <c r="I71" s="726" t="s">
        <v>1006</v>
      </c>
    </row>
    <row r="72" spans="1:9">
      <c r="A72" s="724" t="s">
        <v>1037</v>
      </c>
      <c r="B72" s="725" t="s">
        <v>1005</v>
      </c>
      <c r="C72" s="726" t="s">
        <v>1036</v>
      </c>
      <c r="D72" s="726" t="s">
        <v>1036</v>
      </c>
      <c r="E72" s="726" t="s">
        <v>1036</v>
      </c>
      <c r="F72" s="726" t="s">
        <v>1036</v>
      </c>
      <c r="G72" s="726" t="s">
        <v>1036</v>
      </c>
      <c r="H72" s="726" t="s">
        <v>1036</v>
      </c>
      <c r="I72" s="726" t="s">
        <v>1036</v>
      </c>
    </row>
    <row r="73" spans="1:9">
      <c r="A73" s="724" t="s">
        <v>364</v>
      </c>
      <c r="B73" s="726" t="s">
        <v>364</v>
      </c>
      <c r="C73" s="726" t="s">
        <v>364</v>
      </c>
      <c r="D73" s="726" t="s">
        <v>364</v>
      </c>
      <c r="E73" s="726" t="s">
        <v>364</v>
      </c>
      <c r="F73" s="726" t="s">
        <v>364</v>
      </c>
      <c r="G73" s="726" t="s">
        <v>364</v>
      </c>
      <c r="H73" s="726" t="s">
        <v>364</v>
      </c>
      <c r="I73" s="726" t="s">
        <v>364</v>
      </c>
    </row>
    <row r="74" spans="1:9">
      <c r="A74" s="724" t="s">
        <v>1151</v>
      </c>
      <c r="B74" s="726" t="s">
        <v>364</v>
      </c>
      <c r="C74" s="726" t="s">
        <v>364</v>
      </c>
      <c r="D74" s="726" t="s">
        <v>364</v>
      </c>
      <c r="E74" s="726" t="s">
        <v>364</v>
      </c>
      <c r="F74" s="726" t="s">
        <v>364</v>
      </c>
      <c r="G74" s="726" t="s">
        <v>364</v>
      </c>
      <c r="H74" s="726" t="s">
        <v>364</v>
      </c>
      <c r="I74" s="726" t="s">
        <v>364</v>
      </c>
    </row>
    <row r="75" spans="1:9">
      <c r="A75" s="724" t="s">
        <v>1152</v>
      </c>
      <c r="B75" s="725" t="s">
        <v>1005</v>
      </c>
      <c r="C75" s="726" t="s">
        <v>1005</v>
      </c>
      <c r="D75" s="726" t="s">
        <v>1005</v>
      </c>
      <c r="E75" s="726" t="s">
        <v>1005</v>
      </c>
      <c r="F75" s="726" t="s">
        <v>1005</v>
      </c>
      <c r="G75" s="726" t="s">
        <v>1005</v>
      </c>
      <c r="H75" s="726" t="s">
        <v>1005</v>
      </c>
      <c r="I75" s="726" t="s">
        <v>1006</v>
      </c>
    </row>
    <row r="76" spans="1:9">
      <c r="A76" s="724" t="s">
        <v>1153</v>
      </c>
      <c r="B76" s="725" t="s">
        <v>1005</v>
      </c>
      <c r="C76" s="726" t="s">
        <v>1005</v>
      </c>
      <c r="D76" s="726" t="s">
        <v>1005</v>
      </c>
      <c r="E76" s="726" t="s">
        <v>1005</v>
      </c>
      <c r="F76" s="726" t="s">
        <v>1005</v>
      </c>
      <c r="G76" s="726" t="s">
        <v>1005</v>
      </c>
      <c r="H76" s="726" t="s">
        <v>1005</v>
      </c>
      <c r="I76" s="726" t="s">
        <v>1006</v>
      </c>
    </row>
    <row r="77" spans="1:9">
      <c r="A77" s="724" t="s">
        <v>364</v>
      </c>
      <c r="B77" s="726" t="s">
        <v>364</v>
      </c>
      <c r="C77" s="726" t="s">
        <v>364</v>
      </c>
      <c r="D77" s="726" t="s">
        <v>364</v>
      </c>
      <c r="E77" s="726" t="s">
        <v>364</v>
      </c>
      <c r="F77" s="726" t="s">
        <v>364</v>
      </c>
      <c r="G77" s="726" t="s">
        <v>364</v>
      </c>
      <c r="H77" s="726" t="s">
        <v>364</v>
      </c>
      <c r="I77" s="726" t="s">
        <v>364</v>
      </c>
    </row>
    <row r="78" spans="1:9">
      <c r="A78" s="724" t="s">
        <v>1154</v>
      </c>
      <c r="B78" s="726" t="s">
        <v>364</v>
      </c>
      <c r="C78" s="726" t="s">
        <v>364</v>
      </c>
      <c r="D78" s="726" t="s">
        <v>364</v>
      </c>
      <c r="E78" s="726" t="s">
        <v>364</v>
      </c>
      <c r="F78" s="726" t="s">
        <v>364</v>
      </c>
      <c r="G78" s="726" t="s">
        <v>364</v>
      </c>
      <c r="H78" s="726" t="s">
        <v>364</v>
      </c>
      <c r="I78" s="726" t="s">
        <v>364</v>
      </c>
    </row>
    <row r="79" spans="1:9">
      <c r="A79" s="724" t="s">
        <v>364</v>
      </c>
      <c r="B79" s="726" t="s">
        <v>364</v>
      </c>
      <c r="C79" s="726" t="s">
        <v>364</v>
      </c>
      <c r="D79" s="726" t="s">
        <v>364</v>
      </c>
      <c r="E79" s="726" t="s">
        <v>364</v>
      </c>
      <c r="F79" s="726" t="s">
        <v>364</v>
      </c>
      <c r="G79" s="726" t="s">
        <v>364</v>
      </c>
      <c r="H79" s="726" t="s">
        <v>364</v>
      </c>
      <c r="I79" s="726" t="s">
        <v>364</v>
      </c>
    </row>
    <row r="80" spans="1:9">
      <c r="A80" s="724" t="s">
        <v>1155</v>
      </c>
      <c r="B80" s="726" t="s">
        <v>364</v>
      </c>
      <c r="C80" s="726" t="s">
        <v>364</v>
      </c>
      <c r="D80" s="726" t="s">
        <v>364</v>
      </c>
      <c r="E80" s="726" t="s">
        <v>364</v>
      </c>
      <c r="F80" s="726" t="s">
        <v>364</v>
      </c>
      <c r="G80" s="726" t="s">
        <v>364</v>
      </c>
      <c r="H80" s="726" t="s">
        <v>364</v>
      </c>
      <c r="I80" s="726" t="s">
        <v>364</v>
      </c>
    </row>
    <row r="81" spans="1:9">
      <c r="A81" s="734" t="s">
        <v>788</v>
      </c>
      <c r="B81" s="734" t="s">
        <v>789</v>
      </c>
      <c r="C81" s="735"/>
      <c r="D81" s="735"/>
      <c r="E81" s="735"/>
      <c r="F81" s="735"/>
      <c r="G81" s="734" t="s">
        <v>364</v>
      </c>
      <c r="H81" s="734" t="s">
        <v>364</v>
      </c>
      <c r="I81" s="734" t="s">
        <v>364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0CF0-45B1-498C-9800-11B04E778D69}">
  <dimension ref="A1:L145"/>
  <sheetViews>
    <sheetView topLeftCell="A17" workbookViewId="0">
      <selection activeCell="N5" sqref="N5:O11"/>
    </sheetView>
  </sheetViews>
  <sheetFormatPr defaultColWidth="8.875" defaultRowHeight="14.1"/>
  <cols>
    <col min="1" max="1" width="44.625" customWidth="1"/>
  </cols>
  <sheetData>
    <row r="1" spans="1:12" ht="14.45">
      <c r="A1" s="709" t="s">
        <v>364</v>
      </c>
      <c r="B1" s="709" t="s">
        <v>364</v>
      </c>
      <c r="C1" s="709" t="s">
        <v>364</v>
      </c>
      <c r="D1" s="709" t="s">
        <v>364</v>
      </c>
      <c r="E1" s="709" t="s">
        <v>364</v>
      </c>
      <c r="F1" s="709" t="s">
        <v>364</v>
      </c>
      <c r="G1" s="709" t="s">
        <v>364</v>
      </c>
      <c r="H1" s="709" t="s">
        <v>364</v>
      </c>
      <c r="I1" s="709" t="s">
        <v>364</v>
      </c>
      <c r="J1" s="709" t="s">
        <v>364</v>
      </c>
      <c r="K1" s="709" t="s">
        <v>364</v>
      </c>
    </row>
    <row r="2" spans="1:12" ht="20.100000000000001">
      <c r="A2" s="710" t="s">
        <v>1156</v>
      </c>
      <c r="B2" s="711"/>
      <c r="C2" s="711"/>
      <c r="D2" s="711"/>
      <c r="E2" s="710" t="s">
        <v>364</v>
      </c>
      <c r="F2" s="710" t="s">
        <v>364</v>
      </c>
      <c r="G2" s="710" t="s">
        <v>364</v>
      </c>
      <c r="H2" s="710" t="s">
        <v>364</v>
      </c>
      <c r="I2" s="710" t="s">
        <v>364</v>
      </c>
      <c r="J2" s="710" t="s">
        <v>364</v>
      </c>
      <c r="K2" s="710" t="s">
        <v>364</v>
      </c>
      <c r="L2" s="710" t="s">
        <v>364</v>
      </c>
    </row>
    <row r="3" spans="1:12">
      <c r="A3" s="712" t="s">
        <v>364</v>
      </c>
      <c r="B3" s="712" t="s">
        <v>364</v>
      </c>
      <c r="C3" s="712" t="s">
        <v>364</v>
      </c>
      <c r="D3" s="712" t="s">
        <v>364</v>
      </c>
      <c r="E3" s="712" t="s">
        <v>364</v>
      </c>
      <c r="F3" s="712" t="s">
        <v>364</v>
      </c>
      <c r="G3" s="712" t="s">
        <v>364</v>
      </c>
      <c r="H3" s="712" t="s">
        <v>364</v>
      </c>
      <c r="I3" s="712" t="s">
        <v>364</v>
      </c>
      <c r="J3" s="712" t="s">
        <v>364</v>
      </c>
      <c r="K3" s="712" t="s">
        <v>364</v>
      </c>
    </row>
    <row r="4" spans="1:12">
      <c r="A4" s="713" t="s">
        <v>735</v>
      </c>
      <c r="B4" s="714" t="s">
        <v>484</v>
      </c>
      <c r="C4" s="714" t="s">
        <v>485</v>
      </c>
      <c r="D4" s="714" t="s">
        <v>486</v>
      </c>
      <c r="E4" s="714" t="s">
        <v>487</v>
      </c>
      <c r="F4" s="714" t="s">
        <v>488</v>
      </c>
      <c r="G4" s="714" t="s">
        <v>489</v>
      </c>
      <c r="H4" s="714" t="s">
        <v>490</v>
      </c>
      <c r="I4" s="714" t="s">
        <v>491</v>
      </c>
      <c r="J4" s="714" t="s">
        <v>492</v>
      </c>
      <c r="K4" s="714" t="s">
        <v>493</v>
      </c>
    </row>
    <row r="5" spans="1:12">
      <c r="A5" s="715" t="s">
        <v>737</v>
      </c>
      <c r="B5" s="717">
        <v>42369</v>
      </c>
      <c r="C5" s="717">
        <v>42735</v>
      </c>
      <c r="D5" s="717">
        <v>43100</v>
      </c>
      <c r="E5" s="717">
        <v>43465</v>
      </c>
      <c r="F5" s="717">
        <v>43555</v>
      </c>
      <c r="G5" s="717">
        <v>43921</v>
      </c>
      <c r="H5" s="717">
        <v>44286</v>
      </c>
      <c r="I5" s="717">
        <v>44651</v>
      </c>
      <c r="J5" s="717">
        <v>45016</v>
      </c>
      <c r="K5" s="717">
        <v>45382</v>
      </c>
    </row>
    <row r="6" spans="1:12">
      <c r="A6" s="724" t="s">
        <v>991</v>
      </c>
      <c r="B6" s="726" t="s">
        <v>364</v>
      </c>
      <c r="C6" s="726" t="s">
        <v>364</v>
      </c>
      <c r="D6" s="726" t="s">
        <v>364</v>
      </c>
      <c r="E6" s="726" t="s">
        <v>364</v>
      </c>
      <c r="F6" s="726" t="s">
        <v>364</v>
      </c>
      <c r="G6" s="726" t="s">
        <v>364</v>
      </c>
      <c r="H6" s="726" t="s">
        <v>364</v>
      </c>
      <c r="I6" s="726" t="s">
        <v>364</v>
      </c>
      <c r="J6" s="726" t="s">
        <v>364</v>
      </c>
      <c r="K6" s="726" t="s">
        <v>364</v>
      </c>
    </row>
    <row r="7" spans="1:12">
      <c r="A7" s="724" t="s">
        <v>995</v>
      </c>
      <c r="B7" s="725" t="s">
        <v>476</v>
      </c>
      <c r="C7" s="726">
        <v>5.64</v>
      </c>
      <c r="D7" s="726">
        <v>5.79</v>
      </c>
      <c r="E7" s="726">
        <v>6.03</v>
      </c>
      <c r="F7" s="726" t="s">
        <v>476</v>
      </c>
      <c r="G7" s="726">
        <v>6.67</v>
      </c>
      <c r="H7" s="726">
        <v>6.9</v>
      </c>
      <c r="I7" s="726">
        <v>6.66</v>
      </c>
      <c r="J7" s="726">
        <v>7.13</v>
      </c>
      <c r="K7" s="726" t="s">
        <v>476</v>
      </c>
    </row>
    <row r="8" spans="1:12">
      <c r="A8" s="724" t="s">
        <v>364</v>
      </c>
      <c r="B8" s="726" t="s">
        <v>364</v>
      </c>
      <c r="C8" s="726" t="s">
        <v>364</v>
      </c>
      <c r="D8" s="726" t="s">
        <v>364</v>
      </c>
      <c r="E8" s="726" t="s">
        <v>364</v>
      </c>
      <c r="F8" s="726" t="s">
        <v>364</v>
      </c>
      <c r="G8" s="726" t="s">
        <v>364</v>
      </c>
      <c r="H8" s="726" t="s">
        <v>364</v>
      </c>
      <c r="I8" s="726" t="s">
        <v>364</v>
      </c>
      <c r="J8" s="726" t="s">
        <v>364</v>
      </c>
      <c r="K8" s="726" t="s">
        <v>364</v>
      </c>
    </row>
    <row r="9" spans="1:12">
      <c r="A9" s="724" t="s">
        <v>996</v>
      </c>
      <c r="B9" s="726" t="s">
        <v>364</v>
      </c>
      <c r="C9" s="726" t="s">
        <v>364</v>
      </c>
      <c r="D9" s="726" t="s">
        <v>364</v>
      </c>
      <c r="E9" s="726" t="s">
        <v>364</v>
      </c>
      <c r="F9" s="726" t="s">
        <v>364</v>
      </c>
      <c r="G9" s="726" t="s">
        <v>364</v>
      </c>
      <c r="H9" s="726" t="s">
        <v>364</v>
      </c>
      <c r="I9" s="726" t="s">
        <v>364</v>
      </c>
      <c r="J9" s="726" t="s">
        <v>364</v>
      </c>
      <c r="K9" s="726" t="s">
        <v>364</v>
      </c>
    </row>
    <row r="10" spans="1:12">
      <c r="A10" s="724" t="s">
        <v>1000</v>
      </c>
      <c r="B10" s="725" t="s">
        <v>476</v>
      </c>
      <c r="C10" s="726">
        <v>80.459999999999994</v>
      </c>
      <c r="D10" s="726">
        <v>83.59</v>
      </c>
      <c r="E10" s="726">
        <v>83.59</v>
      </c>
      <c r="F10" s="726" t="s">
        <v>476</v>
      </c>
      <c r="G10" s="726">
        <v>83.59</v>
      </c>
      <c r="H10" s="726">
        <v>84.29</v>
      </c>
      <c r="I10" s="726">
        <v>84.29</v>
      </c>
      <c r="J10" s="726">
        <v>84.29</v>
      </c>
      <c r="K10" s="726" t="s">
        <v>476</v>
      </c>
    </row>
    <row r="11" spans="1:12">
      <c r="A11" s="724" t="s">
        <v>364</v>
      </c>
      <c r="B11" s="726" t="s">
        <v>364</v>
      </c>
      <c r="C11" s="726" t="s">
        <v>364</v>
      </c>
      <c r="D11" s="726" t="s">
        <v>364</v>
      </c>
      <c r="E11" s="726" t="s">
        <v>364</v>
      </c>
      <c r="F11" s="726" t="s">
        <v>364</v>
      </c>
      <c r="G11" s="726" t="s">
        <v>364</v>
      </c>
      <c r="H11" s="726" t="s">
        <v>364</v>
      </c>
      <c r="I11" s="726" t="s">
        <v>364</v>
      </c>
      <c r="J11" s="726" t="s">
        <v>364</v>
      </c>
      <c r="K11" s="726" t="s">
        <v>364</v>
      </c>
    </row>
    <row r="12" spans="1:12">
      <c r="A12" s="724" t="s">
        <v>1157</v>
      </c>
      <c r="B12" s="726" t="s">
        <v>364</v>
      </c>
      <c r="C12" s="726" t="s">
        <v>364</v>
      </c>
      <c r="D12" s="726" t="s">
        <v>364</v>
      </c>
      <c r="E12" s="726" t="s">
        <v>364</v>
      </c>
      <c r="F12" s="726" t="s">
        <v>364</v>
      </c>
      <c r="G12" s="726" t="s">
        <v>364</v>
      </c>
      <c r="H12" s="726" t="s">
        <v>364</v>
      </c>
      <c r="I12" s="726" t="s">
        <v>364</v>
      </c>
      <c r="J12" s="726" t="s">
        <v>364</v>
      </c>
      <c r="K12" s="726" t="s">
        <v>364</v>
      </c>
    </row>
    <row r="13" spans="1:12">
      <c r="A13" s="724" t="s">
        <v>1064</v>
      </c>
      <c r="B13" s="725" t="s">
        <v>476</v>
      </c>
      <c r="C13" s="726">
        <v>8</v>
      </c>
      <c r="D13" s="726">
        <v>8</v>
      </c>
      <c r="E13" s="726">
        <v>9</v>
      </c>
      <c r="F13" s="726" t="s">
        <v>476</v>
      </c>
      <c r="G13" s="726">
        <v>8</v>
      </c>
      <c r="H13" s="726">
        <v>10</v>
      </c>
      <c r="I13" s="726">
        <v>9</v>
      </c>
      <c r="J13" s="726">
        <v>9</v>
      </c>
      <c r="K13" s="726">
        <v>9</v>
      </c>
    </row>
    <row r="14" spans="1:12">
      <c r="A14" s="724" t="s">
        <v>1158</v>
      </c>
      <c r="B14" s="725" t="s">
        <v>476</v>
      </c>
      <c r="C14" s="726">
        <v>1</v>
      </c>
      <c r="D14" s="726">
        <v>1</v>
      </c>
      <c r="E14" s="726">
        <v>1</v>
      </c>
      <c r="F14" s="726" t="s">
        <v>476</v>
      </c>
      <c r="G14" s="726">
        <v>1</v>
      </c>
      <c r="H14" s="726">
        <v>1</v>
      </c>
      <c r="I14" s="726">
        <v>1</v>
      </c>
      <c r="J14" s="726">
        <v>1</v>
      </c>
      <c r="K14" s="726">
        <v>1</v>
      </c>
    </row>
    <row r="15" spans="1:12">
      <c r="A15" s="724" t="s">
        <v>1159</v>
      </c>
      <c r="B15" s="725" t="s">
        <v>476</v>
      </c>
      <c r="C15" s="726">
        <v>0</v>
      </c>
      <c r="D15" s="726">
        <v>0</v>
      </c>
      <c r="E15" s="726">
        <v>0</v>
      </c>
      <c r="F15" s="726" t="s">
        <v>476</v>
      </c>
      <c r="G15" s="726">
        <v>0</v>
      </c>
      <c r="H15" s="726">
        <v>0</v>
      </c>
      <c r="I15" s="726">
        <v>0</v>
      </c>
      <c r="J15" s="726">
        <v>0</v>
      </c>
      <c r="K15" s="726">
        <v>0</v>
      </c>
    </row>
    <row r="16" spans="1:12">
      <c r="A16" s="724" t="s">
        <v>1160</v>
      </c>
      <c r="B16" s="725" t="s">
        <v>1006</v>
      </c>
      <c r="C16" s="726" t="s">
        <v>1036</v>
      </c>
      <c r="D16" s="726" t="s">
        <v>1036</v>
      </c>
      <c r="E16" s="726" t="s">
        <v>1036</v>
      </c>
      <c r="F16" s="726" t="s">
        <v>1006</v>
      </c>
      <c r="G16" s="726" t="s">
        <v>1036</v>
      </c>
      <c r="H16" s="726" t="s">
        <v>1036</v>
      </c>
      <c r="I16" s="726" t="s">
        <v>1036</v>
      </c>
      <c r="J16" s="726" t="s">
        <v>1036</v>
      </c>
      <c r="K16" s="726" t="s">
        <v>1036</v>
      </c>
    </row>
    <row r="17" spans="1:11">
      <c r="A17" s="724" t="s">
        <v>364</v>
      </c>
      <c r="B17" s="726" t="s">
        <v>364</v>
      </c>
      <c r="C17" s="726" t="s">
        <v>364</v>
      </c>
      <c r="D17" s="726" t="s">
        <v>364</v>
      </c>
      <c r="E17" s="726" t="s">
        <v>364</v>
      </c>
      <c r="F17" s="726" t="s">
        <v>364</v>
      </c>
      <c r="G17" s="726" t="s">
        <v>364</v>
      </c>
      <c r="H17" s="726" t="s">
        <v>364</v>
      </c>
      <c r="I17" s="726" t="s">
        <v>364</v>
      </c>
      <c r="J17" s="726" t="s">
        <v>364</v>
      </c>
      <c r="K17" s="726" t="s">
        <v>364</v>
      </c>
    </row>
    <row r="18" spans="1:11">
      <c r="A18" s="724" t="s">
        <v>1161</v>
      </c>
      <c r="B18" s="726" t="s">
        <v>364</v>
      </c>
      <c r="C18" s="726" t="s">
        <v>364</v>
      </c>
      <c r="D18" s="726" t="s">
        <v>364</v>
      </c>
      <c r="E18" s="726" t="s">
        <v>364</v>
      </c>
      <c r="F18" s="726" t="s">
        <v>364</v>
      </c>
      <c r="G18" s="726" t="s">
        <v>364</v>
      </c>
      <c r="H18" s="726" t="s">
        <v>364</v>
      </c>
      <c r="I18" s="726" t="s">
        <v>364</v>
      </c>
      <c r="J18" s="726" t="s">
        <v>364</v>
      </c>
      <c r="K18" s="726" t="s">
        <v>364</v>
      </c>
    </row>
    <row r="19" spans="1:11">
      <c r="A19" s="724" t="s">
        <v>1162</v>
      </c>
      <c r="B19" s="725" t="s">
        <v>476</v>
      </c>
      <c r="C19" s="726">
        <v>7</v>
      </c>
      <c r="D19" s="726">
        <v>7</v>
      </c>
      <c r="E19" s="726">
        <v>8</v>
      </c>
      <c r="F19" s="726" t="s">
        <v>476</v>
      </c>
      <c r="G19" s="726">
        <v>7</v>
      </c>
      <c r="H19" s="726">
        <v>9</v>
      </c>
      <c r="I19" s="726">
        <v>8</v>
      </c>
      <c r="J19" s="726">
        <v>8</v>
      </c>
      <c r="K19" s="726">
        <v>8</v>
      </c>
    </row>
    <row r="20" spans="1:11">
      <c r="A20" s="724" t="s">
        <v>1163</v>
      </c>
      <c r="B20" s="725" t="s">
        <v>476</v>
      </c>
      <c r="C20" s="726">
        <v>87.5</v>
      </c>
      <c r="D20" s="726">
        <v>87.5</v>
      </c>
      <c r="E20" s="726">
        <v>88.89</v>
      </c>
      <c r="F20" s="726" t="s">
        <v>476</v>
      </c>
      <c r="G20" s="726">
        <v>87.5</v>
      </c>
      <c r="H20" s="726">
        <v>90</v>
      </c>
      <c r="I20" s="726">
        <v>88.89</v>
      </c>
      <c r="J20" s="726">
        <v>88.89</v>
      </c>
      <c r="K20" s="726">
        <v>88.89</v>
      </c>
    </row>
    <row r="21" spans="1:11">
      <c r="A21" s="724" t="s">
        <v>1164</v>
      </c>
      <c r="B21" s="725" t="s">
        <v>476</v>
      </c>
      <c r="C21" s="726">
        <v>6</v>
      </c>
      <c r="D21" s="726">
        <v>7</v>
      </c>
      <c r="E21" s="726">
        <v>8</v>
      </c>
      <c r="F21" s="726" t="s">
        <v>476</v>
      </c>
      <c r="G21" s="726">
        <v>7</v>
      </c>
      <c r="H21" s="726">
        <v>9</v>
      </c>
      <c r="I21" s="726">
        <v>8</v>
      </c>
      <c r="J21" s="726">
        <v>8</v>
      </c>
      <c r="K21" s="726">
        <v>8</v>
      </c>
    </row>
    <row r="22" spans="1:11">
      <c r="A22" s="724" t="s">
        <v>1165</v>
      </c>
      <c r="B22" s="725" t="s">
        <v>476</v>
      </c>
      <c r="C22" s="726">
        <v>75</v>
      </c>
      <c r="D22" s="726">
        <v>87.5</v>
      </c>
      <c r="E22" s="726">
        <v>88.89</v>
      </c>
      <c r="F22" s="726" t="s">
        <v>476</v>
      </c>
      <c r="G22" s="726">
        <v>87.5</v>
      </c>
      <c r="H22" s="726">
        <v>90</v>
      </c>
      <c r="I22" s="726">
        <v>88.89</v>
      </c>
      <c r="J22" s="726">
        <v>88.89</v>
      </c>
      <c r="K22" s="726">
        <v>88.89</v>
      </c>
    </row>
    <row r="23" spans="1:11">
      <c r="A23" s="724" t="s">
        <v>1166</v>
      </c>
      <c r="B23" s="725" t="s">
        <v>1006</v>
      </c>
      <c r="C23" s="726" t="s">
        <v>1036</v>
      </c>
      <c r="D23" s="726" t="s">
        <v>1036</v>
      </c>
      <c r="E23" s="726" t="s">
        <v>1036</v>
      </c>
      <c r="F23" s="726" t="s">
        <v>1006</v>
      </c>
      <c r="G23" s="726" t="s">
        <v>1036</v>
      </c>
      <c r="H23" s="726" t="s">
        <v>1036</v>
      </c>
      <c r="I23" s="726" t="s">
        <v>1036</v>
      </c>
      <c r="J23" s="726" t="s">
        <v>1036</v>
      </c>
      <c r="K23" s="726" t="s">
        <v>1036</v>
      </c>
    </row>
    <row r="24" spans="1:11">
      <c r="A24" s="724" t="s">
        <v>1167</v>
      </c>
      <c r="B24" s="725" t="s">
        <v>1006</v>
      </c>
      <c r="C24" s="726" t="s">
        <v>1005</v>
      </c>
      <c r="D24" s="726" t="s">
        <v>1005</v>
      </c>
      <c r="E24" s="726" t="s">
        <v>1005</v>
      </c>
      <c r="F24" s="726" t="s">
        <v>1006</v>
      </c>
      <c r="G24" s="726" t="s">
        <v>1005</v>
      </c>
      <c r="H24" s="726" t="s">
        <v>1005</v>
      </c>
      <c r="I24" s="726" t="s">
        <v>1005</v>
      </c>
      <c r="J24" s="726" t="s">
        <v>1005</v>
      </c>
      <c r="K24" s="726" t="s">
        <v>1005</v>
      </c>
    </row>
    <row r="25" spans="1:11">
      <c r="A25" s="724" t="s">
        <v>1168</v>
      </c>
      <c r="B25" s="725" t="s">
        <v>1006</v>
      </c>
      <c r="C25" s="726" t="s">
        <v>1005</v>
      </c>
      <c r="D25" s="726" t="s">
        <v>1005</v>
      </c>
      <c r="E25" s="726" t="s">
        <v>1005</v>
      </c>
      <c r="F25" s="726" t="s">
        <v>1006</v>
      </c>
      <c r="G25" s="726" t="s">
        <v>1036</v>
      </c>
      <c r="H25" s="726" t="s">
        <v>1036</v>
      </c>
      <c r="I25" s="726" t="s">
        <v>1036</v>
      </c>
      <c r="J25" s="726" t="s">
        <v>1036</v>
      </c>
      <c r="K25" s="726" t="s">
        <v>1036</v>
      </c>
    </row>
    <row r="26" spans="1:11">
      <c r="A26" s="724" t="s">
        <v>1169</v>
      </c>
      <c r="B26" s="725" t="s">
        <v>1006</v>
      </c>
      <c r="C26" s="726" t="s">
        <v>1005</v>
      </c>
      <c r="D26" s="726" t="s">
        <v>1005</v>
      </c>
      <c r="E26" s="726" t="s">
        <v>1005</v>
      </c>
      <c r="F26" s="726" t="s">
        <v>1006</v>
      </c>
      <c r="G26" s="726" t="s">
        <v>1005</v>
      </c>
      <c r="H26" s="726" t="s">
        <v>1005</v>
      </c>
      <c r="I26" s="726" t="s">
        <v>1005</v>
      </c>
      <c r="J26" s="726" t="s">
        <v>1005</v>
      </c>
      <c r="K26" s="726" t="s">
        <v>1005</v>
      </c>
    </row>
    <row r="27" spans="1:11">
      <c r="A27" s="724" t="s">
        <v>1170</v>
      </c>
      <c r="B27" s="725" t="s">
        <v>1006</v>
      </c>
      <c r="C27" s="726" t="s">
        <v>1005</v>
      </c>
      <c r="D27" s="726" t="s">
        <v>1005</v>
      </c>
      <c r="E27" s="726" t="s">
        <v>1005</v>
      </c>
      <c r="F27" s="726" t="s">
        <v>1006</v>
      </c>
      <c r="G27" s="726" t="s">
        <v>1005</v>
      </c>
      <c r="H27" s="726" t="s">
        <v>1005</v>
      </c>
      <c r="I27" s="726" t="s">
        <v>1005</v>
      </c>
      <c r="J27" s="726" t="s">
        <v>1005</v>
      </c>
      <c r="K27" s="726" t="s">
        <v>1005</v>
      </c>
    </row>
    <row r="28" spans="1:11">
      <c r="A28" s="724" t="s">
        <v>364</v>
      </c>
      <c r="B28" s="726" t="s">
        <v>364</v>
      </c>
      <c r="C28" s="726" t="s">
        <v>364</v>
      </c>
      <c r="D28" s="726" t="s">
        <v>364</v>
      </c>
      <c r="E28" s="726" t="s">
        <v>364</v>
      </c>
      <c r="F28" s="726" t="s">
        <v>364</v>
      </c>
      <c r="G28" s="726" t="s">
        <v>364</v>
      </c>
      <c r="H28" s="726" t="s">
        <v>364</v>
      </c>
      <c r="I28" s="726" t="s">
        <v>364</v>
      </c>
      <c r="J28" s="726" t="s">
        <v>364</v>
      </c>
      <c r="K28" s="726" t="s">
        <v>364</v>
      </c>
    </row>
    <row r="29" spans="1:11">
      <c r="A29" s="724" t="s">
        <v>1171</v>
      </c>
      <c r="B29" s="726" t="s">
        <v>364</v>
      </c>
      <c r="C29" s="726" t="s">
        <v>364</v>
      </c>
      <c r="D29" s="726" t="s">
        <v>364</v>
      </c>
      <c r="E29" s="726" t="s">
        <v>364</v>
      </c>
      <c r="F29" s="726" t="s">
        <v>364</v>
      </c>
      <c r="G29" s="726" t="s">
        <v>364</v>
      </c>
      <c r="H29" s="726" t="s">
        <v>364</v>
      </c>
      <c r="I29" s="726" t="s">
        <v>364</v>
      </c>
      <c r="J29" s="726" t="s">
        <v>364</v>
      </c>
      <c r="K29" s="726" t="s">
        <v>364</v>
      </c>
    </row>
    <row r="30" spans="1:11">
      <c r="A30" s="724" t="s">
        <v>1172</v>
      </c>
      <c r="B30" s="725" t="s">
        <v>476</v>
      </c>
      <c r="C30" s="726">
        <v>3</v>
      </c>
      <c r="D30" s="726">
        <v>4</v>
      </c>
      <c r="E30" s="726">
        <v>5</v>
      </c>
      <c r="F30" s="726" t="s">
        <v>476</v>
      </c>
      <c r="G30" s="726">
        <v>5</v>
      </c>
      <c r="H30" s="726">
        <v>6</v>
      </c>
      <c r="I30" s="726">
        <v>5</v>
      </c>
      <c r="J30" s="726">
        <v>6</v>
      </c>
      <c r="K30" s="726">
        <v>6</v>
      </c>
    </row>
    <row r="31" spans="1:11">
      <c r="A31" s="724" t="s">
        <v>1173</v>
      </c>
      <c r="B31" s="725" t="s">
        <v>476</v>
      </c>
      <c r="C31" s="726">
        <v>37.5</v>
      </c>
      <c r="D31" s="726">
        <v>50</v>
      </c>
      <c r="E31" s="726">
        <v>55.56</v>
      </c>
      <c r="F31" s="726" t="s">
        <v>476</v>
      </c>
      <c r="G31" s="726">
        <v>62.5</v>
      </c>
      <c r="H31" s="726">
        <v>60</v>
      </c>
      <c r="I31" s="726">
        <v>55.56</v>
      </c>
      <c r="J31" s="726">
        <v>66.67</v>
      </c>
      <c r="K31" s="726">
        <v>66.67</v>
      </c>
    </row>
    <row r="32" spans="1:11">
      <c r="A32" s="724" t="s">
        <v>1174</v>
      </c>
      <c r="B32" s="725" t="s">
        <v>1006</v>
      </c>
      <c r="C32" s="726" t="s">
        <v>1005</v>
      </c>
      <c r="D32" s="726" t="s">
        <v>1005</v>
      </c>
      <c r="E32" s="726" t="s">
        <v>1005</v>
      </c>
      <c r="F32" s="726" t="s">
        <v>1006</v>
      </c>
      <c r="G32" s="726" t="s">
        <v>1005</v>
      </c>
      <c r="H32" s="726" t="s">
        <v>1005</v>
      </c>
      <c r="I32" s="726" t="s">
        <v>1005</v>
      </c>
      <c r="J32" s="726" t="s">
        <v>1005</v>
      </c>
      <c r="K32" s="726" t="s">
        <v>1005</v>
      </c>
    </row>
    <row r="33" spans="1:11">
      <c r="A33" s="724" t="s">
        <v>1175</v>
      </c>
      <c r="B33" s="725" t="s">
        <v>1006</v>
      </c>
      <c r="C33" s="726" t="s">
        <v>1005</v>
      </c>
      <c r="D33" s="726" t="s">
        <v>1005</v>
      </c>
      <c r="E33" s="726" t="s">
        <v>1005</v>
      </c>
      <c r="F33" s="726" t="s">
        <v>1006</v>
      </c>
      <c r="G33" s="726" t="s">
        <v>1005</v>
      </c>
      <c r="H33" s="726" t="s">
        <v>1005</v>
      </c>
      <c r="I33" s="726" t="s">
        <v>1005</v>
      </c>
      <c r="J33" s="726" t="s">
        <v>1005</v>
      </c>
      <c r="K33" s="726" t="s">
        <v>1005</v>
      </c>
    </row>
    <row r="34" spans="1:11">
      <c r="A34" s="724" t="s">
        <v>1176</v>
      </c>
      <c r="B34" s="725" t="s">
        <v>476</v>
      </c>
      <c r="C34" s="726">
        <v>5</v>
      </c>
      <c r="D34" s="726">
        <v>5</v>
      </c>
      <c r="E34" s="726">
        <v>4</v>
      </c>
      <c r="F34" s="726" t="s">
        <v>476</v>
      </c>
      <c r="G34" s="726">
        <v>6</v>
      </c>
      <c r="H34" s="726">
        <v>6</v>
      </c>
      <c r="I34" s="726">
        <v>5</v>
      </c>
      <c r="J34" s="726">
        <v>6</v>
      </c>
      <c r="K34" s="726">
        <v>6</v>
      </c>
    </row>
    <row r="35" spans="1:11">
      <c r="A35" s="724" t="s">
        <v>1177</v>
      </c>
      <c r="B35" s="725" t="s">
        <v>1006</v>
      </c>
      <c r="C35" s="726" t="s">
        <v>1005</v>
      </c>
      <c r="D35" s="726" t="s">
        <v>1005</v>
      </c>
      <c r="E35" s="726" t="s">
        <v>1005</v>
      </c>
      <c r="F35" s="726" t="s">
        <v>1006</v>
      </c>
      <c r="G35" s="726" t="s">
        <v>1005</v>
      </c>
      <c r="H35" s="726" t="s">
        <v>1005</v>
      </c>
      <c r="I35" s="726" t="s">
        <v>1005</v>
      </c>
      <c r="J35" s="726" t="s">
        <v>1005</v>
      </c>
      <c r="K35" s="726" t="s">
        <v>1005</v>
      </c>
    </row>
    <row r="36" spans="1:11">
      <c r="A36" s="724" t="s">
        <v>1178</v>
      </c>
      <c r="B36" s="725" t="s">
        <v>476</v>
      </c>
      <c r="C36" s="726">
        <v>0</v>
      </c>
      <c r="D36" s="726">
        <v>0</v>
      </c>
      <c r="E36" s="726">
        <v>0</v>
      </c>
      <c r="F36" s="726" t="s">
        <v>476</v>
      </c>
      <c r="G36" s="726">
        <v>2</v>
      </c>
      <c r="H36" s="726">
        <v>2</v>
      </c>
      <c r="I36" s="726">
        <v>2</v>
      </c>
      <c r="J36" s="726">
        <v>3</v>
      </c>
      <c r="K36" s="726">
        <v>3</v>
      </c>
    </row>
    <row r="37" spans="1:11">
      <c r="A37" s="724" t="s">
        <v>1179</v>
      </c>
      <c r="B37" s="725" t="s">
        <v>476</v>
      </c>
      <c r="C37" s="726">
        <v>0</v>
      </c>
      <c r="D37" s="726">
        <v>0</v>
      </c>
      <c r="E37" s="726">
        <v>0</v>
      </c>
      <c r="F37" s="726" t="s">
        <v>476</v>
      </c>
      <c r="G37" s="726">
        <v>33.33</v>
      </c>
      <c r="H37" s="726">
        <v>33.33</v>
      </c>
      <c r="I37" s="726">
        <v>40</v>
      </c>
      <c r="J37" s="726">
        <v>50</v>
      </c>
      <c r="K37" s="726">
        <v>50</v>
      </c>
    </row>
    <row r="38" spans="1:11">
      <c r="A38" s="724" t="s">
        <v>1078</v>
      </c>
      <c r="B38" s="725" t="s">
        <v>476</v>
      </c>
      <c r="C38" s="726">
        <v>49</v>
      </c>
      <c r="D38" s="726">
        <v>52</v>
      </c>
      <c r="E38" s="726">
        <v>51</v>
      </c>
      <c r="F38" s="726" t="s">
        <v>476</v>
      </c>
      <c r="G38" s="726">
        <v>52</v>
      </c>
      <c r="H38" s="726">
        <v>45</v>
      </c>
      <c r="I38" s="726">
        <v>46</v>
      </c>
      <c r="J38" s="726">
        <v>46</v>
      </c>
      <c r="K38" s="726">
        <v>42</v>
      </c>
    </row>
    <row r="39" spans="1:11">
      <c r="A39" s="724" t="s">
        <v>1079</v>
      </c>
      <c r="B39" s="725" t="s">
        <v>476</v>
      </c>
      <c r="C39" s="726">
        <v>72</v>
      </c>
      <c r="D39" s="726">
        <v>73</v>
      </c>
      <c r="E39" s="726">
        <v>74</v>
      </c>
      <c r="F39" s="726" t="s">
        <v>476</v>
      </c>
      <c r="G39" s="726">
        <v>75</v>
      </c>
      <c r="H39" s="726">
        <v>76</v>
      </c>
      <c r="I39" s="726">
        <v>77</v>
      </c>
      <c r="J39" s="726">
        <v>78</v>
      </c>
      <c r="K39" s="726">
        <v>79</v>
      </c>
    </row>
    <row r="40" spans="1:11">
      <c r="A40" s="724" t="s">
        <v>1180</v>
      </c>
      <c r="B40" s="725" t="s">
        <v>476</v>
      </c>
      <c r="C40" s="726">
        <v>23</v>
      </c>
      <c r="D40" s="726">
        <v>21</v>
      </c>
      <c r="E40" s="726">
        <v>23</v>
      </c>
      <c r="F40" s="726" t="s">
        <v>476</v>
      </c>
      <c r="G40" s="726">
        <v>23</v>
      </c>
      <c r="H40" s="726">
        <v>31</v>
      </c>
      <c r="I40" s="726">
        <v>31</v>
      </c>
      <c r="J40" s="726">
        <v>32</v>
      </c>
      <c r="K40" s="726">
        <v>37</v>
      </c>
    </row>
    <row r="41" spans="1:11">
      <c r="A41" s="724" t="s">
        <v>1181</v>
      </c>
      <c r="B41" s="725" t="s">
        <v>476</v>
      </c>
      <c r="C41" s="726">
        <v>52.13</v>
      </c>
      <c r="D41" s="726">
        <v>57.38</v>
      </c>
      <c r="E41" s="726">
        <v>57.44</v>
      </c>
      <c r="F41" s="726" t="s">
        <v>476</v>
      </c>
      <c r="G41" s="726">
        <v>58.88</v>
      </c>
      <c r="H41" s="726">
        <v>57.6</v>
      </c>
      <c r="I41" s="726">
        <v>58.56</v>
      </c>
      <c r="J41" s="726">
        <v>56.89</v>
      </c>
      <c r="K41" s="726">
        <v>57.89</v>
      </c>
    </row>
    <row r="42" spans="1:11">
      <c r="A42" s="724" t="s">
        <v>1182</v>
      </c>
      <c r="B42" s="725" t="s">
        <v>476</v>
      </c>
      <c r="C42" s="726" t="s">
        <v>476</v>
      </c>
      <c r="D42" s="726" t="s">
        <v>476</v>
      </c>
      <c r="E42" s="726" t="s">
        <v>476</v>
      </c>
      <c r="F42" s="726" t="s">
        <v>476</v>
      </c>
      <c r="G42" s="726" t="s">
        <v>476</v>
      </c>
      <c r="H42" s="726" t="s">
        <v>476</v>
      </c>
      <c r="I42" s="726">
        <v>2</v>
      </c>
      <c r="J42" s="726">
        <v>2</v>
      </c>
      <c r="K42" s="726">
        <v>2</v>
      </c>
    </row>
    <row r="43" spans="1:11">
      <c r="A43" s="724" t="s">
        <v>364</v>
      </c>
      <c r="B43" s="726" t="s">
        <v>364</v>
      </c>
      <c r="C43" s="726" t="s">
        <v>364</v>
      </c>
      <c r="D43" s="726" t="s">
        <v>364</v>
      </c>
      <c r="E43" s="726" t="s">
        <v>364</v>
      </c>
      <c r="F43" s="726" t="s">
        <v>364</v>
      </c>
      <c r="G43" s="726" t="s">
        <v>364</v>
      </c>
      <c r="H43" s="726" t="s">
        <v>364</v>
      </c>
      <c r="I43" s="726" t="s">
        <v>364</v>
      </c>
      <c r="J43" s="726" t="s">
        <v>364</v>
      </c>
      <c r="K43" s="726" t="s">
        <v>364</v>
      </c>
    </row>
    <row r="44" spans="1:11">
      <c r="A44" s="724" t="s">
        <v>1183</v>
      </c>
      <c r="B44" s="726" t="s">
        <v>364</v>
      </c>
      <c r="C44" s="726" t="s">
        <v>364</v>
      </c>
      <c r="D44" s="726" t="s">
        <v>364</v>
      </c>
      <c r="E44" s="726" t="s">
        <v>364</v>
      </c>
      <c r="F44" s="726" t="s">
        <v>364</v>
      </c>
      <c r="G44" s="726" t="s">
        <v>364</v>
      </c>
      <c r="H44" s="726" t="s">
        <v>364</v>
      </c>
      <c r="I44" s="726" t="s">
        <v>364</v>
      </c>
      <c r="J44" s="726" t="s">
        <v>364</v>
      </c>
      <c r="K44" s="726" t="s">
        <v>364</v>
      </c>
    </row>
    <row r="45" spans="1:11">
      <c r="A45" s="724" t="s">
        <v>1184</v>
      </c>
      <c r="B45" s="725" t="s">
        <v>476</v>
      </c>
      <c r="C45" s="726">
        <v>6</v>
      </c>
      <c r="D45" s="726">
        <v>4</v>
      </c>
      <c r="E45" s="726">
        <v>7</v>
      </c>
      <c r="F45" s="726" t="s">
        <v>476</v>
      </c>
      <c r="G45" s="726">
        <v>10</v>
      </c>
      <c r="H45" s="726">
        <v>10</v>
      </c>
      <c r="I45" s="726">
        <v>5</v>
      </c>
      <c r="J45" s="726">
        <v>5</v>
      </c>
      <c r="K45" s="726">
        <v>5</v>
      </c>
    </row>
    <row r="46" spans="1:11">
      <c r="A46" s="724" t="s">
        <v>1185</v>
      </c>
      <c r="B46" s="725" t="s">
        <v>476</v>
      </c>
      <c r="C46" s="726">
        <v>75</v>
      </c>
      <c r="D46" s="726">
        <v>75</v>
      </c>
      <c r="E46" s="726">
        <v>75</v>
      </c>
      <c r="F46" s="726" t="s">
        <v>476</v>
      </c>
      <c r="G46" s="726">
        <v>75</v>
      </c>
      <c r="H46" s="726">
        <v>75</v>
      </c>
      <c r="I46" s="726">
        <v>75</v>
      </c>
      <c r="J46" s="726">
        <v>75</v>
      </c>
      <c r="K46" s="726">
        <v>75</v>
      </c>
    </row>
    <row r="47" spans="1:11">
      <c r="A47" s="724" t="s">
        <v>1186</v>
      </c>
      <c r="B47" s="725" t="s">
        <v>476</v>
      </c>
      <c r="C47" s="726">
        <v>75</v>
      </c>
      <c r="D47" s="726">
        <v>75</v>
      </c>
      <c r="E47" s="726">
        <v>75</v>
      </c>
      <c r="F47" s="726" t="s">
        <v>476</v>
      </c>
      <c r="G47" s="726">
        <v>75</v>
      </c>
      <c r="H47" s="726">
        <v>75</v>
      </c>
      <c r="I47" s="726">
        <v>75</v>
      </c>
      <c r="J47" s="726">
        <v>75</v>
      </c>
      <c r="K47" s="726">
        <v>75</v>
      </c>
    </row>
    <row r="48" spans="1:11">
      <c r="A48" s="724" t="s">
        <v>1187</v>
      </c>
      <c r="B48" s="725" t="s">
        <v>476</v>
      </c>
      <c r="C48" s="726">
        <v>0</v>
      </c>
      <c r="D48" s="726">
        <v>0</v>
      </c>
      <c r="E48" s="726">
        <v>0</v>
      </c>
      <c r="F48" s="726" t="s">
        <v>476</v>
      </c>
      <c r="G48" s="726">
        <v>0</v>
      </c>
      <c r="H48" s="726">
        <v>0</v>
      </c>
      <c r="I48" s="726">
        <v>0</v>
      </c>
      <c r="J48" s="726">
        <v>0</v>
      </c>
      <c r="K48" s="726">
        <v>0</v>
      </c>
    </row>
    <row r="49" spans="1:11">
      <c r="A49" s="724" t="s">
        <v>364</v>
      </c>
      <c r="B49" s="726" t="s">
        <v>364</v>
      </c>
      <c r="C49" s="726" t="s">
        <v>364</v>
      </c>
      <c r="D49" s="726" t="s">
        <v>364</v>
      </c>
      <c r="E49" s="726" t="s">
        <v>364</v>
      </c>
      <c r="F49" s="726" t="s">
        <v>364</v>
      </c>
      <c r="G49" s="726" t="s">
        <v>364</v>
      </c>
      <c r="H49" s="726" t="s">
        <v>364</v>
      </c>
      <c r="I49" s="726" t="s">
        <v>364</v>
      </c>
      <c r="J49" s="726" t="s">
        <v>364</v>
      </c>
      <c r="K49" s="726" t="s">
        <v>364</v>
      </c>
    </row>
    <row r="50" spans="1:11">
      <c r="A50" s="724" t="s">
        <v>1188</v>
      </c>
      <c r="B50" s="726" t="s">
        <v>364</v>
      </c>
      <c r="C50" s="726" t="s">
        <v>364</v>
      </c>
      <c r="D50" s="726" t="s">
        <v>364</v>
      </c>
      <c r="E50" s="726" t="s">
        <v>364</v>
      </c>
      <c r="F50" s="726" t="s">
        <v>364</v>
      </c>
      <c r="G50" s="726" t="s">
        <v>364</v>
      </c>
      <c r="H50" s="726" t="s">
        <v>364</v>
      </c>
      <c r="I50" s="726" t="s">
        <v>364</v>
      </c>
      <c r="J50" s="726" t="s">
        <v>364</v>
      </c>
      <c r="K50" s="726" t="s">
        <v>364</v>
      </c>
    </row>
    <row r="51" spans="1:11">
      <c r="A51" s="724" t="s">
        <v>1058</v>
      </c>
      <c r="B51" s="725" t="s">
        <v>476</v>
      </c>
      <c r="C51" s="726">
        <v>3</v>
      </c>
      <c r="D51" s="726">
        <v>3</v>
      </c>
      <c r="E51" s="726">
        <v>3</v>
      </c>
      <c r="F51" s="726" t="s">
        <v>476</v>
      </c>
      <c r="G51" s="726">
        <v>3</v>
      </c>
      <c r="H51" s="726">
        <v>4</v>
      </c>
      <c r="I51" s="726">
        <v>2</v>
      </c>
      <c r="J51" s="726">
        <v>3</v>
      </c>
      <c r="K51" s="726">
        <v>3</v>
      </c>
    </row>
    <row r="52" spans="1:11">
      <c r="A52" s="724" t="s">
        <v>1189</v>
      </c>
      <c r="B52" s="725" t="s">
        <v>476</v>
      </c>
      <c r="C52" s="726">
        <v>3</v>
      </c>
      <c r="D52" s="726">
        <v>3</v>
      </c>
      <c r="E52" s="726">
        <v>3</v>
      </c>
      <c r="F52" s="726" t="s">
        <v>476</v>
      </c>
      <c r="G52" s="726">
        <v>3</v>
      </c>
      <c r="H52" s="726">
        <v>4</v>
      </c>
      <c r="I52" s="726">
        <v>2</v>
      </c>
      <c r="J52" s="726">
        <v>3</v>
      </c>
      <c r="K52" s="726">
        <v>3</v>
      </c>
    </row>
    <row r="53" spans="1:11">
      <c r="A53" s="724" t="s">
        <v>1190</v>
      </c>
      <c r="B53" s="725" t="s">
        <v>476</v>
      </c>
      <c r="C53" s="726">
        <v>100</v>
      </c>
      <c r="D53" s="726">
        <v>100</v>
      </c>
      <c r="E53" s="726">
        <v>100</v>
      </c>
      <c r="F53" s="726" t="s">
        <v>476</v>
      </c>
      <c r="G53" s="726">
        <v>100</v>
      </c>
      <c r="H53" s="726">
        <v>100</v>
      </c>
      <c r="I53" s="726">
        <v>100</v>
      </c>
      <c r="J53" s="726">
        <v>100</v>
      </c>
      <c r="K53" s="726">
        <v>100</v>
      </c>
    </row>
    <row r="54" spans="1:11">
      <c r="A54" s="724" t="s">
        <v>1191</v>
      </c>
      <c r="B54" s="725" t="s">
        <v>1006</v>
      </c>
      <c r="C54" s="726" t="s">
        <v>1036</v>
      </c>
      <c r="D54" s="726" t="s">
        <v>1036</v>
      </c>
      <c r="E54" s="726" t="s">
        <v>1036</v>
      </c>
      <c r="F54" s="726" t="s">
        <v>1006</v>
      </c>
      <c r="G54" s="726" t="s">
        <v>1036</v>
      </c>
      <c r="H54" s="726" t="s">
        <v>1036</v>
      </c>
      <c r="I54" s="726" t="s">
        <v>1036</v>
      </c>
      <c r="J54" s="726" t="s">
        <v>1036</v>
      </c>
      <c r="K54" s="726" t="s">
        <v>1036</v>
      </c>
    </row>
    <row r="55" spans="1:11">
      <c r="A55" s="724" t="s">
        <v>1192</v>
      </c>
      <c r="B55" s="725" t="s">
        <v>476</v>
      </c>
      <c r="C55" s="726">
        <v>3</v>
      </c>
      <c r="D55" s="726">
        <v>3</v>
      </c>
      <c r="E55" s="726">
        <v>3</v>
      </c>
      <c r="F55" s="726" t="s">
        <v>476</v>
      </c>
      <c r="G55" s="726">
        <v>3</v>
      </c>
      <c r="H55" s="726">
        <v>4</v>
      </c>
      <c r="I55" s="726">
        <v>2</v>
      </c>
      <c r="J55" s="726">
        <v>3</v>
      </c>
      <c r="K55" s="726">
        <v>3</v>
      </c>
    </row>
    <row r="56" spans="1:11">
      <c r="A56" s="724" t="s">
        <v>1060</v>
      </c>
      <c r="B56" s="725" t="s">
        <v>476</v>
      </c>
      <c r="C56" s="726">
        <v>5</v>
      </c>
      <c r="D56" s="726">
        <v>5</v>
      </c>
      <c r="E56" s="726">
        <v>4</v>
      </c>
      <c r="F56" s="726" t="s">
        <v>476</v>
      </c>
      <c r="G56" s="726">
        <v>6</v>
      </c>
      <c r="H56" s="726">
        <v>4</v>
      </c>
      <c r="I56" s="726">
        <v>4</v>
      </c>
      <c r="J56" s="726">
        <v>4</v>
      </c>
      <c r="K56" s="726">
        <v>4</v>
      </c>
    </row>
    <row r="57" spans="1:11">
      <c r="A57" s="724" t="s">
        <v>1061</v>
      </c>
      <c r="B57" s="725" t="s">
        <v>476</v>
      </c>
      <c r="C57" s="726">
        <v>75</v>
      </c>
      <c r="D57" s="726">
        <v>75</v>
      </c>
      <c r="E57" s="726">
        <v>75</v>
      </c>
      <c r="F57" s="726" t="s">
        <v>476</v>
      </c>
      <c r="G57" s="726">
        <v>75</v>
      </c>
      <c r="H57" s="726">
        <v>75</v>
      </c>
      <c r="I57" s="726">
        <v>75</v>
      </c>
      <c r="J57" s="726">
        <v>75</v>
      </c>
      <c r="K57" s="726">
        <v>75</v>
      </c>
    </row>
    <row r="58" spans="1:11">
      <c r="A58" s="724" t="s">
        <v>364</v>
      </c>
      <c r="B58" s="726" t="s">
        <v>364</v>
      </c>
      <c r="C58" s="726" t="s">
        <v>364</v>
      </c>
      <c r="D58" s="726" t="s">
        <v>364</v>
      </c>
      <c r="E58" s="726" t="s">
        <v>364</v>
      </c>
      <c r="F58" s="726" t="s">
        <v>364</v>
      </c>
      <c r="G58" s="726" t="s">
        <v>364</v>
      </c>
      <c r="H58" s="726" t="s">
        <v>364</v>
      </c>
      <c r="I58" s="726" t="s">
        <v>364</v>
      </c>
      <c r="J58" s="726" t="s">
        <v>364</v>
      </c>
      <c r="K58" s="726" t="s">
        <v>364</v>
      </c>
    </row>
    <row r="59" spans="1:11">
      <c r="A59" s="724" t="s">
        <v>1193</v>
      </c>
      <c r="B59" s="726" t="s">
        <v>364</v>
      </c>
      <c r="C59" s="726" t="s">
        <v>364</v>
      </c>
      <c r="D59" s="726" t="s">
        <v>364</v>
      </c>
      <c r="E59" s="726" t="s">
        <v>364</v>
      </c>
      <c r="F59" s="726" t="s">
        <v>364</v>
      </c>
      <c r="G59" s="726" t="s">
        <v>364</v>
      </c>
      <c r="H59" s="726" t="s">
        <v>364</v>
      </c>
      <c r="I59" s="726" t="s">
        <v>364</v>
      </c>
      <c r="J59" s="726" t="s">
        <v>364</v>
      </c>
      <c r="K59" s="726" t="s">
        <v>364</v>
      </c>
    </row>
    <row r="60" spans="1:11">
      <c r="A60" s="724" t="s">
        <v>1072</v>
      </c>
      <c r="B60" s="725" t="s">
        <v>476</v>
      </c>
      <c r="C60" s="726">
        <v>2</v>
      </c>
      <c r="D60" s="726">
        <v>2</v>
      </c>
      <c r="E60" s="726">
        <v>2</v>
      </c>
      <c r="F60" s="726" t="s">
        <v>476</v>
      </c>
      <c r="G60" s="726">
        <v>2</v>
      </c>
      <c r="H60" s="726">
        <v>2</v>
      </c>
      <c r="I60" s="726">
        <v>2</v>
      </c>
      <c r="J60" s="726">
        <v>2</v>
      </c>
      <c r="K60" s="726">
        <v>2</v>
      </c>
    </row>
    <row r="61" spans="1:11">
      <c r="A61" s="724" t="s">
        <v>1194</v>
      </c>
      <c r="B61" s="725" t="s">
        <v>476</v>
      </c>
      <c r="C61" s="726">
        <v>2</v>
      </c>
      <c r="D61" s="726">
        <v>2</v>
      </c>
      <c r="E61" s="726">
        <v>2</v>
      </c>
      <c r="F61" s="726" t="s">
        <v>476</v>
      </c>
      <c r="G61" s="726">
        <v>2</v>
      </c>
      <c r="H61" s="726">
        <v>2</v>
      </c>
      <c r="I61" s="726">
        <v>2</v>
      </c>
      <c r="J61" s="726">
        <v>2</v>
      </c>
      <c r="K61" s="726">
        <v>2</v>
      </c>
    </row>
    <row r="62" spans="1:11">
      <c r="A62" s="724" t="s">
        <v>1195</v>
      </c>
      <c r="B62" s="725" t="s">
        <v>476</v>
      </c>
      <c r="C62" s="726">
        <v>100</v>
      </c>
      <c r="D62" s="726">
        <v>100</v>
      </c>
      <c r="E62" s="726">
        <v>100</v>
      </c>
      <c r="F62" s="726" t="s">
        <v>476</v>
      </c>
      <c r="G62" s="726">
        <v>100</v>
      </c>
      <c r="H62" s="726">
        <v>100</v>
      </c>
      <c r="I62" s="726">
        <v>100</v>
      </c>
      <c r="J62" s="726">
        <v>100</v>
      </c>
      <c r="K62" s="726">
        <v>100</v>
      </c>
    </row>
    <row r="63" spans="1:11">
      <c r="A63" s="724" t="s">
        <v>1196</v>
      </c>
      <c r="B63" s="725" t="s">
        <v>1006</v>
      </c>
      <c r="C63" s="726" t="s">
        <v>1036</v>
      </c>
      <c r="D63" s="726" t="s">
        <v>1036</v>
      </c>
      <c r="E63" s="726" t="s">
        <v>1036</v>
      </c>
      <c r="F63" s="726" t="s">
        <v>1006</v>
      </c>
      <c r="G63" s="726" t="s">
        <v>1036</v>
      </c>
      <c r="H63" s="726" t="s">
        <v>1036</v>
      </c>
      <c r="I63" s="726" t="s">
        <v>1036</v>
      </c>
      <c r="J63" s="726" t="s">
        <v>1036</v>
      </c>
      <c r="K63" s="726" t="s">
        <v>1036</v>
      </c>
    </row>
    <row r="64" spans="1:11">
      <c r="A64" s="724" t="s">
        <v>1197</v>
      </c>
      <c r="B64" s="725" t="s">
        <v>476</v>
      </c>
      <c r="C64" s="726">
        <v>2</v>
      </c>
      <c r="D64" s="726">
        <v>2</v>
      </c>
      <c r="E64" s="726">
        <v>2</v>
      </c>
      <c r="F64" s="726" t="s">
        <v>476</v>
      </c>
      <c r="G64" s="726">
        <v>2</v>
      </c>
      <c r="H64" s="726">
        <v>2</v>
      </c>
      <c r="I64" s="726">
        <v>2</v>
      </c>
      <c r="J64" s="726">
        <v>2</v>
      </c>
      <c r="K64" s="726">
        <v>2</v>
      </c>
    </row>
    <row r="65" spans="1:11">
      <c r="A65" s="724" t="s">
        <v>1198</v>
      </c>
      <c r="B65" s="725" t="s">
        <v>476</v>
      </c>
      <c r="C65" s="726">
        <v>8</v>
      </c>
      <c r="D65" s="726">
        <v>2</v>
      </c>
      <c r="E65" s="726">
        <v>3</v>
      </c>
      <c r="F65" s="726" t="s">
        <v>476</v>
      </c>
      <c r="G65" s="726">
        <v>5</v>
      </c>
      <c r="H65" s="726">
        <v>5</v>
      </c>
      <c r="I65" s="726">
        <v>6</v>
      </c>
      <c r="J65" s="726">
        <v>4</v>
      </c>
      <c r="K65" s="726">
        <v>4</v>
      </c>
    </row>
    <row r="66" spans="1:11">
      <c r="A66" s="724" t="s">
        <v>1075</v>
      </c>
      <c r="B66" s="725" t="s">
        <v>476</v>
      </c>
      <c r="C66" s="726">
        <v>75</v>
      </c>
      <c r="D66" s="726">
        <v>75</v>
      </c>
      <c r="E66" s="726">
        <v>75</v>
      </c>
      <c r="F66" s="726" t="s">
        <v>476</v>
      </c>
      <c r="G66" s="726">
        <v>75</v>
      </c>
      <c r="H66" s="726">
        <v>75</v>
      </c>
      <c r="I66" s="726">
        <v>75</v>
      </c>
      <c r="J66" s="726">
        <v>75</v>
      </c>
      <c r="K66" s="726">
        <v>75</v>
      </c>
    </row>
    <row r="67" spans="1:11">
      <c r="A67" s="724" t="s">
        <v>1199</v>
      </c>
      <c r="B67" s="725" t="s">
        <v>1006</v>
      </c>
      <c r="C67" s="726" t="s">
        <v>1036</v>
      </c>
      <c r="D67" s="726" t="s">
        <v>1036</v>
      </c>
      <c r="E67" s="726" t="s">
        <v>1036</v>
      </c>
      <c r="F67" s="726" t="s">
        <v>1006</v>
      </c>
      <c r="G67" s="726" t="s">
        <v>1036</v>
      </c>
      <c r="H67" s="726" t="s">
        <v>1036</v>
      </c>
      <c r="I67" s="726" t="s">
        <v>1036</v>
      </c>
      <c r="J67" s="726" t="s">
        <v>1036</v>
      </c>
      <c r="K67" s="726" t="s">
        <v>1036</v>
      </c>
    </row>
    <row r="68" spans="1:11">
      <c r="A68" s="724" t="s">
        <v>1200</v>
      </c>
      <c r="B68" s="725" t="s">
        <v>476</v>
      </c>
      <c r="C68" s="726">
        <v>3</v>
      </c>
      <c r="D68" s="726">
        <v>3</v>
      </c>
      <c r="E68" s="726">
        <v>3</v>
      </c>
      <c r="F68" s="726" t="s">
        <v>476</v>
      </c>
      <c r="G68" s="726">
        <v>3</v>
      </c>
      <c r="H68" s="726">
        <v>3</v>
      </c>
      <c r="I68" s="726">
        <v>3</v>
      </c>
      <c r="J68" s="726">
        <v>3</v>
      </c>
      <c r="K68" s="726">
        <v>3</v>
      </c>
    </row>
    <row r="69" spans="1:11">
      <c r="A69" s="724" t="s">
        <v>364</v>
      </c>
      <c r="B69" s="726" t="s">
        <v>364</v>
      </c>
      <c r="C69" s="726" t="s">
        <v>364</v>
      </c>
      <c r="D69" s="726" t="s">
        <v>364</v>
      </c>
      <c r="E69" s="726" t="s">
        <v>364</v>
      </c>
      <c r="F69" s="726" t="s">
        <v>364</v>
      </c>
      <c r="G69" s="726" t="s">
        <v>364</v>
      </c>
      <c r="H69" s="726" t="s">
        <v>364</v>
      </c>
      <c r="I69" s="726" t="s">
        <v>364</v>
      </c>
      <c r="J69" s="726" t="s">
        <v>364</v>
      </c>
      <c r="K69" s="726" t="s">
        <v>364</v>
      </c>
    </row>
    <row r="70" spans="1:11">
      <c r="A70" s="724" t="s">
        <v>1201</v>
      </c>
      <c r="B70" s="726" t="s">
        <v>364</v>
      </c>
      <c r="C70" s="726" t="s">
        <v>364</v>
      </c>
      <c r="D70" s="726" t="s">
        <v>364</v>
      </c>
      <c r="E70" s="726" t="s">
        <v>364</v>
      </c>
      <c r="F70" s="726" t="s">
        <v>364</v>
      </c>
      <c r="G70" s="726" t="s">
        <v>364</v>
      </c>
      <c r="H70" s="726" t="s">
        <v>364</v>
      </c>
      <c r="I70" s="726" t="s">
        <v>364</v>
      </c>
      <c r="J70" s="726" t="s">
        <v>364</v>
      </c>
      <c r="K70" s="726" t="s">
        <v>364</v>
      </c>
    </row>
    <row r="71" spans="1:11">
      <c r="A71" s="724" t="s">
        <v>1083</v>
      </c>
      <c r="B71" s="725" t="s">
        <v>476</v>
      </c>
      <c r="C71" s="726">
        <v>2</v>
      </c>
      <c r="D71" s="726">
        <v>2</v>
      </c>
      <c r="E71" s="726">
        <v>2</v>
      </c>
      <c r="F71" s="726" t="s">
        <v>476</v>
      </c>
      <c r="G71" s="726">
        <v>2</v>
      </c>
      <c r="H71" s="726">
        <v>2</v>
      </c>
      <c r="I71" s="726">
        <v>3</v>
      </c>
      <c r="J71" s="726">
        <v>3</v>
      </c>
      <c r="K71" s="726">
        <v>3</v>
      </c>
    </row>
    <row r="72" spans="1:11">
      <c r="A72" s="724" t="s">
        <v>1202</v>
      </c>
      <c r="B72" s="725" t="s">
        <v>476</v>
      </c>
      <c r="C72" s="726">
        <v>2</v>
      </c>
      <c r="D72" s="726">
        <v>2</v>
      </c>
      <c r="E72" s="726">
        <v>2</v>
      </c>
      <c r="F72" s="726" t="s">
        <v>476</v>
      </c>
      <c r="G72" s="726">
        <v>2</v>
      </c>
      <c r="H72" s="726">
        <v>2</v>
      </c>
      <c r="I72" s="726">
        <v>3</v>
      </c>
      <c r="J72" s="726">
        <v>3</v>
      </c>
      <c r="K72" s="726">
        <v>3</v>
      </c>
    </row>
    <row r="73" spans="1:11">
      <c r="A73" s="724" t="s">
        <v>1203</v>
      </c>
      <c r="B73" s="725" t="s">
        <v>476</v>
      </c>
      <c r="C73" s="726">
        <v>100</v>
      </c>
      <c r="D73" s="726">
        <v>100</v>
      </c>
      <c r="E73" s="726">
        <v>100</v>
      </c>
      <c r="F73" s="726" t="s">
        <v>476</v>
      </c>
      <c r="G73" s="726">
        <v>100</v>
      </c>
      <c r="H73" s="726">
        <v>100</v>
      </c>
      <c r="I73" s="726">
        <v>100</v>
      </c>
      <c r="J73" s="726">
        <v>100</v>
      </c>
      <c r="K73" s="726">
        <v>100</v>
      </c>
    </row>
    <row r="74" spans="1:11">
      <c r="A74" s="724" t="s">
        <v>1204</v>
      </c>
      <c r="B74" s="725" t="s">
        <v>1006</v>
      </c>
      <c r="C74" s="726" t="s">
        <v>1036</v>
      </c>
      <c r="D74" s="726" t="s">
        <v>1036</v>
      </c>
      <c r="E74" s="726" t="s">
        <v>1036</v>
      </c>
      <c r="F74" s="726" t="s">
        <v>1006</v>
      </c>
      <c r="G74" s="726" t="s">
        <v>1036</v>
      </c>
      <c r="H74" s="726" t="s">
        <v>1036</v>
      </c>
      <c r="I74" s="726" t="s">
        <v>1036</v>
      </c>
      <c r="J74" s="726" t="s">
        <v>1036</v>
      </c>
      <c r="K74" s="726" t="s">
        <v>1036</v>
      </c>
    </row>
    <row r="75" spans="1:11">
      <c r="A75" s="724" t="s">
        <v>1205</v>
      </c>
      <c r="B75" s="725" t="s">
        <v>476</v>
      </c>
      <c r="C75" s="726">
        <v>2</v>
      </c>
      <c r="D75" s="726">
        <v>2</v>
      </c>
      <c r="E75" s="726">
        <v>2</v>
      </c>
      <c r="F75" s="726" t="s">
        <v>476</v>
      </c>
      <c r="G75" s="726">
        <v>2</v>
      </c>
      <c r="H75" s="726">
        <v>2</v>
      </c>
      <c r="I75" s="726">
        <v>3</v>
      </c>
      <c r="J75" s="726">
        <v>3</v>
      </c>
      <c r="K75" s="726">
        <v>3</v>
      </c>
    </row>
    <row r="76" spans="1:11">
      <c r="A76" s="724" t="s">
        <v>1206</v>
      </c>
      <c r="B76" s="725" t="s">
        <v>476</v>
      </c>
      <c r="C76" s="726">
        <v>0</v>
      </c>
      <c r="D76" s="726">
        <v>2</v>
      </c>
      <c r="E76" s="726">
        <v>1</v>
      </c>
      <c r="F76" s="726" t="s">
        <v>476</v>
      </c>
      <c r="G76" s="726">
        <v>6</v>
      </c>
      <c r="H76" s="726">
        <v>3</v>
      </c>
      <c r="I76" s="726">
        <v>5</v>
      </c>
      <c r="J76" s="726">
        <v>3</v>
      </c>
      <c r="K76" s="726">
        <v>3</v>
      </c>
    </row>
    <row r="77" spans="1:11">
      <c r="A77" s="724" t="s">
        <v>1086</v>
      </c>
      <c r="B77" s="725" t="s">
        <v>476</v>
      </c>
      <c r="C77" s="726" t="s">
        <v>476</v>
      </c>
      <c r="D77" s="726">
        <v>75</v>
      </c>
      <c r="E77" s="726">
        <v>75</v>
      </c>
      <c r="F77" s="726" t="s">
        <v>476</v>
      </c>
      <c r="G77" s="726">
        <v>75</v>
      </c>
      <c r="H77" s="726">
        <v>75</v>
      </c>
      <c r="I77" s="726">
        <v>75</v>
      </c>
      <c r="J77" s="726">
        <v>75</v>
      </c>
      <c r="K77" s="726">
        <v>75</v>
      </c>
    </row>
    <row r="78" spans="1:11">
      <c r="A78" s="724" t="s">
        <v>364</v>
      </c>
      <c r="B78" s="726" t="s">
        <v>364</v>
      </c>
      <c r="C78" s="726" t="s">
        <v>364</v>
      </c>
      <c r="D78" s="726" t="s">
        <v>364</v>
      </c>
      <c r="E78" s="726" t="s">
        <v>364</v>
      </c>
      <c r="F78" s="726" t="s">
        <v>364</v>
      </c>
      <c r="G78" s="726" t="s">
        <v>364</v>
      </c>
      <c r="H78" s="726" t="s">
        <v>364</v>
      </c>
      <c r="I78" s="726" t="s">
        <v>364</v>
      </c>
      <c r="J78" s="726" t="s">
        <v>364</v>
      </c>
      <c r="K78" s="726" t="s">
        <v>364</v>
      </c>
    </row>
    <row r="79" spans="1:11">
      <c r="A79" s="724" t="s">
        <v>1207</v>
      </c>
      <c r="B79" s="726" t="s">
        <v>364</v>
      </c>
      <c r="C79" s="726" t="s">
        <v>364</v>
      </c>
      <c r="D79" s="726" t="s">
        <v>364</v>
      </c>
      <c r="E79" s="726" t="s">
        <v>364</v>
      </c>
      <c r="F79" s="726" t="s">
        <v>364</v>
      </c>
      <c r="G79" s="726" t="s">
        <v>364</v>
      </c>
      <c r="H79" s="726" t="s">
        <v>364</v>
      </c>
      <c r="I79" s="726" t="s">
        <v>364</v>
      </c>
      <c r="J79" s="726" t="s">
        <v>364</v>
      </c>
      <c r="K79" s="726" t="s">
        <v>364</v>
      </c>
    </row>
    <row r="80" spans="1:11">
      <c r="A80" s="724" t="s">
        <v>1207</v>
      </c>
      <c r="B80" s="725" t="s">
        <v>1006</v>
      </c>
      <c r="C80" s="726" t="s">
        <v>1005</v>
      </c>
      <c r="D80" s="726" t="s">
        <v>1005</v>
      </c>
      <c r="E80" s="726" t="s">
        <v>1005</v>
      </c>
      <c r="F80" s="726" t="s">
        <v>1006</v>
      </c>
      <c r="G80" s="726" t="s">
        <v>1005</v>
      </c>
      <c r="H80" s="726" t="s">
        <v>1036</v>
      </c>
      <c r="I80" s="726" t="s">
        <v>1036</v>
      </c>
      <c r="J80" s="726" t="s">
        <v>1036</v>
      </c>
      <c r="K80" s="726" t="s">
        <v>1036</v>
      </c>
    </row>
    <row r="81" spans="1:11">
      <c r="A81" s="724" t="s">
        <v>1208</v>
      </c>
      <c r="B81" s="725" t="s">
        <v>476</v>
      </c>
      <c r="C81" s="726">
        <v>0</v>
      </c>
      <c r="D81" s="726">
        <v>0</v>
      </c>
      <c r="E81" s="726">
        <v>0</v>
      </c>
      <c r="F81" s="726" t="s">
        <v>476</v>
      </c>
      <c r="G81" s="726">
        <v>0</v>
      </c>
      <c r="H81" s="726">
        <v>3</v>
      </c>
      <c r="I81" s="726">
        <v>3</v>
      </c>
      <c r="J81" s="726">
        <v>3</v>
      </c>
      <c r="K81" s="726">
        <v>3</v>
      </c>
    </row>
    <row r="82" spans="1:11">
      <c r="A82" s="724" t="s">
        <v>1209</v>
      </c>
      <c r="B82" s="725" t="s">
        <v>476</v>
      </c>
      <c r="C82" s="726" t="s">
        <v>476</v>
      </c>
      <c r="D82" s="726" t="s">
        <v>476</v>
      </c>
      <c r="E82" s="726" t="s">
        <v>476</v>
      </c>
      <c r="F82" s="726" t="s">
        <v>476</v>
      </c>
      <c r="G82" s="726" t="s">
        <v>476</v>
      </c>
      <c r="H82" s="726">
        <v>1</v>
      </c>
      <c r="I82" s="726">
        <v>3</v>
      </c>
      <c r="J82" s="726">
        <v>3</v>
      </c>
      <c r="K82" s="726">
        <v>3</v>
      </c>
    </row>
    <row r="83" spans="1:11">
      <c r="A83" s="724" t="s">
        <v>1210</v>
      </c>
      <c r="B83" s="725" t="s">
        <v>476</v>
      </c>
      <c r="C83" s="726" t="s">
        <v>476</v>
      </c>
      <c r="D83" s="726" t="s">
        <v>476</v>
      </c>
      <c r="E83" s="726" t="s">
        <v>476</v>
      </c>
      <c r="F83" s="726" t="s">
        <v>476</v>
      </c>
      <c r="G83" s="726" t="s">
        <v>476</v>
      </c>
      <c r="H83" s="726">
        <v>33.33</v>
      </c>
      <c r="I83" s="726">
        <v>100</v>
      </c>
      <c r="J83" s="726">
        <v>100</v>
      </c>
      <c r="K83" s="726">
        <v>100</v>
      </c>
    </row>
    <row r="84" spans="1:11">
      <c r="A84" s="724" t="s">
        <v>1211</v>
      </c>
      <c r="B84" s="725" t="s">
        <v>1006</v>
      </c>
      <c r="C84" s="726" t="s">
        <v>1006</v>
      </c>
      <c r="D84" s="726" t="s">
        <v>1006</v>
      </c>
      <c r="E84" s="726" t="s">
        <v>1006</v>
      </c>
      <c r="F84" s="726" t="s">
        <v>1006</v>
      </c>
      <c r="G84" s="726" t="s">
        <v>1006</v>
      </c>
      <c r="H84" s="726" t="s">
        <v>1036</v>
      </c>
      <c r="I84" s="726" t="s">
        <v>1036</v>
      </c>
      <c r="J84" s="726" t="s">
        <v>1036</v>
      </c>
      <c r="K84" s="726" t="s">
        <v>1036</v>
      </c>
    </row>
    <row r="85" spans="1:11">
      <c r="A85" s="724" t="s">
        <v>1212</v>
      </c>
      <c r="B85" s="725" t="s">
        <v>476</v>
      </c>
      <c r="C85" s="726" t="s">
        <v>476</v>
      </c>
      <c r="D85" s="726" t="s">
        <v>476</v>
      </c>
      <c r="E85" s="726" t="s">
        <v>476</v>
      </c>
      <c r="F85" s="726" t="s">
        <v>476</v>
      </c>
      <c r="G85" s="726" t="s">
        <v>476</v>
      </c>
      <c r="H85" s="726">
        <v>3</v>
      </c>
      <c r="I85" s="726">
        <v>3</v>
      </c>
      <c r="J85" s="726">
        <v>3</v>
      </c>
      <c r="K85" s="726">
        <v>3</v>
      </c>
    </row>
    <row r="86" spans="1:11">
      <c r="A86" s="724" t="s">
        <v>1213</v>
      </c>
      <c r="B86" s="725" t="s">
        <v>476</v>
      </c>
      <c r="C86" s="726" t="s">
        <v>476</v>
      </c>
      <c r="D86" s="726" t="s">
        <v>476</v>
      </c>
      <c r="E86" s="726" t="s">
        <v>476</v>
      </c>
      <c r="F86" s="726" t="s">
        <v>476</v>
      </c>
      <c r="G86" s="726" t="s">
        <v>476</v>
      </c>
      <c r="H86" s="726">
        <v>3</v>
      </c>
      <c r="I86" s="726">
        <v>5</v>
      </c>
      <c r="J86" s="726">
        <v>3</v>
      </c>
      <c r="K86" s="726">
        <v>3</v>
      </c>
    </row>
    <row r="87" spans="1:11">
      <c r="A87" s="724" t="s">
        <v>1214</v>
      </c>
      <c r="B87" s="725" t="s">
        <v>476</v>
      </c>
      <c r="C87" s="726" t="s">
        <v>476</v>
      </c>
      <c r="D87" s="726" t="s">
        <v>476</v>
      </c>
      <c r="E87" s="726" t="s">
        <v>476</v>
      </c>
      <c r="F87" s="726" t="s">
        <v>476</v>
      </c>
      <c r="G87" s="726" t="s">
        <v>476</v>
      </c>
      <c r="H87" s="726">
        <v>75</v>
      </c>
      <c r="I87" s="726">
        <v>75</v>
      </c>
      <c r="J87" s="726">
        <v>75</v>
      </c>
      <c r="K87" s="726">
        <v>75</v>
      </c>
    </row>
    <row r="88" spans="1:11">
      <c r="A88" s="724" t="s">
        <v>364</v>
      </c>
      <c r="B88" s="726" t="s">
        <v>364</v>
      </c>
      <c r="C88" s="726" t="s">
        <v>364</v>
      </c>
      <c r="D88" s="726" t="s">
        <v>364</v>
      </c>
      <c r="E88" s="726" t="s">
        <v>364</v>
      </c>
      <c r="F88" s="726" t="s">
        <v>364</v>
      </c>
      <c r="G88" s="726" t="s">
        <v>364</v>
      </c>
      <c r="H88" s="726" t="s">
        <v>364</v>
      </c>
      <c r="I88" s="726" t="s">
        <v>364</v>
      </c>
      <c r="J88" s="726" t="s">
        <v>364</v>
      </c>
      <c r="K88" s="726" t="s">
        <v>364</v>
      </c>
    </row>
    <row r="89" spans="1:11">
      <c r="A89" s="724" t="s">
        <v>1215</v>
      </c>
      <c r="B89" s="726" t="s">
        <v>364</v>
      </c>
      <c r="C89" s="726" t="s">
        <v>364</v>
      </c>
      <c r="D89" s="726" t="s">
        <v>364</v>
      </c>
      <c r="E89" s="726" t="s">
        <v>364</v>
      </c>
      <c r="F89" s="726" t="s">
        <v>364</v>
      </c>
      <c r="G89" s="726" t="s">
        <v>364</v>
      </c>
      <c r="H89" s="726" t="s">
        <v>364</v>
      </c>
      <c r="I89" s="726" t="s">
        <v>364</v>
      </c>
      <c r="J89" s="726" t="s">
        <v>364</v>
      </c>
      <c r="K89" s="726" t="s">
        <v>364</v>
      </c>
    </row>
    <row r="90" spans="1:11">
      <c r="A90" s="724" t="s">
        <v>1216</v>
      </c>
      <c r="B90" s="725" t="s">
        <v>1006</v>
      </c>
      <c r="C90" s="726" t="s">
        <v>1005</v>
      </c>
      <c r="D90" s="726" t="s">
        <v>1005</v>
      </c>
      <c r="E90" s="726" t="s">
        <v>1005</v>
      </c>
      <c r="F90" s="726" t="s">
        <v>1006</v>
      </c>
      <c r="G90" s="726" t="s">
        <v>1005</v>
      </c>
      <c r="H90" s="726" t="s">
        <v>1005</v>
      </c>
      <c r="I90" s="726" t="s">
        <v>1005</v>
      </c>
      <c r="J90" s="726" t="s">
        <v>1005</v>
      </c>
      <c r="K90" s="726" t="s">
        <v>1005</v>
      </c>
    </row>
    <row r="91" spans="1:11">
      <c r="A91" s="724" t="s">
        <v>1217</v>
      </c>
      <c r="B91" s="725" t="s">
        <v>1006</v>
      </c>
      <c r="C91" s="726" t="s">
        <v>1005</v>
      </c>
      <c r="D91" s="726" t="s">
        <v>1005</v>
      </c>
      <c r="E91" s="726" t="s">
        <v>1005</v>
      </c>
      <c r="F91" s="726" t="s">
        <v>1006</v>
      </c>
      <c r="G91" s="726" t="s">
        <v>1005</v>
      </c>
      <c r="H91" s="726" t="s">
        <v>1005</v>
      </c>
      <c r="I91" s="726" t="s">
        <v>1005</v>
      </c>
      <c r="J91" s="726" t="s">
        <v>1005</v>
      </c>
      <c r="K91" s="726" t="s">
        <v>1005</v>
      </c>
    </row>
    <row r="92" spans="1:11">
      <c r="A92" s="724" t="s">
        <v>1218</v>
      </c>
      <c r="B92" s="725" t="s">
        <v>1006</v>
      </c>
      <c r="C92" s="726" t="s">
        <v>1005</v>
      </c>
      <c r="D92" s="726" t="s">
        <v>1005</v>
      </c>
      <c r="E92" s="726" t="s">
        <v>1005</v>
      </c>
      <c r="F92" s="726" t="s">
        <v>1006</v>
      </c>
      <c r="G92" s="726" t="s">
        <v>1005</v>
      </c>
      <c r="H92" s="726" t="s">
        <v>1005</v>
      </c>
      <c r="I92" s="726" t="s">
        <v>1005</v>
      </c>
      <c r="J92" s="726" t="s">
        <v>1005</v>
      </c>
      <c r="K92" s="726" t="s">
        <v>1005</v>
      </c>
    </row>
    <row r="93" spans="1:11">
      <c r="A93" s="724" t="s">
        <v>1219</v>
      </c>
      <c r="B93" s="725" t="s">
        <v>1006</v>
      </c>
      <c r="C93" s="726" t="s">
        <v>1006</v>
      </c>
      <c r="D93" s="726" t="s">
        <v>1006</v>
      </c>
      <c r="E93" s="726" t="s">
        <v>1005</v>
      </c>
      <c r="F93" s="726" t="s">
        <v>1006</v>
      </c>
      <c r="G93" s="726" t="s">
        <v>1005</v>
      </c>
      <c r="H93" s="726" t="s">
        <v>1005</v>
      </c>
      <c r="I93" s="726" t="s">
        <v>1005</v>
      </c>
      <c r="J93" s="726" t="s">
        <v>1005</v>
      </c>
      <c r="K93" s="726" t="s">
        <v>1005</v>
      </c>
    </row>
    <row r="94" spans="1:11">
      <c r="A94" s="724" t="s">
        <v>1220</v>
      </c>
      <c r="B94" s="725" t="s">
        <v>1006</v>
      </c>
      <c r="C94" s="726" t="s">
        <v>1005</v>
      </c>
      <c r="D94" s="726" t="s">
        <v>1005</v>
      </c>
      <c r="E94" s="726" t="s">
        <v>1005</v>
      </c>
      <c r="F94" s="726" t="s">
        <v>1006</v>
      </c>
      <c r="G94" s="726" t="s">
        <v>1005</v>
      </c>
      <c r="H94" s="726" t="s">
        <v>1005</v>
      </c>
      <c r="I94" s="726" t="s">
        <v>1005</v>
      </c>
      <c r="J94" s="726" t="s">
        <v>1005</v>
      </c>
      <c r="K94" s="726" t="s">
        <v>1005</v>
      </c>
    </row>
    <row r="95" spans="1:11">
      <c r="A95" s="724" t="s">
        <v>1221</v>
      </c>
      <c r="B95" s="725" t="s">
        <v>1006</v>
      </c>
      <c r="C95" s="726" t="s">
        <v>1005</v>
      </c>
      <c r="D95" s="726" t="s">
        <v>1005</v>
      </c>
      <c r="E95" s="726" t="s">
        <v>1005</v>
      </c>
      <c r="F95" s="726" t="s">
        <v>1006</v>
      </c>
      <c r="G95" s="726" t="s">
        <v>1005</v>
      </c>
      <c r="H95" s="726" t="s">
        <v>1036</v>
      </c>
      <c r="I95" s="726" t="s">
        <v>1036</v>
      </c>
      <c r="J95" s="726" t="s">
        <v>1036</v>
      </c>
      <c r="K95" s="726" t="s">
        <v>1036</v>
      </c>
    </row>
    <row r="96" spans="1:11">
      <c r="A96" s="724" t="s">
        <v>1222</v>
      </c>
      <c r="B96" s="725" t="s">
        <v>1006</v>
      </c>
      <c r="C96" s="726" t="s">
        <v>1036</v>
      </c>
      <c r="D96" s="726" t="s">
        <v>1036</v>
      </c>
      <c r="E96" s="726" t="s">
        <v>1036</v>
      </c>
      <c r="F96" s="726" t="s">
        <v>1006</v>
      </c>
      <c r="G96" s="726" t="s">
        <v>1036</v>
      </c>
      <c r="H96" s="726" t="s">
        <v>1036</v>
      </c>
      <c r="I96" s="726" t="s">
        <v>1036</v>
      </c>
      <c r="J96" s="726" t="s">
        <v>1036</v>
      </c>
      <c r="K96" s="726" t="s">
        <v>1036</v>
      </c>
    </row>
    <row r="97" spans="1:11">
      <c r="A97" s="724" t="s">
        <v>1223</v>
      </c>
      <c r="B97" s="725" t="s">
        <v>1006</v>
      </c>
      <c r="C97" s="726" t="s">
        <v>1006</v>
      </c>
      <c r="D97" s="726" t="s">
        <v>1006</v>
      </c>
      <c r="E97" s="726" t="s">
        <v>1006</v>
      </c>
      <c r="F97" s="726" t="s">
        <v>1006</v>
      </c>
      <c r="G97" s="726" t="s">
        <v>1005</v>
      </c>
      <c r="H97" s="726" t="s">
        <v>1036</v>
      </c>
      <c r="I97" s="726" t="s">
        <v>1036</v>
      </c>
      <c r="J97" s="726" t="s">
        <v>1036</v>
      </c>
      <c r="K97" s="726" t="s">
        <v>1036</v>
      </c>
    </row>
    <row r="98" spans="1:11">
      <c r="A98" s="724" t="s">
        <v>1224</v>
      </c>
      <c r="B98" s="725" t="s">
        <v>476</v>
      </c>
      <c r="C98" s="726" t="s">
        <v>476</v>
      </c>
      <c r="D98" s="726" t="s">
        <v>476</v>
      </c>
      <c r="E98" s="726" t="s">
        <v>476</v>
      </c>
      <c r="F98" s="726" t="s">
        <v>476</v>
      </c>
      <c r="G98" s="726" t="s">
        <v>476</v>
      </c>
      <c r="H98" s="726">
        <v>54</v>
      </c>
      <c r="I98" s="726">
        <v>42</v>
      </c>
      <c r="J98" s="726">
        <v>46</v>
      </c>
      <c r="K98" s="726">
        <v>63</v>
      </c>
    </row>
    <row r="99" spans="1:11">
      <c r="A99" s="724" t="s">
        <v>1225</v>
      </c>
      <c r="B99" s="725" t="s">
        <v>476</v>
      </c>
      <c r="C99" s="726" t="s">
        <v>476</v>
      </c>
      <c r="D99" s="726" t="s">
        <v>476</v>
      </c>
      <c r="E99" s="726" t="s">
        <v>476</v>
      </c>
      <c r="F99" s="726" t="s">
        <v>476</v>
      </c>
      <c r="G99" s="726" t="s">
        <v>476</v>
      </c>
      <c r="H99" s="727">
        <v>100340</v>
      </c>
      <c r="I99" s="727">
        <v>123656</v>
      </c>
      <c r="J99" s="727">
        <v>122207</v>
      </c>
      <c r="K99" s="727">
        <v>133805</v>
      </c>
    </row>
    <row r="100" spans="1:11">
      <c r="A100" s="724" t="s">
        <v>1226</v>
      </c>
      <c r="B100" s="725" t="s">
        <v>476</v>
      </c>
      <c r="C100" s="726" t="s">
        <v>476</v>
      </c>
      <c r="D100" s="726" t="s">
        <v>476</v>
      </c>
      <c r="E100" s="726" t="s">
        <v>476</v>
      </c>
      <c r="F100" s="726" t="s">
        <v>476</v>
      </c>
      <c r="G100" s="726" t="s">
        <v>476</v>
      </c>
      <c r="H100" s="727">
        <v>5448920</v>
      </c>
      <c r="I100" s="727">
        <v>5234200</v>
      </c>
      <c r="J100" s="727">
        <v>5634120</v>
      </c>
      <c r="K100" s="727">
        <v>8434390</v>
      </c>
    </row>
    <row r="101" spans="1:11">
      <c r="A101" s="724" t="s">
        <v>1029</v>
      </c>
      <c r="B101" s="725" t="s">
        <v>1006</v>
      </c>
      <c r="C101" s="726" t="s">
        <v>1006</v>
      </c>
      <c r="D101" s="726" t="s">
        <v>1006</v>
      </c>
      <c r="E101" s="726" t="s">
        <v>1006</v>
      </c>
      <c r="F101" s="726" t="s">
        <v>1006</v>
      </c>
      <c r="G101" s="726" t="s">
        <v>1006</v>
      </c>
      <c r="H101" s="726" t="s">
        <v>1005</v>
      </c>
      <c r="I101" s="726" t="s">
        <v>1005</v>
      </c>
      <c r="J101" s="726" t="s">
        <v>1005</v>
      </c>
      <c r="K101" s="726" t="s">
        <v>1006</v>
      </c>
    </row>
    <row r="102" spans="1:11">
      <c r="A102" s="724" t="s">
        <v>1030</v>
      </c>
      <c r="B102" s="725" t="s">
        <v>1006</v>
      </c>
      <c r="C102" s="726" t="s">
        <v>1006</v>
      </c>
      <c r="D102" s="726" t="s">
        <v>1006</v>
      </c>
      <c r="E102" s="726" t="s">
        <v>1006</v>
      </c>
      <c r="F102" s="726" t="s">
        <v>1006</v>
      </c>
      <c r="G102" s="726" t="s">
        <v>1006</v>
      </c>
      <c r="H102" s="726" t="s">
        <v>1005</v>
      </c>
      <c r="I102" s="726" t="s">
        <v>1005</v>
      </c>
      <c r="J102" s="726" t="s">
        <v>1005</v>
      </c>
      <c r="K102" s="726" t="s">
        <v>1006</v>
      </c>
    </row>
    <row r="103" spans="1:11">
      <c r="A103" s="724" t="s">
        <v>364</v>
      </c>
      <c r="B103" s="726" t="s">
        <v>364</v>
      </c>
      <c r="C103" s="726" t="s">
        <v>364</v>
      </c>
      <c r="D103" s="726" t="s">
        <v>364</v>
      </c>
      <c r="E103" s="726" t="s">
        <v>364</v>
      </c>
      <c r="F103" s="726" t="s">
        <v>364</v>
      </c>
      <c r="G103" s="726" t="s">
        <v>364</v>
      </c>
      <c r="H103" s="726" t="s">
        <v>364</v>
      </c>
      <c r="I103" s="726" t="s">
        <v>364</v>
      </c>
      <c r="J103" s="726" t="s">
        <v>364</v>
      </c>
      <c r="K103" s="726" t="s">
        <v>364</v>
      </c>
    </row>
    <row r="104" spans="1:11">
      <c r="A104" s="724" t="s">
        <v>1227</v>
      </c>
      <c r="B104" s="726" t="s">
        <v>364</v>
      </c>
      <c r="C104" s="726" t="s">
        <v>364</v>
      </c>
      <c r="D104" s="726" t="s">
        <v>364</v>
      </c>
      <c r="E104" s="726" t="s">
        <v>364</v>
      </c>
      <c r="F104" s="726" t="s">
        <v>364</v>
      </c>
      <c r="G104" s="726" t="s">
        <v>364</v>
      </c>
      <c r="H104" s="726" t="s">
        <v>364</v>
      </c>
      <c r="I104" s="726" t="s">
        <v>364</v>
      </c>
      <c r="J104" s="726" t="s">
        <v>364</v>
      </c>
      <c r="K104" s="726" t="s">
        <v>364</v>
      </c>
    </row>
    <row r="105" spans="1:11">
      <c r="A105" s="724" t="s">
        <v>1228</v>
      </c>
      <c r="B105" s="725" t="s">
        <v>1006</v>
      </c>
      <c r="C105" s="726" t="s">
        <v>1006</v>
      </c>
      <c r="D105" s="726" t="s">
        <v>1006</v>
      </c>
      <c r="E105" s="726" t="s">
        <v>1006</v>
      </c>
      <c r="F105" s="726" t="s">
        <v>1006</v>
      </c>
      <c r="G105" s="726" t="s">
        <v>1005</v>
      </c>
      <c r="H105" s="726" t="s">
        <v>1005</v>
      </c>
      <c r="I105" s="726" t="s">
        <v>1005</v>
      </c>
      <c r="J105" s="726" t="s">
        <v>1005</v>
      </c>
      <c r="K105" s="726" t="s">
        <v>1005</v>
      </c>
    </row>
    <row r="106" spans="1:11">
      <c r="A106" s="724" t="s">
        <v>1229</v>
      </c>
      <c r="B106" s="725" t="s">
        <v>1006</v>
      </c>
      <c r="C106" s="726" t="s">
        <v>1006</v>
      </c>
      <c r="D106" s="726" t="s">
        <v>1006</v>
      </c>
      <c r="E106" s="726" t="s">
        <v>1006</v>
      </c>
      <c r="F106" s="726" t="s">
        <v>1006</v>
      </c>
      <c r="G106" s="726" t="s">
        <v>1005</v>
      </c>
      <c r="H106" s="726" t="s">
        <v>1005</v>
      </c>
      <c r="I106" s="726" t="s">
        <v>1005</v>
      </c>
      <c r="J106" s="726" t="s">
        <v>1005</v>
      </c>
      <c r="K106" s="726" t="s">
        <v>1005</v>
      </c>
    </row>
    <row r="107" spans="1:11">
      <c r="A107" s="724" t="s">
        <v>1230</v>
      </c>
      <c r="B107" s="725" t="s">
        <v>1006</v>
      </c>
      <c r="C107" s="726" t="s">
        <v>1006</v>
      </c>
      <c r="D107" s="726" t="s">
        <v>1006</v>
      </c>
      <c r="E107" s="726" t="s">
        <v>1006</v>
      </c>
      <c r="F107" s="726" t="s">
        <v>1006</v>
      </c>
      <c r="G107" s="726" t="s">
        <v>1036</v>
      </c>
      <c r="H107" s="726" t="s">
        <v>1036</v>
      </c>
      <c r="I107" s="726" t="s">
        <v>1036</v>
      </c>
      <c r="J107" s="726" t="s">
        <v>1036</v>
      </c>
      <c r="K107" s="726" t="s">
        <v>1036</v>
      </c>
    </row>
    <row r="108" spans="1:11">
      <c r="A108" s="724" t="s">
        <v>1231</v>
      </c>
      <c r="B108" s="725" t="s">
        <v>1006</v>
      </c>
      <c r="C108" s="726" t="s">
        <v>1006</v>
      </c>
      <c r="D108" s="726" t="s">
        <v>1006</v>
      </c>
      <c r="E108" s="726" t="s">
        <v>1006</v>
      </c>
      <c r="F108" s="726" t="s">
        <v>1006</v>
      </c>
      <c r="G108" s="726" t="s">
        <v>1005</v>
      </c>
      <c r="H108" s="726" t="s">
        <v>1005</v>
      </c>
      <c r="I108" s="726" t="s">
        <v>1005</v>
      </c>
      <c r="J108" s="726" t="s">
        <v>1005</v>
      </c>
      <c r="K108" s="726" t="s">
        <v>1005</v>
      </c>
    </row>
    <row r="109" spans="1:11">
      <c r="A109" s="724" t="s">
        <v>1232</v>
      </c>
      <c r="B109" s="725" t="s">
        <v>1006</v>
      </c>
      <c r="C109" s="726" t="s">
        <v>1006</v>
      </c>
      <c r="D109" s="726" t="s">
        <v>1006</v>
      </c>
      <c r="E109" s="726" t="s">
        <v>1006</v>
      </c>
      <c r="F109" s="726" t="s">
        <v>1006</v>
      </c>
      <c r="G109" s="726" t="s">
        <v>1005</v>
      </c>
      <c r="H109" s="726" t="s">
        <v>1005</v>
      </c>
      <c r="I109" s="726" t="s">
        <v>1005</v>
      </c>
      <c r="J109" s="726" t="s">
        <v>1005</v>
      </c>
      <c r="K109" s="726" t="s">
        <v>1005</v>
      </c>
    </row>
    <row r="110" spans="1:11">
      <c r="A110" s="724" t="s">
        <v>364</v>
      </c>
      <c r="B110" s="726" t="s">
        <v>364</v>
      </c>
      <c r="C110" s="726" t="s">
        <v>364</v>
      </c>
      <c r="D110" s="726" t="s">
        <v>364</v>
      </c>
      <c r="E110" s="726" t="s">
        <v>364</v>
      </c>
      <c r="F110" s="726" t="s">
        <v>364</v>
      </c>
      <c r="G110" s="726" t="s">
        <v>364</v>
      </c>
      <c r="H110" s="726" t="s">
        <v>364</v>
      </c>
      <c r="I110" s="726" t="s">
        <v>364</v>
      </c>
      <c r="J110" s="726" t="s">
        <v>364</v>
      </c>
      <c r="K110" s="726" t="s">
        <v>364</v>
      </c>
    </row>
    <row r="111" spans="1:11">
      <c r="A111" s="724" t="s">
        <v>1233</v>
      </c>
      <c r="B111" s="726" t="s">
        <v>364</v>
      </c>
      <c r="C111" s="726" t="s">
        <v>364</v>
      </c>
      <c r="D111" s="726" t="s">
        <v>364</v>
      </c>
      <c r="E111" s="726" t="s">
        <v>364</v>
      </c>
      <c r="F111" s="726" t="s">
        <v>364</v>
      </c>
      <c r="G111" s="726" t="s">
        <v>364</v>
      </c>
      <c r="H111" s="726" t="s">
        <v>364</v>
      </c>
      <c r="I111" s="726" t="s">
        <v>364</v>
      </c>
      <c r="J111" s="726" t="s">
        <v>364</v>
      </c>
      <c r="K111" s="726" t="s">
        <v>364</v>
      </c>
    </row>
    <row r="112" spans="1:11">
      <c r="A112" s="724" t="s">
        <v>1234</v>
      </c>
      <c r="B112" s="725" t="s">
        <v>1006</v>
      </c>
      <c r="C112" s="726" t="s">
        <v>1006</v>
      </c>
      <c r="D112" s="726" t="s">
        <v>1005</v>
      </c>
      <c r="E112" s="726" t="s">
        <v>1005</v>
      </c>
      <c r="F112" s="726" t="s">
        <v>1006</v>
      </c>
      <c r="G112" s="726" t="s">
        <v>1005</v>
      </c>
      <c r="H112" s="726" t="s">
        <v>1005</v>
      </c>
      <c r="I112" s="726" t="s">
        <v>1005</v>
      </c>
      <c r="J112" s="726" t="s">
        <v>1005</v>
      </c>
      <c r="K112" s="726" t="s">
        <v>1005</v>
      </c>
    </row>
    <row r="113" spans="1:11">
      <c r="A113" s="724" t="s">
        <v>1235</v>
      </c>
      <c r="B113" s="725" t="s">
        <v>476</v>
      </c>
      <c r="C113" s="726">
        <v>0</v>
      </c>
      <c r="D113" s="726">
        <v>0</v>
      </c>
      <c r="E113" s="726">
        <v>0</v>
      </c>
      <c r="F113" s="726" t="s">
        <v>476</v>
      </c>
      <c r="G113" s="726">
        <v>0</v>
      </c>
      <c r="H113" s="726">
        <v>0</v>
      </c>
      <c r="I113" s="726">
        <v>0</v>
      </c>
      <c r="J113" s="726">
        <v>0</v>
      </c>
      <c r="K113" s="726">
        <v>0</v>
      </c>
    </row>
    <row r="114" spans="1:11">
      <c r="A114" s="724" t="s">
        <v>1236</v>
      </c>
      <c r="B114" s="725" t="s">
        <v>1005</v>
      </c>
      <c r="C114" s="726" t="s">
        <v>1005</v>
      </c>
      <c r="D114" s="726" t="s">
        <v>1005</v>
      </c>
      <c r="E114" s="726" t="s">
        <v>1005</v>
      </c>
      <c r="F114" s="726" t="s">
        <v>1005</v>
      </c>
      <c r="G114" s="726" t="s">
        <v>1005</v>
      </c>
      <c r="H114" s="726" t="s">
        <v>1005</v>
      </c>
      <c r="I114" s="726" t="s">
        <v>1005</v>
      </c>
      <c r="J114" s="726" t="s">
        <v>1005</v>
      </c>
      <c r="K114" s="726" t="s">
        <v>1005</v>
      </c>
    </row>
    <row r="115" spans="1:11">
      <c r="A115" s="724" t="s">
        <v>1237</v>
      </c>
      <c r="B115" s="725" t="s">
        <v>1005</v>
      </c>
      <c r="C115" s="726" t="s">
        <v>1005</v>
      </c>
      <c r="D115" s="726" t="s">
        <v>1005</v>
      </c>
      <c r="E115" s="726" t="s">
        <v>1005</v>
      </c>
      <c r="F115" s="726" t="s">
        <v>1005</v>
      </c>
      <c r="G115" s="726" t="s">
        <v>1005</v>
      </c>
      <c r="H115" s="726" t="s">
        <v>1005</v>
      </c>
      <c r="I115" s="726" t="s">
        <v>1005</v>
      </c>
      <c r="J115" s="726" t="s">
        <v>1005</v>
      </c>
      <c r="K115" s="726" t="s">
        <v>1005</v>
      </c>
    </row>
    <row r="116" spans="1:11">
      <c r="A116" s="724" t="s">
        <v>1238</v>
      </c>
      <c r="B116" s="725" t="s">
        <v>1005</v>
      </c>
      <c r="C116" s="726" t="s">
        <v>1005</v>
      </c>
      <c r="D116" s="726" t="s">
        <v>1005</v>
      </c>
      <c r="E116" s="726" t="s">
        <v>1005</v>
      </c>
      <c r="F116" s="726" t="s">
        <v>1005</v>
      </c>
      <c r="G116" s="726" t="s">
        <v>1005</v>
      </c>
      <c r="H116" s="726" t="s">
        <v>1005</v>
      </c>
      <c r="I116" s="726" t="s">
        <v>1005</v>
      </c>
      <c r="J116" s="726" t="s">
        <v>1005</v>
      </c>
      <c r="K116" s="726" t="s">
        <v>1005</v>
      </c>
    </row>
    <row r="117" spans="1:11">
      <c r="A117" s="724" t="s">
        <v>1239</v>
      </c>
      <c r="B117" s="725" t="s">
        <v>1005</v>
      </c>
      <c r="C117" s="726" t="s">
        <v>1005</v>
      </c>
      <c r="D117" s="726" t="s">
        <v>1005</v>
      </c>
      <c r="E117" s="726" t="s">
        <v>1005</v>
      </c>
      <c r="F117" s="726" t="s">
        <v>1005</v>
      </c>
      <c r="G117" s="726" t="s">
        <v>1005</v>
      </c>
      <c r="H117" s="726" t="s">
        <v>1005</v>
      </c>
      <c r="I117" s="726" t="s">
        <v>1005</v>
      </c>
      <c r="J117" s="726" t="s">
        <v>1005</v>
      </c>
      <c r="K117" s="726" t="s">
        <v>1005</v>
      </c>
    </row>
    <row r="118" spans="1:11">
      <c r="A118" s="724" t="s">
        <v>1240</v>
      </c>
      <c r="B118" s="725" t="s">
        <v>1006</v>
      </c>
      <c r="C118" s="726" t="s">
        <v>1036</v>
      </c>
      <c r="D118" s="726" t="s">
        <v>1036</v>
      </c>
      <c r="E118" s="726" t="s">
        <v>1005</v>
      </c>
      <c r="F118" s="726" t="s">
        <v>1006</v>
      </c>
      <c r="G118" s="726" t="s">
        <v>1005</v>
      </c>
      <c r="H118" s="726" t="s">
        <v>1005</v>
      </c>
      <c r="I118" s="726" t="s">
        <v>1005</v>
      </c>
      <c r="J118" s="726" t="s">
        <v>1005</v>
      </c>
      <c r="K118" s="726" t="s">
        <v>1005</v>
      </c>
    </row>
    <row r="119" spans="1:11">
      <c r="A119" s="724" t="s">
        <v>1241</v>
      </c>
      <c r="B119" s="725" t="s">
        <v>1006</v>
      </c>
      <c r="C119" s="726" t="s">
        <v>1005</v>
      </c>
      <c r="D119" s="726" t="s">
        <v>1005</v>
      </c>
      <c r="E119" s="726" t="s">
        <v>1005</v>
      </c>
      <c r="F119" s="726" t="s">
        <v>1006</v>
      </c>
      <c r="G119" s="726" t="s">
        <v>1005</v>
      </c>
      <c r="H119" s="726" t="s">
        <v>1005</v>
      </c>
      <c r="I119" s="726" t="s">
        <v>1005</v>
      </c>
      <c r="J119" s="726" t="s">
        <v>1005</v>
      </c>
      <c r="K119" s="726" t="s">
        <v>1005</v>
      </c>
    </row>
    <row r="120" spans="1:11">
      <c r="A120" s="724" t="s">
        <v>1242</v>
      </c>
      <c r="B120" s="725" t="s">
        <v>1006</v>
      </c>
      <c r="C120" s="726" t="s">
        <v>1006</v>
      </c>
      <c r="D120" s="726" t="s">
        <v>1036</v>
      </c>
      <c r="E120" s="726" t="s">
        <v>1036</v>
      </c>
      <c r="F120" s="726" t="s">
        <v>1006</v>
      </c>
      <c r="G120" s="726" t="s">
        <v>1036</v>
      </c>
      <c r="H120" s="726" t="s">
        <v>1036</v>
      </c>
      <c r="I120" s="726" t="s">
        <v>1036</v>
      </c>
      <c r="J120" s="726" t="s">
        <v>1036</v>
      </c>
      <c r="K120" s="726" t="s">
        <v>1036</v>
      </c>
    </row>
    <row r="121" spans="1:11">
      <c r="A121" s="724" t="s">
        <v>1243</v>
      </c>
      <c r="B121" s="725" t="s">
        <v>1006</v>
      </c>
      <c r="C121" s="726" t="s">
        <v>1036</v>
      </c>
      <c r="D121" s="726" t="s">
        <v>1036</v>
      </c>
      <c r="E121" s="726" t="s">
        <v>1036</v>
      </c>
      <c r="F121" s="726" t="s">
        <v>1006</v>
      </c>
      <c r="G121" s="726" t="s">
        <v>1036</v>
      </c>
      <c r="H121" s="726" t="s">
        <v>1036</v>
      </c>
      <c r="I121" s="726" t="s">
        <v>1036</v>
      </c>
      <c r="J121" s="726" t="s">
        <v>1036</v>
      </c>
      <c r="K121" s="726" t="s">
        <v>1036</v>
      </c>
    </row>
    <row r="122" spans="1:11">
      <c r="A122" s="724" t="s">
        <v>1244</v>
      </c>
      <c r="B122" s="725" t="s">
        <v>1006</v>
      </c>
      <c r="C122" s="726" t="s">
        <v>1005</v>
      </c>
      <c r="D122" s="726" t="s">
        <v>1005</v>
      </c>
      <c r="E122" s="726" t="s">
        <v>1005</v>
      </c>
      <c r="F122" s="726" t="s">
        <v>1006</v>
      </c>
      <c r="G122" s="726" t="s">
        <v>1005</v>
      </c>
      <c r="H122" s="726" t="s">
        <v>1005</v>
      </c>
      <c r="I122" s="726" t="s">
        <v>1005</v>
      </c>
      <c r="J122" s="726" t="s">
        <v>1005</v>
      </c>
      <c r="K122" s="726" t="s">
        <v>1005</v>
      </c>
    </row>
    <row r="123" spans="1:11">
      <c r="A123" s="724" t="s">
        <v>1245</v>
      </c>
      <c r="B123" s="725" t="s">
        <v>476</v>
      </c>
      <c r="C123" s="726">
        <v>2</v>
      </c>
      <c r="D123" s="726">
        <v>2</v>
      </c>
      <c r="E123" s="726">
        <v>2</v>
      </c>
      <c r="F123" s="726" t="s">
        <v>476</v>
      </c>
      <c r="G123" s="726">
        <v>2</v>
      </c>
      <c r="H123" s="726">
        <v>2</v>
      </c>
      <c r="I123" s="726">
        <v>2</v>
      </c>
      <c r="J123" s="726">
        <v>2</v>
      </c>
      <c r="K123" s="726">
        <v>2</v>
      </c>
    </row>
    <row r="124" spans="1:11">
      <c r="A124" s="724" t="s">
        <v>1246</v>
      </c>
      <c r="B124" s="725" t="s">
        <v>1006</v>
      </c>
      <c r="C124" s="726" t="s">
        <v>1005</v>
      </c>
      <c r="D124" s="726" t="s">
        <v>1005</v>
      </c>
      <c r="E124" s="726" t="s">
        <v>1005</v>
      </c>
      <c r="F124" s="726" t="s">
        <v>1006</v>
      </c>
      <c r="G124" s="726" t="s">
        <v>1005</v>
      </c>
      <c r="H124" s="726" t="s">
        <v>1005</v>
      </c>
      <c r="I124" s="726" t="s">
        <v>1005</v>
      </c>
      <c r="J124" s="726" t="s">
        <v>1005</v>
      </c>
      <c r="K124" s="726" t="s">
        <v>1005</v>
      </c>
    </row>
    <row r="125" spans="1:11">
      <c r="A125" s="724" t="s">
        <v>1091</v>
      </c>
      <c r="B125" s="725" t="s">
        <v>476</v>
      </c>
      <c r="C125" s="726">
        <v>3</v>
      </c>
      <c r="D125" s="726">
        <v>3</v>
      </c>
      <c r="E125" s="726">
        <v>3</v>
      </c>
      <c r="F125" s="726" t="s">
        <v>476</v>
      </c>
      <c r="G125" s="726">
        <v>3</v>
      </c>
      <c r="H125" s="726">
        <v>3</v>
      </c>
      <c r="I125" s="726">
        <v>3</v>
      </c>
      <c r="J125" s="726">
        <v>3</v>
      </c>
      <c r="K125" s="726">
        <v>3</v>
      </c>
    </row>
    <row r="126" spans="1:11">
      <c r="A126" s="724" t="s">
        <v>1247</v>
      </c>
      <c r="B126" s="725" t="s">
        <v>476</v>
      </c>
      <c r="C126" s="726">
        <v>3</v>
      </c>
      <c r="D126" s="726">
        <v>3</v>
      </c>
      <c r="E126" s="726">
        <v>3</v>
      </c>
      <c r="F126" s="726" t="s">
        <v>476</v>
      </c>
      <c r="G126" s="726">
        <v>3</v>
      </c>
      <c r="H126" s="726">
        <v>3</v>
      </c>
      <c r="I126" s="726">
        <v>3</v>
      </c>
      <c r="J126" s="726">
        <v>3</v>
      </c>
      <c r="K126" s="726">
        <v>3</v>
      </c>
    </row>
    <row r="127" spans="1:11">
      <c r="A127" s="724" t="s">
        <v>364</v>
      </c>
      <c r="B127" s="726" t="s">
        <v>364</v>
      </c>
      <c r="C127" s="726" t="s">
        <v>364</v>
      </c>
      <c r="D127" s="726" t="s">
        <v>364</v>
      </c>
      <c r="E127" s="726" t="s">
        <v>364</v>
      </c>
      <c r="F127" s="726" t="s">
        <v>364</v>
      </c>
      <c r="G127" s="726" t="s">
        <v>364</v>
      </c>
      <c r="H127" s="726" t="s">
        <v>364</v>
      </c>
      <c r="I127" s="726" t="s">
        <v>364</v>
      </c>
      <c r="J127" s="726" t="s">
        <v>364</v>
      </c>
      <c r="K127" s="726" t="s">
        <v>364</v>
      </c>
    </row>
    <row r="128" spans="1:11">
      <c r="A128" s="724" t="s">
        <v>1248</v>
      </c>
      <c r="B128" s="726" t="s">
        <v>364</v>
      </c>
      <c r="C128" s="726" t="s">
        <v>364</v>
      </c>
      <c r="D128" s="726" t="s">
        <v>364</v>
      </c>
      <c r="E128" s="726" t="s">
        <v>364</v>
      </c>
      <c r="F128" s="726" t="s">
        <v>364</v>
      </c>
      <c r="G128" s="726" t="s">
        <v>364</v>
      </c>
      <c r="H128" s="726" t="s">
        <v>364</v>
      </c>
      <c r="I128" s="726" t="s">
        <v>364</v>
      </c>
      <c r="J128" s="726" t="s">
        <v>364</v>
      </c>
      <c r="K128" s="726" t="s">
        <v>364</v>
      </c>
    </row>
    <row r="129" spans="1:11">
      <c r="A129" s="724" t="s">
        <v>1249</v>
      </c>
      <c r="B129" s="725" t="s">
        <v>1006</v>
      </c>
      <c r="C129" s="726" t="s">
        <v>1006</v>
      </c>
      <c r="D129" s="726" t="s">
        <v>1006</v>
      </c>
      <c r="E129" s="726" t="s">
        <v>1006</v>
      </c>
      <c r="F129" s="726" t="s">
        <v>1006</v>
      </c>
      <c r="G129" s="726" t="s">
        <v>1036</v>
      </c>
      <c r="H129" s="726" t="s">
        <v>1036</v>
      </c>
      <c r="I129" s="726" t="s">
        <v>1036</v>
      </c>
      <c r="J129" s="726" t="s">
        <v>1036</v>
      </c>
      <c r="K129" s="726" t="s">
        <v>1036</v>
      </c>
    </row>
    <row r="130" spans="1:11">
      <c r="A130" s="724" t="s">
        <v>1250</v>
      </c>
      <c r="B130" s="725" t="s">
        <v>476</v>
      </c>
      <c r="C130" s="726" t="s">
        <v>476</v>
      </c>
      <c r="D130" s="726" t="s">
        <v>476</v>
      </c>
      <c r="E130" s="726" t="s">
        <v>476</v>
      </c>
      <c r="F130" s="726" t="s">
        <v>476</v>
      </c>
      <c r="G130" s="726">
        <v>1</v>
      </c>
      <c r="H130" s="726">
        <v>1</v>
      </c>
      <c r="I130" s="726">
        <v>1</v>
      </c>
      <c r="J130" s="726">
        <v>1</v>
      </c>
      <c r="K130" s="726">
        <v>1</v>
      </c>
    </row>
    <row r="131" spans="1:11">
      <c r="A131" s="724" t="s">
        <v>1251</v>
      </c>
      <c r="B131" s="725" t="s">
        <v>476</v>
      </c>
      <c r="C131" s="726" t="s">
        <v>476</v>
      </c>
      <c r="D131" s="726" t="s">
        <v>476</v>
      </c>
      <c r="E131" s="726" t="s">
        <v>476</v>
      </c>
      <c r="F131" s="726" t="s">
        <v>476</v>
      </c>
      <c r="G131" s="726">
        <v>65.52</v>
      </c>
      <c r="H131" s="726">
        <v>94.81</v>
      </c>
      <c r="I131" s="726">
        <v>97.34</v>
      </c>
      <c r="J131" s="726">
        <v>93.03</v>
      </c>
      <c r="K131" s="726">
        <v>94.19</v>
      </c>
    </row>
    <row r="132" spans="1:11">
      <c r="A132" s="724" t="s">
        <v>1252</v>
      </c>
      <c r="B132" s="725" t="s">
        <v>476</v>
      </c>
      <c r="C132" s="726" t="s">
        <v>476</v>
      </c>
      <c r="D132" s="726" t="s">
        <v>476</v>
      </c>
      <c r="E132" s="726" t="s">
        <v>476</v>
      </c>
      <c r="F132" s="726" t="s">
        <v>476</v>
      </c>
      <c r="G132" s="726">
        <v>27.5</v>
      </c>
      <c r="H132" s="726">
        <v>41.7</v>
      </c>
      <c r="I132" s="726">
        <v>34.6</v>
      </c>
      <c r="J132" s="726">
        <v>40.700000000000003</v>
      </c>
      <c r="K132" s="726">
        <v>40.700000000000003</v>
      </c>
    </row>
    <row r="133" spans="1:11">
      <c r="A133" s="724" t="s">
        <v>1253</v>
      </c>
      <c r="B133" s="725" t="s">
        <v>476</v>
      </c>
      <c r="C133" s="726" t="s">
        <v>476</v>
      </c>
      <c r="D133" s="726" t="s">
        <v>476</v>
      </c>
      <c r="E133" s="726" t="s">
        <v>476</v>
      </c>
      <c r="F133" s="726" t="s">
        <v>476</v>
      </c>
      <c r="G133" s="726">
        <v>14.5</v>
      </c>
      <c r="H133" s="726">
        <v>2.2999999999999998</v>
      </c>
      <c r="I133" s="726">
        <v>0.9</v>
      </c>
      <c r="J133" s="726">
        <v>3.1</v>
      </c>
      <c r="K133" s="726">
        <v>2.5</v>
      </c>
    </row>
    <row r="134" spans="1:11">
      <c r="A134" s="724" t="s">
        <v>1254</v>
      </c>
      <c r="B134" s="725" t="s">
        <v>476</v>
      </c>
      <c r="C134" s="726" t="s">
        <v>476</v>
      </c>
      <c r="D134" s="726" t="s">
        <v>476</v>
      </c>
      <c r="E134" s="726" t="s">
        <v>476</v>
      </c>
      <c r="F134" s="726" t="s">
        <v>476</v>
      </c>
      <c r="G134" s="726">
        <v>1.3</v>
      </c>
      <c r="H134" s="726">
        <v>0.4</v>
      </c>
      <c r="I134" s="726">
        <v>0.2</v>
      </c>
      <c r="J134" s="726">
        <v>0.1</v>
      </c>
      <c r="K134" s="726">
        <v>0.1</v>
      </c>
    </row>
    <row r="135" spans="1:11">
      <c r="A135" s="724" t="s">
        <v>1255</v>
      </c>
      <c r="B135" s="725" t="s">
        <v>476</v>
      </c>
      <c r="C135" s="726" t="s">
        <v>476</v>
      </c>
      <c r="D135" s="726" t="s">
        <v>476</v>
      </c>
      <c r="E135" s="726" t="s">
        <v>476</v>
      </c>
      <c r="F135" s="726" t="s">
        <v>476</v>
      </c>
      <c r="G135" s="726">
        <v>2.2999999999999998</v>
      </c>
      <c r="H135" s="726">
        <v>4.2</v>
      </c>
      <c r="I135" s="726">
        <v>2</v>
      </c>
      <c r="J135" s="726">
        <v>4.5999999999999996</v>
      </c>
      <c r="K135" s="726">
        <v>4.9000000000000004</v>
      </c>
    </row>
    <row r="136" spans="1:11">
      <c r="A136" s="724" t="s">
        <v>1256</v>
      </c>
      <c r="B136" s="725" t="s">
        <v>1006</v>
      </c>
      <c r="C136" s="726" t="s">
        <v>1036</v>
      </c>
      <c r="D136" s="726" t="s">
        <v>1036</v>
      </c>
      <c r="E136" s="726" t="s">
        <v>1036</v>
      </c>
      <c r="F136" s="726" t="s">
        <v>1006</v>
      </c>
      <c r="G136" s="726" t="s">
        <v>1036</v>
      </c>
      <c r="H136" s="726" t="s">
        <v>1036</v>
      </c>
      <c r="I136" s="726" t="s">
        <v>1036</v>
      </c>
      <c r="J136" s="726" t="s">
        <v>1036</v>
      </c>
      <c r="K136" s="726" t="s">
        <v>1036</v>
      </c>
    </row>
    <row r="137" spans="1:11">
      <c r="A137" s="724" t="s">
        <v>1257</v>
      </c>
      <c r="B137" s="725" t="s">
        <v>476</v>
      </c>
      <c r="C137" s="726">
        <v>99.99</v>
      </c>
      <c r="D137" s="726">
        <v>99.86</v>
      </c>
      <c r="E137" s="726">
        <v>99.9</v>
      </c>
      <c r="F137" s="726" t="s">
        <v>476</v>
      </c>
      <c r="G137" s="726">
        <v>99.99</v>
      </c>
      <c r="H137" s="726">
        <v>99.91</v>
      </c>
      <c r="I137" s="726">
        <v>98.85</v>
      </c>
      <c r="J137" s="726">
        <v>99.62</v>
      </c>
      <c r="K137" s="726">
        <v>98.89</v>
      </c>
    </row>
    <row r="138" spans="1:11">
      <c r="A138" s="724" t="s">
        <v>1258</v>
      </c>
      <c r="B138" s="725" t="s">
        <v>476</v>
      </c>
      <c r="C138" s="726">
        <v>41.9</v>
      </c>
      <c r="D138" s="726">
        <v>46.3</v>
      </c>
      <c r="E138" s="726">
        <v>46.8</v>
      </c>
      <c r="F138" s="726" t="s">
        <v>476</v>
      </c>
      <c r="G138" s="726">
        <v>45.5</v>
      </c>
      <c r="H138" s="726">
        <v>48.4</v>
      </c>
      <c r="I138" s="726">
        <v>37.1</v>
      </c>
      <c r="J138" s="726">
        <v>48.2</v>
      </c>
      <c r="K138" s="726">
        <v>47.5</v>
      </c>
    </row>
    <row r="139" spans="1:11">
      <c r="A139" s="724" t="s">
        <v>1259</v>
      </c>
      <c r="B139" s="725" t="s">
        <v>476</v>
      </c>
      <c r="C139" s="726">
        <v>0</v>
      </c>
      <c r="D139" s="726">
        <v>0.1</v>
      </c>
      <c r="E139" s="726">
        <v>0</v>
      </c>
      <c r="F139" s="726" t="s">
        <v>476</v>
      </c>
      <c r="G139" s="726">
        <v>0</v>
      </c>
      <c r="H139" s="726">
        <v>0</v>
      </c>
      <c r="I139" s="726">
        <v>0.4</v>
      </c>
      <c r="J139" s="726">
        <v>0.2</v>
      </c>
      <c r="K139" s="726">
        <v>0.5</v>
      </c>
    </row>
    <row r="140" spans="1:11">
      <c r="A140" s="724" t="s">
        <v>1260</v>
      </c>
      <c r="B140" s="725" t="s">
        <v>476</v>
      </c>
      <c r="C140" s="726">
        <v>0</v>
      </c>
      <c r="D140" s="726">
        <v>0</v>
      </c>
      <c r="E140" s="726">
        <v>0.1</v>
      </c>
      <c r="F140" s="726" t="s">
        <v>476</v>
      </c>
      <c r="G140" s="726">
        <v>0</v>
      </c>
      <c r="H140" s="726">
        <v>0.1</v>
      </c>
      <c r="I140" s="726">
        <v>0.2</v>
      </c>
      <c r="J140" s="726">
        <v>0.1</v>
      </c>
      <c r="K140" s="726">
        <v>0.1</v>
      </c>
    </row>
    <row r="141" spans="1:11">
      <c r="A141" s="724" t="s">
        <v>1261</v>
      </c>
      <c r="B141" s="725" t="s">
        <v>476</v>
      </c>
      <c r="C141" s="726">
        <v>0</v>
      </c>
      <c r="D141" s="726" t="s">
        <v>476</v>
      </c>
      <c r="E141" s="726" t="s">
        <v>476</v>
      </c>
      <c r="F141" s="726" t="s">
        <v>476</v>
      </c>
      <c r="G141" s="726">
        <v>0</v>
      </c>
      <c r="H141" s="726">
        <v>0</v>
      </c>
      <c r="I141" s="726">
        <v>0</v>
      </c>
      <c r="J141" s="726">
        <v>0</v>
      </c>
      <c r="K141" s="726">
        <v>0</v>
      </c>
    </row>
    <row r="142" spans="1:11">
      <c r="A142" s="724" t="s">
        <v>1057</v>
      </c>
      <c r="B142" s="725" t="s">
        <v>476</v>
      </c>
      <c r="C142" s="726">
        <v>3</v>
      </c>
      <c r="D142" s="726">
        <v>4</v>
      </c>
      <c r="E142" s="726">
        <v>5</v>
      </c>
      <c r="F142" s="726" t="s">
        <v>476</v>
      </c>
      <c r="G142" s="726">
        <v>6</v>
      </c>
      <c r="H142" s="726">
        <v>7</v>
      </c>
      <c r="I142" s="726">
        <v>8</v>
      </c>
      <c r="J142" s="726">
        <v>9</v>
      </c>
      <c r="K142" s="726">
        <v>10</v>
      </c>
    </row>
    <row r="143" spans="1:11">
      <c r="A143" s="724" t="s">
        <v>364</v>
      </c>
      <c r="B143" s="726" t="s">
        <v>364</v>
      </c>
      <c r="C143" s="726" t="s">
        <v>364</v>
      </c>
      <c r="D143" s="726" t="s">
        <v>364</v>
      </c>
      <c r="E143" s="726" t="s">
        <v>364</v>
      </c>
      <c r="F143" s="726" t="s">
        <v>364</v>
      </c>
      <c r="G143" s="726" t="s">
        <v>364</v>
      </c>
      <c r="H143" s="726" t="s">
        <v>364</v>
      </c>
      <c r="I143" s="726" t="s">
        <v>364</v>
      </c>
      <c r="J143" s="726" t="s">
        <v>364</v>
      </c>
      <c r="K143" s="726" t="s">
        <v>364</v>
      </c>
    </row>
    <row r="144" spans="1:11">
      <c r="A144" s="724" t="s">
        <v>1262</v>
      </c>
      <c r="B144" s="726" t="s">
        <v>364</v>
      </c>
      <c r="C144" s="726" t="s">
        <v>364</v>
      </c>
      <c r="D144" s="726" t="s">
        <v>364</v>
      </c>
      <c r="E144" s="726" t="s">
        <v>364</v>
      </c>
      <c r="F144" s="726" t="s">
        <v>364</v>
      </c>
      <c r="G144" s="726" t="s">
        <v>364</v>
      </c>
      <c r="H144" s="726" t="s">
        <v>364</v>
      </c>
      <c r="I144" s="726" t="s">
        <v>364</v>
      </c>
      <c r="J144" s="726" t="s">
        <v>364</v>
      </c>
      <c r="K144" s="726" t="s">
        <v>364</v>
      </c>
    </row>
    <row r="145" spans="1:11">
      <c r="A145" s="734" t="s">
        <v>788</v>
      </c>
      <c r="B145" s="734" t="s">
        <v>789</v>
      </c>
      <c r="C145" s="735"/>
      <c r="D145" s="735"/>
      <c r="E145" s="735"/>
      <c r="F145" s="735"/>
      <c r="G145" s="734" t="s">
        <v>364</v>
      </c>
      <c r="H145" s="734" t="s">
        <v>364</v>
      </c>
      <c r="I145" s="734" t="s">
        <v>364</v>
      </c>
      <c r="J145" s="734" t="s">
        <v>364</v>
      </c>
      <c r="K145" s="734" t="s">
        <v>364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D2187-D8AC-4A38-8B36-A69D87432AF6}">
  <dimension ref="A1:L49"/>
  <sheetViews>
    <sheetView topLeftCell="A6" workbookViewId="0">
      <selection activeCell="N5" sqref="N5:O11"/>
    </sheetView>
  </sheetViews>
  <sheetFormatPr defaultColWidth="8.875" defaultRowHeight="14.1"/>
  <cols>
    <col min="1" max="1" width="30" customWidth="1"/>
    <col min="2" max="11" width="13.125" customWidth="1"/>
  </cols>
  <sheetData>
    <row r="1" spans="1:12" ht="14.45">
      <c r="A1" s="709" t="s">
        <v>364</v>
      </c>
      <c r="B1" s="709" t="s">
        <v>364</v>
      </c>
      <c r="C1" s="709" t="s">
        <v>364</v>
      </c>
      <c r="D1" s="709" t="s">
        <v>364</v>
      </c>
      <c r="E1" s="709" t="s">
        <v>364</v>
      </c>
      <c r="F1" s="709" t="s">
        <v>364</v>
      </c>
      <c r="G1" s="709" t="s">
        <v>364</v>
      </c>
      <c r="H1" s="709" t="s">
        <v>364</v>
      </c>
      <c r="I1" s="709" t="s">
        <v>364</v>
      </c>
      <c r="J1" s="709" t="s">
        <v>364</v>
      </c>
      <c r="K1" s="709" t="s">
        <v>364</v>
      </c>
    </row>
    <row r="2" spans="1:12" ht="20.100000000000001">
      <c r="A2" s="710" t="s">
        <v>1263</v>
      </c>
      <c r="B2" s="711"/>
      <c r="C2" s="711"/>
      <c r="D2" s="711"/>
      <c r="E2" s="711"/>
      <c r="F2" s="710" t="s">
        <v>364</v>
      </c>
      <c r="G2" s="710" t="s">
        <v>364</v>
      </c>
      <c r="H2" s="710" t="s">
        <v>364</v>
      </c>
      <c r="I2" s="710" t="s">
        <v>364</v>
      </c>
      <c r="J2" s="710" t="s">
        <v>364</v>
      </c>
      <c r="K2" s="710" t="s">
        <v>364</v>
      </c>
      <c r="L2" s="710" t="s">
        <v>364</v>
      </c>
    </row>
    <row r="3" spans="1:12">
      <c r="A3" s="712" t="s">
        <v>364</v>
      </c>
      <c r="B3" s="712" t="s">
        <v>364</v>
      </c>
      <c r="C3" s="712" t="s">
        <v>364</v>
      </c>
      <c r="D3" s="712" t="s">
        <v>364</v>
      </c>
      <c r="E3" s="712" t="s">
        <v>364</v>
      </c>
      <c r="F3" s="712" t="s">
        <v>364</v>
      </c>
      <c r="G3" s="712" t="s">
        <v>364</v>
      </c>
      <c r="H3" s="712" t="s">
        <v>364</v>
      </c>
      <c r="I3" s="712" t="s">
        <v>364</v>
      </c>
      <c r="J3" s="712" t="s">
        <v>364</v>
      </c>
      <c r="K3" s="712" t="s">
        <v>364</v>
      </c>
    </row>
    <row r="4" spans="1:12">
      <c r="A4" s="713" t="s">
        <v>735</v>
      </c>
      <c r="B4" s="714" t="s">
        <v>484</v>
      </c>
      <c r="C4" s="714" t="s">
        <v>485</v>
      </c>
      <c r="D4" s="714" t="s">
        <v>486</v>
      </c>
      <c r="E4" s="714" t="s">
        <v>487</v>
      </c>
      <c r="F4" s="714" t="s">
        <v>488</v>
      </c>
      <c r="G4" s="714" t="s">
        <v>489</v>
      </c>
      <c r="H4" s="714" t="s">
        <v>490</v>
      </c>
      <c r="I4" s="714" t="s">
        <v>491</v>
      </c>
      <c r="J4" s="714" t="s">
        <v>492</v>
      </c>
      <c r="K4" s="714" t="s">
        <v>493</v>
      </c>
    </row>
    <row r="5" spans="1:12">
      <c r="A5" s="715" t="s">
        <v>737</v>
      </c>
      <c r="B5" s="717">
        <v>42369</v>
      </c>
      <c r="C5" s="717">
        <v>42735</v>
      </c>
      <c r="D5" s="717">
        <v>43100</v>
      </c>
      <c r="E5" s="717">
        <v>43465</v>
      </c>
      <c r="F5" s="717">
        <v>43555</v>
      </c>
      <c r="G5" s="717">
        <v>43921</v>
      </c>
      <c r="H5" s="717">
        <v>44286</v>
      </c>
      <c r="I5" s="717">
        <v>44651</v>
      </c>
      <c r="J5" s="717">
        <v>45016</v>
      </c>
      <c r="K5" s="717">
        <v>45382</v>
      </c>
    </row>
    <row r="6" spans="1:12">
      <c r="A6" s="718" t="s">
        <v>1264</v>
      </c>
      <c r="B6" s="720" t="s">
        <v>364</v>
      </c>
      <c r="C6" s="720" t="s">
        <v>364</v>
      </c>
      <c r="D6" s="720" t="s">
        <v>364</v>
      </c>
      <c r="E6" s="720" t="s">
        <v>364</v>
      </c>
      <c r="F6" s="720" t="s">
        <v>364</v>
      </c>
      <c r="G6" s="720" t="s">
        <v>364</v>
      </c>
      <c r="H6" s="720" t="s">
        <v>364</v>
      </c>
      <c r="I6" s="720" t="s">
        <v>364</v>
      </c>
      <c r="J6" s="720" t="s">
        <v>364</v>
      </c>
      <c r="K6" s="720" t="s">
        <v>364</v>
      </c>
    </row>
    <row r="7" spans="1:12">
      <c r="A7" s="718" t="s">
        <v>1265</v>
      </c>
      <c r="B7" s="744">
        <v>4012931</v>
      </c>
      <c r="C7" s="721">
        <v>11984691</v>
      </c>
      <c r="D7" s="721">
        <v>17885921</v>
      </c>
      <c r="E7" s="721">
        <v>15649898</v>
      </c>
      <c r="F7" s="721">
        <v>5903596</v>
      </c>
      <c r="G7" s="721">
        <v>6971786</v>
      </c>
      <c r="H7" s="721">
        <v>13077821</v>
      </c>
      <c r="I7" s="721">
        <v>13716429</v>
      </c>
      <c r="J7" s="721">
        <v>17109923</v>
      </c>
      <c r="K7" s="721">
        <v>27110644</v>
      </c>
    </row>
    <row r="8" spans="1:12">
      <c r="A8" s="718" t="s">
        <v>1266</v>
      </c>
      <c r="B8" s="744">
        <v>3091760</v>
      </c>
      <c r="C8" s="721">
        <v>3072500</v>
      </c>
      <c r="D8" s="721">
        <v>2010187</v>
      </c>
      <c r="E8" s="721">
        <v>1225000</v>
      </c>
      <c r="F8" s="721">
        <v>440849</v>
      </c>
      <c r="G8" s="721">
        <v>3584670</v>
      </c>
      <c r="H8" s="721">
        <v>3880000</v>
      </c>
      <c r="I8" s="721">
        <v>3880000</v>
      </c>
      <c r="J8" s="721">
        <v>4075000</v>
      </c>
      <c r="K8" s="721">
        <v>4075000</v>
      </c>
    </row>
    <row r="9" spans="1:12">
      <c r="A9" s="724" t="s">
        <v>1267</v>
      </c>
      <c r="B9" s="745">
        <v>1920833</v>
      </c>
      <c r="C9" s="727">
        <v>1847500</v>
      </c>
      <c r="D9" s="727">
        <v>785187</v>
      </c>
      <c r="E9" s="726">
        <v>0</v>
      </c>
      <c r="F9" s="726">
        <v>0</v>
      </c>
      <c r="G9" s="727">
        <v>2065343</v>
      </c>
      <c r="H9" s="727">
        <v>2080000</v>
      </c>
      <c r="I9" s="727">
        <v>2080000</v>
      </c>
      <c r="J9" s="727">
        <v>2275000</v>
      </c>
      <c r="K9" s="727">
        <v>2275000</v>
      </c>
    </row>
    <row r="10" spans="1:12">
      <c r="A10" s="724" t="s">
        <v>1268</v>
      </c>
      <c r="B10" s="745">
        <v>1170927</v>
      </c>
      <c r="C10" s="727">
        <v>1225000</v>
      </c>
      <c r="D10" s="727">
        <v>1225000</v>
      </c>
      <c r="E10" s="727">
        <v>1225000</v>
      </c>
      <c r="F10" s="727">
        <v>259615</v>
      </c>
      <c r="G10" s="727">
        <v>1519327</v>
      </c>
      <c r="H10" s="727">
        <v>1800000</v>
      </c>
      <c r="I10" s="727">
        <v>1800000</v>
      </c>
      <c r="J10" s="727">
        <v>1800000</v>
      </c>
      <c r="K10" s="727">
        <v>1800000</v>
      </c>
    </row>
    <row r="11" spans="1:12">
      <c r="A11" s="724" t="s">
        <v>1269</v>
      </c>
      <c r="B11" s="725">
        <v>0</v>
      </c>
      <c r="C11" s="726">
        <v>0</v>
      </c>
      <c r="D11" s="726">
        <v>0</v>
      </c>
      <c r="E11" s="726">
        <v>0</v>
      </c>
      <c r="F11" s="727">
        <v>181234</v>
      </c>
      <c r="G11" s="726">
        <v>0</v>
      </c>
      <c r="H11" s="726">
        <v>0</v>
      </c>
      <c r="I11" s="726">
        <v>0</v>
      </c>
      <c r="J11" s="726">
        <v>0</v>
      </c>
      <c r="K11" s="726">
        <v>0</v>
      </c>
    </row>
    <row r="12" spans="1:12">
      <c r="A12" s="718" t="s">
        <v>1270</v>
      </c>
      <c r="B12" s="744">
        <v>921171</v>
      </c>
      <c r="C12" s="721">
        <v>8912191</v>
      </c>
      <c r="D12" s="721">
        <v>15875734</v>
      </c>
      <c r="E12" s="721">
        <v>14424898</v>
      </c>
      <c r="F12" s="721">
        <v>5462747</v>
      </c>
      <c r="G12" s="721">
        <v>3387116</v>
      </c>
      <c r="H12" s="721">
        <v>9197821</v>
      </c>
      <c r="I12" s="721">
        <v>9836429</v>
      </c>
      <c r="J12" s="721">
        <v>13034923</v>
      </c>
      <c r="K12" s="721">
        <v>23035644</v>
      </c>
    </row>
    <row r="13" spans="1:12">
      <c r="A13" s="724" t="s">
        <v>1271</v>
      </c>
      <c r="B13" s="725">
        <v>0</v>
      </c>
      <c r="C13" s="727">
        <v>4190313</v>
      </c>
      <c r="D13" s="727">
        <v>12035056</v>
      </c>
      <c r="E13" s="727">
        <v>10793898</v>
      </c>
      <c r="F13" s="727">
        <v>5492927</v>
      </c>
      <c r="G13" s="727">
        <v>2600055</v>
      </c>
      <c r="H13" s="727">
        <v>9149522</v>
      </c>
      <c r="I13" s="727">
        <v>9798929</v>
      </c>
      <c r="J13" s="727">
        <v>12998923</v>
      </c>
      <c r="K13" s="727">
        <v>22999644</v>
      </c>
    </row>
    <row r="14" spans="1:12">
      <c r="A14" s="724" t="s">
        <v>1272</v>
      </c>
      <c r="B14" s="745">
        <v>521797</v>
      </c>
      <c r="C14" s="727">
        <v>4683878</v>
      </c>
      <c r="D14" s="727">
        <v>3816024</v>
      </c>
      <c r="E14" s="727">
        <v>3600000</v>
      </c>
      <c r="F14" s="726">
        <v>0</v>
      </c>
      <c r="G14" s="727">
        <v>752538</v>
      </c>
      <c r="H14" s="726">
        <v>0</v>
      </c>
      <c r="I14" s="726">
        <v>0</v>
      </c>
      <c r="J14" s="726">
        <v>0</v>
      </c>
      <c r="K14" s="726">
        <v>0</v>
      </c>
    </row>
    <row r="15" spans="1:12">
      <c r="A15" s="724" t="s">
        <v>1273</v>
      </c>
      <c r="B15" s="725">
        <v>0</v>
      </c>
      <c r="C15" s="726">
        <v>0</v>
      </c>
      <c r="D15" s="726">
        <v>0</v>
      </c>
      <c r="E15" s="726">
        <v>0</v>
      </c>
      <c r="F15" s="726">
        <v>0</v>
      </c>
      <c r="G15" s="726">
        <v>0</v>
      </c>
      <c r="H15" s="726">
        <v>0</v>
      </c>
      <c r="I15" s="726">
        <v>0</v>
      </c>
      <c r="J15" s="726">
        <v>0</v>
      </c>
      <c r="K15" s="726">
        <v>0</v>
      </c>
    </row>
    <row r="16" spans="1:12">
      <c r="A16" s="724" t="s">
        <v>1274</v>
      </c>
      <c r="B16" s="745">
        <v>399374</v>
      </c>
      <c r="C16" s="727">
        <v>24000</v>
      </c>
      <c r="D16" s="727">
        <v>24654</v>
      </c>
      <c r="E16" s="727">
        <v>31000</v>
      </c>
      <c r="F16" s="727">
        <v>1875</v>
      </c>
      <c r="G16" s="727">
        <v>34523</v>
      </c>
      <c r="H16" s="727">
        <v>48299</v>
      </c>
      <c r="I16" s="727">
        <v>37500</v>
      </c>
      <c r="J16" s="727">
        <v>36000</v>
      </c>
      <c r="K16" s="727">
        <v>36000</v>
      </c>
    </row>
    <row r="17" spans="1:11">
      <c r="A17" s="724" t="s">
        <v>1275</v>
      </c>
      <c r="B17" s="725">
        <v>3</v>
      </c>
      <c r="C17" s="726">
        <v>1</v>
      </c>
      <c r="D17" s="726">
        <v>0</v>
      </c>
      <c r="E17" s="726">
        <v>0</v>
      </c>
      <c r="F17" s="726">
        <v>0</v>
      </c>
      <c r="G17" s="726">
        <v>3</v>
      </c>
      <c r="H17" s="726">
        <v>0</v>
      </c>
      <c r="I17" s="726">
        <v>0</v>
      </c>
      <c r="J17" s="726">
        <v>0</v>
      </c>
      <c r="K17" s="726">
        <v>0</v>
      </c>
    </row>
    <row r="18" spans="1:11">
      <c r="A18" s="724" t="s">
        <v>1276</v>
      </c>
      <c r="B18" s="746">
        <v>42247</v>
      </c>
      <c r="C18" s="747">
        <v>42613</v>
      </c>
      <c r="D18" s="747">
        <v>42613</v>
      </c>
      <c r="E18" s="747">
        <v>42613</v>
      </c>
      <c r="F18" s="747">
        <v>42613</v>
      </c>
      <c r="G18" s="747">
        <v>43831</v>
      </c>
      <c r="H18" s="747">
        <v>43577</v>
      </c>
      <c r="I18" s="747">
        <v>43831</v>
      </c>
      <c r="J18" s="747">
        <v>43831</v>
      </c>
      <c r="K18" s="747">
        <v>43831</v>
      </c>
    </row>
    <row r="19" spans="1:11">
      <c r="A19" s="724" t="s">
        <v>1277</v>
      </c>
      <c r="B19" s="725">
        <v>4</v>
      </c>
      <c r="C19" s="726">
        <v>3</v>
      </c>
      <c r="D19" s="726">
        <v>3</v>
      </c>
      <c r="E19" s="726">
        <v>3</v>
      </c>
      <c r="F19" s="726">
        <v>3</v>
      </c>
      <c r="G19" s="726">
        <v>5</v>
      </c>
      <c r="H19" s="726">
        <v>5</v>
      </c>
      <c r="I19" s="726">
        <v>5</v>
      </c>
      <c r="J19" s="726">
        <v>5</v>
      </c>
      <c r="K19" s="726">
        <v>5</v>
      </c>
    </row>
    <row r="20" spans="1:11">
      <c r="A20" s="724" t="s">
        <v>364</v>
      </c>
      <c r="B20" s="726" t="s">
        <v>364</v>
      </c>
      <c r="C20" s="726" t="s">
        <v>364</v>
      </c>
      <c r="D20" s="726" t="s">
        <v>364</v>
      </c>
      <c r="E20" s="726" t="s">
        <v>364</v>
      </c>
      <c r="F20" s="726" t="s">
        <v>364</v>
      </c>
      <c r="G20" s="726" t="s">
        <v>364</v>
      </c>
      <c r="H20" s="726" t="s">
        <v>364</v>
      </c>
      <c r="I20" s="726" t="s">
        <v>364</v>
      </c>
      <c r="J20" s="726" t="s">
        <v>364</v>
      </c>
      <c r="K20" s="726" t="s">
        <v>364</v>
      </c>
    </row>
    <row r="21" spans="1:11">
      <c r="A21" s="718" t="s">
        <v>1278</v>
      </c>
      <c r="B21" s="720" t="s">
        <v>364</v>
      </c>
      <c r="C21" s="720" t="s">
        <v>364</v>
      </c>
      <c r="D21" s="720" t="s">
        <v>364</v>
      </c>
      <c r="E21" s="720" t="s">
        <v>364</v>
      </c>
      <c r="F21" s="720" t="s">
        <v>364</v>
      </c>
      <c r="G21" s="720" t="s">
        <v>364</v>
      </c>
      <c r="H21" s="720" t="s">
        <v>364</v>
      </c>
      <c r="I21" s="720" t="s">
        <v>364</v>
      </c>
      <c r="J21" s="720" t="s">
        <v>364</v>
      </c>
      <c r="K21" s="720" t="s">
        <v>364</v>
      </c>
    </row>
    <row r="22" spans="1:11">
      <c r="A22" s="718" t="s">
        <v>1166</v>
      </c>
      <c r="B22" s="719" t="s">
        <v>1006</v>
      </c>
      <c r="C22" s="720" t="s">
        <v>1036</v>
      </c>
      <c r="D22" s="720" t="s">
        <v>1036</v>
      </c>
      <c r="E22" s="720" t="s">
        <v>1036</v>
      </c>
      <c r="F22" s="720" t="s">
        <v>1006</v>
      </c>
      <c r="G22" s="720" t="s">
        <v>1036</v>
      </c>
      <c r="H22" s="720" t="s">
        <v>1036</v>
      </c>
      <c r="I22" s="720" t="s">
        <v>1036</v>
      </c>
      <c r="J22" s="720" t="s">
        <v>1036</v>
      </c>
      <c r="K22" s="720" t="s">
        <v>1036</v>
      </c>
    </row>
    <row r="23" spans="1:11">
      <c r="A23" s="718" t="s">
        <v>1265</v>
      </c>
      <c r="B23" s="744">
        <v>1457065</v>
      </c>
      <c r="C23" s="721">
        <v>6685522</v>
      </c>
      <c r="D23" s="721">
        <v>10323454</v>
      </c>
      <c r="E23" s="721">
        <v>7492021</v>
      </c>
      <c r="F23" s="721">
        <v>3877253</v>
      </c>
      <c r="G23" s="721">
        <v>1562123</v>
      </c>
      <c r="H23" s="721">
        <v>5448919</v>
      </c>
      <c r="I23" s="721">
        <v>5234197</v>
      </c>
      <c r="J23" s="721">
        <v>5634119</v>
      </c>
      <c r="K23" s="721">
        <v>8434392</v>
      </c>
    </row>
    <row r="24" spans="1:11">
      <c r="A24" s="718" t="s">
        <v>1266</v>
      </c>
      <c r="B24" s="744">
        <v>1425000</v>
      </c>
      <c r="C24" s="721">
        <v>1425000</v>
      </c>
      <c r="D24" s="721">
        <v>878750</v>
      </c>
      <c r="E24" s="721">
        <v>475000</v>
      </c>
      <c r="F24" s="721">
        <v>226739</v>
      </c>
      <c r="G24" s="721">
        <v>1542123</v>
      </c>
      <c r="H24" s="721">
        <v>1425000</v>
      </c>
      <c r="I24" s="721">
        <v>1425000</v>
      </c>
      <c r="J24" s="721">
        <v>1425000</v>
      </c>
      <c r="K24" s="721">
        <v>1425000</v>
      </c>
    </row>
    <row r="25" spans="1:11">
      <c r="A25" s="724" t="s">
        <v>1267</v>
      </c>
      <c r="B25" s="745">
        <v>950000</v>
      </c>
      <c r="C25" s="727">
        <v>950000</v>
      </c>
      <c r="D25" s="727">
        <v>403750</v>
      </c>
      <c r="E25" s="726">
        <v>0</v>
      </c>
      <c r="F25" s="726">
        <v>0</v>
      </c>
      <c r="G25" s="727">
        <v>1067123</v>
      </c>
      <c r="H25" s="727">
        <v>950000</v>
      </c>
      <c r="I25" s="727">
        <v>950000</v>
      </c>
      <c r="J25" s="727">
        <v>950000</v>
      </c>
      <c r="K25" s="727">
        <v>950000</v>
      </c>
    </row>
    <row r="26" spans="1:11">
      <c r="A26" s="724" t="s">
        <v>1268</v>
      </c>
      <c r="B26" s="745">
        <v>475000</v>
      </c>
      <c r="C26" s="727">
        <v>475000</v>
      </c>
      <c r="D26" s="727">
        <v>475000</v>
      </c>
      <c r="E26" s="727">
        <v>475000</v>
      </c>
      <c r="F26" s="727">
        <v>109615</v>
      </c>
      <c r="G26" s="727">
        <v>475000</v>
      </c>
      <c r="H26" s="727">
        <v>475000</v>
      </c>
      <c r="I26" s="727">
        <v>475000</v>
      </c>
      <c r="J26" s="727">
        <v>475000</v>
      </c>
      <c r="K26" s="727">
        <v>475000</v>
      </c>
    </row>
    <row r="27" spans="1:11">
      <c r="A27" s="724" t="s">
        <v>1269</v>
      </c>
      <c r="B27" s="725">
        <v>0</v>
      </c>
      <c r="C27" s="726">
        <v>0</v>
      </c>
      <c r="D27" s="726">
        <v>0</v>
      </c>
      <c r="E27" s="726">
        <v>0</v>
      </c>
      <c r="F27" s="727">
        <v>117124</v>
      </c>
      <c r="G27" s="726">
        <v>0</v>
      </c>
      <c r="H27" s="726">
        <v>0</v>
      </c>
      <c r="I27" s="726">
        <v>0</v>
      </c>
      <c r="J27" s="726">
        <v>0</v>
      </c>
      <c r="K27" s="726">
        <v>0</v>
      </c>
    </row>
    <row r="28" spans="1:11">
      <c r="A28" s="718" t="s">
        <v>1270</v>
      </c>
      <c r="B28" s="744">
        <v>32065</v>
      </c>
      <c r="C28" s="721">
        <v>5260522</v>
      </c>
      <c r="D28" s="721">
        <v>9444704</v>
      </c>
      <c r="E28" s="721">
        <v>7017021</v>
      </c>
      <c r="F28" s="721">
        <v>3650514</v>
      </c>
      <c r="G28" s="721">
        <v>20000</v>
      </c>
      <c r="H28" s="721">
        <v>4023919</v>
      </c>
      <c r="I28" s="721">
        <v>3809197</v>
      </c>
      <c r="J28" s="721">
        <v>4209119</v>
      </c>
      <c r="K28" s="721">
        <v>7009392</v>
      </c>
    </row>
    <row r="29" spans="1:11">
      <c r="A29" s="724" t="s">
        <v>1271</v>
      </c>
      <c r="B29" s="725">
        <v>0</v>
      </c>
      <c r="C29" s="727">
        <v>2491537</v>
      </c>
      <c r="D29" s="727">
        <v>7155544</v>
      </c>
      <c r="E29" s="727">
        <v>5247021</v>
      </c>
      <c r="F29" s="727">
        <v>3650514</v>
      </c>
      <c r="G29" s="726">
        <v>0</v>
      </c>
      <c r="H29" s="727">
        <v>3999900</v>
      </c>
      <c r="I29" s="727">
        <v>3799697</v>
      </c>
      <c r="J29" s="727">
        <v>4199619</v>
      </c>
      <c r="K29" s="727">
        <v>6999892</v>
      </c>
    </row>
    <row r="30" spans="1:11">
      <c r="A30" s="724" t="s">
        <v>1272</v>
      </c>
      <c r="B30" s="725">
        <v>0</v>
      </c>
      <c r="C30" s="727">
        <v>2748985</v>
      </c>
      <c r="D30" s="727">
        <v>2269160</v>
      </c>
      <c r="E30" s="727">
        <v>1750000</v>
      </c>
      <c r="F30" s="726">
        <v>0</v>
      </c>
      <c r="G30" s="726">
        <v>0</v>
      </c>
      <c r="H30" s="726">
        <v>0</v>
      </c>
      <c r="I30" s="726">
        <v>0</v>
      </c>
      <c r="J30" s="726">
        <v>0</v>
      </c>
      <c r="K30" s="726">
        <v>0</v>
      </c>
    </row>
    <row r="31" spans="1:11">
      <c r="A31" s="724" t="s">
        <v>1273</v>
      </c>
      <c r="B31" s="725">
        <v>0</v>
      </c>
      <c r="C31" s="726">
        <v>0</v>
      </c>
      <c r="D31" s="726">
        <v>0</v>
      </c>
      <c r="E31" s="726">
        <v>0</v>
      </c>
      <c r="F31" s="726">
        <v>0</v>
      </c>
      <c r="G31" s="726">
        <v>0</v>
      </c>
      <c r="H31" s="726">
        <v>0</v>
      </c>
      <c r="I31" s="726">
        <v>0</v>
      </c>
      <c r="J31" s="726">
        <v>0</v>
      </c>
      <c r="K31" s="726">
        <v>0</v>
      </c>
    </row>
    <row r="32" spans="1:11">
      <c r="A32" s="724" t="s">
        <v>1274</v>
      </c>
      <c r="B32" s="745">
        <v>32065</v>
      </c>
      <c r="C32" s="727">
        <v>20000</v>
      </c>
      <c r="D32" s="727">
        <v>20000</v>
      </c>
      <c r="E32" s="727">
        <v>20000</v>
      </c>
      <c r="F32" s="726">
        <v>0</v>
      </c>
      <c r="G32" s="727">
        <v>20000</v>
      </c>
      <c r="H32" s="727">
        <v>24019</v>
      </c>
      <c r="I32" s="727">
        <v>9500</v>
      </c>
      <c r="J32" s="727">
        <v>9500</v>
      </c>
      <c r="K32" s="727">
        <v>9500</v>
      </c>
    </row>
    <row r="33" spans="1:11">
      <c r="A33" s="724" t="s">
        <v>1279</v>
      </c>
      <c r="B33" s="725">
        <v>0</v>
      </c>
      <c r="C33" s="726">
        <v>0</v>
      </c>
      <c r="D33" s="726">
        <v>0</v>
      </c>
      <c r="E33" s="726">
        <v>0</v>
      </c>
      <c r="F33" s="726">
        <v>0</v>
      </c>
      <c r="G33" s="726">
        <v>0</v>
      </c>
      <c r="H33" s="726">
        <v>0</v>
      </c>
      <c r="I33" s="726">
        <v>0</v>
      </c>
      <c r="J33" s="726">
        <v>0</v>
      </c>
      <c r="K33" s="726">
        <v>0</v>
      </c>
    </row>
    <row r="34" spans="1:11">
      <c r="A34" s="724" t="s">
        <v>1280</v>
      </c>
      <c r="B34" s="746">
        <v>41671</v>
      </c>
      <c r="C34" s="747">
        <v>41671</v>
      </c>
      <c r="D34" s="747">
        <v>41671</v>
      </c>
      <c r="E34" s="747">
        <v>41671</v>
      </c>
      <c r="F34" s="747">
        <v>41671</v>
      </c>
      <c r="G34" s="747">
        <v>41671</v>
      </c>
      <c r="H34" s="747">
        <v>41671</v>
      </c>
      <c r="I34" s="747">
        <v>41671</v>
      </c>
      <c r="J34" s="747">
        <v>41671</v>
      </c>
      <c r="K34" s="747">
        <v>41671</v>
      </c>
    </row>
    <row r="35" spans="1:11">
      <c r="A35" s="724" t="s">
        <v>1281</v>
      </c>
      <c r="B35" s="725">
        <v>1</v>
      </c>
      <c r="C35" s="726">
        <v>1</v>
      </c>
      <c r="D35" s="726">
        <v>1</v>
      </c>
      <c r="E35" s="726">
        <v>1</v>
      </c>
      <c r="F35" s="726">
        <v>1</v>
      </c>
      <c r="G35" s="726">
        <v>1</v>
      </c>
      <c r="H35" s="726">
        <v>1</v>
      </c>
      <c r="I35" s="726">
        <v>1</v>
      </c>
      <c r="J35" s="726">
        <v>1</v>
      </c>
      <c r="K35" s="726">
        <v>1</v>
      </c>
    </row>
    <row r="36" spans="1:11">
      <c r="A36" s="724" t="s">
        <v>1282</v>
      </c>
      <c r="B36" s="725">
        <v>1.92</v>
      </c>
      <c r="C36" s="726">
        <v>2.92</v>
      </c>
      <c r="D36" s="726">
        <v>3.92</v>
      </c>
      <c r="E36" s="726">
        <v>4.92</v>
      </c>
      <c r="F36" s="726">
        <v>5.17</v>
      </c>
      <c r="G36" s="726">
        <v>6.17</v>
      </c>
      <c r="H36" s="726">
        <v>7.17</v>
      </c>
      <c r="I36" s="726">
        <v>8.17</v>
      </c>
      <c r="J36" s="726">
        <v>9.17</v>
      </c>
      <c r="K36" s="726">
        <v>10.17</v>
      </c>
    </row>
    <row r="37" spans="1:11">
      <c r="A37" s="724" t="s">
        <v>364</v>
      </c>
      <c r="B37" s="726" t="s">
        <v>364</v>
      </c>
      <c r="C37" s="726" t="s">
        <v>364</v>
      </c>
      <c r="D37" s="726" t="s">
        <v>364</v>
      </c>
      <c r="E37" s="726" t="s">
        <v>364</v>
      </c>
      <c r="F37" s="726" t="s">
        <v>364</v>
      </c>
      <c r="G37" s="726" t="s">
        <v>364</v>
      </c>
      <c r="H37" s="726" t="s">
        <v>364</v>
      </c>
      <c r="I37" s="726" t="s">
        <v>364</v>
      </c>
      <c r="J37" s="726" t="s">
        <v>364</v>
      </c>
      <c r="K37" s="726" t="s">
        <v>364</v>
      </c>
    </row>
    <row r="38" spans="1:11">
      <c r="A38" s="718" t="s">
        <v>1283</v>
      </c>
      <c r="B38" s="720" t="s">
        <v>364</v>
      </c>
      <c r="C38" s="720" t="s">
        <v>364</v>
      </c>
      <c r="D38" s="720" t="s">
        <v>364</v>
      </c>
      <c r="E38" s="720" t="s">
        <v>364</v>
      </c>
      <c r="F38" s="720" t="s">
        <v>364</v>
      </c>
      <c r="G38" s="720" t="s">
        <v>364</v>
      </c>
      <c r="H38" s="720" t="s">
        <v>364</v>
      </c>
      <c r="I38" s="720" t="s">
        <v>364</v>
      </c>
      <c r="J38" s="720" t="s">
        <v>364</v>
      </c>
      <c r="K38" s="720" t="s">
        <v>364</v>
      </c>
    </row>
    <row r="39" spans="1:11">
      <c r="A39" s="718" t="s">
        <v>1284</v>
      </c>
      <c r="B39" s="744">
        <v>1970866</v>
      </c>
      <c r="C39" s="721">
        <v>3504413</v>
      </c>
      <c r="D39" s="721">
        <v>4981907</v>
      </c>
      <c r="E39" s="721">
        <v>5828281</v>
      </c>
      <c r="F39" s="720" t="s">
        <v>476</v>
      </c>
      <c r="G39" s="721">
        <v>2681608</v>
      </c>
      <c r="H39" s="721">
        <v>1906163</v>
      </c>
      <c r="I39" s="721">
        <v>2206808</v>
      </c>
      <c r="J39" s="721">
        <v>2906826</v>
      </c>
      <c r="K39" s="721">
        <v>4706938</v>
      </c>
    </row>
    <row r="40" spans="1:11">
      <c r="A40" s="718" t="s">
        <v>1285</v>
      </c>
      <c r="B40" s="719" t="s">
        <v>476</v>
      </c>
      <c r="C40" s="720" t="s">
        <v>476</v>
      </c>
      <c r="D40" s="720" t="s">
        <v>476</v>
      </c>
      <c r="E40" s="720" t="s">
        <v>476</v>
      </c>
      <c r="F40" s="720" t="s">
        <v>476</v>
      </c>
      <c r="G40" s="721">
        <v>1486595</v>
      </c>
      <c r="H40" s="720" t="s">
        <v>476</v>
      </c>
      <c r="I40" s="721">
        <v>2092808</v>
      </c>
      <c r="J40" s="721">
        <v>2856326</v>
      </c>
      <c r="K40" s="721">
        <v>4656438</v>
      </c>
    </row>
    <row r="41" spans="1:11">
      <c r="A41" s="724" t="s">
        <v>364</v>
      </c>
      <c r="B41" s="726" t="s">
        <v>364</v>
      </c>
      <c r="C41" s="726" t="s">
        <v>364</v>
      </c>
      <c r="D41" s="726" t="s">
        <v>364</v>
      </c>
      <c r="E41" s="726" t="s">
        <v>364</v>
      </c>
      <c r="F41" s="726" t="s">
        <v>364</v>
      </c>
      <c r="G41" s="726" t="s">
        <v>364</v>
      </c>
      <c r="H41" s="726" t="s">
        <v>364</v>
      </c>
      <c r="I41" s="726" t="s">
        <v>364</v>
      </c>
      <c r="J41" s="726" t="s">
        <v>364</v>
      </c>
      <c r="K41" s="726" t="s">
        <v>364</v>
      </c>
    </row>
    <row r="42" spans="1:11">
      <c r="A42" s="718" t="s">
        <v>1286</v>
      </c>
      <c r="B42" s="720" t="s">
        <v>364</v>
      </c>
      <c r="C42" s="720" t="s">
        <v>364</v>
      </c>
      <c r="D42" s="720" t="s">
        <v>364</v>
      </c>
      <c r="E42" s="720" t="s">
        <v>364</v>
      </c>
      <c r="F42" s="720" t="s">
        <v>364</v>
      </c>
      <c r="G42" s="720" t="s">
        <v>364</v>
      </c>
      <c r="H42" s="720" t="s">
        <v>364</v>
      </c>
      <c r="I42" s="720" t="s">
        <v>364</v>
      </c>
      <c r="J42" s="720" t="s">
        <v>364</v>
      </c>
      <c r="K42" s="720" t="s">
        <v>364</v>
      </c>
    </row>
    <row r="43" spans="1:11">
      <c r="A43" s="718" t="s">
        <v>1265</v>
      </c>
      <c r="B43" s="744">
        <v>341125</v>
      </c>
      <c r="C43" s="721">
        <v>590100.1</v>
      </c>
      <c r="D43" s="721">
        <v>1135586</v>
      </c>
      <c r="E43" s="721">
        <v>1346599</v>
      </c>
      <c r="F43" s="721">
        <v>28111</v>
      </c>
      <c r="G43" s="721">
        <v>1593327</v>
      </c>
      <c r="H43" s="721">
        <v>1732806</v>
      </c>
      <c r="I43" s="721">
        <v>1584274</v>
      </c>
      <c r="J43" s="721">
        <v>1548746</v>
      </c>
      <c r="K43" s="721">
        <v>1578523</v>
      </c>
    </row>
    <row r="44" spans="1:11">
      <c r="A44" s="724" t="s">
        <v>1287</v>
      </c>
      <c r="B44" s="725">
        <v>0</v>
      </c>
      <c r="C44" s="727">
        <v>67250</v>
      </c>
      <c r="D44" s="727">
        <v>141942</v>
      </c>
      <c r="E44" s="727">
        <v>97679</v>
      </c>
      <c r="F44" s="727">
        <v>28111</v>
      </c>
      <c r="G44" s="727">
        <v>368353</v>
      </c>
      <c r="H44" s="727">
        <v>482108</v>
      </c>
      <c r="I44" s="727">
        <v>464274</v>
      </c>
      <c r="J44" s="727">
        <v>423647</v>
      </c>
      <c r="K44" s="727">
        <v>459091</v>
      </c>
    </row>
    <row r="45" spans="1:11">
      <c r="A45" s="724" t="s">
        <v>1271</v>
      </c>
      <c r="B45" s="725">
        <v>0</v>
      </c>
      <c r="C45" s="726">
        <v>0</v>
      </c>
      <c r="D45" s="727">
        <v>993644</v>
      </c>
      <c r="E45" s="727">
        <v>1248953</v>
      </c>
      <c r="F45" s="726">
        <v>0</v>
      </c>
      <c r="G45" s="727">
        <v>1224972</v>
      </c>
      <c r="H45" s="727">
        <v>1250698</v>
      </c>
      <c r="I45" s="727">
        <v>1120000</v>
      </c>
      <c r="J45" s="727">
        <v>1125099</v>
      </c>
      <c r="K45" s="727">
        <v>1119432</v>
      </c>
    </row>
    <row r="46" spans="1:11">
      <c r="A46" s="724" t="s">
        <v>1288</v>
      </c>
      <c r="B46" s="725">
        <v>2</v>
      </c>
      <c r="C46" s="726">
        <v>3</v>
      </c>
      <c r="D46" s="726">
        <v>1</v>
      </c>
      <c r="E46" s="726">
        <v>1</v>
      </c>
      <c r="F46" s="726">
        <v>3</v>
      </c>
      <c r="G46" s="726">
        <v>1</v>
      </c>
      <c r="H46" s="726">
        <v>2</v>
      </c>
      <c r="I46" s="726">
        <v>1</v>
      </c>
      <c r="J46" s="726">
        <v>4</v>
      </c>
      <c r="K46" s="726">
        <v>0</v>
      </c>
    </row>
    <row r="47" spans="1:11">
      <c r="A47" s="724" t="s">
        <v>1289</v>
      </c>
      <c r="B47" s="746">
        <v>42217</v>
      </c>
      <c r="C47" s="747">
        <v>42620</v>
      </c>
      <c r="D47" s="747">
        <v>43047</v>
      </c>
      <c r="E47" s="747">
        <v>43181</v>
      </c>
      <c r="F47" s="747">
        <v>43538</v>
      </c>
      <c r="G47" s="747">
        <v>43802</v>
      </c>
      <c r="H47" s="747">
        <v>44151</v>
      </c>
      <c r="I47" s="747">
        <v>44347</v>
      </c>
      <c r="J47" s="747">
        <v>44869</v>
      </c>
      <c r="K47" s="747">
        <v>44869</v>
      </c>
    </row>
    <row r="48" spans="1:11">
      <c r="A48" s="724" t="s">
        <v>1290</v>
      </c>
      <c r="B48" s="725">
        <v>5</v>
      </c>
      <c r="C48" s="726">
        <v>7</v>
      </c>
      <c r="D48" s="726">
        <v>7</v>
      </c>
      <c r="E48" s="726">
        <v>8</v>
      </c>
      <c r="F48" s="726">
        <v>9</v>
      </c>
      <c r="G48" s="726">
        <v>8</v>
      </c>
      <c r="H48" s="726">
        <v>9</v>
      </c>
      <c r="I48" s="726">
        <v>9</v>
      </c>
      <c r="J48" s="726">
        <v>10</v>
      </c>
      <c r="K48" s="726">
        <v>8</v>
      </c>
    </row>
    <row r="49" spans="1:11">
      <c r="A49" s="734" t="s">
        <v>788</v>
      </c>
      <c r="B49" s="734" t="s">
        <v>789</v>
      </c>
      <c r="C49" s="735"/>
      <c r="D49" s="735"/>
      <c r="E49" s="735"/>
      <c r="F49" s="735"/>
      <c r="G49" s="734" t="s">
        <v>364</v>
      </c>
      <c r="H49" s="734" t="s">
        <v>364</v>
      </c>
      <c r="I49" s="734" t="s">
        <v>364</v>
      </c>
      <c r="J49" s="734" t="s">
        <v>364</v>
      </c>
      <c r="K49" s="734" t="s">
        <v>364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6DF53-EB73-47F6-AE23-48BCB1A3AA33}">
  <dimension ref="A1:J57"/>
  <sheetViews>
    <sheetView workbookViewId="0">
      <selection activeCell="N5" sqref="N5:O11"/>
    </sheetView>
  </sheetViews>
  <sheetFormatPr defaultColWidth="8.875" defaultRowHeight="14.1"/>
  <cols>
    <col min="1" max="1" width="40" customWidth="1"/>
  </cols>
  <sheetData>
    <row r="1" spans="1:10" ht="14.45">
      <c r="A1" s="709" t="s">
        <v>364</v>
      </c>
      <c r="B1" s="709" t="s">
        <v>364</v>
      </c>
      <c r="C1" s="709" t="s">
        <v>364</v>
      </c>
      <c r="D1" s="709" t="s">
        <v>364</v>
      </c>
      <c r="E1" s="709" t="s">
        <v>364</v>
      </c>
      <c r="F1" s="709" t="s">
        <v>364</v>
      </c>
      <c r="G1" s="709" t="s">
        <v>364</v>
      </c>
      <c r="H1" s="709" t="s">
        <v>364</v>
      </c>
      <c r="I1" s="709" t="s">
        <v>364</v>
      </c>
    </row>
    <row r="2" spans="1:10" ht="20.100000000000001">
      <c r="A2" s="710" t="s">
        <v>1291</v>
      </c>
      <c r="B2" s="711"/>
      <c r="C2" s="711"/>
      <c r="D2" s="711"/>
      <c r="E2" s="710" t="s">
        <v>364</v>
      </c>
      <c r="F2" s="710" t="s">
        <v>364</v>
      </c>
      <c r="G2" s="710" t="s">
        <v>364</v>
      </c>
      <c r="H2" s="710" t="s">
        <v>364</v>
      </c>
      <c r="I2" s="710" t="s">
        <v>364</v>
      </c>
      <c r="J2" s="710" t="s">
        <v>364</v>
      </c>
    </row>
    <row r="3" spans="1:10">
      <c r="A3" s="712" t="s">
        <v>364</v>
      </c>
      <c r="B3" s="712" t="s">
        <v>364</v>
      </c>
      <c r="C3" s="712" t="s">
        <v>364</v>
      </c>
      <c r="D3" s="712" t="s">
        <v>364</v>
      </c>
      <c r="E3" s="712" t="s">
        <v>364</v>
      </c>
      <c r="F3" s="712" t="s">
        <v>364</v>
      </c>
      <c r="G3" s="712" t="s">
        <v>364</v>
      </c>
      <c r="H3" s="712" t="s">
        <v>364</v>
      </c>
      <c r="I3" s="712" t="s">
        <v>364</v>
      </c>
    </row>
    <row r="4" spans="1:10">
      <c r="A4" s="713" t="s">
        <v>735</v>
      </c>
      <c r="B4" s="714" t="s">
        <v>485</v>
      </c>
      <c r="C4" s="714" t="s">
        <v>486</v>
      </c>
      <c r="D4" s="714" t="s">
        <v>487</v>
      </c>
      <c r="E4" s="714" t="s">
        <v>489</v>
      </c>
      <c r="F4" s="714" t="s">
        <v>490</v>
      </c>
      <c r="G4" s="714" t="s">
        <v>491</v>
      </c>
      <c r="H4" s="714" t="s">
        <v>492</v>
      </c>
      <c r="I4" s="714" t="s">
        <v>493</v>
      </c>
    </row>
    <row r="5" spans="1:10">
      <c r="A5" s="715" t="s">
        <v>737</v>
      </c>
      <c r="B5" s="717">
        <v>42735</v>
      </c>
      <c r="C5" s="717">
        <v>43100</v>
      </c>
      <c r="D5" s="717">
        <v>43465</v>
      </c>
      <c r="E5" s="717">
        <v>43921</v>
      </c>
      <c r="F5" s="717">
        <v>44286</v>
      </c>
      <c r="G5" s="717">
        <v>44651</v>
      </c>
      <c r="H5" s="717">
        <v>45016</v>
      </c>
      <c r="I5" s="717">
        <v>45382</v>
      </c>
    </row>
    <row r="6" spans="1:10">
      <c r="A6" s="724" t="s">
        <v>1292</v>
      </c>
      <c r="B6" s="726" t="s">
        <v>364</v>
      </c>
      <c r="C6" s="726" t="s">
        <v>364</v>
      </c>
      <c r="D6" s="726" t="s">
        <v>364</v>
      </c>
      <c r="E6" s="726" t="s">
        <v>364</v>
      </c>
      <c r="F6" s="726" t="s">
        <v>364</v>
      </c>
      <c r="G6" s="726" t="s">
        <v>364</v>
      </c>
      <c r="H6" s="726" t="s">
        <v>364</v>
      </c>
      <c r="I6" s="726" t="s">
        <v>364</v>
      </c>
    </row>
    <row r="7" spans="1:10">
      <c r="A7" s="724" t="s">
        <v>997</v>
      </c>
      <c r="B7" s="725">
        <v>29.2</v>
      </c>
      <c r="C7" s="726">
        <v>31.52</v>
      </c>
      <c r="D7" s="726">
        <v>31.52</v>
      </c>
      <c r="E7" s="726">
        <v>31.32</v>
      </c>
      <c r="F7" s="726">
        <v>31.75</v>
      </c>
      <c r="G7" s="726">
        <v>34.630000000000003</v>
      </c>
      <c r="H7" s="726">
        <v>34.340000000000003</v>
      </c>
      <c r="I7" s="726" t="s">
        <v>476</v>
      </c>
    </row>
    <row r="8" spans="1:10">
      <c r="A8" s="724" t="s">
        <v>998</v>
      </c>
      <c r="B8" s="725">
        <v>0</v>
      </c>
      <c r="C8" s="726">
        <v>0</v>
      </c>
      <c r="D8" s="726">
        <v>0</v>
      </c>
      <c r="E8" s="726">
        <v>0</v>
      </c>
      <c r="F8" s="726">
        <v>0</v>
      </c>
      <c r="G8" s="726">
        <v>7.64</v>
      </c>
      <c r="H8" s="726">
        <v>6.77</v>
      </c>
      <c r="I8" s="726" t="s">
        <v>476</v>
      </c>
    </row>
    <row r="9" spans="1:10">
      <c r="A9" s="724" t="s">
        <v>999</v>
      </c>
      <c r="B9" s="725">
        <v>6.95</v>
      </c>
      <c r="C9" s="726">
        <v>10.76</v>
      </c>
      <c r="D9" s="726">
        <v>10.76</v>
      </c>
      <c r="E9" s="726">
        <v>10.19</v>
      </c>
      <c r="F9" s="726">
        <v>10.76</v>
      </c>
      <c r="G9" s="726">
        <v>11.79</v>
      </c>
      <c r="H9" s="726">
        <v>11.79</v>
      </c>
      <c r="I9" s="726" t="s">
        <v>476</v>
      </c>
    </row>
    <row r="10" spans="1:10">
      <c r="A10" s="724" t="s">
        <v>1000</v>
      </c>
      <c r="B10" s="725">
        <v>80.459999999999994</v>
      </c>
      <c r="C10" s="726">
        <v>83.59</v>
      </c>
      <c r="D10" s="726">
        <v>83.59</v>
      </c>
      <c r="E10" s="726">
        <v>83.59</v>
      </c>
      <c r="F10" s="726">
        <v>84.29</v>
      </c>
      <c r="G10" s="726">
        <v>84.29</v>
      </c>
      <c r="H10" s="726">
        <v>84.29</v>
      </c>
      <c r="I10" s="726" t="s">
        <v>476</v>
      </c>
    </row>
    <row r="11" spans="1:10">
      <c r="A11" s="724" t="s">
        <v>364</v>
      </c>
      <c r="B11" s="726" t="s">
        <v>364</v>
      </c>
      <c r="C11" s="726" t="s">
        <v>364</v>
      </c>
      <c r="D11" s="726" t="s">
        <v>364</v>
      </c>
      <c r="E11" s="726" t="s">
        <v>364</v>
      </c>
      <c r="F11" s="726" t="s">
        <v>364</v>
      </c>
      <c r="G11" s="726" t="s">
        <v>364</v>
      </c>
      <c r="H11" s="726" t="s">
        <v>364</v>
      </c>
      <c r="I11" s="726" t="s">
        <v>364</v>
      </c>
    </row>
    <row r="12" spans="1:10">
      <c r="A12" s="718" t="s">
        <v>1293</v>
      </c>
      <c r="B12" s="720" t="s">
        <v>364</v>
      </c>
      <c r="C12" s="720" t="s">
        <v>364</v>
      </c>
      <c r="D12" s="720" t="s">
        <v>364</v>
      </c>
      <c r="E12" s="720" t="s">
        <v>364</v>
      </c>
      <c r="F12" s="720" t="s">
        <v>364</v>
      </c>
      <c r="G12" s="720" t="s">
        <v>364</v>
      </c>
      <c r="H12" s="720" t="s">
        <v>364</v>
      </c>
      <c r="I12" s="720" t="s">
        <v>364</v>
      </c>
    </row>
    <row r="13" spans="1:10">
      <c r="A13" s="724" t="s">
        <v>1294</v>
      </c>
      <c r="B13" s="725" t="s">
        <v>476</v>
      </c>
      <c r="C13" s="726" t="s">
        <v>476</v>
      </c>
      <c r="D13" s="726" t="s">
        <v>476</v>
      </c>
      <c r="E13" s="726" t="s">
        <v>476</v>
      </c>
      <c r="F13" s="726" t="s">
        <v>476</v>
      </c>
      <c r="G13" s="726">
        <v>0.65</v>
      </c>
      <c r="H13" s="726" t="s">
        <v>476</v>
      </c>
      <c r="I13" s="726" t="s">
        <v>476</v>
      </c>
    </row>
    <row r="14" spans="1:10">
      <c r="A14" s="724" t="s">
        <v>1295</v>
      </c>
      <c r="B14" s="725" t="s">
        <v>476</v>
      </c>
      <c r="C14" s="726" t="s">
        <v>476</v>
      </c>
      <c r="D14" s="726" t="s">
        <v>476</v>
      </c>
      <c r="E14" s="726" t="s">
        <v>476</v>
      </c>
      <c r="F14" s="726" t="s">
        <v>476</v>
      </c>
      <c r="G14" s="726">
        <v>0.03</v>
      </c>
      <c r="H14" s="726" t="s">
        <v>476</v>
      </c>
      <c r="I14" s="726" t="s">
        <v>476</v>
      </c>
    </row>
    <row r="15" spans="1:10">
      <c r="A15" s="724" t="s">
        <v>1296</v>
      </c>
      <c r="B15" s="725" t="s">
        <v>476</v>
      </c>
      <c r="C15" s="726" t="s">
        <v>476</v>
      </c>
      <c r="D15" s="726" t="s">
        <v>476</v>
      </c>
      <c r="E15" s="726" t="s">
        <v>476</v>
      </c>
      <c r="F15" s="726" t="s">
        <v>476</v>
      </c>
      <c r="G15" s="726">
        <v>0.62</v>
      </c>
      <c r="H15" s="726" t="s">
        <v>476</v>
      </c>
      <c r="I15" s="726" t="s">
        <v>476</v>
      </c>
    </row>
    <row r="16" spans="1:10">
      <c r="A16" s="724" t="s">
        <v>1297</v>
      </c>
      <c r="B16" s="725" t="s">
        <v>476</v>
      </c>
      <c r="C16" s="726" t="s">
        <v>476</v>
      </c>
      <c r="D16" s="726" t="s">
        <v>476</v>
      </c>
      <c r="E16" s="726" t="s">
        <v>476</v>
      </c>
      <c r="F16" s="726" t="s">
        <v>476</v>
      </c>
      <c r="G16" s="726">
        <v>4.16</v>
      </c>
      <c r="H16" s="726" t="s">
        <v>476</v>
      </c>
      <c r="I16" s="726" t="s">
        <v>476</v>
      </c>
    </row>
    <row r="17" spans="1:9">
      <c r="A17" s="724" t="s">
        <v>1298</v>
      </c>
      <c r="B17" s="725" t="s">
        <v>476</v>
      </c>
      <c r="C17" s="726" t="s">
        <v>476</v>
      </c>
      <c r="D17" s="726" t="s">
        <v>476</v>
      </c>
      <c r="E17" s="726" t="s">
        <v>476</v>
      </c>
      <c r="F17" s="726" t="s">
        <v>476</v>
      </c>
      <c r="G17" s="726">
        <v>4.7699999999999996</v>
      </c>
      <c r="H17" s="726" t="s">
        <v>476</v>
      </c>
      <c r="I17" s="726" t="s">
        <v>476</v>
      </c>
    </row>
    <row r="18" spans="1:9">
      <c r="A18" s="724" t="s">
        <v>1299</v>
      </c>
      <c r="B18" s="725" t="s">
        <v>476</v>
      </c>
      <c r="C18" s="726" t="s">
        <v>476</v>
      </c>
      <c r="D18" s="726" t="s">
        <v>476</v>
      </c>
      <c r="E18" s="726" t="s">
        <v>476</v>
      </c>
      <c r="F18" s="726" t="s">
        <v>476</v>
      </c>
      <c r="G18" s="726">
        <v>8.82</v>
      </c>
      <c r="H18" s="726" t="s">
        <v>476</v>
      </c>
      <c r="I18" s="726" t="s">
        <v>476</v>
      </c>
    </row>
    <row r="19" spans="1:9">
      <c r="A19" s="724" t="s">
        <v>1300</v>
      </c>
      <c r="B19" s="725" t="s">
        <v>476</v>
      </c>
      <c r="C19" s="726" t="s">
        <v>476</v>
      </c>
      <c r="D19" s="726" t="s">
        <v>476</v>
      </c>
      <c r="E19" s="726" t="s">
        <v>476</v>
      </c>
      <c r="F19" s="726" t="s">
        <v>476</v>
      </c>
      <c r="G19" s="726">
        <v>0.84</v>
      </c>
      <c r="H19" s="726" t="s">
        <v>476</v>
      </c>
      <c r="I19" s="726" t="s">
        <v>476</v>
      </c>
    </row>
    <row r="20" spans="1:9">
      <c r="A20" s="724" t="s">
        <v>1301</v>
      </c>
      <c r="B20" s="725" t="s">
        <v>476</v>
      </c>
      <c r="C20" s="726" t="s">
        <v>476</v>
      </c>
      <c r="D20" s="726" t="s">
        <v>476</v>
      </c>
      <c r="E20" s="726" t="s">
        <v>476</v>
      </c>
      <c r="F20" s="726" t="s">
        <v>476</v>
      </c>
      <c r="G20" s="726">
        <v>0.51</v>
      </c>
      <c r="H20" s="726" t="s">
        <v>476</v>
      </c>
      <c r="I20" s="726" t="s">
        <v>476</v>
      </c>
    </row>
    <row r="21" spans="1:9">
      <c r="A21" s="724" t="s">
        <v>1302</v>
      </c>
      <c r="B21" s="725" t="s">
        <v>476</v>
      </c>
      <c r="C21" s="726" t="s">
        <v>476</v>
      </c>
      <c r="D21" s="726" t="s">
        <v>476</v>
      </c>
      <c r="E21" s="726" t="s">
        <v>476</v>
      </c>
      <c r="F21" s="726" t="s">
        <v>476</v>
      </c>
      <c r="G21" s="726">
        <v>69.03</v>
      </c>
      <c r="H21" s="726" t="s">
        <v>476</v>
      </c>
      <c r="I21" s="726" t="s">
        <v>476</v>
      </c>
    </row>
    <row r="22" spans="1:9">
      <c r="A22" s="724" t="s">
        <v>364</v>
      </c>
      <c r="B22" s="726" t="s">
        <v>364</v>
      </c>
      <c r="C22" s="726" t="s">
        <v>364</v>
      </c>
      <c r="D22" s="726" t="s">
        <v>364</v>
      </c>
      <c r="E22" s="726" t="s">
        <v>364</v>
      </c>
      <c r="F22" s="726" t="s">
        <v>364</v>
      </c>
      <c r="G22" s="726" t="s">
        <v>364</v>
      </c>
      <c r="H22" s="726" t="s">
        <v>364</v>
      </c>
      <c r="I22" s="726" t="s">
        <v>364</v>
      </c>
    </row>
    <row r="23" spans="1:9">
      <c r="A23" s="718" t="s">
        <v>1303</v>
      </c>
      <c r="B23" s="720" t="s">
        <v>364</v>
      </c>
      <c r="C23" s="720" t="s">
        <v>364</v>
      </c>
      <c r="D23" s="720" t="s">
        <v>364</v>
      </c>
      <c r="E23" s="720" t="s">
        <v>364</v>
      </c>
      <c r="F23" s="720" t="s">
        <v>364</v>
      </c>
      <c r="G23" s="720" t="s">
        <v>364</v>
      </c>
      <c r="H23" s="720" t="s">
        <v>364</v>
      </c>
      <c r="I23" s="720" t="s">
        <v>364</v>
      </c>
    </row>
    <row r="24" spans="1:9">
      <c r="A24" s="724" t="s">
        <v>364</v>
      </c>
      <c r="B24" s="726" t="s">
        <v>364</v>
      </c>
      <c r="C24" s="726" t="s">
        <v>364</v>
      </c>
      <c r="D24" s="726" t="s">
        <v>364</v>
      </c>
      <c r="E24" s="726" t="s">
        <v>364</v>
      </c>
      <c r="F24" s="726" t="s">
        <v>364</v>
      </c>
      <c r="G24" s="726" t="s">
        <v>364</v>
      </c>
      <c r="H24" s="726" t="s">
        <v>364</v>
      </c>
      <c r="I24" s="726" t="s">
        <v>364</v>
      </c>
    </row>
    <row r="25" spans="1:9">
      <c r="A25" s="718" t="s">
        <v>1014</v>
      </c>
      <c r="B25" s="720" t="s">
        <v>364</v>
      </c>
      <c r="C25" s="720" t="s">
        <v>364</v>
      </c>
      <c r="D25" s="720" t="s">
        <v>364</v>
      </c>
      <c r="E25" s="720" t="s">
        <v>364</v>
      </c>
      <c r="F25" s="720" t="s">
        <v>364</v>
      </c>
      <c r="G25" s="720" t="s">
        <v>364</v>
      </c>
      <c r="H25" s="720" t="s">
        <v>364</v>
      </c>
      <c r="I25" s="720" t="s">
        <v>364</v>
      </c>
    </row>
    <row r="26" spans="1:9">
      <c r="A26" s="724" t="s">
        <v>364</v>
      </c>
      <c r="B26" s="726" t="s">
        <v>364</v>
      </c>
      <c r="C26" s="726" t="s">
        <v>364</v>
      </c>
      <c r="D26" s="726" t="s">
        <v>364</v>
      </c>
      <c r="E26" s="726" t="s">
        <v>364</v>
      </c>
      <c r="F26" s="726" t="s">
        <v>364</v>
      </c>
      <c r="G26" s="726" t="s">
        <v>364</v>
      </c>
      <c r="H26" s="726" t="s">
        <v>364</v>
      </c>
      <c r="I26" s="726" t="s">
        <v>364</v>
      </c>
    </row>
    <row r="27" spans="1:9">
      <c r="A27" s="718" t="s">
        <v>1022</v>
      </c>
      <c r="B27" s="720" t="s">
        <v>364</v>
      </c>
      <c r="C27" s="720" t="s">
        <v>364</v>
      </c>
      <c r="D27" s="720" t="s">
        <v>364</v>
      </c>
      <c r="E27" s="720" t="s">
        <v>364</v>
      </c>
      <c r="F27" s="720" t="s">
        <v>364</v>
      </c>
      <c r="G27" s="720" t="s">
        <v>364</v>
      </c>
      <c r="H27" s="720" t="s">
        <v>364</v>
      </c>
      <c r="I27" s="720" t="s">
        <v>364</v>
      </c>
    </row>
    <row r="28" spans="1:9">
      <c r="A28" s="724" t="s">
        <v>1304</v>
      </c>
      <c r="B28" s="725" t="s">
        <v>476</v>
      </c>
      <c r="C28" s="726" t="s">
        <v>476</v>
      </c>
      <c r="D28" s="726" t="s">
        <v>476</v>
      </c>
      <c r="E28" s="726" t="s">
        <v>476</v>
      </c>
      <c r="F28" s="726" t="s">
        <v>476</v>
      </c>
      <c r="G28" s="726">
        <v>218.54</v>
      </c>
      <c r="H28" s="726">
        <v>244.11</v>
      </c>
      <c r="I28" s="726" t="s">
        <v>476</v>
      </c>
    </row>
    <row r="29" spans="1:9">
      <c r="A29" s="724" t="s">
        <v>1305</v>
      </c>
      <c r="B29" s="725" t="s">
        <v>476</v>
      </c>
      <c r="C29" s="726" t="s">
        <v>476</v>
      </c>
      <c r="D29" s="726" t="s">
        <v>476</v>
      </c>
      <c r="E29" s="726" t="s">
        <v>476</v>
      </c>
      <c r="F29" s="726" t="s">
        <v>476</v>
      </c>
      <c r="G29" s="727">
        <v>1403.1</v>
      </c>
      <c r="H29" s="727">
        <v>1488.23</v>
      </c>
      <c r="I29" s="726" t="s">
        <v>476</v>
      </c>
    </row>
    <row r="30" spans="1:9">
      <c r="A30" s="724" t="s">
        <v>1306</v>
      </c>
      <c r="B30" s="725" t="s">
        <v>476</v>
      </c>
      <c r="C30" s="726" t="s">
        <v>476</v>
      </c>
      <c r="D30" s="726" t="s">
        <v>476</v>
      </c>
      <c r="E30" s="726" t="s">
        <v>476</v>
      </c>
      <c r="F30" s="726" t="s">
        <v>476</v>
      </c>
      <c r="G30" s="726">
        <v>282.83999999999997</v>
      </c>
      <c r="H30" s="726">
        <v>416.81</v>
      </c>
      <c r="I30" s="726" t="s">
        <v>476</v>
      </c>
    </row>
    <row r="31" spans="1:9">
      <c r="A31" s="724" t="s">
        <v>1307</v>
      </c>
      <c r="B31" s="725" t="s">
        <v>476</v>
      </c>
      <c r="C31" s="726" t="s">
        <v>476</v>
      </c>
      <c r="D31" s="726" t="s">
        <v>476</v>
      </c>
      <c r="E31" s="726" t="s">
        <v>476</v>
      </c>
      <c r="F31" s="726" t="s">
        <v>476</v>
      </c>
      <c r="G31" s="726">
        <v>173.26</v>
      </c>
      <c r="H31" s="726">
        <v>237.24</v>
      </c>
      <c r="I31" s="726" t="s">
        <v>476</v>
      </c>
    </row>
    <row r="32" spans="1:9">
      <c r="A32" s="724" t="s">
        <v>1103</v>
      </c>
      <c r="B32" s="725" t="s">
        <v>476</v>
      </c>
      <c r="C32" s="726" t="s">
        <v>476</v>
      </c>
      <c r="D32" s="726" t="s">
        <v>476</v>
      </c>
      <c r="E32" s="726" t="s">
        <v>476</v>
      </c>
      <c r="F32" s="726" t="s">
        <v>476</v>
      </c>
      <c r="G32" s="726">
        <v>96</v>
      </c>
      <c r="H32" s="726">
        <v>96</v>
      </c>
      <c r="I32" s="726" t="s">
        <v>476</v>
      </c>
    </row>
    <row r="33" spans="1:9">
      <c r="A33" s="724" t="s">
        <v>364</v>
      </c>
      <c r="B33" s="726" t="s">
        <v>364</v>
      </c>
      <c r="C33" s="726" t="s">
        <v>364</v>
      </c>
      <c r="D33" s="726" t="s">
        <v>364</v>
      </c>
      <c r="E33" s="726" t="s">
        <v>364</v>
      </c>
      <c r="F33" s="726" t="s">
        <v>364</v>
      </c>
      <c r="G33" s="726" t="s">
        <v>364</v>
      </c>
      <c r="H33" s="726" t="s">
        <v>364</v>
      </c>
      <c r="I33" s="726" t="s">
        <v>364</v>
      </c>
    </row>
    <row r="34" spans="1:9">
      <c r="A34" s="718" t="s">
        <v>1308</v>
      </c>
      <c r="B34" s="720" t="s">
        <v>364</v>
      </c>
      <c r="C34" s="720" t="s">
        <v>364</v>
      </c>
      <c r="D34" s="720" t="s">
        <v>364</v>
      </c>
      <c r="E34" s="720" t="s">
        <v>364</v>
      </c>
      <c r="F34" s="720" t="s">
        <v>364</v>
      </c>
      <c r="G34" s="720" t="s">
        <v>364</v>
      </c>
      <c r="H34" s="720" t="s">
        <v>364</v>
      </c>
      <c r="I34" s="720" t="s">
        <v>364</v>
      </c>
    </row>
    <row r="35" spans="1:9">
      <c r="A35" s="724" t="s">
        <v>364</v>
      </c>
      <c r="B35" s="726" t="s">
        <v>364</v>
      </c>
      <c r="C35" s="726" t="s">
        <v>364</v>
      </c>
      <c r="D35" s="726" t="s">
        <v>364</v>
      </c>
      <c r="E35" s="726" t="s">
        <v>364</v>
      </c>
      <c r="F35" s="726" t="s">
        <v>364</v>
      </c>
      <c r="G35" s="726" t="s">
        <v>364</v>
      </c>
      <c r="H35" s="726" t="s">
        <v>364</v>
      </c>
      <c r="I35" s="726" t="s">
        <v>364</v>
      </c>
    </row>
    <row r="36" spans="1:9">
      <c r="A36" s="718" t="s">
        <v>1309</v>
      </c>
      <c r="B36" s="720" t="s">
        <v>364</v>
      </c>
      <c r="C36" s="720" t="s">
        <v>364</v>
      </c>
      <c r="D36" s="720" t="s">
        <v>364</v>
      </c>
      <c r="E36" s="720" t="s">
        <v>364</v>
      </c>
      <c r="F36" s="720" t="s">
        <v>364</v>
      </c>
      <c r="G36" s="720" t="s">
        <v>364</v>
      </c>
      <c r="H36" s="720" t="s">
        <v>364</v>
      </c>
      <c r="I36" s="720" t="s">
        <v>364</v>
      </c>
    </row>
    <row r="37" spans="1:9">
      <c r="A37" s="724" t="s">
        <v>364</v>
      </c>
      <c r="B37" s="726" t="s">
        <v>364</v>
      </c>
      <c r="C37" s="726" t="s">
        <v>364</v>
      </c>
      <c r="D37" s="726" t="s">
        <v>364</v>
      </c>
      <c r="E37" s="726" t="s">
        <v>364</v>
      </c>
      <c r="F37" s="726" t="s">
        <v>364</v>
      </c>
      <c r="G37" s="726" t="s">
        <v>364</v>
      </c>
      <c r="H37" s="726" t="s">
        <v>364</v>
      </c>
      <c r="I37" s="726" t="s">
        <v>364</v>
      </c>
    </row>
    <row r="38" spans="1:9">
      <c r="A38" s="718" t="s">
        <v>1031</v>
      </c>
      <c r="B38" s="720" t="s">
        <v>364</v>
      </c>
      <c r="C38" s="720" t="s">
        <v>364</v>
      </c>
      <c r="D38" s="720" t="s">
        <v>364</v>
      </c>
      <c r="E38" s="720" t="s">
        <v>364</v>
      </c>
      <c r="F38" s="720" t="s">
        <v>364</v>
      </c>
      <c r="G38" s="720" t="s">
        <v>364</v>
      </c>
      <c r="H38" s="720" t="s">
        <v>364</v>
      </c>
      <c r="I38" s="720" t="s">
        <v>364</v>
      </c>
    </row>
    <row r="39" spans="1:9">
      <c r="A39" s="724" t="s">
        <v>1310</v>
      </c>
      <c r="B39" s="725">
        <v>0</v>
      </c>
      <c r="C39" s="726">
        <v>0</v>
      </c>
      <c r="D39" s="726">
        <v>0</v>
      </c>
      <c r="E39" s="726" t="s">
        <v>476</v>
      </c>
      <c r="F39" s="726" t="s">
        <v>476</v>
      </c>
      <c r="G39" s="726" t="s">
        <v>476</v>
      </c>
      <c r="H39" s="726" t="s">
        <v>476</v>
      </c>
      <c r="I39" s="726" t="s">
        <v>476</v>
      </c>
    </row>
    <row r="40" spans="1:9">
      <c r="A40" s="724" t="s">
        <v>1311</v>
      </c>
      <c r="B40" s="745">
        <v>21337.35</v>
      </c>
      <c r="C40" s="727">
        <v>127767.18</v>
      </c>
      <c r="D40" s="727">
        <v>56046.93</v>
      </c>
      <c r="E40" s="727">
        <v>85569.38</v>
      </c>
      <c r="F40" s="727">
        <v>23340.82</v>
      </c>
      <c r="G40" s="727">
        <v>71848.179999999993</v>
      </c>
      <c r="H40" s="727">
        <v>181504.42</v>
      </c>
      <c r="I40" s="727">
        <v>268764.21000000002</v>
      </c>
    </row>
    <row r="41" spans="1:9">
      <c r="A41" s="724" t="s">
        <v>1312</v>
      </c>
      <c r="B41" s="745">
        <v>8514.06</v>
      </c>
      <c r="C41" s="727">
        <v>47244.27</v>
      </c>
      <c r="D41" s="727">
        <v>200657.04</v>
      </c>
      <c r="E41" s="727">
        <v>212023.92</v>
      </c>
      <c r="F41" s="727">
        <v>110393.26</v>
      </c>
      <c r="G41" s="727">
        <v>64399.34</v>
      </c>
      <c r="H41" s="727">
        <v>300539.82</v>
      </c>
      <c r="I41" s="727">
        <v>149797.89000000001</v>
      </c>
    </row>
    <row r="42" spans="1:9">
      <c r="A42" s="724" t="s">
        <v>364</v>
      </c>
      <c r="B42" s="726" t="s">
        <v>364</v>
      </c>
      <c r="C42" s="726" t="s">
        <v>364</v>
      </c>
      <c r="D42" s="726" t="s">
        <v>364</v>
      </c>
      <c r="E42" s="726" t="s">
        <v>364</v>
      </c>
      <c r="F42" s="726" t="s">
        <v>364</v>
      </c>
      <c r="G42" s="726" t="s">
        <v>364</v>
      </c>
      <c r="H42" s="726" t="s">
        <v>364</v>
      </c>
      <c r="I42" s="726" t="s">
        <v>364</v>
      </c>
    </row>
    <row r="43" spans="1:9">
      <c r="A43" s="718" t="s">
        <v>1055</v>
      </c>
      <c r="B43" s="720" t="s">
        <v>364</v>
      </c>
      <c r="C43" s="720" t="s">
        <v>364</v>
      </c>
      <c r="D43" s="720" t="s">
        <v>364</v>
      </c>
      <c r="E43" s="720" t="s">
        <v>364</v>
      </c>
      <c r="F43" s="720" t="s">
        <v>364</v>
      </c>
      <c r="G43" s="720" t="s">
        <v>364</v>
      </c>
      <c r="H43" s="720" t="s">
        <v>364</v>
      </c>
      <c r="I43" s="720" t="s">
        <v>364</v>
      </c>
    </row>
    <row r="44" spans="1:9">
      <c r="A44" s="724" t="s">
        <v>1313</v>
      </c>
      <c r="B44" s="725">
        <v>87.5</v>
      </c>
      <c r="C44" s="726">
        <v>87.5</v>
      </c>
      <c r="D44" s="726">
        <v>88.89</v>
      </c>
      <c r="E44" s="726">
        <v>87.5</v>
      </c>
      <c r="F44" s="726">
        <v>90</v>
      </c>
      <c r="G44" s="726">
        <v>88.89</v>
      </c>
      <c r="H44" s="726">
        <v>88.89</v>
      </c>
      <c r="I44" s="726">
        <v>88.89</v>
      </c>
    </row>
    <row r="45" spans="1:9">
      <c r="A45" s="724" t="s">
        <v>1314</v>
      </c>
      <c r="B45" s="725">
        <v>75</v>
      </c>
      <c r="C45" s="726">
        <v>87.5</v>
      </c>
      <c r="D45" s="726">
        <v>88.89</v>
      </c>
      <c r="E45" s="726">
        <v>87.5</v>
      </c>
      <c r="F45" s="726">
        <v>90</v>
      </c>
      <c r="G45" s="726">
        <v>88.89</v>
      </c>
      <c r="H45" s="726">
        <v>88.89</v>
      </c>
      <c r="I45" s="726">
        <v>88.89</v>
      </c>
    </row>
    <row r="46" spans="1:9">
      <c r="A46" s="724" t="s">
        <v>1173</v>
      </c>
      <c r="B46" s="725">
        <v>37.5</v>
      </c>
      <c r="C46" s="726">
        <v>50</v>
      </c>
      <c r="D46" s="726">
        <v>55.56</v>
      </c>
      <c r="E46" s="726">
        <v>62.5</v>
      </c>
      <c r="F46" s="726">
        <v>60</v>
      </c>
      <c r="G46" s="726">
        <v>55.56</v>
      </c>
      <c r="H46" s="726">
        <v>66.67</v>
      </c>
      <c r="I46" s="726">
        <v>66.67</v>
      </c>
    </row>
    <row r="47" spans="1:9">
      <c r="A47" s="724" t="s">
        <v>1315</v>
      </c>
      <c r="B47" s="725">
        <v>0</v>
      </c>
      <c r="C47" s="726">
        <v>0</v>
      </c>
      <c r="D47" s="726">
        <v>0</v>
      </c>
      <c r="E47" s="726">
        <v>33.33</v>
      </c>
      <c r="F47" s="726">
        <v>33.33</v>
      </c>
      <c r="G47" s="726">
        <v>40</v>
      </c>
      <c r="H47" s="726">
        <v>50</v>
      </c>
      <c r="I47" s="726">
        <v>50</v>
      </c>
    </row>
    <row r="48" spans="1:9">
      <c r="A48" s="724" t="s">
        <v>1180</v>
      </c>
      <c r="B48" s="725">
        <v>23</v>
      </c>
      <c r="C48" s="726">
        <v>21</v>
      </c>
      <c r="D48" s="726">
        <v>23</v>
      </c>
      <c r="E48" s="726">
        <v>23</v>
      </c>
      <c r="F48" s="726">
        <v>31</v>
      </c>
      <c r="G48" s="726">
        <v>31</v>
      </c>
      <c r="H48" s="726">
        <v>32</v>
      </c>
      <c r="I48" s="726">
        <v>37</v>
      </c>
    </row>
    <row r="49" spans="1:9">
      <c r="A49" s="724" t="s">
        <v>1181</v>
      </c>
      <c r="B49" s="725">
        <v>52.13</v>
      </c>
      <c r="C49" s="726">
        <v>57.38</v>
      </c>
      <c r="D49" s="726">
        <v>57.44</v>
      </c>
      <c r="E49" s="726">
        <v>58.88</v>
      </c>
      <c r="F49" s="726">
        <v>57.6</v>
      </c>
      <c r="G49" s="726">
        <v>58.56</v>
      </c>
      <c r="H49" s="726">
        <v>56.89</v>
      </c>
      <c r="I49" s="726">
        <v>57.89</v>
      </c>
    </row>
    <row r="50" spans="1:9">
      <c r="A50" s="724" t="s">
        <v>1068</v>
      </c>
      <c r="B50" s="725">
        <v>75</v>
      </c>
      <c r="C50" s="726">
        <v>75</v>
      </c>
      <c r="D50" s="726">
        <v>75</v>
      </c>
      <c r="E50" s="726">
        <v>75</v>
      </c>
      <c r="F50" s="726">
        <v>75</v>
      </c>
      <c r="G50" s="726">
        <v>75</v>
      </c>
      <c r="H50" s="726">
        <v>75</v>
      </c>
      <c r="I50" s="726">
        <v>75</v>
      </c>
    </row>
    <row r="51" spans="1:9">
      <c r="A51" s="724" t="s">
        <v>1186</v>
      </c>
      <c r="B51" s="725">
        <v>75</v>
      </c>
      <c r="C51" s="726">
        <v>75</v>
      </c>
      <c r="D51" s="726">
        <v>75</v>
      </c>
      <c r="E51" s="726">
        <v>75</v>
      </c>
      <c r="F51" s="726">
        <v>75</v>
      </c>
      <c r="G51" s="726">
        <v>75</v>
      </c>
      <c r="H51" s="726">
        <v>75</v>
      </c>
      <c r="I51" s="726">
        <v>75</v>
      </c>
    </row>
    <row r="52" spans="1:9">
      <c r="A52" s="724" t="s">
        <v>1316</v>
      </c>
      <c r="B52" s="725">
        <v>100</v>
      </c>
      <c r="C52" s="726">
        <v>100</v>
      </c>
      <c r="D52" s="726">
        <v>100</v>
      </c>
      <c r="E52" s="726">
        <v>100</v>
      </c>
      <c r="F52" s="726">
        <v>100</v>
      </c>
      <c r="G52" s="726">
        <v>100</v>
      </c>
      <c r="H52" s="726">
        <v>100</v>
      </c>
      <c r="I52" s="726">
        <v>100</v>
      </c>
    </row>
    <row r="53" spans="1:9">
      <c r="A53" s="724" t="s">
        <v>1061</v>
      </c>
      <c r="B53" s="725">
        <v>75</v>
      </c>
      <c r="C53" s="726">
        <v>75</v>
      </c>
      <c r="D53" s="726">
        <v>75</v>
      </c>
      <c r="E53" s="726">
        <v>75</v>
      </c>
      <c r="F53" s="726">
        <v>75</v>
      </c>
      <c r="G53" s="726">
        <v>75</v>
      </c>
      <c r="H53" s="726">
        <v>75</v>
      </c>
      <c r="I53" s="726">
        <v>75</v>
      </c>
    </row>
    <row r="54" spans="1:9">
      <c r="A54" s="724" t="s">
        <v>1317</v>
      </c>
      <c r="B54" s="725">
        <v>100</v>
      </c>
      <c r="C54" s="726">
        <v>100</v>
      </c>
      <c r="D54" s="726">
        <v>100</v>
      </c>
      <c r="E54" s="726">
        <v>100</v>
      </c>
      <c r="F54" s="726">
        <v>100</v>
      </c>
      <c r="G54" s="726">
        <v>100</v>
      </c>
      <c r="H54" s="726">
        <v>100</v>
      </c>
      <c r="I54" s="726">
        <v>100</v>
      </c>
    </row>
    <row r="55" spans="1:9">
      <c r="A55" s="724" t="s">
        <v>1075</v>
      </c>
      <c r="B55" s="725">
        <v>75</v>
      </c>
      <c r="C55" s="726">
        <v>75</v>
      </c>
      <c r="D55" s="726">
        <v>75</v>
      </c>
      <c r="E55" s="726">
        <v>75</v>
      </c>
      <c r="F55" s="726">
        <v>75</v>
      </c>
      <c r="G55" s="726">
        <v>75</v>
      </c>
      <c r="H55" s="726">
        <v>75</v>
      </c>
      <c r="I55" s="726">
        <v>75</v>
      </c>
    </row>
    <row r="56" spans="1:9">
      <c r="A56" s="724" t="s">
        <v>1203</v>
      </c>
      <c r="B56" s="725">
        <v>100</v>
      </c>
      <c r="C56" s="726">
        <v>100</v>
      </c>
      <c r="D56" s="726">
        <v>100</v>
      </c>
      <c r="E56" s="726">
        <v>100</v>
      </c>
      <c r="F56" s="726">
        <v>100</v>
      </c>
      <c r="G56" s="726">
        <v>100</v>
      </c>
      <c r="H56" s="726">
        <v>100</v>
      </c>
      <c r="I56" s="726">
        <v>100</v>
      </c>
    </row>
    <row r="57" spans="1:9">
      <c r="A57" s="734" t="s">
        <v>788</v>
      </c>
      <c r="B57" s="734" t="s">
        <v>789</v>
      </c>
      <c r="C57" s="735"/>
      <c r="D57" s="735"/>
      <c r="E57" s="735"/>
      <c r="F57" s="735"/>
      <c r="G57" s="734" t="s">
        <v>364</v>
      </c>
      <c r="H57" s="734" t="s">
        <v>364</v>
      </c>
      <c r="I57" s="734" t="s">
        <v>364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2D22-197A-4B89-B4F1-ACFC660CF20F}">
  <dimension ref="A1:H62"/>
  <sheetViews>
    <sheetView workbookViewId="0">
      <selection activeCell="N5" sqref="N5:O11"/>
    </sheetView>
  </sheetViews>
  <sheetFormatPr defaultColWidth="8.875" defaultRowHeight="14.1"/>
  <cols>
    <col min="1" max="1" width="41.125" customWidth="1"/>
    <col min="2" max="2" width="11.375" customWidth="1"/>
  </cols>
  <sheetData>
    <row r="1" spans="1:8" ht="14.45">
      <c r="A1" s="709" t="s">
        <v>364</v>
      </c>
      <c r="B1" s="709" t="s">
        <v>364</v>
      </c>
      <c r="C1" s="748"/>
      <c r="D1" s="748"/>
      <c r="E1" s="748"/>
      <c r="F1" s="748"/>
      <c r="G1" s="748"/>
    </row>
    <row r="2" spans="1:8" ht="20.100000000000001">
      <c r="A2" s="710" t="s">
        <v>1318</v>
      </c>
      <c r="B2" s="711"/>
      <c r="C2" s="711"/>
      <c r="D2" s="748"/>
      <c r="E2" s="748"/>
      <c r="F2" s="748"/>
      <c r="G2" s="748"/>
      <c r="H2" s="748"/>
    </row>
    <row r="3" spans="1:8" ht="14.45">
      <c r="A3" s="712" t="s">
        <v>364</v>
      </c>
      <c r="B3" s="712" t="s">
        <v>364</v>
      </c>
      <c r="C3" s="748"/>
      <c r="D3" s="748"/>
      <c r="E3" s="748"/>
      <c r="F3" s="748"/>
      <c r="G3" s="748"/>
    </row>
    <row r="4" spans="1:8" ht="14.45">
      <c r="A4" s="713" t="s">
        <v>735</v>
      </c>
      <c r="B4" s="714" t="s">
        <v>491</v>
      </c>
      <c r="C4" s="748"/>
      <c r="D4" s="748"/>
      <c r="E4" s="748"/>
      <c r="F4" s="748"/>
      <c r="G4" s="748"/>
    </row>
    <row r="5" spans="1:8" ht="14.45">
      <c r="A5" s="715" t="s">
        <v>737</v>
      </c>
      <c r="B5" s="717">
        <v>44651</v>
      </c>
      <c r="C5" s="748"/>
      <c r="D5" s="748"/>
      <c r="E5" s="748"/>
      <c r="F5" s="748"/>
      <c r="G5" s="748"/>
    </row>
    <row r="6" spans="1:8" ht="14.45">
      <c r="A6" s="724" t="s">
        <v>364</v>
      </c>
      <c r="B6" s="726" t="s">
        <v>364</v>
      </c>
      <c r="C6" s="748"/>
      <c r="D6" s="748"/>
      <c r="E6" s="748"/>
      <c r="F6" s="748"/>
      <c r="G6" s="748"/>
    </row>
    <row r="7" spans="1:8" ht="14.45">
      <c r="A7" s="718" t="s">
        <v>1319</v>
      </c>
      <c r="B7" s="720" t="s">
        <v>364</v>
      </c>
      <c r="C7" s="748"/>
      <c r="D7" s="748"/>
      <c r="E7" s="748"/>
      <c r="F7" s="748"/>
      <c r="G7" s="748"/>
    </row>
    <row r="8" spans="1:8" ht="14.45">
      <c r="A8" s="724" t="s">
        <v>1320</v>
      </c>
      <c r="B8" s="746">
        <v>44652</v>
      </c>
      <c r="C8" s="748"/>
      <c r="D8" s="748"/>
      <c r="E8" s="748"/>
      <c r="F8" s="748"/>
      <c r="G8" s="748"/>
    </row>
    <row r="9" spans="1:8" ht="14.45">
      <c r="A9" s="724" t="s">
        <v>1321</v>
      </c>
      <c r="B9" s="746">
        <v>45016</v>
      </c>
      <c r="C9" s="748"/>
      <c r="D9" s="748"/>
      <c r="E9" s="748"/>
      <c r="F9" s="748"/>
      <c r="G9" s="748"/>
    </row>
    <row r="10" spans="1:8" ht="14.45">
      <c r="A10" s="724" t="s">
        <v>1322</v>
      </c>
      <c r="B10" s="749">
        <v>2023</v>
      </c>
      <c r="C10" s="748"/>
      <c r="D10" s="748"/>
      <c r="E10" s="748"/>
      <c r="F10" s="748"/>
      <c r="G10" s="748"/>
    </row>
    <row r="11" spans="1:8" ht="14.45">
      <c r="A11" s="724" t="s">
        <v>1323</v>
      </c>
      <c r="B11" s="749">
        <v>2023</v>
      </c>
      <c r="C11" s="748"/>
      <c r="D11" s="748"/>
      <c r="E11" s="748"/>
      <c r="F11" s="748"/>
      <c r="G11" s="748"/>
    </row>
    <row r="12" spans="1:8" ht="14.45">
      <c r="A12" s="724" t="s">
        <v>364</v>
      </c>
      <c r="B12" s="726" t="s">
        <v>364</v>
      </c>
      <c r="C12" s="748"/>
      <c r="D12" s="748"/>
      <c r="E12" s="748"/>
      <c r="F12" s="748"/>
      <c r="G12" s="748"/>
    </row>
    <row r="13" spans="1:8" ht="14.45">
      <c r="A13" s="724" t="s">
        <v>1324</v>
      </c>
      <c r="B13" s="726" t="s">
        <v>364</v>
      </c>
      <c r="C13" s="748"/>
      <c r="D13" s="748"/>
      <c r="E13" s="748"/>
      <c r="F13" s="748"/>
      <c r="G13" s="748"/>
    </row>
    <row r="14" spans="1:8" ht="14.45">
      <c r="A14" s="724" t="s">
        <v>1325</v>
      </c>
      <c r="B14" s="725" t="s">
        <v>1036</v>
      </c>
      <c r="C14" s="748"/>
      <c r="D14" s="748"/>
      <c r="E14" s="748"/>
      <c r="F14" s="748"/>
      <c r="G14" s="748"/>
    </row>
    <row r="15" spans="1:8" ht="14.45">
      <c r="A15" s="724" t="s">
        <v>1326</v>
      </c>
      <c r="B15" s="725" t="s">
        <v>1036</v>
      </c>
      <c r="C15" s="748"/>
      <c r="D15" s="748"/>
      <c r="E15" s="748"/>
      <c r="F15" s="748"/>
      <c r="G15" s="748"/>
    </row>
    <row r="16" spans="1:8" ht="14.45">
      <c r="A16" s="724" t="s">
        <v>1327</v>
      </c>
      <c r="B16" s="725" t="s">
        <v>1005</v>
      </c>
      <c r="C16" s="748"/>
      <c r="D16" s="748"/>
      <c r="E16" s="748"/>
      <c r="F16" s="748"/>
      <c r="G16" s="748"/>
    </row>
    <row r="17" spans="1:7" ht="14.45">
      <c r="A17" s="724" t="s">
        <v>1328</v>
      </c>
      <c r="B17" s="725" t="s">
        <v>1005</v>
      </c>
      <c r="C17" s="748"/>
      <c r="D17" s="748"/>
      <c r="E17" s="748"/>
      <c r="F17" s="748"/>
      <c r="G17" s="748"/>
    </row>
    <row r="18" spans="1:7" ht="14.45">
      <c r="A18" s="724" t="s">
        <v>1329</v>
      </c>
      <c r="B18" s="725" t="s">
        <v>1036</v>
      </c>
      <c r="C18" s="748"/>
      <c r="D18" s="748"/>
      <c r="E18" s="748"/>
      <c r="F18" s="748"/>
      <c r="G18" s="748"/>
    </row>
    <row r="19" spans="1:7" ht="14.45">
      <c r="A19" s="724" t="s">
        <v>1330</v>
      </c>
      <c r="B19" s="725" t="s">
        <v>1036</v>
      </c>
      <c r="C19" s="748"/>
      <c r="D19" s="748"/>
      <c r="E19" s="748"/>
      <c r="F19" s="748"/>
      <c r="G19" s="748"/>
    </row>
    <row r="20" spans="1:7" ht="14.45">
      <c r="A20" s="724" t="s">
        <v>1331</v>
      </c>
      <c r="B20" s="725" t="s">
        <v>1036</v>
      </c>
      <c r="C20" s="748"/>
      <c r="D20" s="748"/>
      <c r="E20" s="748"/>
      <c r="F20" s="748"/>
      <c r="G20" s="748"/>
    </row>
    <row r="21" spans="1:7" ht="14.45">
      <c r="A21" s="724" t="s">
        <v>1332</v>
      </c>
      <c r="B21" s="725" t="s">
        <v>1036</v>
      </c>
      <c r="C21" s="748"/>
      <c r="D21" s="748"/>
      <c r="E21" s="748"/>
      <c r="F21" s="748"/>
      <c r="G21" s="748"/>
    </row>
    <row r="22" spans="1:7" ht="14.45">
      <c r="A22" s="724" t="s">
        <v>1333</v>
      </c>
      <c r="B22" s="725" t="s">
        <v>1036</v>
      </c>
      <c r="C22" s="748"/>
      <c r="D22" s="748"/>
      <c r="E22" s="748"/>
      <c r="F22" s="748"/>
      <c r="G22" s="748"/>
    </row>
    <row r="23" spans="1:7" ht="14.45">
      <c r="A23" s="724" t="s">
        <v>364</v>
      </c>
      <c r="B23" s="726" t="s">
        <v>364</v>
      </c>
      <c r="C23" s="748"/>
      <c r="D23" s="748"/>
      <c r="E23" s="748"/>
      <c r="F23" s="748"/>
      <c r="G23" s="748"/>
    </row>
    <row r="24" spans="1:7" ht="14.45">
      <c r="A24" s="718" t="s">
        <v>1334</v>
      </c>
      <c r="B24" s="720" t="s">
        <v>364</v>
      </c>
      <c r="C24" s="748"/>
      <c r="D24" s="748"/>
      <c r="E24" s="748"/>
      <c r="F24" s="748"/>
      <c r="G24" s="748"/>
    </row>
    <row r="25" spans="1:7" ht="14.45">
      <c r="A25" s="724" t="s">
        <v>1335</v>
      </c>
      <c r="B25" s="725">
        <v>1</v>
      </c>
      <c r="C25" s="748"/>
      <c r="D25" s="748"/>
      <c r="E25" s="748"/>
      <c r="F25" s="748"/>
      <c r="G25" s="748"/>
    </row>
    <row r="26" spans="1:7" ht="14.45">
      <c r="A26" s="724" t="s">
        <v>1336</v>
      </c>
      <c r="B26" s="725">
        <v>0</v>
      </c>
      <c r="C26" s="748"/>
      <c r="D26" s="748"/>
      <c r="E26" s="748"/>
      <c r="F26" s="748"/>
      <c r="G26" s="748"/>
    </row>
    <row r="27" spans="1:7" ht="14.45">
      <c r="A27" s="724" t="s">
        <v>1337</v>
      </c>
      <c r="B27" s="725">
        <v>0</v>
      </c>
      <c r="C27" s="748"/>
      <c r="D27" s="748"/>
      <c r="E27" s="748"/>
      <c r="F27" s="748"/>
      <c r="G27" s="748"/>
    </row>
    <row r="28" spans="1:7" ht="14.45">
      <c r="A28" s="724" t="s">
        <v>1338</v>
      </c>
      <c r="B28" s="725">
        <v>0</v>
      </c>
      <c r="C28" s="748"/>
      <c r="D28" s="748"/>
      <c r="E28" s="748"/>
      <c r="F28" s="748"/>
      <c r="G28" s="748"/>
    </row>
    <row r="29" spans="1:7" ht="14.45">
      <c r="A29" s="724" t="s">
        <v>1339</v>
      </c>
      <c r="B29" s="725">
        <v>0</v>
      </c>
      <c r="C29" s="748"/>
      <c r="D29" s="748"/>
      <c r="E29" s="748"/>
      <c r="F29" s="748"/>
      <c r="G29" s="748"/>
    </row>
    <row r="30" spans="1:7" ht="14.45">
      <c r="A30" s="724" t="s">
        <v>1340</v>
      </c>
      <c r="B30" s="725">
        <v>0</v>
      </c>
      <c r="C30" s="748"/>
      <c r="D30" s="748"/>
      <c r="E30" s="748"/>
      <c r="F30" s="748"/>
      <c r="G30" s="748"/>
    </row>
    <row r="31" spans="1:7" ht="14.45">
      <c r="A31" s="724" t="s">
        <v>1341</v>
      </c>
      <c r="B31" s="725">
        <v>0</v>
      </c>
      <c r="C31" s="748"/>
      <c r="D31" s="748"/>
      <c r="E31" s="748"/>
      <c r="F31" s="748"/>
      <c r="G31" s="748"/>
    </row>
    <row r="32" spans="1:7" ht="14.45">
      <c r="A32" s="724" t="s">
        <v>1342</v>
      </c>
      <c r="B32" s="725">
        <v>0</v>
      </c>
      <c r="C32" s="748"/>
      <c r="D32" s="748"/>
      <c r="E32" s="748"/>
      <c r="F32" s="748"/>
      <c r="G32" s="748"/>
    </row>
    <row r="33" spans="1:7" ht="14.45">
      <c r="A33" s="724" t="s">
        <v>1343</v>
      </c>
      <c r="B33" s="725">
        <v>0</v>
      </c>
      <c r="C33" s="748"/>
      <c r="D33" s="748"/>
      <c r="E33" s="748"/>
      <c r="F33" s="748"/>
      <c r="G33" s="748"/>
    </row>
    <row r="34" spans="1:7" ht="14.45">
      <c r="A34" s="724" t="s">
        <v>1344</v>
      </c>
      <c r="B34" s="725">
        <v>0</v>
      </c>
      <c r="C34" s="748"/>
      <c r="D34" s="748"/>
      <c r="E34" s="748"/>
      <c r="F34" s="748"/>
      <c r="G34" s="748"/>
    </row>
    <row r="35" spans="1:7" ht="14.45">
      <c r="A35" s="724" t="s">
        <v>1345</v>
      </c>
      <c r="B35" s="725">
        <v>0</v>
      </c>
      <c r="C35" s="748"/>
      <c r="D35" s="748"/>
      <c r="E35" s="748"/>
      <c r="F35" s="748"/>
      <c r="G35" s="748"/>
    </row>
    <row r="36" spans="1:7" ht="14.45">
      <c r="A36" s="724" t="s">
        <v>1346</v>
      </c>
      <c r="B36" s="725">
        <v>0</v>
      </c>
      <c r="C36" s="748"/>
      <c r="D36" s="748"/>
      <c r="E36" s="748"/>
      <c r="F36" s="748"/>
      <c r="G36" s="748"/>
    </row>
    <row r="37" spans="1:7" ht="14.45">
      <c r="A37" s="724" t="s">
        <v>1347</v>
      </c>
      <c r="B37" s="725">
        <v>0</v>
      </c>
      <c r="C37" s="748"/>
      <c r="D37" s="748"/>
      <c r="E37" s="748"/>
      <c r="F37" s="748"/>
      <c r="G37" s="748"/>
    </row>
    <row r="38" spans="1:7" ht="14.45">
      <c r="A38" s="724" t="s">
        <v>364</v>
      </c>
      <c r="B38" s="726" t="s">
        <v>364</v>
      </c>
      <c r="C38" s="748"/>
      <c r="D38" s="748"/>
      <c r="E38" s="748"/>
      <c r="F38" s="748"/>
      <c r="G38" s="748"/>
    </row>
    <row r="39" spans="1:7" ht="14.45">
      <c r="A39" s="724" t="s">
        <v>364</v>
      </c>
      <c r="B39" s="726" t="s">
        <v>364</v>
      </c>
      <c r="C39" s="748"/>
      <c r="D39" s="748"/>
      <c r="E39" s="748"/>
      <c r="F39" s="748"/>
      <c r="G39" s="748"/>
    </row>
    <row r="40" spans="1:7" ht="14.45">
      <c r="A40" s="718" t="s">
        <v>1348</v>
      </c>
      <c r="B40" s="720" t="s">
        <v>364</v>
      </c>
      <c r="C40" s="748"/>
      <c r="D40" s="748"/>
      <c r="E40" s="748"/>
      <c r="F40" s="748"/>
      <c r="G40" s="748"/>
    </row>
    <row r="41" spans="1:7" ht="14.45">
      <c r="A41" s="724" t="s">
        <v>1349</v>
      </c>
      <c r="B41" s="725">
        <v>0</v>
      </c>
      <c r="C41" s="748"/>
      <c r="D41" s="748"/>
      <c r="E41" s="748"/>
      <c r="F41" s="748"/>
      <c r="G41" s="748"/>
    </row>
    <row r="42" spans="1:7" ht="14.45">
      <c r="A42" s="724" t="s">
        <v>1350</v>
      </c>
      <c r="B42" s="725">
        <v>0</v>
      </c>
      <c r="C42" s="748"/>
      <c r="D42" s="748"/>
      <c r="E42" s="748"/>
      <c r="F42" s="748"/>
      <c r="G42" s="748"/>
    </row>
    <row r="43" spans="1:7" ht="14.45">
      <c r="A43" s="724" t="s">
        <v>1351</v>
      </c>
      <c r="B43" s="725">
        <v>0</v>
      </c>
      <c r="C43" s="748"/>
      <c r="D43" s="748"/>
      <c r="E43" s="748"/>
      <c r="F43" s="748"/>
      <c r="G43" s="748"/>
    </row>
    <row r="44" spans="1:7" ht="14.45">
      <c r="A44" s="724" t="s">
        <v>1352</v>
      </c>
      <c r="B44" s="725">
        <v>0</v>
      </c>
      <c r="C44" s="748"/>
      <c r="D44" s="748"/>
      <c r="E44" s="748"/>
      <c r="F44" s="748"/>
      <c r="G44" s="748"/>
    </row>
    <row r="45" spans="1:7" ht="14.45">
      <c r="A45" s="724" t="s">
        <v>1353</v>
      </c>
      <c r="B45" s="725">
        <v>0</v>
      </c>
      <c r="C45" s="748"/>
      <c r="D45" s="748"/>
      <c r="E45" s="748"/>
      <c r="F45" s="748"/>
      <c r="G45" s="748"/>
    </row>
    <row r="46" spans="1:7" ht="14.45">
      <c r="A46" s="724" t="s">
        <v>1354</v>
      </c>
      <c r="B46" s="725">
        <v>0</v>
      </c>
      <c r="C46" s="748"/>
      <c r="D46" s="748"/>
      <c r="E46" s="748"/>
      <c r="F46" s="748"/>
      <c r="G46" s="748"/>
    </row>
    <row r="47" spans="1:7" ht="14.45">
      <c r="A47" s="724" t="s">
        <v>1355</v>
      </c>
      <c r="B47" s="725">
        <v>0</v>
      </c>
      <c r="C47" s="748"/>
      <c r="D47" s="748"/>
      <c r="E47" s="748"/>
      <c r="F47" s="748"/>
      <c r="G47" s="748"/>
    </row>
    <row r="48" spans="1:7" ht="14.45">
      <c r="A48" s="724" t="s">
        <v>1356</v>
      </c>
      <c r="B48" s="725">
        <v>0</v>
      </c>
      <c r="C48" s="748"/>
      <c r="D48" s="748"/>
      <c r="E48" s="748"/>
      <c r="F48" s="748"/>
      <c r="G48" s="748"/>
    </row>
    <row r="49" spans="1:7" ht="14.45">
      <c r="A49" s="724" t="s">
        <v>1357</v>
      </c>
      <c r="B49" s="725">
        <v>0</v>
      </c>
      <c r="C49" s="748"/>
      <c r="D49" s="748"/>
      <c r="E49" s="748"/>
      <c r="F49" s="748"/>
      <c r="G49" s="748"/>
    </row>
    <row r="50" spans="1:7" ht="14.45">
      <c r="A50" s="724" t="s">
        <v>1358</v>
      </c>
      <c r="B50" s="725">
        <v>0</v>
      </c>
      <c r="C50" s="748"/>
      <c r="D50" s="748"/>
      <c r="E50" s="748"/>
      <c r="F50" s="748"/>
      <c r="G50" s="748"/>
    </row>
    <row r="51" spans="1:7" ht="14.45">
      <c r="A51" s="724" t="s">
        <v>1359</v>
      </c>
      <c r="B51" s="725">
        <v>0</v>
      </c>
      <c r="C51" s="748"/>
      <c r="D51" s="748"/>
      <c r="E51" s="748"/>
      <c r="F51" s="748"/>
      <c r="G51" s="748"/>
    </row>
    <row r="52" spans="1:7" ht="14.45">
      <c r="A52" s="724" t="s">
        <v>1360</v>
      </c>
      <c r="B52" s="725">
        <v>0</v>
      </c>
      <c r="C52" s="748"/>
      <c r="D52" s="748"/>
      <c r="E52" s="748"/>
      <c r="F52" s="748"/>
      <c r="G52" s="748"/>
    </row>
    <row r="53" spans="1:7" ht="14.45">
      <c r="A53" s="724" t="s">
        <v>364</v>
      </c>
      <c r="B53" s="726" t="s">
        <v>364</v>
      </c>
      <c r="C53" s="748"/>
      <c r="D53" s="748"/>
      <c r="E53" s="748"/>
      <c r="F53" s="748"/>
      <c r="G53" s="748"/>
    </row>
    <row r="54" spans="1:7" ht="14.45">
      <c r="A54" s="724" t="s">
        <v>1361</v>
      </c>
      <c r="B54" s="725">
        <v>0</v>
      </c>
      <c r="C54" s="748"/>
      <c r="D54" s="748"/>
      <c r="E54" s="748"/>
      <c r="F54" s="748"/>
      <c r="G54" s="748"/>
    </row>
    <row r="55" spans="1:7" ht="14.45">
      <c r="A55" s="724" t="s">
        <v>1362</v>
      </c>
      <c r="B55" s="725">
        <v>0</v>
      </c>
      <c r="C55" s="748"/>
      <c r="D55" s="748"/>
      <c r="E55" s="748"/>
      <c r="F55" s="748"/>
      <c r="G55" s="748"/>
    </row>
    <row r="56" spans="1:7" ht="14.45">
      <c r="A56" s="724" t="s">
        <v>364</v>
      </c>
      <c r="B56" s="726" t="s">
        <v>364</v>
      </c>
      <c r="C56" s="748"/>
      <c r="D56" s="748"/>
      <c r="E56" s="748"/>
      <c r="F56" s="748"/>
      <c r="G56" s="748"/>
    </row>
    <row r="57" spans="1:7" ht="14.45">
      <c r="A57" s="724" t="s">
        <v>364</v>
      </c>
      <c r="B57" s="726" t="s">
        <v>364</v>
      </c>
      <c r="C57" s="748"/>
      <c r="D57" s="748"/>
      <c r="E57" s="748"/>
      <c r="F57" s="748"/>
      <c r="G57" s="748"/>
    </row>
    <row r="58" spans="1:7" ht="14.45">
      <c r="A58" s="718" t="s">
        <v>1363</v>
      </c>
      <c r="B58" s="720" t="s">
        <v>364</v>
      </c>
      <c r="C58" s="748"/>
      <c r="D58" s="748"/>
      <c r="E58" s="748"/>
      <c r="F58" s="748"/>
      <c r="G58" s="748"/>
    </row>
    <row r="59" spans="1:7" ht="14.45">
      <c r="A59" s="724" t="s">
        <v>364</v>
      </c>
      <c r="B59" s="726" t="s">
        <v>364</v>
      </c>
      <c r="C59" s="748"/>
      <c r="D59" s="748"/>
      <c r="E59" s="748"/>
      <c r="F59" s="748"/>
      <c r="G59" s="748"/>
    </row>
    <row r="60" spans="1:7" ht="14.45">
      <c r="A60" s="718" t="s">
        <v>1364</v>
      </c>
      <c r="B60" s="720" t="s">
        <v>364</v>
      </c>
      <c r="C60" s="748"/>
      <c r="D60" s="748"/>
      <c r="E60" s="748"/>
      <c r="F60" s="748"/>
      <c r="G60" s="748"/>
    </row>
    <row r="61" spans="1:7" ht="14.45">
      <c r="A61" s="724" t="s">
        <v>1365</v>
      </c>
      <c r="B61" s="725" t="s">
        <v>1036</v>
      </c>
      <c r="C61" s="748"/>
      <c r="D61" s="748"/>
      <c r="E61" s="748"/>
      <c r="F61" s="748"/>
      <c r="G61" s="748"/>
    </row>
    <row r="62" spans="1:7" ht="14.45">
      <c r="A62" s="734" t="s">
        <v>788</v>
      </c>
      <c r="B62" s="734" t="s">
        <v>789</v>
      </c>
      <c r="C62" s="748"/>
      <c r="D62" s="748"/>
      <c r="E62" s="748"/>
      <c r="F62" s="748"/>
      <c r="G62" s="74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B988D-8D01-4A93-B497-E21446BB3F17}"/>
</file>

<file path=customXml/itemProps2.xml><?xml version="1.0" encoding="utf-8"?>
<ds:datastoreItem xmlns:ds="http://schemas.openxmlformats.org/officeDocument/2006/customXml" ds:itemID="{AB79CB92-5331-4E6D-BCCA-3ED810C77402}"/>
</file>

<file path=customXml/itemProps3.xml><?xml version="1.0" encoding="utf-8"?>
<ds:datastoreItem xmlns:ds="http://schemas.openxmlformats.org/officeDocument/2006/customXml" ds:itemID="{33EB76D7-109C-4A47-8024-4D777F3F0E1C}"/>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João Pedro Carocinho Morgado Baioa</cp:lastModifiedBy>
  <cp:revision/>
  <dcterms:created xsi:type="dcterms:W3CDTF">2025-02-25T16:23:47Z</dcterms:created>
  <dcterms:modified xsi:type="dcterms:W3CDTF">2025-10-03T11:40:09Z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